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E:\PHUONG BAC\LANG SON 2024\BINH GIA\KH 2025 BINH GIA\DANH MUC BINH GIA\HO SO XIN Y KIEN KHSDD 2025 H BINH GIA\FILE SO\"/>
    </mc:Choice>
  </mc:AlternateContent>
  <bookViews>
    <workbookView xWindow="-105" yWindow="-105" windowWidth="25815" windowHeight="13905" tabRatio="900" firstSheet="20" activeTab="30"/>
  </bookViews>
  <sheets>
    <sheet name="foxz_10" sheetId="274" state="veryHidden" r:id="rId1"/>
    <sheet name="foxz_11" sheetId="275" state="veryHidden" r:id="rId2"/>
    <sheet name="foxz_12" sheetId="276" state="veryHidden" r:id="rId3"/>
    <sheet name="foxz_13" sheetId="277" state="veryHidden" r:id="rId4"/>
    <sheet name="foxz_14" sheetId="278" state="veryHidden" r:id="rId5"/>
    <sheet name="foxz_15" sheetId="279" state="veryHidden" r:id="rId6"/>
    <sheet name="foxz_16" sheetId="280" state="veryHidden" r:id="rId7"/>
    <sheet name="foxz_8" sheetId="272" state="veryHidden" r:id="rId8"/>
    <sheet name="foxz_9" sheetId="273" state="veryHidden" r:id="rId9"/>
    <sheet name="foxz_2" sheetId="239" state="veryHidden" r:id="rId10"/>
    <sheet name="foxz_3" sheetId="240" state="veryHidden" r:id="rId11"/>
    <sheet name="foxz_4" sheetId="241" state="veryHidden" r:id="rId12"/>
    <sheet name="foxz_5" sheetId="242" state="veryHidden" r:id="rId13"/>
    <sheet name="foxz_6" sheetId="243" state="veryHidden" r:id="rId14"/>
    <sheet name="foxz_7" sheetId="244" state="veryHidden" r:id="rId15"/>
    <sheet name="01CH_GOC" sheetId="333" state="hidden" r:id="rId16"/>
    <sheet name="02CH_GOC" sheetId="334" state="hidden" r:id="rId17"/>
    <sheet name="03CH_GOC" sheetId="338" state="hidden" r:id="rId18"/>
    <sheet name="04CH_GOC" sheetId="339" state="hidden" r:id="rId19"/>
    <sheet name="12CH_hieu chinh" sheetId="343" state="hidden" r:id="rId20"/>
    <sheet name="Bieu huyen" sheetId="324" r:id="rId21"/>
    <sheet name="12CH_GOC" sheetId="342" state="hidden" r:id="rId22"/>
    <sheet name="11CH_GOC" sheetId="341" state="hidden" r:id="rId23"/>
    <sheet name="05CH_GOC" sheetId="340" state="hidden" r:id="rId24"/>
    <sheet name="01CH" sheetId="287" r:id="rId25"/>
    <sheet name="02CH" sheetId="335" r:id="rId26"/>
    <sheet name="06CH" sheetId="322" r:id="rId27"/>
    <sheet name="07CH" sheetId="290" r:id="rId28"/>
    <sheet name="08CH" sheetId="329" r:id="rId29"/>
    <sheet name="09CH" sheetId="291" r:id="rId30"/>
    <sheet name="BIEU 10 CH" sheetId="346" r:id="rId31"/>
    <sheet name="11CH" sheetId="309" state="hidden" r:id="rId32"/>
    <sheet name="13CH " sheetId="323" r:id="rId33"/>
    <sheet name="bieu bien dong" sheetId="336" state="hidden" r:id="rId34"/>
    <sheet name="Phuong an dieu chinh" sheetId="344" state="hidden" r:id="rId35"/>
    <sheet name="Ngoc cop" sheetId="345" state="hidden" r:id="rId36"/>
    <sheet name="Phu bieu 01 (DG)" sheetId="332" state="hidden" r:id="rId37"/>
    <sheet name="Phu bieu 02 (DM)" sheetId="330" state="hidden" r:id="rId38"/>
  </sheets>
  <externalReferences>
    <externalReference r:id="rId39"/>
    <externalReference r:id="rId40"/>
    <externalReference r:id="rId41"/>
    <externalReference r:id="rId42"/>
    <externalReference r:id="rId43"/>
    <externalReference r:id="rId44"/>
  </externalReferences>
  <definedNames>
    <definedName name="__a129" localSheetId="15" hidden="1">{"Offgrid",#N/A,FALSE,"OFFGRID";"Region",#N/A,FALSE,"REGION";"Offgrid -2",#N/A,FALSE,"OFFGRID";"WTP",#N/A,FALSE,"WTP";"WTP -2",#N/A,FALSE,"WTP";"Project",#N/A,FALSE,"PROJECT";"Summary -2",#N/A,FALSE,"SUMMARY"}</definedName>
    <definedName name="__a129" localSheetId="25" hidden="1">{"Offgrid",#N/A,FALSE,"OFFGRID";"Region",#N/A,FALSE,"REGION";"Offgrid -2",#N/A,FALSE,"OFFGRID";"WTP",#N/A,FALSE,"WTP";"WTP -2",#N/A,FALSE,"WTP";"Project",#N/A,FALSE,"PROJECT";"Summary -2",#N/A,FALSE,"SUMMARY"}</definedName>
    <definedName name="__a129" localSheetId="16" hidden="1">{"Offgrid",#N/A,FALSE,"OFFGRID";"Region",#N/A,FALSE,"REGION";"Offgrid -2",#N/A,FALSE,"OFFGRID";"WTP",#N/A,FALSE,"WTP";"WTP -2",#N/A,FALSE,"WTP";"Project",#N/A,FALSE,"PROJECT";"Summary -2",#N/A,FALSE,"SUMMARY"}</definedName>
    <definedName name="__a129" localSheetId="17" hidden="1">{"Offgrid",#N/A,FALSE,"OFFGRID";"Region",#N/A,FALSE,"REGION";"Offgrid -2",#N/A,FALSE,"OFFGRID";"WTP",#N/A,FALSE,"WTP";"WTP -2",#N/A,FALSE,"WTP";"Project",#N/A,FALSE,"PROJECT";"Summary -2",#N/A,FALSE,"SUMMARY"}</definedName>
    <definedName name="__a129" localSheetId="18" hidden="1">{"Offgrid",#N/A,FALSE,"OFFGRID";"Region",#N/A,FALSE,"REGION";"Offgrid -2",#N/A,FALSE,"OFFGRID";"WTP",#N/A,FALSE,"WTP";"WTP -2",#N/A,FALSE,"WTP";"Project",#N/A,FALSE,"PROJECT";"Summary -2",#N/A,FALSE,"SUMMARY"}</definedName>
    <definedName name="__a129" localSheetId="23" hidden="1">{"Offgrid",#N/A,FALSE,"OFFGRID";"Region",#N/A,FALSE,"REGION";"Offgrid -2",#N/A,FALSE,"OFFGRID";"WTP",#N/A,FALSE,"WTP";"WTP -2",#N/A,FALSE,"WTP";"Project",#N/A,FALSE,"PROJECT";"Summary -2",#N/A,FALSE,"SUMMARY"}</definedName>
    <definedName name="__a129" localSheetId="22" hidden="1">{"Offgrid",#N/A,FALSE,"OFFGRID";"Region",#N/A,FALSE,"REGION";"Offgrid -2",#N/A,FALSE,"OFFGRID";"WTP",#N/A,FALSE,"WTP";"WTP -2",#N/A,FALSE,"WTP";"Project",#N/A,FALSE,"PROJECT";"Summary -2",#N/A,FALSE,"SUMMARY"}</definedName>
    <definedName name="__a129" localSheetId="21" hidden="1">{"Offgrid",#N/A,FALSE,"OFFGRID";"Region",#N/A,FALSE,"REGION";"Offgrid -2",#N/A,FALSE,"OFFGRID";"WTP",#N/A,FALSE,"WTP";"WTP -2",#N/A,FALSE,"WTP";"Project",#N/A,FALSE,"PROJECT";"Summary -2",#N/A,FALSE,"SUMMARY"}</definedName>
    <definedName name="__a129" localSheetId="36" hidden="1">{"Offgrid",#N/A,FALSE,"OFFGRID";"Region",#N/A,FALSE,"REGION";"Offgrid -2",#N/A,FALSE,"OFFGRID";"WTP",#N/A,FALSE,"WTP";"WTP -2",#N/A,FALSE,"WTP";"Project",#N/A,FALSE,"PROJECT";"Summary -2",#N/A,FALSE,"SUMMARY"}</definedName>
    <definedName name="__a129" hidden="1">{"Offgrid",#N/A,FALSE,"OFFGRID";"Region",#N/A,FALSE,"REGION";"Offgrid -2",#N/A,FALSE,"OFFGRID";"WTP",#N/A,FALSE,"WTP";"WTP -2",#N/A,FALSE,"WTP";"Project",#N/A,FALSE,"PROJECT";"Summary -2",#N/A,FALSE,"SUMMARY"}</definedName>
    <definedName name="__a130" localSheetId="15" hidden="1">{"Offgrid",#N/A,FALSE,"OFFGRID";"Region",#N/A,FALSE,"REGION";"Offgrid -2",#N/A,FALSE,"OFFGRID";"WTP",#N/A,FALSE,"WTP";"WTP -2",#N/A,FALSE,"WTP";"Project",#N/A,FALSE,"PROJECT";"Summary -2",#N/A,FALSE,"SUMMARY"}</definedName>
    <definedName name="__a130" localSheetId="25" hidden="1">{"Offgrid",#N/A,FALSE,"OFFGRID";"Region",#N/A,FALSE,"REGION";"Offgrid -2",#N/A,FALSE,"OFFGRID";"WTP",#N/A,FALSE,"WTP";"WTP -2",#N/A,FALSE,"WTP";"Project",#N/A,FALSE,"PROJECT";"Summary -2",#N/A,FALSE,"SUMMARY"}</definedName>
    <definedName name="__a130" localSheetId="16" hidden="1">{"Offgrid",#N/A,FALSE,"OFFGRID";"Region",#N/A,FALSE,"REGION";"Offgrid -2",#N/A,FALSE,"OFFGRID";"WTP",#N/A,FALSE,"WTP";"WTP -2",#N/A,FALSE,"WTP";"Project",#N/A,FALSE,"PROJECT";"Summary -2",#N/A,FALSE,"SUMMARY"}</definedName>
    <definedName name="__a130" localSheetId="17" hidden="1">{"Offgrid",#N/A,FALSE,"OFFGRID";"Region",#N/A,FALSE,"REGION";"Offgrid -2",#N/A,FALSE,"OFFGRID";"WTP",#N/A,FALSE,"WTP";"WTP -2",#N/A,FALSE,"WTP";"Project",#N/A,FALSE,"PROJECT";"Summary -2",#N/A,FALSE,"SUMMARY"}</definedName>
    <definedName name="__a130" localSheetId="18" hidden="1">{"Offgrid",#N/A,FALSE,"OFFGRID";"Region",#N/A,FALSE,"REGION";"Offgrid -2",#N/A,FALSE,"OFFGRID";"WTP",#N/A,FALSE,"WTP";"WTP -2",#N/A,FALSE,"WTP";"Project",#N/A,FALSE,"PROJECT";"Summary -2",#N/A,FALSE,"SUMMARY"}</definedName>
    <definedName name="__a130" localSheetId="23" hidden="1">{"Offgrid",#N/A,FALSE,"OFFGRID";"Region",#N/A,FALSE,"REGION";"Offgrid -2",#N/A,FALSE,"OFFGRID";"WTP",#N/A,FALSE,"WTP";"WTP -2",#N/A,FALSE,"WTP";"Project",#N/A,FALSE,"PROJECT";"Summary -2",#N/A,FALSE,"SUMMARY"}</definedName>
    <definedName name="__a130" localSheetId="22" hidden="1">{"Offgrid",#N/A,FALSE,"OFFGRID";"Region",#N/A,FALSE,"REGION";"Offgrid -2",#N/A,FALSE,"OFFGRID";"WTP",#N/A,FALSE,"WTP";"WTP -2",#N/A,FALSE,"WTP";"Project",#N/A,FALSE,"PROJECT";"Summary -2",#N/A,FALSE,"SUMMARY"}</definedName>
    <definedName name="__a130" localSheetId="21" hidden="1">{"Offgrid",#N/A,FALSE,"OFFGRID";"Region",#N/A,FALSE,"REGION";"Offgrid -2",#N/A,FALSE,"OFFGRID";"WTP",#N/A,FALSE,"WTP";"WTP -2",#N/A,FALSE,"WTP";"Project",#N/A,FALSE,"PROJECT";"Summary -2",#N/A,FALSE,"SUMMARY"}</definedName>
    <definedName name="__a130" localSheetId="36" hidden="1">{"Offgrid",#N/A,FALSE,"OFFGRID";"Region",#N/A,FALSE,"REGION";"Offgrid -2",#N/A,FALSE,"OFFGRID";"WTP",#N/A,FALSE,"WTP";"WTP -2",#N/A,FALSE,"WTP";"Project",#N/A,FALSE,"PROJECT";"Summary -2",#N/A,FALSE,"SUMMARY"}</definedName>
    <definedName name="__a130" hidden="1">{"Offgrid",#N/A,FALSE,"OFFGRID";"Region",#N/A,FALSE,"REGION";"Offgrid -2",#N/A,FALSE,"OFFGRID";"WTP",#N/A,FALSE,"WTP";"WTP -2",#N/A,FALSE,"WTP";"Project",#N/A,FALSE,"PROJECT";"Summary -2",#N/A,FALSE,"SUMMARY"}</definedName>
    <definedName name="__h1" localSheetId="15" hidden="1">{"'Sheet1'!$L$16"}</definedName>
    <definedName name="__h1" localSheetId="25" hidden="1">{"'Sheet1'!$L$16"}</definedName>
    <definedName name="__h1" localSheetId="16" hidden="1">{"'Sheet1'!$L$16"}</definedName>
    <definedName name="__h1" localSheetId="17" hidden="1">{"'Sheet1'!$L$16"}</definedName>
    <definedName name="__h1" localSheetId="18" hidden="1">{"'Sheet1'!$L$16"}</definedName>
    <definedName name="__h1" localSheetId="23" hidden="1">{"'Sheet1'!$L$16"}</definedName>
    <definedName name="__h1" localSheetId="22" hidden="1">{"'Sheet1'!$L$16"}</definedName>
    <definedName name="__h1" localSheetId="21" hidden="1">{"'Sheet1'!$L$16"}</definedName>
    <definedName name="__h1" localSheetId="36" hidden="1">{"'Sheet1'!$L$16"}</definedName>
    <definedName name="__h1" hidden="1">{"'Sheet1'!$L$16"}</definedName>
    <definedName name="__hu1" localSheetId="15" hidden="1">{"'Sheet1'!$L$16"}</definedName>
    <definedName name="__hu1" localSheetId="25" hidden="1">{"'Sheet1'!$L$16"}</definedName>
    <definedName name="__hu1" localSheetId="16" hidden="1">{"'Sheet1'!$L$16"}</definedName>
    <definedName name="__hu1" localSheetId="17" hidden="1">{"'Sheet1'!$L$16"}</definedName>
    <definedName name="__hu1" localSheetId="18" hidden="1">{"'Sheet1'!$L$16"}</definedName>
    <definedName name="__hu1" localSheetId="23" hidden="1">{"'Sheet1'!$L$16"}</definedName>
    <definedName name="__hu1" localSheetId="22" hidden="1">{"'Sheet1'!$L$16"}</definedName>
    <definedName name="__hu1" localSheetId="21" hidden="1">{"'Sheet1'!$L$16"}</definedName>
    <definedName name="__hu1" localSheetId="36" hidden="1">{"'Sheet1'!$L$16"}</definedName>
    <definedName name="__hu1" hidden="1">{"'Sheet1'!$L$16"}</definedName>
    <definedName name="__hu2" localSheetId="15" hidden="1">{"'Sheet1'!$L$16"}</definedName>
    <definedName name="__hu2" localSheetId="25" hidden="1">{"'Sheet1'!$L$16"}</definedName>
    <definedName name="__hu2" localSheetId="16" hidden="1">{"'Sheet1'!$L$16"}</definedName>
    <definedName name="__hu2" localSheetId="17" hidden="1">{"'Sheet1'!$L$16"}</definedName>
    <definedName name="__hu2" localSheetId="18" hidden="1">{"'Sheet1'!$L$16"}</definedName>
    <definedName name="__hu2" localSheetId="23" hidden="1">{"'Sheet1'!$L$16"}</definedName>
    <definedName name="__hu2" localSheetId="22" hidden="1">{"'Sheet1'!$L$16"}</definedName>
    <definedName name="__hu2" localSheetId="21" hidden="1">{"'Sheet1'!$L$16"}</definedName>
    <definedName name="__hu2" localSheetId="36" hidden="1">{"'Sheet1'!$L$16"}</definedName>
    <definedName name="__hu2" hidden="1">{"'Sheet1'!$L$16"}</definedName>
    <definedName name="__hu5" localSheetId="15" hidden="1">{"'Sheet1'!$L$16"}</definedName>
    <definedName name="__hu5" localSheetId="25" hidden="1">{"'Sheet1'!$L$16"}</definedName>
    <definedName name="__hu5" localSheetId="16" hidden="1">{"'Sheet1'!$L$16"}</definedName>
    <definedName name="__hu5" localSheetId="17" hidden="1">{"'Sheet1'!$L$16"}</definedName>
    <definedName name="__hu5" localSheetId="18" hidden="1">{"'Sheet1'!$L$16"}</definedName>
    <definedName name="__hu5" localSheetId="23" hidden="1">{"'Sheet1'!$L$16"}</definedName>
    <definedName name="__hu5" localSheetId="22" hidden="1">{"'Sheet1'!$L$16"}</definedName>
    <definedName name="__hu5" localSheetId="21" hidden="1">{"'Sheet1'!$L$16"}</definedName>
    <definedName name="__hu5" localSheetId="36" hidden="1">{"'Sheet1'!$L$16"}</definedName>
    <definedName name="__hu5" hidden="1">{"'Sheet1'!$L$16"}</definedName>
    <definedName name="__hu6" localSheetId="15" hidden="1">{"'Sheet1'!$L$16"}</definedName>
    <definedName name="__hu6" localSheetId="25" hidden="1">{"'Sheet1'!$L$16"}</definedName>
    <definedName name="__hu6" localSheetId="16" hidden="1">{"'Sheet1'!$L$16"}</definedName>
    <definedName name="__hu6" localSheetId="17" hidden="1">{"'Sheet1'!$L$16"}</definedName>
    <definedName name="__hu6" localSheetId="18" hidden="1">{"'Sheet1'!$L$16"}</definedName>
    <definedName name="__hu6" localSheetId="23" hidden="1">{"'Sheet1'!$L$16"}</definedName>
    <definedName name="__hu6" localSheetId="22" hidden="1">{"'Sheet1'!$L$16"}</definedName>
    <definedName name="__hu6" localSheetId="21" hidden="1">{"'Sheet1'!$L$16"}</definedName>
    <definedName name="__hu6" localSheetId="36" hidden="1">{"'Sheet1'!$L$16"}</definedName>
    <definedName name="__hu6" hidden="1">{"'Sheet1'!$L$16"}</definedName>
    <definedName name="__xa3" localSheetId="15" hidden="1">{"'Sheet1'!$L$16"}</definedName>
    <definedName name="__xa3" localSheetId="25" hidden="1">{"'Sheet1'!$L$16"}</definedName>
    <definedName name="__xa3" localSheetId="16" hidden="1">{"'Sheet1'!$L$16"}</definedName>
    <definedName name="__xa3" localSheetId="17" hidden="1">{"'Sheet1'!$L$16"}</definedName>
    <definedName name="__xa3" localSheetId="18" hidden="1">{"'Sheet1'!$L$16"}</definedName>
    <definedName name="__xa3" localSheetId="23" hidden="1">{"'Sheet1'!$L$16"}</definedName>
    <definedName name="__xa3" localSheetId="22" hidden="1">{"'Sheet1'!$L$16"}</definedName>
    <definedName name="__xa3" localSheetId="21" hidden="1">{"'Sheet1'!$L$16"}</definedName>
    <definedName name="__xa3" localSheetId="36" hidden="1">{"'Sheet1'!$L$16"}</definedName>
    <definedName name="__xa3" hidden="1">{"'Sheet1'!$L$16"}</definedName>
    <definedName name="_a1" localSheetId="15" hidden="1">{"'Sheet1'!$L$16"}</definedName>
    <definedName name="_a1" localSheetId="25" hidden="1">{"'Sheet1'!$L$16"}</definedName>
    <definedName name="_a1" localSheetId="16" hidden="1">{"'Sheet1'!$L$16"}</definedName>
    <definedName name="_a1" localSheetId="17" hidden="1">{"'Sheet1'!$L$16"}</definedName>
    <definedName name="_a1" localSheetId="18" hidden="1">{"'Sheet1'!$L$16"}</definedName>
    <definedName name="_a1" localSheetId="23" hidden="1">{"'Sheet1'!$L$16"}</definedName>
    <definedName name="_a1" localSheetId="22" hidden="1">{"'Sheet1'!$L$16"}</definedName>
    <definedName name="_a1" localSheetId="21" hidden="1">{"'Sheet1'!$L$16"}</definedName>
    <definedName name="_a1" localSheetId="36" hidden="1">{"'Sheet1'!$L$16"}</definedName>
    <definedName name="_a1" hidden="1">{"'Sheet1'!$L$16"}</definedName>
    <definedName name="_a129" localSheetId="15" hidden="1">{"Offgrid",#N/A,FALSE,"OFFGRID";"Region",#N/A,FALSE,"REGION";"Offgrid -2",#N/A,FALSE,"OFFGRID";"WTP",#N/A,FALSE,"WTP";"WTP -2",#N/A,FALSE,"WTP";"Project",#N/A,FALSE,"PROJECT";"Summary -2",#N/A,FALSE,"SUMMARY"}</definedName>
    <definedName name="_a129" localSheetId="25" hidden="1">{"Offgrid",#N/A,FALSE,"OFFGRID";"Region",#N/A,FALSE,"REGION";"Offgrid -2",#N/A,FALSE,"OFFGRID";"WTP",#N/A,FALSE,"WTP";"WTP -2",#N/A,FALSE,"WTP";"Project",#N/A,FALSE,"PROJECT";"Summary -2",#N/A,FALSE,"SUMMARY"}</definedName>
    <definedName name="_a129" localSheetId="16" hidden="1">{"Offgrid",#N/A,FALSE,"OFFGRID";"Region",#N/A,FALSE,"REGION";"Offgrid -2",#N/A,FALSE,"OFFGRID";"WTP",#N/A,FALSE,"WTP";"WTP -2",#N/A,FALSE,"WTP";"Project",#N/A,FALSE,"PROJECT";"Summary -2",#N/A,FALSE,"SUMMARY"}</definedName>
    <definedName name="_a129" localSheetId="17" hidden="1">{"Offgrid",#N/A,FALSE,"OFFGRID";"Region",#N/A,FALSE,"REGION";"Offgrid -2",#N/A,FALSE,"OFFGRID";"WTP",#N/A,FALSE,"WTP";"WTP -2",#N/A,FALSE,"WTP";"Project",#N/A,FALSE,"PROJECT";"Summary -2",#N/A,FALSE,"SUMMARY"}</definedName>
    <definedName name="_a129" localSheetId="18" hidden="1">{"Offgrid",#N/A,FALSE,"OFFGRID";"Region",#N/A,FALSE,"REGION";"Offgrid -2",#N/A,FALSE,"OFFGRID";"WTP",#N/A,FALSE,"WTP";"WTP -2",#N/A,FALSE,"WTP";"Project",#N/A,FALSE,"PROJECT";"Summary -2",#N/A,FALSE,"SUMMARY"}</definedName>
    <definedName name="_a129" localSheetId="23" hidden="1">{"Offgrid",#N/A,FALSE,"OFFGRID";"Region",#N/A,FALSE,"REGION";"Offgrid -2",#N/A,FALSE,"OFFGRID";"WTP",#N/A,FALSE,"WTP";"WTP -2",#N/A,FALSE,"WTP";"Project",#N/A,FALSE,"PROJECT";"Summary -2",#N/A,FALSE,"SUMMARY"}</definedName>
    <definedName name="_a129" localSheetId="22" hidden="1">{"Offgrid",#N/A,FALSE,"OFFGRID";"Region",#N/A,FALSE,"REGION";"Offgrid -2",#N/A,FALSE,"OFFGRID";"WTP",#N/A,FALSE,"WTP";"WTP -2",#N/A,FALSE,"WTP";"Project",#N/A,FALSE,"PROJECT";"Summary -2",#N/A,FALSE,"SUMMARY"}</definedName>
    <definedName name="_a129" localSheetId="21" hidden="1">{"Offgrid",#N/A,FALSE,"OFFGRID";"Region",#N/A,FALSE,"REGION";"Offgrid -2",#N/A,FALSE,"OFFGRID";"WTP",#N/A,FALSE,"WTP";"WTP -2",#N/A,FALSE,"WTP";"Project",#N/A,FALSE,"PROJECT";"Summary -2",#N/A,FALSE,"SUMMARY"}</definedName>
    <definedName name="_a129" localSheetId="36" hidden="1">{"Offgrid",#N/A,FALSE,"OFFGRID";"Region",#N/A,FALSE,"REGION";"Offgrid -2",#N/A,FALSE,"OFFGRID";"WTP",#N/A,FALSE,"WTP";"WTP -2",#N/A,FALSE,"WTP";"Project",#N/A,FALSE,"PROJECT";"Summary -2",#N/A,FALSE,"SUMMARY"}</definedName>
    <definedName name="_a129" hidden="1">{"Offgrid",#N/A,FALSE,"OFFGRID";"Region",#N/A,FALSE,"REGION";"Offgrid -2",#N/A,FALSE,"OFFGRID";"WTP",#N/A,FALSE,"WTP";"WTP -2",#N/A,FALSE,"WTP";"Project",#N/A,FALSE,"PROJECT";"Summary -2",#N/A,FALSE,"SUMMARY"}</definedName>
    <definedName name="_a130" localSheetId="15" hidden="1">{"Offgrid",#N/A,FALSE,"OFFGRID";"Region",#N/A,FALSE,"REGION";"Offgrid -2",#N/A,FALSE,"OFFGRID";"WTP",#N/A,FALSE,"WTP";"WTP -2",#N/A,FALSE,"WTP";"Project",#N/A,FALSE,"PROJECT";"Summary -2",#N/A,FALSE,"SUMMARY"}</definedName>
    <definedName name="_a130" localSheetId="25" hidden="1">{"Offgrid",#N/A,FALSE,"OFFGRID";"Region",#N/A,FALSE,"REGION";"Offgrid -2",#N/A,FALSE,"OFFGRID";"WTP",#N/A,FALSE,"WTP";"WTP -2",#N/A,FALSE,"WTP";"Project",#N/A,FALSE,"PROJECT";"Summary -2",#N/A,FALSE,"SUMMARY"}</definedName>
    <definedName name="_a130" localSheetId="16" hidden="1">{"Offgrid",#N/A,FALSE,"OFFGRID";"Region",#N/A,FALSE,"REGION";"Offgrid -2",#N/A,FALSE,"OFFGRID";"WTP",#N/A,FALSE,"WTP";"WTP -2",#N/A,FALSE,"WTP";"Project",#N/A,FALSE,"PROJECT";"Summary -2",#N/A,FALSE,"SUMMARY"}</definedName>
    <definedName name="_a130" localSheetId="17" hidden="1">{"Offgrid",#N/A,FALSE,"OFFGRID";"Region",#N/A,FALSE,"REGION";"Offgrid -2",#N/A,FALSE,"OFFGRID";"WTP",#N/A,FALSE,"WTP";"WTP -2",#N/A,FALSE,"WTP";"Project",#N/A,FALSE,"PROJECT";"Summary -2",#N/A,FALSE,"SUMMARY"}</definedName>
    <definedName name="_a130" localSheetId="18" hidden="1">{"Offgrid",#N/A,FALSE,"OFFGRID";"Region",#N/A,FALSE,"REGION";"Offgrid -2",#N/A,FALSE,"OFFGRID";"WTP",#N/A,FALSE,"WTP";"WTP -2",#N/A,FALSE,"WTP";"Project",#N/A,FALSE,"PROJECT";"Summary -2",#N/A,FALSE,"SUMMARY"}</definedName>
    <definedName name="_a130" localSheetId="23" hidden="1">{"Offgrid",#N/A,FALSE,"OFFGRID";"Region",#N/A,FALSE,"REGION";"Offgrid -2",#N/A,FALSE,"OFFGRID";"WTP",#N/A,FALSE,"WTP";"WTP -2",#N/A,FALSE,"WTP";"Project",#N/A,FALSE,"PROJECT";"Summary -2",#N/A,FALSE,"SUMMARY"}</definedName>
    <definedName name="_a130" localSheetId="22" hidden="1">{"Offgrid",#N/A,FALSE,"OFFGRID";"Region",#N/A,FALSE,"REGION";"Offgrid -2",#N/A,FALSE,"OFFGRID";"WTP",#N/A,FALSE,"WTP";"WTP -2",#N/A,FALSE,"WTP";"Project",#N/A,FALSE,"PROJECT";"Summary -2",#N/A,FALSE,"SUMMARY"}</definedName>
    <definedName name="_a130" localSheetId="21" hidden="1">{"Offgrid",#N/A,FALSE,"OFFGRID";"Region",#N/A,FALSE,"REGION";"Offgrid -2",#N/A,FALSE,"OFFGRID";"WTP",#N/A,FALSE,"WTP";"WTP -2",#N/A,FALSE,"WTP";"Project",#N/A,FALSE,"PROJECT";"Summary -2",#N/A,FALSE,"SUMMARY"}</definedName>
    <definedName name="_a130" localSheetId="36" hidden="1">{"Offgrid",#N/A,FALSE,"OFFGRID";"Region",#N/A,FALSE,"REGION";"Offgrid -2",#N/A,FALSE,"OFFGRID";"WTP",#N/A,FALSE,"WTP";"WTP -2",#N/A,FALSE,"WTP";"Project",#N/A,FALSE,"PROJECT";"Summary -2",#N/A,FALSE,"SUMMARY"}</definedName>
    <definedName name="_a130" hidden="1">{"Offgrid",#N/A,FALSE,"OFFGRID";"Region",#N/A,FALSE,"REGION";"Offgrid -2",#N/A,FALSE,"OFFGRID";"WTP",#N/A,FALSE,"WTP";"WTP -2",#N/A,FALSE,"WTP";"Project",#N/A,FALSE,"PROJECT";"Summary -2",#N/A,FALSE,"SUMMARY"}</definedName>
    <definedName name="_Builtin0" localSheetId="15" hidden="1">#REF!</definedName>
    <definedName name="_Builtin0" localSheetId="25" hidden="1">#REF!</definedName>
    <definedName name="_Builtin0" localSheetId="16" hidden="1">#REF!</definedName>
    <definedName name="_Builtin0" localSheetId="17" hidden="1">#REF!</definedName>
    <definedName name="_Builtin0" localSheetId="18" hidden="1">#REF!</definedName>
    <definedName name="_Builtin0" localSheetId="23" hidden="1">#REF!</definedName>
    <definedName name="_Builtin0" localSheetId="22" hidden="1">#REF!</definedName>
    <definedName name="_Builtin0" localSheetId="21" hidden="1">#REF!</definedName>
    <definedName name="_Builtin0" localSheetId="36" hidden="1">#REF!</definedName>
    <definedName name="_Builtin0" localSheetId="37" hidden="1">#REF!</definedName>
    <definedName name="_Builtin0" hidden="1">#REF!</definedName>
    <definedName name="_Fill" localSheetId="15" hidden="1">#REF!</definedName>
    <definedName name="_Fill" localSheetId="25" hidden="1">#REF!</definedName>
    <definedName name="_Fill" localSheetId="16" hidden="1">#REF!</definedName>
    <definedName name="_Fill" localSheetId="18" hidden="1">#REF!</definedName>
    <definedName name="_Fill" localSheetId="23" hidden="1">#REF!</definedName>
    <definedName name="_Fill" localSheetId="22" hidden="1">#REF!</definedName>
    <definedName name="_Fill" localSheetId="21" hidden="1">#REF!</definedName>
    <definedName name="_Fill" localSheetId="36" hidden="1">#REF!</definedName>
    <definedName name="_Fill" localSheetId="37" hidden="1">#REF!</definedName>
    <definedName name="_Fill" hidden="1">#REF!</definedName>
    <definedName name="_xlnm._FilterDatabase" localSheetId="19" hidden="1">'12CH_hieu chinh'!$A$7:$BP$64</definedName>
    <definedName name="_xlnm._FilterDatabase" localSheetId="32" hidden="1">'13CH '!$A$7:$BP$65</definedName>
    <definedName name="_xlnm._FilterDatabase" localSheetId="30" hidden="1">'BIEU 10 CH'!$A$8:$BU$8</definedName>
    <definedName name="_xlnm._FilterDatabase" localSheetId="36" hidden="1">'Phu bieu 01 (DG)'!#REF!</definedName>
    <definedName name="_xlnm._FilterDatabase" localSheetId="37" hidden="1">'Phu bieu 02 (DM)'!$A$6:$CL$1763</definedName>
    <definedName name="_h1" localSheetId="15" hidden="1">{"'Sheet1'!$L$16"}</definedName>
    <definedName name="_h1" localSheetId="25" hidden="1">{"'Sheet1'!$L$16"}</definedName>
    <definedName name="_h1" localSheetId="16" hidden="1">{"'Sheet1'!$L$16"}</definedName>
    <definedName name="_h1" localSheetId="17" hidden="1">{"'Sheet1'!$L$16"}</definedName>
    <definedName name="_h1" localSheetId="18" hidden="1">{"'Sheet1'!$L$16"}</definedName>
    <definedName name="_h1" localSheetId="23" hidden="1">{"'Sheet1'!$L$16"}</definedName>
    <definedName name="_h1" localSheetId="22" hidden="1">{"'Sheet1'!$L$16"}</definedName>
    <definedName name="_h1" localSheetId="21" hidden="1">{"'Sheet1'!$L$16"}</definedName>
    <definedName name="_h1" localSheetId="36" hidden="1">{"'Sheet1'!$L$16"}</definedName>
    <definedName name="_h1" hidden="1">{"'Sheet1'!$L$16"}</definedName>
    <definedName name="_hu1" localSheetId="15" hidden="1">{"'Sheet1'!$L$16"}</definedName>
    <definedName name="_hu1" localSheetId="25" hidden="1">{"'Sheet1'!$L$16"}</definedName>
    <definedName name="_hu1" localSheetId="16" hidden="1">{"'Sheet1'!$L$16"}</definedName>
    <definedName name="_hu1" localSheetId="17" hidden="1">{"'Sheet1'!$L$16"}</definedName>
    <definedName name="_hu1" localSheetId="18" hidden="1">{"'Sheet1'!$L$16"}</definedName>
    <definedName name="_hu1" localSheetId="23" hidden="1">{"'Sheet1'!$L$16"}</definedName>
    <definedName name="_hu1" localSheetId="22" hidden="1">{"'Sheet1'!$L$16"}</definedName>
    <definedName name="_hu1" localSheetId="21" hidden="1">{"'Sheet1'!$L$16"}</definedName>
    <definedName name="_hu1" localSheetId="36" hidden="1">{"'Sheet1'!$L$16"}</definedName>
    <definedName name="_hu1" hidden="1">{"'Sheet1'!$L$16"}</definedName>
    <definedName name="_hu2" localSheetId="15" hidden="1">{"'Sheet1'!$L$16"}</definedName>
    <definedName name="_hu2" localSheetId="25" hidden="1">{"'Sheet1'!$L$16"}</definedName>
    <definedName name="_hu2" localSheetId="16" hidden="1">{"'Sheet1'!$L$16"}</definedName>
    <definedName name="_hu2" localSheetId="17" hidden="1">{"'Sheet1'!$L$16"}</definedName>
    <definedName name="_hu2" localSheetId="18" hidden="1">{"'Sheet1'!$L$16"}</definedName>
    <definedName name="_hu2" localSheetId="23" hidden="1">{"'Sheet1'!$L$16"}</definedName>
    <definedName name="_hu2" localSheetId="22" hidden="1">{"'Sheet1'!$L$16"}</definedName>
    <definedName name="_hu2" localSheetId="21" hidden="1">{"'Sheet1'!$L$16"}</definedName>
    <definedName name="_hu2" localSheetId="36" hidden="1">{"'Sheet1'!$L$16"}</definedName>
    <definedName name="_hu2" hidden="1">{"'Sheet1'!$L$16"}</definedName>
    <definedName name="_hu5" localSheetId="15" hidden="1">{"'Sheet1'!$L$16"}</definedName>
    <definedName name="_hu5" localSheetId="25" hidden="1">{"'Sheet1'!$L$16"}</definedName>
    <definedName name="_hu5" localSheetId="16" hidden="1">{"'Sheet1'!$L$16"}</definedName>
    <definedName name="_hu5" localSheetId="17" hidden="1">{"'Sheet1'!$L$16"}</definedName>
    <definedName name="_hu5" localSheetId="18" hidden="1">{"'Sheet1'!$L$16"}</definedName>
    <definedName name="_hu5" localSheetId="23" hidden="1">{"'Sheet1'!$L$16"}</definedName>
    <definedName name="_hu5" localSheetId="22" hidden="1">{"'Sheet1'!$L$16"}</definedName>
    <definedName name="_hu5" localSheetId="21" hidden="1">{"'Sheet1'!$L$16"}</definedName>
    <definedName name="_hu5" localSheetId="36" hidden="1">{"'Sheet1'!$L$16"}</definedName>
    <definedName name="_hu5" hidden="1">{"'Sheet1'!$L$16"}</definedName>
    <definedName name="_hu6" localSheetId="15" hidden="1">{"'Sheet1'!$L$16"}</definedName>
    <definedName name="_hu6" localSheetId="25" hidden="1">{"'Sheet1'!$L$16"}</definedName>
    <definedName name="_hu6" localSheetId="16" hidden="1">{"'Sheet1'!$L$16"}</definedName>
    <definedName name="_hu6" localSheetId="17" hidden="1">{"'Sheet1'!$L$16"}</definedName>
    <definedName name="_hu6" localSheetId="18" hidden="1">{"'Sheet1'!$L$16"}</definedName>
    <definedName name="_hu6" localSheetId="23" hidden="1">{"'Sheet1'!$L$16"}</definedName>
    <definedName name="_hu6" localSheetId="22" hidden="1">{"'Sheet1'!$L$16"}</definedName>
    <definedName name="_hu6" localSheetId="21" hidden="1">{"'Sheet1'!$L$16"}</definedName>
    <definedName name="_hu6" localSheetId="36" hidden="1">{"'Sheet1'!$L$16"}</definedName>
    <definedName name="_hu6" hidden="1">{"'Sheet1'!$L$16"}</definedName>
    <definedName name="_Key1" localSheetId="15" hidden="1">#REF!</definedName>
    <definedName name="_Key1" localSheetId="25" hidden="1">#REF!</definedName>
    <definedName name="_Key1" localSheetId="16" hidden="1">#REF!</definedName>
    <definedName name="_Key1" localSheetId="18" hidden="1">#REF!</definedName>
    <definedName name="_Key1" localSheetId="23" hidden="1">#REF!</definedName>
    <definedName name="_Key1" localSheetId="22" hidden="1">#REF!</definedName>
    <definedName name="_Key1" localSheetId="21" hidden="1">#REF!</definedName>
    <definedName name="_Key1" localSheetId="36" hidden="1">#REF!</definedName>
    <definedName name="_Key1" localSheetId="37" hidden="1">#REF!</definedName>
    <definedName name="_Key1" hidden="1">#REF!</definedName>
    <definedName name="_Key2" localSheetId="15" hidden="1">#REF!</definedName>
    <definedName name="_Key2" localSheetId="25" hidden="1">#REF!</definedName>
    <definedName name="_Key2" localSheetId="16" hidden="1">#REF!</definedName>
    <definedName name="_Key2" localSheetId="18" hidden="1">#REF!</definedName>
    <definedName name="_Key2" localSheetId="23" hidden="1">#REF!</definedName>
    <definedName name="_Key2" localSheetId="22" hidden="1">#REF!</definedName>
    <definedName name="_Key2" localSheetId="21" hidden="1">#REF!</definedName>
    <definedName name="_Key2" localSheetId="36" hidden="1">#REF!</definedName>
    <definedName name="_Key2" localSheetId="37" hidden="1">#REF!</definedName>
    <definedName name="_Key2" hidden="1">#REF!</definedName>
    <definedName name="_Order1" hidden="1">255</definedName>
    <definedName name="_Order2" hidden="1">255</definedName>
    <definedName name="_PA3" localSheetId="15" hidden="1">{"'Sheet1'!$L$16"}</definedName>
    <definedName name="_PA3" localSheetId="25" hidden="1">{"'Sheet1'!$L$16"}</definedName>
    <definedName name="_PA3" localSheetId="16" hidden="1">{"'Sheet1'!$L$16"}</definedName>
    <definedName name="_PA3" localSheetId="17" hidden="1">{"'Sheet1'!$L$16"}</definedName>
    <definedName name="_PA3" localSheetId="18" hidden="1">{"'Sheet1'!$L$16"}</definedName>
    <definedName name="_PA3" localSheetId="23" hidden="1">{"'Sheet1'!$L$16"}</definedName>
    <definedName name="_PA3" localSheetId="22" hidden="1">{"'Sheet1'!$L$16"}</definedName>
    <definedName name="_PA3" localSheetId="21" hidden="1">{"'Sheet1'!$L$16"}</definedName>
    <definedName name="_PA3" localSheetId="36" hidden="1">{"'Sheet1'!$L$16"}</definedName>
    <definedName name="_PA3" hidden="1">{"'Sheet1'!$L$16"}</definedName>
    <definedName name="_Regression_Out" localSheetId="15" hidden="1">#REF!</definedName>
    <definedName name="_Regression_Out" localSheetId="25" hidden="1">#REF!</definedName>
    <definedName name="_Regression_Out" localSheetId="16" hidden="1">#REF!</definedName>
    <definedName name="_Regression_Out" localSheetId="18" hidden="1">#REF!</definedName>
    <definedName name="_Regression_Out" localSheetId="23" hidden="1">#REF!</definedName>
    <definedName name="_Regression_Out" localSheetId="22" hidden="1">#REF!</definedName>
    <definedName name="_Regression_Out" localSheetId="21" hidden="1">#REF!</definedName>
    <definedName name="_Regression_Out" localSheetId="36" hidden="1">#REF!</definedName>
    <definedName name="_Regression_Out" localSheetId="37" hidden="1">#REF!</definedName>
    <definedName name="_Regression_Out" hidden="1">#REF!</definedName>
    <definedName name="_Regression_X" localSheetId="15" hidden="1">#REF!</definedName>
    <definedName name="_Regression_X" localSheetId="25" hidden="1">#REF!</definedName>
    <definedName name="_Regression_X" localSheetId="16" hidden="1">#REF!</definedName>
    <definedName name="_Regression_X" localSheetId="18" hidden="1">#REF!</definedName>
    <definedName name="_Regression_X" localSheetId="23" hidden="1">#REF!</definedName>
    <definedName name="_Regression_X" localSheetId="22" hidden="1">#REF!</definedName>
    <definedName name="_Regression_X" localSheetId="21" hidden="1">#REF!</definedName>
    <definedName name="_Regression_X" localSheetId="36" hidden="1">#REF!</definedName>
    <definedName name="_Regression_X" localSheetId="37" hidden="1">#REF!</definedName>
    <definedName name="_Regression_X" hidden="1">#REF!</definedName>
    <definedName name="_Regression_Y" localSheetId="15" hidden="1">#REF!</definedName>
    <definedName name="_Regression_Y" localSheetId="25" hidden="1">#REF!</definedName>
    <definedName name="_Regression_Y" localSheetId="16" hidden="1">#REF!</definedName>
    <definedName name="_Regression_Y" localSheetId="18" hidden="1">#REF!</definedName>
    <definedName name="_Regression_Y" localSheetId="23" hidden="1">#REF!</definedName>
    <definedName name="_Regression_Y" localSheetId="22" hidden="1">#REF!</definedName>
    <definedName name="_Regression_Y" localSheetId="21" hidden="1">#REF!</definedName>
    <definedName name="_Regression_Y" localSheetId="36" hidden="1">#REF!</definedName>
    <definedName name="_Regression_Y" localSheetId="37" hidden="1">#REF!</definedName>
    <definedName name="_Regression_Y" hidden="1">#REF!</definedName>
    <definedName name="_Sort" localSheetId="15" hidden="1">#REF!</definedName>
    <definedName name="_Sort" localSheetId="25" hidden="1">#REF!</definedName>
    <definedName name="_Sort" localSheetId="16" hidden="1">#REF!</definedName>
    <definedName name="_Sort" localSheetId="18" hidden="1">#REF!</definedName>
    <definedName name="_Sort" localSheetId="23" hidden="1">#REF!</definedName>
    <definedName name="_Sort" localSheetId="22" hidden="1">#REF!</definedName>
    <definedName name="_Sort" localSheetId="21" hidden="1">#REF!</definedName>
    <definedName name="_Sort" localSheetId="36" hidden="1">#REF!</definedName>
    <definedName name="_Sort" localSheetId="37" hidden="1">#REF!</definedName>
    <definedName name="_Sort" hidden="1">#REF!</definedName>
    <definedName name="_xa3" localSheetId="15" hidden="1">{"'Sheet1'!$L$16"}</definedName>
    <definedName name="_xa3" localSheetId="25" hidden="1">{"'Sheet1'!$L$16"}</definedName>
    <definedName name="_xa3" localSheetId="16" hidden="1">{"'Sheet1'!$L$16"}</definedName>
    <definedName name="_xa3" localSheetId="17" hidden="1">{"'Sheet1'!$L$16"}</definedName>
    <definedName name="_xa3" localSheetId="18" hidden="1">{"'Sheet1'!$L$16"}</definedName>
    <definedName name="_xa3" localSheetId="23" hidden="1">{"'Sheet1'!$L$16"}</definedName>
    <definedName name="_xa3" localSheetId="22" hidden="1">{"'Sheet1'!$L$16"}</definedName>
    <definedName name="_xa3" localSheetId="21" hidden="1">{"'Sheet1'!$L$16"}</definedName>
    <definedName name="_xa3" localSheetId="36" hidden="1">{"'Sheet1'!$L$16"}</definedName>
    <definedName name="_xa3" hidden="1">{"'Sheet1'!$L$16"}</definedName>
    <definedName name="anh" localSheetId="15" hidden="1">{"'Sheet1'!$L$16"}</definedName>
    <definedName name="anh" localSheetId="25" hidden="1">{"'Sheet1'!$L$16"}</definedName>
    <definedName name="anh" localSheetId="16" hidden="1">{"'Sheet1'!$L$16"}</definedName>
    <definedName name="anh" localSheetId="17" hidden="1">{"'Sheet1'!$L$16"}</definedName>
    <definedName name="anh" localSheetId="18" hidden="1">{"'Sheet1'!$L$16"}</definedName>
    <definedName name="anh" localSheetId="23" hidden="1">{"'Sheet1'!$L$16"}</definedName>
    <definedName name="anh" localSheetId="22" hidden="1">{"'Sheet1'!$L$16"}</definedName>
    <definedName name="anh" localSheetId="21" hidden="1">{"'Sheet1'!$L$16"}</definedName>
    <definedName name="anh" localSheetId="36" hidden="1">{"'Sheet1'!$L$16"}</definedName>
    <definedName name="anh" hidden="1">{"'Sheet1'!$L$16"}</definedName>
    <definedName name="anscount" hidden="1">1</definedName>
    <definedName name="Antoan" localSheetId="15" hidden="1">{"'Sheet1'!$L$16"}</definedName>
    <definedName name="Antoan" localSheetId="25" hidden="1">{"'Sheet1'!$L$16"}</definedName>
    <definedName name="Antoan" localSheetId="16" hidden="1">{"'Sheet1'!$L$16"}</definedName>
    <definedName name="Antoan" localSheetId="17" hidden="1">{"'Sheet1'!$L$16"}</definedName>
    <definedName name="Antoan" localSheetId="18" hidden="1">{"'Sheet1'!$L$16"}</definedName>
    <definedName name="Antoan" localSheetId="23" hidden="1">{"'Sheet1'!$L$16"}</definedName>
    <definedName name="Antoan" localSheetId="22" hidden="1">{"'Sheet1'!$L$16"}</definedName>
    <definedName name="Antoan" localSheetId="21" hidden="1">{"'Sheet1'!$L$16"}</definedName>
    <definedName name="Antoan" localSheetId="36" hidden="1">{"'Sheet1'!$L$16"}</definedName>
    <definedName name="Antoan" hidden="1">{"'Sheet1'!$L$16"}</definedName>
    <definedName name="aq" localSheetId="15" hidden="1">{0,2.785144981065E-308,0,0;0,0,0,0;0,0,0,0;0,0,FALSE,0;0,0,0,0;0,0,#VALUE!,0;0,0,0,0}</definedName>
    <definedName name="aq" localSheetId="25" hidden="1">{0,2.785144981065E-308,0,0;0,0,0,0;0,0,0,0;0,0,FALSE,0;0,0,0,0;0,0,#VALUE!,0;0,0,0,0}</definedName>
    <definedName name="aq" localSheetId="16" hidden="1">{0,2.785144981065E-308,0,0;0,0,0,0;0,0,0,0;0,0,FALSE,0;0,0,0,0;0,0,#VALUE!,0;0,0,0,0}</definedName>
    <definedName name="aq" localSheetId="17" hidden="1">{0,2.785144981065E-308,0,0;0,0,0,0;0,0,0,0;0,0,FALSE,0;0,0,0,0;0,0,#VALUE!,0;0,0,0,0}</definedName>
    <definedName name="aq" localSheetId="18" hidden="1">{0,2.785144981065E-308,0,0;0,0,0,0;0,0,0,0;0,0,FALSE,0;0,0,0,0;0,0,#VALUE!,0;0,0,0,0}</definedName>
    <definedName name="aq" localSheetId="23" hidden="1">{0,2.785144981065E-308,0,0;0,0,0,0;0,0,0,0;0,0,FALSE,0;0,0,0,0;0,0,#VALUE!,0;0,0,0,0}</definedName>
    <definedName name="aq" localSheetId="22" hidden="1">{0,2.785144981065E-308,0,0;0,0,0,0;0,0,0,0;0,0,FALSE,0;0,0,0,0;0,0,#VALUE!,0;0,0,0,0}</definedName>
    <definedName name="aq" localSheetId="21" hidden="1">{0,2.785144981065E-308,0,0;0,0,0,0;0,0,0,0;0,0,FALSE,0;0,0,0,0;0,0,#VALUE!,0;0,0,0,0}</definedName>
    <definedName name="aq" localSheetId="36" hidden="1">{0,2.785144981065E-308,0,0;0,0,0,0;0,0,0,0;0,0,FALSE,0;0,0,0,0;0,0,#VALUE!,0;0,0,0,0}</definedName>
    <definedName name="aq" hidden="1">{0,2.785144981065E-308,0,0;0,0,0,0;0,0,0,0;0,0,FALSE,0;0,0,0,0;0,0,#VALUE!,0;0,0,0,0}</definedName>
    <definedName name="AS2DocOpenMode" hidden="1">"AS2DocumentEdit"</definedName>
    <definedName name="b14b" localSheetId="15" hidden="1">{"'Sheet1'!$L$16"}</definedName>
    <definedName name="b14b" localSheetId="25" hidden="1">{"'Sheet1'!$L$16"}</definedName>
    <definedName name="b14b" localSheetId="16" hidden="1">{"'Sheet1'!$L$16"}</definedName>
    <definedName name="b14b" localSheetId="17" hidden="1">{"'Sheet1'!$L$16"}</definedName>
    <definedName name="b14b" localSheetId="18" hidden="1">{"'Sheet1'!$L$16"}</definedName>
    <definedName name="b14b" localSheetId="23" hidden="1">{"'Sheet1'!$L$16"}</definedName>
    <definedName name="b14b" localSheetId="22" hidden="1">{"'Sheet1'!$L$16"}</definedName>
    <definedName name="b14b" localSheetId="21" hidden="1">{"'Sheet1'!$L$16"}</definedName>
    <definedName name="b14b" localSheetId="36" hidden="1">{"'Sheet1'!$L$16"}</definedName>
    <definedName name="b14b" hidden="1">{"'Sheet1'!$L$16"}</definedName>
    <definedName name="b14b1" localSheetId="15" hidden="1">{"'Sheet1'!$L$16"}</definedName>
    <definedName name="b14b1" localSheetId="25" hidden="1">{"'Sheet1'!$L$16"}</definedName>
    <definedName name="b14b1" localSheetId="16" hidden="1">{"'Sheet1'!$L$16"}</definedName>
    <definedName name="b14b1" localSheetId="17" hidden="1">{"'Sheet1'!$L$16"}</definedName>
    <definedName name="b14b1" localSheetId="18" hidden="1">{"'Sheet1'!$L$16"}</definedName>
    <definedName name="b14b1" localSheetId="23" hidden="1">{"'Sheet1'!$L$16"}</definedName>
    <definedName name="b14b1" localSheetId="22" hidden="1">{"'Sheet1'!$L$16"}</definedName>
    <definedName name="b14b1" localSheetId="21" hidden="1">{"'Sheet1'!$L$16"}</definedName>
    <definedName name="b14b1" localSheetId="36" hidden="1">{"'Sheet1'!$L$16"}</definedName>
    <definedName name="b14b1" hidden="1">{"'Sheet1'!$L$16"}</definedName>
    <definedName name="BDien" localSheetId="15" hidden="1">{"'Sheet1'!$L$16"}</definedName>
    <definedName name="BDien" localSheetId="25" hidden="1">{"'Sheet1'!$L$16"}</definedName>
    <definedName name="BDien" localSheetId="16" hidden="1">{"'Sheet1'!$L$16"}</definedName>
    <definedName name="BDien" localSheetId="17" hidden="1">{"'Sheet1'!$L$16"}</definedName>
    <definedName name="BDien" localSheetId="18" hidden="1">{"'Sheet1'!$L$16"}</definedName>
    <definedName name="BDien" localSheetId="23" hidden="1">{"'Sheet1'!$L$16"}</definedName>
    <definedName name="BDien" localSheetId="22" hidden="1">{"'Sheet1'!$L$16"}</definedName>
    <definedName name="BDien" localSheetId="21" hidden="1">{"'Sheet1'!$L$16"}</definedName>
    <definedName name="BDien" localSheetId="36" hidden="1">{"'Sheet1'!$L$16"}</definedName>
    <definedName name="BDien" hidden="1">{"'Sheet1'!$L$16"}</definedName>
    <definedName name="Bgiang" localSheetId="15" hidden="1">{"'Sheet1'!$L$16"}</definedName>
    <definedName name="Bgiang" localSheetId="25" hidden="1">{"'Sheet1'!$L$16"}</definedName>
    <definedName name="Bgiang" localSheetId="16" hidden="1">{"'Sheet1'!$L$16"}</definedName>
    <definedName name="Bgiang" localSheetId="17" hidden="1">{"'Sheet1'!$L$16"}</definedName>
    <definedName name="Bgiang" localSheetId="18" hidden="1">{"'Sheet1'!$L$16"}</definedName>
    <definedName name="Bgiang" localSheetId="23" hidden="1">{"'Sheet1'!$L$16"}</definedName>
    <definedName name="Bgiang" localSheetId="22" hidden="1">{"'Sheet1'!$L$16"}</definedName>
    <definedName name="Bgiang" localSheetId="21" hidden="1">{"'Sheet1'!$L$16"}</definedName>
    <definedName name="Bgiang" localSheetId="36" hidden="1">{"'Sheet1'!$L$16"}</definedName>
    <definedName name="Bgiang" hidden="1">{"'Sheet1'!$L$16"}</definedName>
    <definedName name="c.chuyen2005" localSheetId="15" hidden="1">{"'Sheet1'!$L$16"}</definedName>
    <definedName name="c.chuyen2005" localSheetId="25" hidden="1">{"'Sheet1'!$L$16"}</definedName>
    <definedName name="c.chuyen2005" localSheetId="16" hidden="1">{"'Sheet1'!$L$16"}</definedName>
    <definedName name="c.chuyen2005" localSheetId="17" hidden="1">{"'Sheet1'!$L$16"}</definedName>
    <definedName name="c.chuyen2005" localSheetId="18" hidden="1">{"'Sheet1'!$L$16"}</definedName>
    <definedName name="c.chuyen2005" localSheetId="23" hidden="1">{"'Sheet1'!$L$16"}</definedName>
    <definedName name="c.chuyen2005" localSheetId="22" hidden="1">{"'Sheet1'!$L$16"}</definedName>
    <definedName name="c.chuyen2005" localSheetId="21" hidden="1">{"'Sheet1'!$L$16"}</definedName>
    <definedName name="c.chuyen2005" localSheetId="36" hidden="1">{"'Sheet1'!$L$16"}</definedName>
    <definedName name="c.chuyen2005" hidden="1">{"'Sheet1'!$L$16"}</definedName>
    <definedName name="ct" localSheetId="15" hidden="1">{"'Sheet1'!$L$16"}</definedName>
    <definedName name="ct" localSheetId="25" hidden="1">{"'Sheet1'!$L$16"}</definedName>
    <definedName name="ct" localSheetId="16" hidden="1">{"'Sheet1'!$L$16"}</definedName>
    <definedName name="ct" localSheetId="17" hidden="1">{"'Sheet1'!$L$16"}</definedName>
    <definedName name="ct" localSheetId="18" hidden="1">{"'Sheet1'!$L$16"}</definedName>
    <definedName name="ct" localSheetId="23" hidden="1">{"'Sheet1'!$L$16"}</definedName>
    <definedName name="ct" localSheetId="22" hidden="1">{"'Sheet1'!$L$16"}</definedName>
    <definedName name="ct" localSheetId="21" hidden="1">{"'Sheet1'!$L$16"}</definedName>
    <definedName name="ct" localSheetId="36" hidden="1">{"'Sheet1'!$L$16"}</definedName>
    <definedName name="ct" hidden="1">{"'Sheet1'!$L$16"}</definedName>
    <definedName name="CTsu" localSheetId="15" hidden="1">{"'Sheet1'!$L$16"}</definedName>
    <definedName name="CTsu" localSheetId="25" hidden="1">{"'Sheet1'!$L$16"}</definedName>
    <definedName name="CTsu" localSheetId="16" hidden="1">{"'Sheet1'!$L$16"}</definedName>
    <definedName name="CTsu" localSheetId="17" hidden="1">{"'Sheet1'!$L$16"}</definedName>
    <definedName name="CTsu" localSheetId="18" hidden="1">{"'Sheet1'!$L$16"}</definedName>
    <definedName name="CTsu" localSheetId="23" hidden="1">{"'Sheet1'!$L$16"}</definedName>
    <definedName name="CTsu" localSheetId="22" hidden="1">{"'Sheet1'!$L$16"}</definedName>
    <definedName name="CTsu" localSheetId="21" hidden="1">{"'Sheet1'!$L$16"}</definedName>
    <definedName name="CTsu" localSheetId="36" hidden="1">{"'Sheet1'!$L$16"}</definedName>
    <definedName name="CTsu" hidden="1">{"'Sheet1'!$L$16"}</definedName>
    <definedName name="cu" hidden="1">#REF!</definedName>
    <definedName name="DAT_CHO" localSheetId="15">OFFSET('[1]10_CH'!#REF!,,,1,'[1]10_CH'!$A$1)</definedName>
    <definedName name="DAT_CHO" localSheetId="25">OFFSET('[1]10_CH'!#REF!,,,1,'[1]10_CH'!$A$1)</definedName>
    <definedName name="DAT_CHO" localSheetId="16">OFFSET('[1]10_CH'!#REF!,,,1,'[1]10_CH'!$A$1)</definedName>
    <definedName name="DAT_CHO" localSheetId="17">OFFSET('[2]10_CH'!#REF!,,,1,'[2]10_CH'!$A$1)</definedName>
    <definedName name="DAT_CHO" localSheetId="18">OFFSET('[2]10_CH'!#REF!,,,1,'[2]10_CH'!$A$1)</definedName>
    <definedName name="DAT_CHO" localSheetId="23">OFFSET('[2]10_CH'!#REF!,,,1,'[2]10_CH'!$A$1)</definedName>
    <definedName name="DAT_CHO" localSheetId="22">OFFSET('[2]10_CH'!#REF!,,,1,'[2]10_CH'!$A$1)</definedName>
    <definedName name="DAT_CHO" localSheetId="21">OFFSET('[2]10_CH'!#REF!,,,1,'[2]10_CH'!$A$1)</definedName>
    <definedName name="DAT_CHO" localSheetId="36">OFFSET('[1]10_CH'!#REF!,,,1,'[1]10_CH'!$A$1)</definedName>
    <definedName name="DAT_CHO" localSheetId="37">OFFSET('[1]10_CH'!#REF!,,,1,'[1]10_CH'!$A$1)</definedName>
    <definedName name="DAT_CHO">OFFSET('[1]10_CH'!#REF!,,,1,'[1]10_CH'!$A$1)</definedName>
    <definedName name="DAT_HUYEN" localSheetId="15">OFFSET('[1]10_CH'!#REF!,,,'[1]10_CH'!#REF!,)</definedName>
    <definedName name="DAT_HUYEN" localSheetId="25">OFFSET('[1]10_CH'!#REF!,,,'[1]10_CH'!#REF!,)</definedName>
    <definedName name="DAT_HUYEN" localSheetId="16">OFFSET('[1]10_CH'!#REF!,,,'[1]10_CH'!#REF!,)</definedName>
    <definedName name="DAT_HUYEN" localSheetId="17">OFFSET('[2]10_CH'!#REF!,,,'[2]10_CH'!#REF!,)</definedName>
    <definedName name="DAT_HUYEN" localSheetId="18">OFFSET('[2]10_CH'!#REF!,,,'[2]10_CH'!#REF!,)</definedName>
    <definedName name="DAT_HUYEN" localSheetId="23">OFFSET('[2]10_CH'!#REF!,,,'[2]10_CH'!#REF!,)</definedName>
    <definedName name="DAT_HUYEN" localSheetId="22">OFFSET('[2]10_CH'!#REF!,,,'[2]10_CH'!#REF!,)</definedName>
    <definedName name="DAT_HUYEN" localSheetId="21">OFFSET('[2]10_CH'!#REF!,,,'[2]10_CH'!#REF!,)</definedName>
    <definedName name="DAT_HUYEN" localSheetId="36">OFFSET('[1]10_CH'!#REF!,,,'[1]10_CH'!#REF!,)</definedName>
    <definedName name="DAT_HUYEN" localSheetId="37">OFFSET('[1]10_CH'!#REF!,,,'[1]10_CH'!#REF!,)</definedName>
    <definedName name="DAT_HUYEN">OFFSET('[1]10_CH'!#REF!,,,'[1]10_CH'!#REF!,)</definedName>
    <definedName name="DAT_NHAN1" localSheetId="15">OFFSET('[1]10_CH'!#REF!,,,'[1]10_CH'!#REF!,)</definedName>
    <definedName name="DAT_NHAN1" localSheetId="25">OFFSET('[1]10_CH'!#REF!,,,'[1]10_CH'!#REF!,)</definedName>
    <definedName name="DAT_NHAN1" localSheetId="16">OFFSET('[1]10_CH'!#REF!,,,'[1]10_CH'!#REF!,)</definedName>
    <definedName name="DAT_NHAN1" localSheetId="17">OFFSET('[2]10_CH'!#REF!,,,'[2]10_CH'!#REF!,)</definedName>
    <definedName name="DAT_NHAN1" localSheetId="18">OFFSET('[2]10_CH'!#REF!,,,'[2]10_CH'!#REF!,)</definedName>
    <definedName name="DAT_NHAN1" localSheetId="23">OFFSET('[2]10_CH'!#REF!,,,'[2]10_CH'!#REF!,)</definedName>
    <definedName name="DAT_NHAN1" localSheetId="22">OFFSET('[2]10_CH'!#REF!,,,'[2]10_CH'!#REF!,)</definedName>
    <definedName name="DAT_NHAN1" localSheetId="21">OFFSET('[2]10_CH'!#REF!,,,'[2]10_CH'!#REF!,)</definedName>
    <definedName name="DAT_NHAN1" localSheetId="37">OFFSET('[1]10_CH'!#REF!,,,'[1]10_CH'!#REF!,)</definedName>
    <definedName name="DAT_NHAN1">OFFSET('[1]10_CH'!#REF!,,,'[1]10_CH'!#REF!,)</definedName>
    <definedName name="DAT_NHAN2" localSheetId="15">OFFSET('[1]10_CH'!#REF!,,,'[1]10_CH'!#REF!,)</definedName>
    <definedName name="DAT_NHAN2" localSheetId="25">OFFSET('[1]10_CH'!#REF!,,,'[1]10_CH'!#REF!,)</definedName>
    <definedName name="DAT_NHAN2" localSheetId="16">OFFSET('[1]10_CH'!#REF!,,,'[1]10_CH'!#REF!,)</definedName>
    <definedName name="DAT_NHAN2" localSheetId="17">OFFSET('[2]10_CH'!#REF!,,,'[2]10_CH'!#REF!,)</definedName>
    <definedName name="DAT_NHAN2" localSheetId="18">OFFSET('[2]10_CH'!#REF!,,,'[2]10_CH'!#REF!,)</definedName>
    <definedName name="DAT_NHAN2" localSheetId="23">OFFSET('[2]10_CH'!#REF!,,,'[2]10_CH'!#REF!,)</definedName>
    <definedName name="DAT_NHAN2" localSheetId="22">OFFSET('[2]10_CH'!#REF!,,,'[2]10_CH'!#REF!,)</definedName>
    <definedName name="DAT_NHAN2" localSheetId="21">OFFSET('[2]10_CH'!#REF!,,,'[2]10_CH'!#REF!,)</definedName>
    <definedName name="DAT_NHAN2" localSheetId="37">OFFSET('[1]10_CH'!#REF!,,,'[1]10_CH'!#REF!,)</definedName>
    <definedName name="DAT_NHAN2">OFFSET('[1]10_CH'!#REF!,,,'[1]10_CH'!#REF!,)</definedName>
    <definedName name="DAT_NHAN3" localSheetId="15">OFFSET('[1]10_CH'!#REF!,,,'[1]10_CH'!#REF!,)</definedName>
    <definedName name="DAT_NHAN3" localSheetId="25">OFFSET('[1]10_CH'!#REF!,,,'[1]10_CH'!#REF!,)</definedName>
    <definedName name="DAT_NHAN3" localSheetId="16">OFFSET('[1]10_CH'!#REF!,,,'[1]10_CH'!#REF!,)</definedName>
    <definedName name="DAT_NHAN3" localSheetId="17">OFFSET('[2]10_CH'!#REF!,,,'[2]10_CH'!#REF!,)</definedName>
    <definedName name="DAT_NHAN3" localSheetId="18">OFFSET('[2]10_CH'!#REF!,,,'[2]10_CH'!#REF!,)</definedName>
    <definedName name="DAT_NHAN3" localSheetId="23">OFFSET('[2]10_CH'!#REF!,,,'[2]10_CH'!#REF!,)</definedName>
    <definedName name="DAT_NHAN3" localSheetId="22">OFFSET('[2]10_CH'!#REF!,,,'[2]10_CH'!#REF!,)</definedName>
    <definedName name="DAT_NHAN3" localSheetId="21">OFFSET('[2]10_CH'!#REF!,,,'[2]10_CH'!#REF!,)</definedName>
    <definedName name="DAT_NHAN3" localSheetId="37">OFFSET('[1]10_CH'!#REF!,,,'[1]10_CH'!#REF!,)</definedName>
    <definedName name="DAT_NHAN3">OFFSET('[1]10_CH'!#REF!,,,'[1]10_CH'!#REF!,)</definedName>
    <definedName name="DAT_NUM" localSheetId="15">'[1]10_CH'!#REF!</definedName>
    <definedName name="DAT_NUM" localSheetId="25">'[1]10_CH'!#REF!</definedName>
    <definedName name="DAT_NUM" localSheetId="16">'[1]10_CH'!#REF!</definedName>
    <definedName name="DAT_NUM" localSheetId="17">'[2]10_CH'!#REF!</definedName>
    <definedName name="DAT_NUM" localSheetId="18">'[2]10_CH'!#REF!</definedName>
    <definedName name="DAT_NUM" localSheetId="23">'[2]10_CH'!#REF!</definedName>
    <definedName name="DAT_NUM" localSheetId="22">'[2]10_CH'!#REF!</definedName>
    <definedName name="DAT_NUM" localSheetId="21">'[2]10_CH'!#REF!</definedName>
    <definedName name="DAT_NUM" localSheetId="36">'[1]10_CH'!#REF!</definedName>
    <definedName name="DAT_NUM" localSheetId="37">'[1]10_CH'!#REF!</definedName>
    <definedName name="DAT_NUM">'[1]10_CH'!#REF!</definedName>
    <definedName name="DAT_ROW" localSheetId="15">'[1]10_CH'!#REF!</definedName>
    <definedName name="DAT_ROW" localSheetId="25">'[1]10_CH'!#REF!</definedName>
    <definedName name="DAT_ROW" localSheetId="16">'[1]10_CH'!#REF!</definedName>
    <definedName name="DAT_ROW" localSheetId="17">'[2]10_CH'!#REF!</definedName>
    <definedName name="DAT_ROW" localSheetId="18">'[2]10_CH'!#REF!</definedName>
    <definedName name="DAT_ROW" localSheetId="23">'[2]10_CH'!#REF!</definedName>
    <definedName name="DAT_ROW" localSheetId="22">'[2]10_CH'!#REF!</definedName>
    <definedName name="DAT_ROW" localSheetId="21">'[2]10_CH'!#REF!</definedName>
    <definedName name="DAT_ROW" localSheetId="37">'[1]10_CH'!#REF!</definedName>
    <definedName name="DAT_ROW">'[1]10_CH'!#REF!</definedName>
    <definedName name="DAT_SL" localSheetId="15">OFFSET('[1]10_CH'!#REF!,,,'[1]10_CH'!#REF!,'[1]10_CH'!$A$1)</definedName>
    <definedName name="DAT_SL" localSheetId="25">OFFSET('[1]10_CH'!#REF!,,,'[1]10_CH'!#REF!,'[1]10_CH'!$A$1)</definedName>
    <definedName name="DAT_SL" localSheetId="16">OFFSET('[1]10_CH'!#REF!,,,'[1]10_CH'!#REF!,'[1]10_CH'!$A$1)</definedName>
    <definedName name="DAT_SL" localSheetId="17">OFFSET('[2]10_CH'!#REF!,,,'[2]10_CH'!#REF!,'[2]10_CH'!$A$1)</definedName>
    <definedName name="DAT_SL" localSheetId="18">OFFSET('[2]10_CH'!#REF!,,,'[2]10_CH'!#REF!,'[2]10_CH'!$A$1)</definedName>
    <definedName name="DAT_SL" localSheetId="23">OFFSET('[2]10_CH'!#REF!,,,'[2]10_CH'!#REF!,'[2]10_CH'!$A$1)</definedName>
    <definedName name="DAT_SL" localSheetId="22">OFFSET('[2]10_CH'!#REF!,,,'[2]10_CH'!#REF!,'[2]10_CH'!$A$1)</definedName>
    <definedName name="DAT_SL" localSheetId="21">OFFSET('[2]10_CH'!#REF!,,,'[2]10_CH'!#REF!,'[2]10_CH'!$A$1)</definedName>
    <definedName name="DAT_SL" localSheetId="37">OFFSET('[1]10_CH'!#REF!,,,'[1]10_CH'!#REF!,'[1]10_CH'!$A$1)</definedName>
    <definedName name="DAT_SL">OFFSET('[1]10_CH'!#REF!,,,'[1]10_CH'!#REF!,'[1]10_CH'!$A$1)</definedName>
    <definedName name="DAT_TEST" localSheetId="15">OFFSET('[1]10_CH'!#REF!,,MATCH('[1]10_CH'!$F$3,'[1]10_CH'!$I$9:$BE$9,0)-1,'[1]10_CH'!#REF!,)</definedName>
    <definedName name="DAT_TEST" localSheetId="25">OFFSET('[1]10_CH'!#REF!,,MATCH('[1]10_CH'!$F$3,'[1]10_CH'!$I$9:$BE$9,0)-1,'[1]10_CH'!#REF!,)</definedName>
    <definedName name="DAT_TEST" localSheetId="16">OFFSET('[1]10_CH'!#REF!,,MATCH('[1]10_CH'!$F$3,'[1]10_CH'!$I$9:$BE$9,0)-1,'[1]10_CH'!#REF!,)</definedName>
    <definedName name="DAT_TEST" localSheetId="17">OFFSET('[2]10_CH'!#REF!,,MATCH('[2]10_CH'!$F$3,'[2]10_CH'!$I$9:$BE$9,0)-1,'[2]10_CH'!#REF!,)</definedName>
    <definedName name="DAT_TEST" localSheetId="18">OFFSET('[2]10_CH'!#REF!,,MATCH('[2]10_CH'!$F$3,'[2]10_CH'!$I$9:$BE$9,0)-1,'[2]10_CH'!#REF!,)</definedName>
    <definedName name="DAT_TEST" localSheetId="23">OFFSET('[2]10_CH'!#REF!,,MATCH('[2]10_CH'!$F$3,'[2]10_CH'!$I$9:$BE$9,0)-1,'[2]10_CH'!#REF!,)</definedName>
    <definedName name="DAT_TEST" localSheetId="22">OFFSET('[2]10_CH'!#REF!,,MATCH('[2]10_CH'!$F$3,'[2]10_CH'!$I$9:$BE$9,0)-1,'[2]10_CH'!#REF!,)</definedName>
    <definedName name="DAT_TEST" localSheetId="21">OFFSET('[2]10_CH'!#REF!,,MATCH('[2]10_CH'!$F$3,'[2]10_CH'!$I$9:$BE$9,0)-1,'[2]10_CH'!#REF!,)</definedName>
    <definedName name="DAT_TEST" localSheetId="37">OFFSET('[1]10_CH'!#REF!,,MATCH('[1]10_CH'!$F$3,'[1]10_CH'!$I$9:$BE$9,0)-1,'[1]10_CH'!#REF!,)</definedName>
    <definedName name="DAT_TEST">OFFSET('[1]10_CH'!#REF!,,MATCH('[1]10_CH'!$F$3,'[1]10_CH'!$I$9:$BE$9,0)-1,'[1]10_CH'!#REF!,)</definedName>
    <definedName name="DAT_THU" localSheetId="15">OFFSET('[1]10_CH'!#REF!,,,'[1]10_CH'!#REF!,)</definedName>
    <definedName name="DAT_THU" localSheetId="25">OFFSET('[1]10_CH'!#REF!,,,'[1]10_CH'!#REF!,)</definedName>
    <definedName name="DAT_THU" localSheetId="16">OFFSET('[1]10_CH'!#REF!,,,'[1]10_CH'!#REF!,)</definedName>
    <definedName name="DAT_THU" localSheetId="17">OFFSET('[2]10_CH'!#REF!,,,'[2]10_CH'!#REF!,)</definedName>
    <definedName name="DAT_THU" localSheetId="18">OFFSET('[2]10_CH'!#REF!,,,'[2]10_CH'!#REF!,)</definedName>
    <definedName name="DAT_THU" localSheetId="23">OFFSET('[2]10_CH'!#REF!,,,'[2]10_CH'!#REF!,)</definedName>
    <definedName name="DAT_THU" localSheetId="22">OFFSET('[2]10_CH'!#REF!,,,'[2]10_CH'!#REF!,)</definedName>
    <definedName name="DAT_THU" localSheetId="21">OFFSET('[2]10_CH'!#REF!,,,'[2]10_CH'!#REF!,)</definedName>
    <definedName name="DAT_THU" localSheetId="36">OFFSET('[1]10_CH'!#REF!,,,'[1]10_CH'!#REF!,)</definedName>
    <definedName name="DAT_THU" localSheetId="37">OFFSET('[1]10_CH'!#REF!,,,'[1]10_CH'!#REF!,)</definedName>
    <definedName name="DAT_THU">OFFSET('[1]10_CH'!#REF!,,,'[1]10_CH'!#REF!,)</definedName>
    <definedName name="data1" localSheetId="15" hidden="1">#REF!</definedName>
    <definedName name="data1" localSheetId="25" hidden="1">#REF!</definedName>
    <definedName name="data1" localSheetId="16" hidden="1">#REF!</definedName>
    <definedName name="data1" localSheetId="17" hidden="1">#REF!</definedName>
    <definedName name="data1" localSheetId="18" hidden="1">#REF!</definedName>
    <definedName name="data1" localSheetId="23" hidden="1">#REF!</definedName>
    <definedName name="data1" localSheetId="22" hidden="1">#REF!</definedName>
    <definedName name="data1" localSheetId="21" hidden="1">#REF!</definedName>
    <definedName name="data1" localSheetId="36" hidden="1">#REF!</definedName>
    <definedName name="data1" localSheetId="37" hidden="1">#REF!</definedName>
    <definedName name="data1" hidden="1">#REF!</definedName>
    <definedName name="data2" localSheetId="15" hidden="1">#REF!</definedName>
    <definedName name="data2" localSheetId="25" hidden="1">#REF!</definedName>
    <definedName name="data2" localSheetId="16" hidden="1">#REF!</definedName>
    <definedName name="data2" localSheetId="18" hidden="1">#REF!</definedName>
    <definedName name="data2" localSheetId="23" hidden="1">#REF!</definedName>
    <definedName name="data2" localSheetId="22" hidden="1">#REF!</definedName>
    <definedName name="data2" localSheetId="21" hidden="1">#REF!</definedName>
    <definedName name="data2" localSheetId="36" hidden="1">#REF!</definedName>
    <definedName name="data2" localSheetId="37" hidden="1">#REF!</definedName>
    <definedName name="data2" hidden="1">#REF!</definedName>
    <definedName name="data3" localSheetId="15" hidden="1">#REF!</definedName>
    <definedName name="data3" localSheetId="25" hidden="1">#REF!</definedName>
    <definedName name="data3" localSheetId="16" hidden="1">#REF!</definedName>
    <definedName name="data3" localSheetId="18" hidden="1">#REF!</definedName>
    <definedName name="data3" localSheetId="23" hidden="1">#REF!</definedName>
    <definedName name="data3" localSheetId="22" hidden="1">#REF!</definedName>
    <definedName name="data3" localSheetId="21" hidden="1">#REF!</definedName>
    <definedName name="data3" localSheetId="36" hidden="1">#REF!</definedName>
    <definedName name="data3" localSheetId="37" hidden="1">#REF!</definedName>
    <definedName name="data3" hidden="1">#REF!</definedName>
    <definedName name="DGTS" localSheetId="15" hidden="1">{"'Sheet1'!$L$16"}</definedName>
    <definedName name="DGTS" localSheetId="25" hidden="1">{"'Sheet1'!$L$16"}</definedName>
    <definedName name="DGTS" localSheetId="16" hidden="1">{"'Sheet1'!$L$16"}</definedName>
    <definedName name="DGTS" localSheetId="17" hidden="1">{"'Sheet1'!$L$16"}</definedName>
    <definedName name="DGTS" localSheetId="18" hidden="1">{"'Sheet1'!$L$16"}</definedName>
    <definedName name="DGTS" localSheetId="23" hidden="1">{"'Sheet1'!$L$16"}</definedName>
    <definedName name="DGTS" localSheetId="22" hidden="1">{"'Sheet1'!$L$16"}</definedName>
    <definedName name="DGTS" localSheetId="21" hidden="1">{"'Sheet1'!$L$16"}</definedName>
    <definedName name="DGTS" localSheetId="36" hidden="1">{"'Sheet1'!$L$16"}</definedName>
    <definedName name="DGTS" hidden="1">{"'Sheet1'!$L$16"}</definedName>
    <definedName name="Discount" localSheetId="15" hidden="1">#REF!</definedName>
    <definedName name="Discount" localSheetId="25" hidden="1">#REF!</definedName>
    <definedName name="Discount" localSheetId="16" hidden="1">#REF!</definedName>
    <definedName name="Discount" localSheetId="18" hidden="1">#REF!</definedName>
    <definedName name="Discount" localSheetId="23" hidden="1">#REF!</definedName>
    <definedName name="Discount" localSheetId="22" hidden="1">#REF!</definedName>
    <definedName name="Discount" localSheetId="21" hidden="1">#REF!</definedName>
    <definedName name="Discount" localSheetId="36" hidden="1">#REF!</definedName>
    <definedName name="Discount" localSheetId="37" hidden="1">#REF!</definedName>
    <definedName name="Discount" hidden="1">#REF!</definedName>
    <definedName name="display_area_2" localSheetId="15" hidden="1">#REF!</definedName>
    <definedName name="display_area_2" localSheetId="25" hidden="1">#REF!</definedName>
    <definedName name="display_area_2" localSheetId="16" hidden="1">#REF!</definedName>
    <definedName name="display_area_2" localSheetId="18" hidden="1">#REF!</definedName>
    <definedName name="display_area_2" localSheetId="23" hidden="1">#REF!</definedName>
    <definedName name="display_area_2" localSheetId="22" hidden="1">#REF!</definedName>
    <definedName name="display_area_2" localSheetId="21" hidden="1">#REF!</definedName>
    <definedName name="display_area_2" localSheetId="36" hidden="1">#REF!</definedName>
    <definedName name="display_area_2" localSheetId="37" hidden="1">#REF!</definedName>
    <definedName name="display_area_2" hidden="1">#REF!</definedName>
    <definedName name="ds" localSheetId="15" hidden="1">{"'Sheet1'!$L$16"}</definedName>
    <definedName name="ds" localSheetId="25" hidden="1">{"'Sheet1'!$L$16"}</definedName>
    <definedName name="ds" localSheetId="16" hidden="1">{"'Sheet1'!$L$16"}</definedName>
    <definedName name="ds" localSheetId="17" hidden="1">{"'Sheet1'!$L$16"}</definedName>
    <definedName name="ds" localSheetId="18" hidden="1">{"'Sheet1'!$L$16"}</definedName>
    <definedName name="ds" localSheetId="23" hidden="1">{"'Sheet1'!$L$16"}</definedName>
    <definedName name="ds" localSheetId="22" hidden="1">{"'Sheet1'!$L$16"}</definedName>
    <definedName name="ds" localSheetId="21" hidden="1">{"'Sheet1'!$L$16"}</definedName>
    <definedName name="ds" localSheetId="36" hidden="1">{"'Sheet1'!$L$16"}</definedName>
    <definedName name="ds" hidden="1">{"'Sheet1'!$L$16"}</definedName>
    <definedName name="DS_MA1" localSheetId="17">'[3]DS HUYEN'!$M$6:$M$60</definedName>
    <definedName name="DS_MA1" localSheetId="18">'[3]DS HUYEN'!$M$6:$M$60</definedName>
    <definedName name="DS_MA1" localSheetId="23">'[3]DS HUYEN'!$M$6:$M$60</definedName>
    <definedName name="DS_MA1" localSheetId="22">'[3]DS HUYEN'!$M$6:$M$60</definedName>
    <definedName name="DS_MA1" localSheetId="21">'[3]DS HUYEN'!$M$6:$M$60</definedName>
    <definedName name="DS_MA1">'[4]DS HUYEN'!$M$6:$M$60</definedName>
    <definedName name="DS_MA2" localSheetId="17">'[3]DS HUYEN'!$L$6:$L$60</definedName>
    <definedName name="DS_MA2" localSheetId="18">'[3]DS HUYEN'!$L$6:$L$60</definedName>
    <definedName name="DS_MA2" localSheetId="23">'[3]DS HUYEN'!$L$6:$L$60</definedName>
    <definedName name="DS_MA2" localSheetId="22">'[3]DS HUYEN'!$L$6:$L$60</definedName>
    <definedName name="DS_MA2" localSheetId="21">'[3]DS HUYEN'!$L$6:$L$60</definedName>
    <definedName name="DS_MA2">'[4]DS HUYEN'!$L$6:$L$60</definedName>
    <definedName name="DS_MA3" localSheetId="17">'[3]DS HUYEN'!$K$6:$K$60</definedName>
    <definedName name="DS_MA3" localSheetId="18">'[3]DS HUYEN'!$K$6:$K$60</definedName>
    <definedName name="DS_MA3" localSheetId="23">'[3]DS HUYEN'!$K$6:$K$60</definedName>
    <definedName name="DS_MA3" localSheetId="22">'[3]DS HUYEN'!$K$6:$K$60</definedName>
    <definedName name="DS_MA3" localSheetId="21">'[3]DS HUYEN'!$K$6:$K$60</definedName>
    <definedName name="DS_MA3">'[4]DS HUYEN'!$K$6:$K$60</definedName>
    <definedName name="DThmDU" localSheetId="15" hidden="1">{"'Sheet1'!$L$16"}</definedName>
    <definedName name="DThmDU" localSheetId="25" hidden="1">{"'Sheet1'!$L$16"}</definedName>
    <definedName name="DThmDU" localSheetId="16" hidden="1">{"'Sheet1'!$L$16"}</definedName>
    <definedName name="DThmDU" localSheetId="17" hidden="1">{"'Sheet1'!$L$16"}</definedName>
    <definedName name="DThmDU" localSheetId="18" hidden="1">{"'Sheet1'!$L$16"}</definedName>
    <definedName name="DThmDU" localSheetId="23" hidden="1">{"'Sheet1'!$L$16"}</definedName>
    <definedName name="DThmDU" localSheetId="22" hidden="1">{"'Sheet1'!$L$16"}</definedName>
    <definedName name="DThmDU" localSheetId="21" hidden="1">{"'Sheet1'!$L$16"}</definedName>
    <definedName name="DThmDU" localSheetId="36" hidden="1">{"'Sheet1'!$L$16"}</definedName>
    <definedName name="DThmDU" hidden="1">{"'Sheet1'!$L$16"}</definedName>
    <definedName name="FCode" localSheetId="15" hidden="1">#REF!</definedName>
    <definedName name="FCode" localSheetId="25" hidden="1">#REF!</definedName>
    <definedName name="FCode" localSheetId="16" hidden="1">#REF!</definedName>
    <definedName name="FCode" localSheetId="18" hidden="1">#REF!</definedName>
    <definedName name="FCode" localSheetId="23" hidden="1">#REF!</definedName>
    <definedName name="FCode" localSheetId="22" hidden="1">#REF!</definedName>
    <definedName name="FCode" localSheetId="21" hidden="1">#REF!</definedName>
    <definedName name="FCode" localSheetId="36" hidden="1">#REF!</definedName>
    <definedName name="FCode" localSheetId="37" hidden="1">#REF!</definedName>
    <definedName name="FCode" hidden="1">#REF!</definedName>
    <definedName name="fff" localSheetId="15" hidden="1">{"'Sheet1'!$L$16"}</definedName>
    <definedName name="fff" localSheetId="25" hidden="1">{"'Sheet1'!$L$16"}</definedName>
    <definedName name="fff" localSheetId="16" hidden="1">{"'Sheet1'!$L$16"}</definedName>
    <definedName name="fff" localSheetId="17" hidden="1">{"'Sheet1'!$L$16"}</definedName>
    <definedName name="fff" localSheetId="18" hidden="1">{"'Sheet1'!$L$16"}</definedName>
    <definedName name="fff" localSheetId="23" hidden="1">{"'Sheet1'!$L$16"}</definedName>
    <definedName name="fff" localSheetId="22" hidden="1">{"'Sheet1'!$L$16"}</definedName>
    <definedName name="fff" localSheetId="21" hidden="1">{"'Sheet1'!$L$16"}</definedName>
    <definedName name="fff" localSheetId="36" hidden="1">{"'Sheet1'!$L$16"}</definedName>
    <definedName name="fff" hidden="1">{"'Sheet1'!$L$16"}</definedName>
    <definedName name="fwgter" localSheetId="15" hidden="1">{"'Sheet1'!$L$16"}</definedName>
    <definedName name="fwgter" localSheetId="25" hidden="1">{"'Sheet1'!$L$16"}</definedName>
    <definedName name="fwgter" localSheetId="16" hidden="1">{"'Sheet1'!$L$16"}</definedName>
    <definedName name="fwgter" localSheetId="17" hidden="1">{"'Sheet1'!$L$16"}</definedName>
    <definedName name="fwgter" localSheetId="18" hidden="1">{"'Sheet1'!$L$16"}</definedName>
    <definedName name="fwgter" localSheetId="23" hidden="1">{"'Sheet1'!$L$16"}</definedName>
    <definedName name="fwgter" localSheetId="22" hidden="1">{"'Sheet1'!$L$16"}</definedName>
    <definedName name="fwgter" localSheetId="21" hidden="1">{"'Sheet1'!$L$16"}</definedName>
    <definedName name="fwgter" localSheetId="36" hidden="1">{"'Sheet1'!$L$16"}</definedName>
    <definedName name="fwgter" hidden="1">{"'Sheet1'!$L$16"}</definedName>
    <definedName name="h" localSheetId="15" hidden="1">{"'Sheet1'!$L$16"}</definedName>
    <definedName name="h" localSheetId="25" hidden="1">{"'Sheet1'!$L$16"}</definedName>
    <definedName name="h" localSheetId="16" hidden="1">{"'Sheet1'!$L$16"}</definedName>
    <definedName name="h" localSheetId="17" hidden="1">{"'Sheet1'!$L$16"}</definedName>
    <definedName name="h" localSheetId="18" hidden="1">{"'Sheet1'!$L$16"}</definedName>
    <definedName name="h" localSheetId="23" hidden="1">{"'Sheet1'!$L$16"}</definedName>
    <definedName name="h" localSheetId="22" hidden="1">{"'Sheet1'!$L$16"}</definedName>
    <definedName name="h" localSheetId="21" hidden="1">{"'Sheet1'!$L$16"}</definedName>
    <definedName name="h" localSheetId="36" hidden="1">{"'Sheet1'!$L$16"}</definedName>
    <definedName name="h" hidden="1">{"'Sheet1'!$L$16"}</definedName>
    <definedName name="hfdsh" localSheetId="15" hidden="1">#REF!</definedName>
    <definedName name="hfdsh" localSheetId="25" hidden="1">#REF!</definedName>
    <definedName name="hfdsh" localSheetId="16" hidden="1">#REF!</definedName>
    <definedName name="hfdsh" localSheetId="18" hidden="1">#REF!</definedName>
    <definedName name="hfdsh" localSheetId="23" hidden="1">#REF!</definedName>
    <definedName name="hfdsh" localSheetId="22" hidden="1">#REF!</definedName>
    <definedName name="hfdsh" localSheetId="21" hidden="1">#REF!</definedName>
    <definedName name="hfdsh" localSheetId="36" hidden="1">#REF!</definedName>
    <definedName name="hfdsh" localSheetId="37" hidden="1">#REF!</definedName>
    <definedName name="hfdsh" hidden="1">#REF!</definedName>
    <definedName name="HiddenRows" localSheetId="15" hidden="1">#REF!</definedName>
    <definedName name="HiddenRows" localSheetId="25" hidden="1">#REF!</definedName>
    <definedName name="HiddenRows" localSheetId="16" hidden="1">#REF!</definedName>
    <definedName name="HiddenRows" localSheetId="18" hidden="1">#REF!</definedName>
    <definedName name="HiddenRows" localSheetId="23" hidden="1">#REF!</definedName>
    <definedName name="HiddenRows" localSheetId="22" hidden="1">#REF!</definedName>
    <definedName name="HiddenRows" localSheetId="21" hidden="1">#REF!</definedName>
    <definedName name="HiddenRows" localSheetId="36" hidden="1">#REF!</definedName>
    <definedName name="HiddenRows" localSheetId="37" hidden="1">#REF!</definedName>
    <definedName name="HiddenRows" hidden="1">#REF!</definedName>
    <definedName name="hiep" localSheetId="15" hidden="1">{"'Sheet1'!$L$16"}</definedName>
    <definedName name="hiep" localSheetId="25" hidden="1">{"'Sheet1'!$L$16"}</definedName>
    <definedName name="hiep" localSheetId="16" hidden="1">{"'Sheet1'!$L$16"}</definedName>
    <definedName name="hiep" localSheetId="17" hidden="1">{"'Sheet1'!$L$16"}</definedName>
    <definedName name="hiep" localSheetId="18" hidden="1">{"'Sheet1'!$L$16"}</definedName>
    <definedName name="hiep" localSheetId="23" hidden="1">{"'Sheet1'!$L$16"}</definedName>
    <definedName name="hiep" localSheetId="22" hidden="1">{"'Sheet1'!$L$16"}</definedName>
    <definedName name="hiep" localSheetId="21" hidden="1">{"'Sheet1'!$L$16"}</definedName>
    <definedName name="hiep" localSheetId="36" hidden="1">{"'Sheet1'!$L$16"}</definedName>
    <definedName name="hiep" hidden="1">{"'Sheet1'!$L$16"}</definedName>
    <definedName name="ht" localSheetId="15" hidden="1">{"'Sheet1'!$L$16"}</definedName>
    <definedName name="ht" localSheetId="25" hidden="1">{"'Sheet1'!$L$16"}</definedName>
    <definedName name="ht" localSheetId="16" hidden="1">{"'Sheet1'!$L$16"}</definedName>
    <definedName name="ht" localSheetId="17" hidden="1">{"'Sheet1'!$L$16"}</definedName>
    <definedName name="ht" localSheetId="18" hidden="1">{"'Sheet1'!$L$16"}</definedName>
    <definedName name="ht" localSheetId="23" hidden="1">{"'Sheet1'!$L$16"}</definedName>
    <definedName name="ht" localSheetId="22" hidden="1">{"'Sheet1'!$L$16"}</definedName>
    <definedName name="ht" localSheetId="21" hidden="1">{"'Sheet1'!$L$16"}</definedName>
    <definedName name="ht" localSheetId="36" hidden="1">{"'Sheet1'!$L$16"}</definedName>
    <definedName name="ht" hidden="1">{"'Sheet1'!$L$16"}</definedName>
    <definedName name="HTML_CodePage" hidden="1">1252</definedName>
    <definedName name="HTML_Control" localSheetId="15" hidden="1">{"'Sheet1'!$A$1"}</definedName>
    <definedName name="HTML_Control" localSheetId="25" hidden="1">{"'Sheet1'!$A$1"}</definedName>
    <definedName name="HTML_Control" localSheetId="16" hidden="1">{"'Sheet1'!$A$1"}</definedName>
    <definedName name="HTML_Control" localSheetId="17" hidden="1">{"'Sheet1'!$A$1"}</definedName>
    <definedName name="HTML_Control" localSheetId="18" hidden="1">{"'Sheet1'!$A$1"}</definedName>
    <definedName name="HTML_Control" localSheetId="23" hidden="1">{"'Sheet1'!$A$1"}</definedName>
    <definedName name="HTML_Control" localSheetId="22" hidden="1">{"'Sheet1'!$A$1"}</definedName>
    <definedName name="HTML_Control" localSheetId="21" hidden="1">{"'Sheet1'!$A$1"}</definedName>
    <definedName name="HTML_Control" localSheetId="36" hidden="1">{"'Sheet1'!$A$1"}</definedName>
    <definedName name="HTML_Control" hidden="1">{"'Sheet1'!$A$1"}</definedName>
    <definedName name="HTML_Description" hidden="1">""</definedName>
    <definedName name="HTML_Email" hidden="1">""</definedName>
    <definedName name="HTML_Header" hidden="1">"Sheet1"</definedName>
    <definedName name="HTML_LastUpdate" hidden="1">"25.7.2001"</definedName>
    <definedName name="HTML_LineAfter" hidden="1">FALSE</definedName>
    <definedName name="HTML_LineBefore" hidden="1">FALSE</definedName>
    <definedName name="HTML_Name" hidden="1">"BAN QLDA GIAO THONG"</definedName>
    <definedName name="HTML_OBDlg2" hidden="1">TRUE</definedName>
    <definedName name="HTML_OBDlg4" hidden="1">TRUE</definedName>
    <definedName name="HTML_OS" hidden="1">0</definedName>
    <definedName name="HTML_PathFile" hidden="1">"C:\My Documents\MyHTML.htm"</definedName>
    <definedName name="HTML_Title" hidden="1">"Book1"</definedName>
    <definedName name="hu" localSheetId="15" hidden="1">{"'Sheet1'!$L$16"}</definedName>
    <definedName name="hu" localSheetId="25" hidden="1">{"'Sheet1'!$L$16"}</definedName>
    <definedName name="hu" localSheetId="16" hidden="1">{"'Sheet1'!$L$16"}</definedName>
    <definedName name="hu" localSheetId="17" hidden="1">{"'Sheet1'!$L$16"}</definedName>
    <definedName name="hu" localSheetId="18" hidden="1">{"'Sheet1'!$L$16"}</definedName>
    <definedName name="hu" localSheetId="23" hidden="1">{"'Sheet1'!$L$16"}</definedName>
    <definedName name="hu" localSheetId="22" hidden="1">{"'Sheet1'!$L$16"}</definedName>
    <definedName name="hu" localSheetId="21" hidden="1">{"'Sheet1'!$L$16"}</definedName>
    <definedName name="hu" localSheetId="36" hidden="1">{"'Sheet1'!$L$16"}</definedName>
    <definedName name="hu" hidden="1">{"'Sheet1'!$L$16"}</definedName>
    <definedName name="huy" localSheetId="15" hidden="1">{"'Sheet1'!$L$16"}</definedName>
    <definedName name="huy" localSheetId="25" hidden="1">{"'Sheet1'!$L$16"}</definedName>
    <definedName name="huy" localSheetId="16" hidden="1">{"'Sheet1'!$L$16"}</definedName>
    <definedName name="huy" localSheetId="17" hidden="1">{"'Sheet1'!$L$16"}</definedName>
    <definedName name="huy" localSheetId="18" hidden="1">{"'Sheet1'!$L$16"}</definedName>
    <definedName name="huy" localSheetId="23" hidden="1">{"'Sheet1'!$L$16"}</definedName>
    <definedName name="huy" localSheetId="22" hidden="1">{"'Sheet1'!$L$16"}</definedName>
    <definedName name="huy" localSheetId="21" hidden="1">{"'Sheet1'!$L$16"}</definedName>
    <definedName name="huy" localSheetId="36" hidden="1">{"'Sheet1'!$L$16"}</definedName>
    <definedName name="huy" hidden="1">{"'Sheet1'!$L$16"}</definedName>
    <definedName name="HUYEN_DS" localSheetId="17">OFFSET('[3]DS HUYEN'!$A$6,,,'[3]DS HUYEN'!$A$1,)</definedName>
    <definedName name="HUYEN_DS" localSheetId="18">OFFSET('[3]DS HUYEN'!$A$6,,,'[3]DS HUYEN'!$A$1,)</definedName>
    <definedName name="HUYEN_DS" localSheetId="23">OFFSET('[3]DS HUYEN'!$A$6,,,'[3]DS HUYEN'!$A$1,)</definedName>
    <definedName name="HUYEN_DS" localSheetId="22">OFFSET('[3]DS HUYEN'!$A$6,,,'[3]DS HUYEN'!$A$1,)</definedName>
    <definedName name="HUYEN_DS" localSheetId="21">OFFSET('[3]DS HUYEN'!$A$6,,,'[3]DS HUYEN'!$A$1,)</definedName>
    <definedName name="HUYEN_DS">OFFSET('[4]DS HUYEN'!$A$6,,,'[4]DS HUYEN'!$A$1,)</definedName>
    <definedName name="HUYEN_THU" localSheetId="17">'[3]DS HUYEN'!$G$6:$G$8</definedName>
    <definedName name="HUYEN_THU" localSheetId="18">'[3]DS HUYEN'!$G$6:$G$8</definedName>
    <definedName name="HUYEN_THU" localSheetId="23">'[3]DS HUYEN'!$G$6:$G$8</definedName>
    <definedName name="HUYEN_THU" localSheetId="22">'[3]DS HUYEN'!$G$6:$G$8</definedName>
    <definedName name="HUYEN_THU" localSheetId="21">'[3]DS HUYEN'!$G$6:$G$8</definedName>
    <definedName name="HUYEN_THU">'[4]DS HUYEN'!$G$6:$G$8</definedName>
    <definedName name="KDCNThonmoi20_00" localSheetId="15" hidden="1">{"'Sheet1'!$L$16"}</definedName>
    <definedName name="KDCNThonmoi20_00" localSheetId="25" hidden="1">{"'Sheet1'!$L$16"}</definedName>
    <definedName name="KDCNThonmoi20_00" localSheetId="16" hidden="1">{"'Sheet1'!$L$16"}</definedName>
    <definedName name="KDCNThonmoi20_00" localSheetId="17" hidden="1">{"'Sheet1'!$L$16"}</definedName>
    <definedName name="KDCNThonmoi20_00" localSheetId="18" hidden="1">{"'Sheet1'!$L$16"}</definedName>
    <definedName name="KDCNThonmoi20_00" localSheetId="23" hidden="1">{"'Sheet1'!$L$16"}</definedName>
    <definedName name="KDCNThonmoi20_00" localSheetId="22" hidden="1">{"'Sheet1'!$L$16"}</definedName>
    <definedName name="KDCNThonmoi20_00" localSheetId="21" hidden="1">{"'Sheet1'!$L$16"}</definedName>
    <definedName name="KDCNThonmoi20_00" localSheetId="36" hidden="1">{"'Sheet1'!$L$16"}</definedName>
    <definedName name="KDCNThonmoi20_00" hidden="1">{"'Sheet1'!$L$16"}</definedName>
    <definedName name="KNDAT_CHUA_SU_DUNG" localSheetId="15" hidden="1">#REF!</definedName>
    <definedName name="KNDAT_CHUA_SU_DUNG" localSheetId="25" hidden="1">#REF!</definedName>
    <definedName name="KNDAT_CHUA_SU_DUNG" localSheetId="16" hidden="1">#REF!</definedName>
    <definedName name="KNDAT_CHUA_SU_DUNG" localSheetId="18" hidden="1">#REF!</definedName>
    <definedName name="KNDAT_CHUA_SU_DUNG" localSheetId="23" hidden="1">#REF!</definedName>
    <definedName name="KNDAT_CHUA_SU_DUNG" localSheetId="22" hidden="1">#REF!</definedName>
    <definedName name="KNDAT_CHUA_SU_DUNG" localSheetId="21" hidden="1">#REF!</definedName>
    <definedName name="KNDAT_CHUA_SU_DUNG" localSheetId="36" hidden="1">#REF!</definedName>
    <definedName name="KNDAT_CHUA_SU_DUNG" localSheetId="37" hidden="1">#REF!</definedName>
    <definedName name="KNDAT_CHUA_SU_DUNG" hidden="1">#REF!</definedName>
    <definedName name="n" localSheetId="15" hidden="1">{"'Sheet1'!$L$16"}</definedName>
    <definedName name="n" localSheetId="25" hidden="1">{"'Sheet1'!$L$16"}</definedName>
    <definedName name="n" localSheetId="16" hidden="1">{"'Sheet1'!$L$16"}</definedName>
    <definedName name="n" localSheetId="17" hidden="1">{"'Sheet1'!$L$16"}</definedName>
    <definedName name="n" localSheetId="18" hidden="1">{"'Sheet1'!$L$16"}</definedName>
    <definedName name="n" localSheetId="23" hidden="1">{"'Sheet1'!$L$16"}</definedName>
    <definedName name="n" localSheetId="22" hidden="1">{"'Sheet1'!$L$16"}</definedName>
    <definedName name="n" localSheetId="21" hidden="1">{"'Sheet1'!$L$16"}</definedName>
    <definedName name="n" localSheetId="36" hidden="1">{"'Sheet1'!$L$16"}</definedName>
    <definedName name="n" hidden="1">{"'Sheet1'!$L$16"}</definedName>
    <definedName name="Ngan" localSheetId="15" hidden="1">{"'Sheet1'!$L$16"}</definedName>
    <definedName name="Ngan" localSheetId="25" hidden="1">{"'Sheet1'!$L$16"}</definedName>
    <definedName name="Ngan" localSheetId="16" hidden="1">{"'Sheet1'!$L$16"}</definedName>
    <definedName name="Ngan" localSheetId="17" hidden="1">{"'Sheet1'!$L$16"}</definedName>
    <definedName name="Ngan" localSheetId="18" hidden="1">{"'Sheet1'!$L$16"}</definedName>
    <definedName name="Ngan" localSheetId="23" hidden="1">{"'Sheet1'!$L$16"}</definedName>
    <definedName name="Ngan" localSheetId="22" hidden="1">{"'Sheet1'!$L$16"}</definedName>
    <definedName name="Ngan" localSheetId="21" hidden="1">{"'Sheet1'!$L$16"}</definedName>
    <definedName name="Ngan" localSheetId="36" hidden="1">{"'Sheet1'!$L$16"}</definedName>
    <definedName name="Ngan" hidden="1">{"'Sheet1'!$L$16"}</definedName>
    <definedName name="njsdhfd" localSheetId="15" hidden="1">{"'Sheet1'!$L$16"}</definedName>
    <definedName name="njsdhfd" localSheetId="25" hidden="1">{"'Sheet1'!$L$16"}</definedName>
    <definedName name="njsdhfd" localSheetId="16" hidden="1">{"'Sheet1'!$L$16"}</definedName>
    <definedName name="njsdhfd" localSheetId="17" hidden="1">{"'Sheet1'!$L$16"}</definedName>
    <definedName name="njsdhfd" localSheetId="18" hidden="1">{"'Sheet1'!$L$16"}</definedName>
    <definedName name="njsdhfd" localSheetId="23" hidden="1">{"'Sheet1'!$L$16"}</definedName>
    <definedName name="njsdhfd" localSheetId="22" hidden="1">{"'Sheet1'!$L$16"}</definedName>
    <definedName name="njsdhfd" localSheetId="21" hidden="1">{"'Sheet1'!$L$16"}</definedName>
    <definedName name="njsdhfd" localSheetId="36" hidden="1">{"'Sheet1'!$L$16"}</definedName>
    <definedName name="njsdhfd" hidden="1">{"'Sheet1'!$L$16"}</definedName>
    <definedName name="OrderTable" localSheetId="15" hidden="1">#REF!</definedName>
    <definedName name="OrderTable" localSheetId="25" hidden="1">#REF!</definedName>
    <definedName name="OrderTable" localSheetId="16" hidden="1">#REF!</definedName>
    <definedName name="OrderTable" localSheetId="18" hidden="1">#REF!</definedName>
    <definedName name="OrderTable" localSheetId="23" hidden="1">#REF!</definedName>
    <definedName name="OrderTable" localSheetId="22" hidden="1">#REF!</definedName>
    <definedName name="OrderTable" localSheetId="21" hidden="1">#REF!</definedName>
    <definedName name="OrderTable" localSheetId="36" hidden="1">#REF!</definedName>
    <definedName name="OrderTable" localSheetId="37" hidden="1">#REF!</definedName>
    <definedName name="OrderTable" hidden="1">#REF!</definedName>
    <definedName name="_xlnm.Print_Area" localSheetId="24">'01CH'!$A$1:$W$63</definedName>
    <definedName name="_xlnm.Print_Area" localSheetId="15">'01CH_GOC'!$A$1:$Y$63</definedName>
    <definedName name="_xlnm.Print_Area" localSheetId="25">'02CH'!$A$1:$G$62</definedName>
    <definedName name="_xlnm.Print_Area" localSheetId="16">'02CH_GOC'!$A$1:$G$63</definedName>
    <definedName name="_xlnm.Print_Area" localSheetId="17">'03CH_GOC'!$A$3:$AB$81</definedName>
    <definedName name="_xlnm.Print_Area" localSheetId="18">'04CH_GOC'!$A$1:$Z$36</definedName>
    <definedName name="_xlnm.Print_Area" localSheetId="23">'05CH_GOC'!$A$1:$Z$61</definedName>
    <definedName name="_xlnm.Print_Area" localSheetId="26">'06CH'!$A$1:$Y$76</definedName>
    <definedName name="_xlnm.Print_Area" localSheetId="28">'08CH'!$A$1:$W$61</definedName>
    <definedName name="_xlnm.Print_Area" localSheetId="29">'09CH'!$A$1:$W$61</definedName>
    <definedName name="_xlnm.Print_Area" localSheetId="31">'11CH'!$A$1:$AC$61</definedName>
    <definedName name="_xlnm.Print_Area" localSheetId="22">'11CH_GOC'!$A$1:$AC$61</definedName>
    <definedName name="_xlnm.Print_Area" localSheetId="21">'12CH_GOC'!$A$1:$BM$64</definedName>
    <definedName name="_xlnm.Print_Area" localSheetId="19">'12CH_hieu chinh'!$A$1:$BJ$64</definedName>
    <definedName name="_xlnm.Print_Area" localSheetId="32">'13CH '!$A$1:$BK$65</definedName>
    <definedName name="_xlnm.Print_Area" localSheetId="30">'BIEU 10 CH'!$A$1:$BN$473</definedName>
    <definedName name="_xlnm.Print_Area" localSheetId="20">'Bieu huyen'!$A$1:$C$22</definedName>
    <definedName name="_xlnm.Print_Area" localSheetId="36">'Phu bieu 01 (DG)'!$A$1:$AZ$934</definedName>
    <definedName name="_xlnm.Print_Area" localSheetId="37">'Phu bieu 02 (DM)'!$A$1:$BF$1763</definedName>
    <definedName name="_xlnm.Print_Titles" localSheetId="15">'01CH_GOC'!#REF!</definedName>
    <definedName name="_xlnm.Print_Titles" localSheetId="16">'02CH_GOC'!#REF!</definedName>
    <definedName name="_xlnm.Print_Titles" localSheetId="17">'03CH_GOC'!$6:$7</definedName>
    <definedName name="_xlnm.Print_Titles" localSheetId="18">'04CH_GOC'!$4:$5</definedName>
    <definedName name="_xlnm.Print_Titles" localSheetId="23">'05CH_GOC'!$4:$5</definedName>
    <definedName name="_xlnm.Print_Titles" localSheetId="26">'06CH'!$5:$6</definedName>
    <definedName name="_xlnm.Print_Titles" localSheetId="27">'07CH'!$5:$6</definedName>
    <definedName name="_xlnm.Print_Titles" localSheetId="28">'08CH'!$5:$6</definedName>
    <definedName name="_xlnm.Print_Titles" localSheetId="29">'09CH'!$5:$6</definedName>
    <definedName name="_xlnm.Print_Titles" localSheetId="30">'BIEU 10 CH'!$5:$7</definedName>
    <definedName name="_xlnm.Print_Titles" localSheetId="36">'Phu bieu 01 (DG)'!$5:$7</definedName>
    <definedName name="_xlnm.Print_Titles" localSheetId="37">'Phu bieu 02 (DM)'!$5:$6</definedName>
    <definedName name="ProdForm" localSheetId="15" hidden="1">#REF!</definedName>
    <definedName name="ProdForm" localSheetId="25" hidden="1">#REF!</definedName>
    <definedName name="ProdForm" localSheetId="16" hidden="1">#REF!</definedName>
    <definedName name="ProdForm" localSheetId="17" hidden="1">#REF!</definedName>
    <definedName name="ProdForm" localSheetId="18" hidden="1">#REF!</definedName>
    <definedName name="ProdForm" localSheetId="23" hidden="1">#REF!</definedName>
    <definedName name="ProdForm" localSheetId="22" hidden="1">#REF!</definedName>
    <definedName name="ProdForm" localSheetId="21" hidden="1">#REF!</definedName>
    <definedName name="ProdForm" localSheetId="36" hidden="1">#REF!</definedName>
    <definedName name="ProdForm" localSheetId="37" hidden="1">#REF!</definedName>
    <definedName name="ProdForm" hidden="1">#REF!</definedName>
    <definedName name="Product" localSheetId="15" hidden="1">#REF!</definedName>
    <definedName name="Product" localSheetId="25" hidden="1">#REF!</definedName>
    <definedName name="Product" localSheetId="16" hidden="1">#REF!</definedName>
    <definedName name="Product" localSheetId="18" hidden="1">#REF!</definedName>
    <definedName name="Product" localSheetId="23" hidden="1">#REF!</definedName>
    <definedName name="Product" localSheetId="22" hidden="1">#REF!</definedName>
    <definedName name="Product" localSheetId="21" hidden="1">#REF!</definedName>
    <definedName name="Product" localSheetId="36" hidden="1">#REF!</definedName>
    <definedName name="Product" localSheetId="37" hidden="1">#REF!</definedName>
    <definedName name="Product" hidden="1">#REF!</definedName>
    <definedName name="qa" localSheetId="15" hidden="1">{"'Sheet1'!$L$16"}</definedName>
    <definedName name="qa" localSheetId="25" hidden="1">{"'Sheet1'!$L$16"}</definedName>
    <definedName name="qa" localSheetId="16" hidden="1">{"'Sheet1'!$L$16"}</definedName>
    <definedName name="qa" localSheetId="17" hidden="1">{"'Sheet1'!$L$16"}</definedName>
    <definedName name="qa" localSheetId="18" hidden="1">{"'Sheet1'!$L$16"}</definedName>
    <definedName name="qa" localSheetId="23" hidden="1">{"'Sheet1'!$L$16"}</definedName>
    <definedName name="qa" localSheetId="22" hidden="1">{"'Sheet1'!$L$16"}</definedName>
    <definedName name="qa" localSheetId="21" hidden="1">{"'Sheet1'!$L$16"}</definedName>
    <definedName name="qa" localSheetId="36" hidden="1">{"'Sheet1'!$L$16"}</definedName>
    <definedName name="qa" hidden="1">{"'Sheet1'!$L$16"}</definedName>
    <definedName name="QHSDD_THOP" localSheetId="15" hidden="1">#REF!</definedName>
    <definedName name="QHSDD_THOP" localSheetId="25" hidden="1">#REF!</definedName>
    <definedName name="QHSDD_THOP" localSheetId="16" hidden="1">#REF!</definedName>
    <definedName name="QHSDD_THOP" localSheetId="18" hidden="1">#REF!</definedName>
    <definedName name="QHSDD_THOP" localSheetId="23" hidden="1">#REF!</definedName>
    <definedName name="QHSDD_THOP" localSheetId="22" hidden="1">#REF!</definedName>
    <definedName name="QHSDD_THOP" localSheetId="21" hidden="1">#REF!</definedName>
    <definedName name="QHSDD_THOP" localSheetId="36" hidden="1">#REF!</definedName>
    <definedName name="QHSDD_THOP" localSheetId="37" hidden="1">#REF!</definedName>
    <definedName name="QHSDD_THOP" hidden="1">#REF!</definedName>
    <definedName name="qq" localSheetId="15" hidden="1">{"'Sheet1'!$L$16"}</definedName>
    <definedName name="qq" localSheetId="25" hidden="1">{"'Sheet1'!$L$16"}</definedName>
    <definedName name="qq" localSheetId="16" hidden="1">{"'Sheet1'!$L$16"}</definedName>
    <definedName name="qq" localSheetId="17" hidden="1">{"'Sheet1'!$L$16"}</definedName>
    <definedName name="qq" localSheetId="18" hidden="1">{"'Sheet1'!$L$16"}</definedName>
    <definedName name="qq" localSheetId="23" hidden="1">{"'Sheet1'!$L$16"}</definedName>
    <definedName name="qq" localSheetId="22" hidden="1">{"'Sheet1'!$L$16"}</definedName>
    <definedName name="qq" localSheetId="21" hidden="1">{"'Sheet1'!$L$16"}</definedName>
    <definedName name="qq" localSheetId="36" hidden="1">{"'Sheet1'!$L$16"}</definedName>
    <definedName name="qq" hidden="1">{"'Sheet1'!$L$16"}</definedName>
    <definedName name="Ranhxay" localSheetId="15" hidden="1">{"'Sheet1'!$L$16"}</definedName>
    <definedName name="Ranhxay" localSheetId="25" hidden="1">{"'Sheet1'!$L$16"}</definedName>
    <definedName name="Ranhxay" localSheetId="16" hidden="1">{"'Sheet1'!$L$16"}</definedName>
    <definedName name="Ranhxay" localSheetId="17" hidden="1">{"'Sheet1'!$L$16"}</definedName>
    <definedName name="Ranhxay" localSheetId="18" hidden="1">{"'Sheet1'!$L$16"}</definedName>
    <definedName name="Ranhxay" localSheetId="23" hidden="1">{"'Sheet1'!$L$16"}</definedName>
    <definedName name="Ranhxay" localSheetId="22" hidden="1">{"'Sheet1'!$L$16"}</definedName>
    <definedName name="Ranhxay" localSheetId="21" hidden="1">{"'Sheet1'!$L$16"}</definedName>
    <definedName name="Ranhxay" localSheetId="36" hidden="1">{"'Sheet1'!$L$16"}</definedName>
    <definedName name="Ranhxay" hidden="1">{"'Sheet1'!$L$16"}</definedName>
    <definedName name="RCArea" localSheetId="15" hidden="1">#REF!</definedName>
    <definedName name="RCArea" localSheetId="25" hidden="1">#REF!</definedName>
    <definedName name="RCArea" localSheetId="16" hidden="1">#REF!</definedName>
    <definedName name="RCArea" localSheetId="18" hidden="1">#REF!</definedName>
    <definedName name="RCArea" localSheetId="23" hidden="1">#REF!</definedName>
    <definedName name="RCArea" localSheetId="22" hidden="1">#REF!</definedName>
    <definedName name="RCArea" localSheetId="21" hidden="1">#REF!</definedName>
    <definedName name="RCArea" localSheetId="36" hidden="1">#REF!</definedName>
    <definedName name="RCArea" localSheetId="37" hidden="1">#REF!</definedName>
    <definedName name="RCArea" hidden="1">#REF!</definedName>
    <definedName name="sencount" hidden="1">2</definedName>
    <definedName name="SpecialPrice" localSheetId="15" hidden="1">#REF!</definedName>
    <definedName name="SpecialPrice" localSheetId="25" hidden="1">#REF!</definedName>
    <definedName name="SpecialPrice" localSheetId="16" hidden="1">#REF!</definedName>
    <definedName name="SpecialPrice" localSheetId="17" hidden="1">#REF!</definedName>
    <definedName name="SpecialPrice" localSheetId="18" hidden="1">#REF!</definedName>
    <definedName name="SpecialPrice" localSheetId="23" hidden="1">#REF!</definedName>
    <definedName name="SpecialPrice" localSheetId="22" hidden="1">#REF!</definedName>
    <definedName name="SpecialPrice" localSheetId="21" hidden="1">#REF!</definedName>
    <definedName name="SpecialPrice" localSheetId="36" hidden="1">#REF!</definedName>
    <definedName name="SpecialPrice" localSheetId="37" hidden="1">#REF!</definedName>
    <definedName name="SpecialPrice" hidden="1">#REF!</definedName>
    <definedName name="ss" localSheetId="15" hidden="1">#REF!</definedName>
    <definedName name="ss" localSheetId="25" hidden="1">#REF!</definedName>
    <definedName name="ss" localSheetId="16" hidden="1">#REF!</definedName>
    <definedName name="ss" localSheetId="18" hidden="1">#REF!</definedName>
    <definedName name="ss" localSheetId="23" hidden="1">#REF!</definedName>
    <definedName name="ss" localSheetId="22" hidden="1">#REF!</definedName>
    <definedName name="ss" localSheetId="21" hidden="1">#REF!</definedName>
    <definedName name="ss" localSheetId="36" hidden="1">#REF!</definedName>
    <definedName name="ss" localSheetId="37" hidden="1">#REF!</definedName>
    <definedName name="ss" hidden="1">#REF!</definedName>
    <definedName name="TatBo" localSheetId="15" hidden="1">{"'Sheet1'!$L$16"}</definedName>
    <definedName name="TatBo" localSheetId="25" hidden="1">{"'Sheet1'!$L$16"}</definedName>
    <definedName name="TatBo" localSheetId="16" hidden="1">{"'Sheet1'!$L$16"}</definedName>
    <definedName name="TatBo" localSheetId="17" hidden="1">{"'Sheet1'!$L$16"}</definedName>
    <definedName name="TatBo" localSheetId="18" hidden="1">{"'Sheet1'!$L$16"}</definedName>
    <definedName name="TatBo" localSheetId="23" hidden="1">{"'Sheet1'!$L$16"}</definedName>
    <definedName name="TatBo" localSheetId="22" hidden="1">{"'Sheet1'!$L$16"}</definedName>
    <definedName name="TatBo" localSheetId="21" hidden="1">{"'Sheet1'!$L$16"}</definedName>
    <definedName name="TatBo" localSheetId="36" hidden="1">{"'Sheet1'!$L$16"}</definedName>
    <definedName name="TatBo" hidden="1">{"'Sheet1'!$L$16"}</definedName>
    <definedName name="tbl_ProdInfo" localSheetId="15" hidden="1">#REF!</definedName>
    <definedName name="tbl_ProdInfo" localSheetId="25" hidden="1">#REF!</definedName>
    <definedName name="tbl_ProdInfo" localSheetId="16" hidden="1">#REF!</definedName>
    <definedName name="tbl_ProdInfo" localSheetId="18" hidden="1">#REF!</definedName>
    <definedName name="tbl_ProdInfo" localSheetId="23" hidden="1">#REF!</definedName>
    <definedName name="tbl_ProdInfo" localSheetId="22" hidden="1">#REF!</definedName>
    <definedName name="tbl_ProdInfo" localSheetId="21" hidden="1">#REF!</definedName>
    <definedName name="tbl_ProdInfo" localSheetId="36" hidden="1">#REF!</definedName>
    <definedName name="tbl_ProdInfo" localSheetId="37" hidden="1">#REF!</definedName>
    <definedName name="tbl_ProdInfo" hidden="1">#REF!</definedName>
    <definedName name="tet" localSheetId="15" hidden="1">{0,#NULL!,0,FALSE;0,0,0,0;0,0,0,7.29290327383173E-304;0,0,0,0;0,0,0,0;0,0,0,0;0,0,0,0}</definedName>
    <definedName name="tet" localSheetId="25" hidden="1">{0,#NULL!,0,FALSE;0,0,0,0;0,0,0,7.29290327383173E-304;0,0,0,0;0,0,0,0;0,0,0,0;0,0,0,0}</definedName>
    <definedName name="tet" localSheetId="16" hidden="1">{0,#NULL!,0,FALSE;0,0,0,0;0,0,0,7.29290327383173E-304;0,0,0,0;0,0,0,0;0,0,0,0;0,0,0,0}</definedName>
    <definedName name="tet" localSheetId="17" hidden="1">{0,#NULL!,0,FALSE;0,0,0,0;0,0,0,7.29290327383173E-304;0,0,0,0;0,0,0,0;0,0,0,0;0,0,0,0}</definedName>
    <definedName name="tet" localSheetId="18" hidden="1">{0,#NULL!,0,FALSE;0,0,0,0;0,0,0,7.29290327383173E-304;0,0,0,0;0,0,0,0;0,0,0,0;0,0,0,0}</definedName>
    <definedName name="tet" localSheetId="23" hidden="1">{0,#NULL!,0,FALSE;0,0,0,0;0,0,0,7.29290327383173E-304;0,0,0,0;0,0,0,0;0,0,0,0;0,0,0,0}</definedName>
    <definedName name="tet" localSheetId="22" hidden="1">{0,#NULL!,0,FALSE;0,0,0,0;0,0,0,7.29290327383173E-304;0,0,0,0;0,0,0,0;0,0,0,0;0,0,0,0}</definedName>
    <definedName name="tet" localSheetId="21" hidden="1">{0,#NULL!,0,FALSE;0,0,0,0;0,0,0,7.29290327383173E-304;0,0,0,0;0,0,0,0;0,0,0,0;0,0,0,0}</definedName>
    <definedName name="tet" localSheetId="36" hidden="1">{0,#NULL!,0,FALSE;0,0,0,0;0,0,0,7.29290327383173E-304;0,0,0,0;0,0,0,0;0,0,0,0;0,0,0,0}</definedName>
    <definedName name="tet" hidden="1">{0,#NULL!,0,FALSE;0,0,0,0;0,0,0,7.29290327383173E-304;0,0,0,0;0,0,0,0;0,0,0,0;0,0,0,0}</definedName>
    <definedName name="tha" localSheetId="15" hidden="1">{"'Sheet1'!$L$16"}</definedName>
    <definedName name="tha" localSheetId="25" hidden="1">{"'Sheet1'!$L$16"}</definedName>
    <definedName name="tha" localSheetId="16" hidden="1">{"'Sheet1'!$L$16"}</definedName>
    <definedName name="tha" localSheetId="17" hidden="1">{"'Sheet1'!$L$16"}</definedName>
    <definedName name="tha" localSheetId="18" hidden="1">{"'Sheet1'!$L$16"}</definedName>
    <definedName name="tha" localSheetId="23" hidden="1">{"'Sheet1'!$L$16"}</definedName>
    <definedName name="tha" localSheetId="22" hidden="1">{"'Sheet1'!$L$16"}</definedName>
    <definedName name="tha" localSheetId="21" hidden="1">{"'Sheet1'!$L$16"}</definedName>
    <definedName name="tha" localSheetId="36" hidden="1">{"'Sheet1'!$L$16"}</definedName>
    <definedName name="tha" hidden="1">{"'Sheet1'!$L$16"}</definedName>
    <definedName name="THKL" localSheetId="15" hidden="1">{"'Sheet1'!$L$16"}</definedName>
    <definedName name="THKL" localSheetId="25" hidden="1">{"'Sheet1'!$L$16"}</definedName>
    <definedName name="THKL" localSheetId="16" hidden="1">{"'Sheet1'!$L$16"}</definedName>
    <definedName name="THKL" localSheetId="17" hidden="1">{"'Sheet1'!$L$16"}</definedName>
    <definedName name="THKL" localSheetId="18" hidden="1">{"'Sheet1'!$L$16"}</definedName>
    <definedName name="THKL" localSheetId="23" hidden="1">{"'Sheet1'!$L$16"}</definedName>
    <definedName name="THKL" localSheetId="22" hidden="1">{"'Sheet1'!$L$16"}</definedName>
    <definedName name="THKL" localSheetId="21" hidden="1">{"'Sheet1'!$L$16"}</definedName>
    <definedName name="THKL" localSheetId="36" hidden="1">{"'Sheet1'!$L$16"}</definedName>
    <definedName name="THKL" hidden="1">{"'Sheet1'!$L$16"}</definedName>
    <definedName name="tonghop" localSheetId="15" hidden="1">{"'Sheet1'!$L$16"}</definedName>
    <definedName name="tonghop" localSheetId="25" hidden="1">{"'Sheet1'!$L$16"}</definedName>
    <definedName name="tonghop" localSheetId="16" hidden="1">{"'Sheet1'!$L$16"}</definedName>
    <definedName name="tonghop" localSheetId="17" hidden="1">{"'Sheet1'!$L$16"}</definedName>
    <definedName name="tonghop" localSheetId="18" hidden="1">{"'Sheet1'!$L$16"}</definedName>
    <definedName name="tonghop" localSheetId="23" hidden="1">{"'Sheet1'!$L$16"}</definedName>
    <definedName name="tonghop" localSheetId="22" hidden="1">{"'Sheet1'!$L$16"}</definedName>
    <definedName name="tonghop" localSheetId="21" hidden="1">{"'Sheet1'!$L$16"}</definedName>
    <definedName name="tonghop" localSheetId="36" hidden="1">{"'Sheet1'!$L$16"}</definedName>
    <definedName name="tonghop" hidden="1">{"'Sheet1'!$L$16"}</definedName>
    <definedName name="vinh" localSheetId="15" hidden="1">{"'Sheet1'!$L$16"}</definedName>
    <definedName name="vinh" localSheetId="25" hidden="1">{"'Sheet1'!$L$16"}</definedName>
    <definedName name="vinh" localSheetId="16" hidden="1">{"'Sheet1'!$L$16"}</definedName>
    <definedName name="vinh" localSheetId="17" hidden="1">{"'Sheet1'!$L$16"}</definedName>
    <definedName name="vinh" localSheetId="18" hidden="1">{"'Sheet1'!$L$16"}</definedName>
    <definedName name="vinh" localSheetId="23" hidden="1">{"'Sheet1'!$L$16"}</definedName>
    <definedName name="vinh" localSheetId="22" hidden="1">{"'Sheet1'!$L$16"}</definedName>
    <definedName name="vinh" localSheetId="21" hidden="1">{"'Sheet1'!$L$16"}</definedName>
    <definedName name="vinh" localSheetId="36" hidden="1">{"'Sheet1'!$L$16"}</definedName>
    <definedName name="vinh" hidden="1">{"'Sheet1'!$L$16"}</definedName>
    <definedName name="VKTTDMT" localSheetId="15" hidden="1">{"'Sheet1'!$L$16"}</definedName>
    <definedName name="VKTTDMT" localSheetId="25" hidden="1">{"'Sheet1'!$L$16"}</definedName>
    <definedName name="VKTTDMT" localSheetId="16" hidden="1">{"'Sheet1'!$L$16"}</definedName>
    <definedName name="VKTTDMT" localSheetId="17" hidden="1">{"'Sheet1'!$L$16"}</definedName>
    <definedName name="VKTTDMT" localSheetId="18" hidden="1">{"'Sheet1'!$L$16"}</definedName>
    <definedName name="VKTTDMT" localSheetId="23" hidden="1">{"'Sheet1'!$L$16"}</definedName>
    <definedName name="VKTTDMT" localSheetId="22" hidden="1">{"'Sheet1'!$L$16"}</definedName>
    <definedName name="VKTTDMT" localSheetId="21" hidden="1">{"'Sheet1'!$L$16"}</definedName>
    <definedName name="VKTTDMT" localSheetId="36" hidden="1">{"'Sheet1'!$L$16"}</definedName>
    <definedName name="VKTTDMT" hidden="1">{"'Sheet1'!$L$16"}</definedName>
    <definedName name="VUNGTB" localSheetId="15" hidden="1">{"'Sheet1'!$L$16"}</definedName>
    <definedName name="VUNGTB" localSheetId="25" hidden="1">{"'Sheet1'!$L$16"}</definedName>
    <definedName name="VUNGTB" localSheetId="16" hidden="1">{"'Sheet1'!$L$16"}</definedName>
    <definedName name="VUNGTB" localSheetId="17" hidden="1">{"'Sheet1'!$L$16"}</definedName>
    <definedName name="VUNGTB" localSheetId="18" hidden="1">{"'Sheet1'!$L$16"}</definedName>
    <definedName name="VUNGTB" localSheetId="23" hidden="1">{"'Sheet1'!$L$16"}</definedName>
    <definedName name="VUNGTB" localSheetId="22" hidden="1">{"'Sheet1'!$L$16"}</definedName>
    <definedName name="VUNGTB" localSheetId="21" hidden="1">{"'Sheet1'!$L$16"}</definedName>
    <definedName name="VUNGTB" localSheetId="36" hidden="1">{"'Sheet1'!$L$16"}</definedName>
    <definedName name="VUNGTB" hidden="1">{"'Sheet1'!$L$16"}</definedName>
    <definedName name="wrn.chi._.tiÆt." localSheetId="15" hidden="1">{#N/A,#N/A,FALSE,"Chi tiÆt"}</definedName>
    <definedName name="wrn.chi._.tiÆt." localSheetId="25" hidden="1">{#N/A,#N/A,FALSE,"Chi tiÆt"}</definedName>
    <definedName name="wrn.chi._.tiÆt." localSheetId="16" hidden="1">{#N/A,#N/A,FALSE,"Chi tiÆt"}</definedName>
    <definedName name="wrn.chi._.tiÆt." localSheetId="17" hidden="1">{#N/A,#N/A,FALSE,"Chi tiÆt"}</definedName>
    <definedName name="wrn.chi._.tiÆt." localSheetId="18" hidden="1">{#N/A,#N/A,FALSE,"Chi tiÆt"}</definedName>
    <definedName name="wrn.chi._.tiÆt." localSheetId="23" hidden="1">{#N/A,#N/A,FALSE,"Chi tiÆt"}</definedName>
    <definedName name="wrn.chi._.tiÆt." localSheetId="22" hidden="1">{#N/A,#N/A,FALSE,"Chi tiÆt"}</definedName>
    <definedName name="wrn.chi._.tiÆt." localSheetId="21" hidden="1">{#N/A,#N/A,FALSE,"Chi tiÆt"}</definedName>
    <definedName name="wrn.chi._.tiÆt." localSheetId="36" hidden="1">{#N/A,#N/A,FALSE,"Chi tiÆt"}</definedName>
    <definedName name="wrn.chi._.tiÆt." hidden="1">{#N/A,#N/A,FALSE,"Chi tiÆt"}</definedName>
    <definedName name="wrn.Report." localSheetId="15" hidden="1">{"Offgrid",#N/A,FALSE,"OFFGRID";"Region",#N/A,FALSE,"REGION";"Offgrid -2",#N/A,FALSE,"OFFGRID";"WTP",#N/A,FALSE,"WTP";"WTP -2",#N/A,FALSE,"WTP";"Project",#N/A,FALSE,"PROJECT";"Summary -2",#N/A,FALSE,"SUMMARY"}</definedName>
    <definedName name="wrn.Report." localSheetId="25" hidden="1">{"Offgrid",#N/A,FALSE,"OFFGRID";"Region",#N/A,FALSE,"REGION";"Offgrid -2",#N/A,FALSE,"OFFGRID";"WTP",#N/A,FALSE,"WTP";"WTP -2",#N/A,FALSE,"WTP";"Project",#N/A,FALSE,"PROJECT";"Summary -2",#N/A,FALSE,"SUMMARY"}</definedName>
    <definedName name="wrn.Report." localSheetId="16" hidden="1">{"Offgrid",#N/A,FALSE,"OFFGRID";"Region",#N/A,FALSE,"REGION";"Offgrid -2",#N/A,FALSE,"OFFGRID";"WTP",#N/A,FALSE,"WTP";"WTP -2",#N/A,FALSE,"WTP";"Project",#N/A,FALSE,"PROJECT";"Summary -2",#N/A,FALSE,"SUMMARY"}</definedName>
    <definedName name="wrn.Report." localSheetId="17" hidden="1">{"Offgrid",#N/A,FALSE,"OFFGRID";"Region",#N/A,FALSE,"REGION";"Offgrid -2",#N/A,FALSE,"OFFGRID";"WTP",#N/A,FALSE,"WTP";"WTP -2",#N/A,FALSE,"WTP";"Project",#N/A,FALSE,"PROJECT";"Summary -2",#N/A,FALSE,"SUMMARY"}</definedName>
    <definedName name="wrn.Report." localSheetId="18" hidden="1">{"Offgrid",#N/A,FALSE,"OFFGRID";"Region",#N/A,FALSE,"REGION";"Offgrid -2",#N/A,FALSE,"OFFGRID";"WTP",#N/A,FALSE,"WTP";"WTP -2",#N/A,FALSE,"WTP";"Project",#N/A,FALSE,"PROJECT";"Summary -2",#N/A,FALSE,"SUMMARY"}</definedName>
    <definedName name="wrn.Report." localSheetId="23" hidden="1">{"Offgrid",#N/A,FALSE,"OFFGRID";"Region",#N/A,FALSE,"REGION";"Offgrid -2",#N/A,FALSE,"OFFGRID";"WTP",#N/A,FALSE,"WTP";"WTP -2",#N/A,FALSE,"WTP";"Project",#N/A,FALSE,"PROJECT";"Summary -2",#N/A,FALSE,"SUMMARY"}</definedName>
    <definedName name="wrn.Report." localSheetId="22" hidden="1">{"Offgrid",#N/A,FALSE,"OFFGRID";"Region",#N/A,FALSE,"REGION";"Offgrid -2",#N/A,FALSE,"OFFGRID";"WTP",#N/A,FALSE,"WTP";"WTP -2",#N/A,FALSE,"WTP";"Project",#N/A,FALSE,"PROJECT";"Summary -2",#N/A,FALSE,"SUMMARY"}</definedName>
    <definedName name="wrn.Report." localSheetId="21" hidden="1">{"Offgrid",#N/A,FALSE,"OFFGRID";"Region",#N/A,FALSE,"REGION";"Offgrid -2",#N/A,FALSE,"OFFGRID";"WTP",#N/A,FALSE,"WTP";"WTP -2",#N/A,FALSE,"WTP";"Project",#N/A,FALSE,"PROJECT";"Summary -2",#N/A,FALSE,"SUMMARY"}</definedName>
    <definedName name="wrn.Report." localSheetId="36" hidden="1">{"Offgrid",#N/A,FALSE,"OFFGRID";"Region",#N/A,FALSE,"REGION";"Offgrid -2",#N/A,FALSE,"OFFGRID";"WTP",#N/A,FALSE,"WTP";"WTP -2",#N/A,FALSE,"WTP";"Project",#N/A,FALSE,"PROJECT";"Summary -2",#N/A,FALSE,"SUMMARY"}</definedName>
    <definedName name="wrn.Report." hidden="1">{"Offgrid",#N/A,FALSE,"OFFGRID";"Region",#N/A,FALSE,"REGION";"Offgrid -2",#N/A,FALSE,"OFFGRID";"WTP",#N/A,FALSE,"WTP";"WTP -2",#N/A,FALSE,"WTP";"Project",#N/A,FALSE,"PROJECT";"Summary -2",#N/A,FALSE,"SUMMARY"}</definedName>
    <definedName name="wrn.vd." localSheetId="15" hidden="1">{#N/A,#N/A,TRUE,"BT M200 da 10x20"}</definedName>
    <definedName name="wrn.vd." localSheetId="25" hidden="1">{#N/A,#N/A,TRUE,"BT M200 da 10x20"}</definedName>
    <definedName name="wrn.vd." localSheetId="16" hidden="1">{#N/A,#N/A,TRUE,"BT M200 da 10x20"}</definedName>
    <definedName name="wrn.vd." localSheetId="17" hidden="1">{#N/A,#N/A,TRUE,"BT M200 da 10x20"}</definedName>
    <definedName name="wrn.vd." localSheetId="18" hidden="1">{#N/A,#N/A,TRUE,"BT M200 da 10x20"}</definedName>
    <definedName name="wrn.vd." localSheetId="23" hidden="1">{#N/A,#N/A,TRUE,"BT M200 da 10x20"}</definedName>
    <definedName name="wrn.vd." localSheetId="22" hidden="1">{#N/A,#N/A,TRUE,"BT M200 da 10x20"}</definedName>
    <definedName name="wrn.vd." localSheetId="21" hidden="1">{#N/A,#N/A,TRUE,"BT M200 da 10x20"}</definedName>
    <definedName name="wrn.vd." localSheetId="36" hidden="1">{#N/A,#N/A,TRUE,"BT M200 da 10x20"}</definedName>
    <definedName name="wrn.vd." hidden="1">{#N/A,#N/A,TRUE,"BT M200 da 10x20"}</definedName>
    <definedName name="wrnf.report" localSheetId="15" hidden="1">{"Offgrid",#N/A,FALSE,"OFFGRID";"Region",#N/A,FALSE,"REGION";"Offgrid -2",#N/A,FALSE,"OFFGRID";"WTP",#N/A,FALSE,"WTP";"WTP -2",#N/A,FALSE,"WTP";"Project",#N/A,FALSE,"PROJECT";"Summary -2",#N/A,FALSE,"SUMMARY"}</definedName>
    <definedName name="wrnf.report" localSheetId="25" hidden="1">{"Offgrid",#N/A,FALSE,"OFFGRID";"Region",#N/A,FALSE,"REGION";"Offgrid -2",#N/A,FALSE,"OFFGRID";"WTP",#N/A,FALSE,"WTP";"WTP -2",#N/A,FALSE,"WTP";"Project",#N/A,FALSE,"PROJECT";"Summary -2",#N/A,FALSE,"SUMMARY"}</definedName>
    <definedName name="wrnf.report" localSheetId="16" hidden="1">{"Offgrid",#N/A,FALSE,"OFFGRID";"Region",#N/A,FALSE,"REGION";"Offgrid -2",#N/A,FALSE,"OFFGRID";"WTP",#N/A,FALSE,"WTP";"WTP -2",#N/A,FALSE,"WTP";"Project",#N/A,FALSE,"PROJECT";"Summary -2",#N/A,FALSE,"SUMMARY"}</definedName>
    <definedName name="wrnf.report" localSheetId="17" hidden="1">{"Offgrid",#N/A,FALSE,"OFFGRID";"Region",#N/A,FALSE,"REGION";"Offgrid -2",#N/A,FALSE,"OFFGRID";"WTP",#N/A,FALSE,"WTP";"WTP -2",#N/A,FALSE,"WTP";"Project",#N/A,FALSE,"PROJECT";"Summary -2",#N/A,FALSE,"SUMMARY"}</definedName>
    <definedName name="wrnf.report" localSheetId="18" hidden="1">{"Offgrid",#N/A,FALSE,"OFFGRID";"Region",#N/A,FALSE,"REGION";"Offgrid -2",#N/A,FALSE,"OFFGRID";"WTP",#N/A,FALSE,"WTP";"WTP -2",#N/A,FALSE,"WTP";"Project",#N/A,FALSE,"PROJECT";"Summary -2",#N/A,FALSE,"SUMMARY"}</definedName>
    <definedName name="wrnf.report" localSheetId="23" hidden="1">{"Offgrid",#N/A,FALSE,"OFFGRID";"Region",#N/A,FALSE,"REGION";"Offgrid -2",#N/A,FALSE,"OFFGRID";"WTP",#N/A,FALSE,"WTP";"WTP -2",#N/A,FALSE,"WTP";"Project",#N/A,FALSE,"PROJECT";"Summary -2",#N/A,FALSE,"SUMMARY"}</definedName>
    <definedName name="wrnf.report" localSheetId="22" hidden="1">{"Offgrid",#N/A,FALSE,"OFFGRID";"Region",#N/A,FALSE,"REGION";"Offgrid -2",#N/A,FALSE,"OFFGRID";"WTP",#N/A,FALSE,"WTP";"WTP -2",#N/A,FALSE,"WTP";"Project",#N/A,FALSE,"PROJECT";"Summary -2",#N/A,FALSE,"SUMMARY"}</definedName>
    <definedName name="wrnf.report" localSheetId="21" hidden="1">{"Offgrid",#N/A,FALSE,"OFFGRID";"Region",#N/A,FALSE,"REGION";"Offgrid -2",#N/A,FALSE,"OFFGRID";"WTP",#N/A,FALSE,"WTP";"WTP -2",#N/A,FALSE,"WTP";"Project",#N/A,FALSE,"PROJECT";"Summary -2",#N/A,FALSE,"SUMMARY"}</definedName>
    <definedName name="wrnf.report" localSheetId="36" hidden="1">{"Offgrid",#N/A,FALSE,"OFFGRID";"Region",#N/A,FALSE,"REGION";"Offgrid -2",#N/A,FALSE,"OFFGRID";"WTP",#N/A,FALSE,"WTP";"WTP -2",#N/A,FALSE,"WTP";"Project",#N/A,FALSE,"PROJECT";"Summary -2",#N/A,FALSE,"SUMMARY"}</definedName>
    <definedName name="wrnf.report" hidden="1">{"Offgrid",#N/A,FALSE,"OFFGRID";"Region",#N/A,FALSE,"REGION";"Offgrid -2",#N/A,FALSE,"OFFGRID";"WTP",#N/A,FALSE,"WTP";"WTP -2",#N/A,FALSE,"WTP";"Project",#N/A,FALSE,"PROJECT";"Summary -2",#N/A,FALSE,"SUMMARY"}</definedName>
    <definedName name="y" localSheetId="15" hidden="1">{"'Sheet1'!$L$16"}</definedName>
    <definedName name="y" localSheetId="25" hidden="1">{"'Sheet1'!$L$16"}</definedName>
    <definedName name="y" localSheetId="16" hidden="1">{"'Sheet1'!$L$16"}</definedName>
    <definedName name="y" localSheetId="17" hidden="1">{"'Sheet1'!$L$16"}</definedName>
    <definedName name="y" localSheetId="18" hidden="1">{"'Sheet1'!$L$16"}</definedName>
    <definedName name="y" localSheetId="23" hidden="1">{"'Sheet1'!$L$16"}</definedName>
    <definedName name="y" localSheetId="22" hidden="1">{"'Sheet1'!$L$16"}</definedName>
    <definedName name="y" localSheetId="21" hidden="1">{"'Sheet1'!$L$16"}</definedName>
    <definedName name="y" localSheetId="36" hidden="1">{"'Sheet1'!$L$16"}</definedName>
    <definedName name="y" hidden="1">{"'Sheet1'!$L$16"}</definedName>
    <definedName name="ZXzX" localSheetId="15" hidden="1">{"'Sheet1'!$L$16"}</definedName>
    <definedName name="ZXzX" localSheetId="25" hidden="1">{"'Sheet1'!$L$16"}</definedName>
    <definedName name="ZXzX" localSheetId="16" hidden="1">{"'Sheet1'!$L$16"}</definedName>
    <definedName name="ZXzX" localSheetId="17" hidden="1">{"'Sheet1'!$L$16"}</definedName>
    <definedName name="ZXzX" localSheetId="18" hidden="1">{"'Sheet1'!$L$16"}</definedName>
    <definedName name="ZXzX" localSheetId="23" hidden="1">{"'Sheet1'!$L$16"}</definedName>
    <definedName name="ZXzX" localSheetId="22" hidden="1">{"'Sheet1'!$L$16"}</definedName>
    <definedName name="ZXzX" localSheetId="21" hidden="1">{"'Sheet1'!$L$16"}</definedName>
    <definedName name="ZXzX" localSheetId="36" hidden="1">{"'Sheet1'!$L$16"}</definedName>
    <definedName name="ZXzX" hidden="1">{"'Sheet1'!$L$16"}</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29" i="346" l="1"/>
  <c r="A252" i="346"/>
  <c r="A256" i="346"/>
  <c r="A257" i="346" s="1"/>
  <c r="A242" i="346"/>
  <c r="A249" i="346" s="1"/>
  <c r="BJ319" i="346"/>
  <c r="F472" i="346"/>
  <c r="G471" i="346"/>
  <c r="F471" i="346" s="1"/>
  <c r="G470" i="346"/>
  <c r="F470" i="346"/>
  <c r="F469" i="346"/>
  <c r="F468" i="346"/>
  <c r="F466" i="346"/>
  <c r="F465" i="346"/>
  <c r="F464" i="346"/>
  <c r="F463" i="346"/>
  <c r="F462" i="346"/>
  <c r="F461" i="346"/>
  <c r="G460" i="346"/>
  <c r="F460" i="346"/>
  <c r="G458" i="346"/>
  <c r="F458" i="346"/>
  <c r="F457" i="346"/>
  <c r="G456" i="346"/>
  <c r="F456" i="346"/>
  <c r="F455" i="346"/>
  <c r="F454" i="346"/>
  <c r="F453" i="346"/>
  <c r="F452" i="346"/>
  <c r="F451" i="346"/>
  <c r="F450" i="346"/>
  <c r="F449" i="346"/>
  <c r="G448" i="346"/>
  <c r="F448" i="346"/>
  <c r="F447" i="346"/>
  <c r="F446" i="346"/>
  <c r="F445" i="346"/>
  <c r="F444" i="346"/>
  <c r="F443" i="346"/>
  <c r="F442" i="346"/>
  <c r="F441" i="346"/>
  <c r="F440" i="346"/>
  <c r="F439" i="346"/>
  <c r="F438" i="346"/>
  <c r="F437" i="346"/>
  <c r="F436" i="346"/>
  <c r="F435" i="346"/>
  <c r="F434" i="346"/>
  <c r="F433" i="346"/>
  <c r="F432" i="346"/>
  <c r="F431" i="346"/>
  <c r="F430" i="346"/>
  <c r="F429" i="346"/>
  <c r="F428" i="346"/>
  <c r="F427" i="346"/>
  <c r="G425" i="346"/>
  <c r="F425" i="346"/>
  <c r="F424" i="346"/>
  <c r="F419" i="346"/>
  <c r="F418" i="346"/>
  <c r="F417" i="346"/>
  <c r="F416" i="346"/>
  <c r="F415" i="346"/>
  <c r="F414" i="346"/>
  <c r="F413" i="346"/>
  <c r="F412" i="346"/>
  <c r="F410" i="346" s="1"/>
  <c r="F411" i="346"/>
  <c r="G410" i="346"/>
  <c r="F408" i="346"/>
  <c r="F407" i="346"/>
  <c r="BH406" i="346"/>
  <c r="BG406" i="346"/>
  <c r="G406" i="346"/>
  <c r="F406" i="346" s="1"/>
  <c r="F405" i="346"/>
  <c r="F404" i="346"/>
  <c r="F403" i="346"/>
  <c r="F402" i="346"/>
  <c r="F401" i="346"/>
  <c r="F400" i="346"/>
  <c r="F399" i="346" s="1"/>
  <c r="G399" i="346"/>
  <c r="F398" i="346"/>
  <c r="F397" i="346"/>
  <c r="F396" i="346"/>
  <c r="F395" i="346"/>
  <c r="F394" i="346"/>
  <c r="F393" i="346"/>
  <c r="F392" i="346"/>
  <c r="G391" i="346"/>
  <c r="F391" i="346"/>
  <c r="F390" i="346"/>
  <c r="F389" i="346"/>
  <c r="F388" i="346"/>
  <c r="F387" i="346"/>
  <c r="F386" i="346"/>
  <c r="F384" i="346" s="1"/>
  <c r="F385" i="346"/>
  <c r="G384" i="346"/>
  <c r="F381" i="346"/>
  <c r="F380" i="346"/>
  <c r="F379" i="346"/>
  <c r="F378" i="346"/>
  <c r="F377" i="346"/>
  <c r="F376" i="346"/>
  <c r="F375" i="346" s="1"/>
  <c r="G375" i="346"/>
  <c r="F374" i="346"/>
  <c r="F373" i="346"/>
  <c r="F372" i="346"/>
  <c r="F371" i="346"/>
  <c r="F370" i="346" s="1"/>
  <c r="G370" i="346"/>
  <c r="F369" i="346"/>
  <c r="F368" i="346"/>
  <c r="F367" i="346"/>
  <c r="H366" i="346"/>
  <c r="G366" i="346"/>
  <c r="F366" i="346"/>
  <c r="F365" i="346"/>
  <c r="F364" i="346"/>
  <c r="F363" i="346"/>
  <c r="F362" i="346"/>
  <c r="F361" i="346"/>
  <c r="F360" i="346"/>
  <c r="F359" i="346"/>
  <c r="F358" i="346"/>
  <c r="F357" i="346"/>
  <c r="F355" i="346" s="1"/>
  <c r="BJ355" i="346"/>
  <c r="G355" i="346"/>
  <c r="F354" i="346"/>
  <c r="F353" i="346"/>
  <c r="F352" i="346"/>
  <c r="F351" i="346"/>
  <c r="F349" i="346" s="1"/>
  <c r="F350" i="346"/>
  <c r="G349" i="346"/>
  <c r="F348" i="346"/>
  <c r="F347" i="346"/>
  <c r="G346" i="346"/>
  <c r="F346" i="346"/>
  <c r="G345" i="346"/>
  <c r="F345" i="346" s="1"/>
  <c r="F344" i="346"/>
  <c r="F343" i="346"/>
  <c r="F342" i="346"/>
  <c r="F341" i="346"/>
  <c r="F340" i="346"/>
  <c r="F339" i="346"/>
  <c r="G338" i="346"/>
  <c r="F338" i="346"/>
  <c r="F337" i="346"/>
  <c r="F336" i="346"/>
  <c r="F335" i="346"/>
  <c r="G334" i="346"/>
  <c r="F334" i="346"/>
  <c r="F333" i="346"/>
  <c r="F332" i="346"/>
  <c r="F331" i="346"/>
  <c r="F330" i="346"/>
  <c r="F329" i="346"/>
  <c r="F328" i="346"/>
  <c r="F327" i="346"/>
  <c r="F326" i="346"/>
  <c r="F319" i="346" s="1"/>
  <c r="F325" i="346"/>
  <c r="F324" i="346"/>
  <c r="F323" i="346"/>
  <c r="F322" i="346"/>
  <c r="F321" i="346"/>
  <c r="F320" i="346"/>
  <c r="G319" i="346"/>
  <c r="F318" i="346"/>
  <c r="F317" i="346"/>
  <c r="BJ316" i="346"/>
  <c r="BI316" i="346"/>
  <c r="G316" i="346"/>
  <c r="G315" i="346" s="1"/>
  <c r="G310" i="346" s="1"/>
  <c r="F314" i="346"/>
  <c r="G313" i="346"/>
  <c r="F313" i="346" s="1"/>
  <c r="H312" i="346"/>
  <c r="F312" i="346"/>
  <c r="F311" i="346" s="1"/>
  <c r="G311" i="346"/>
  <c r="BF310" i="346"/>
  <c r="BC310" i="346"/>
  <c r="BB310" i="346"/>
  <c r="AZ310" i="346"/>
  <c r="AY310" i="346"/>
  <c r="AX310" i="346"/>
  <c r="AW310" i="346"/>
  <c r="AT310" i="346"/>
  <c r="AQ310" i="346"/>
  <c r="AK310" i="346"/>
  <c r="AJ310" i="346"/>
  <c r="AI310" i="346"/>
  <c r="AH310" i="346"/>
  <c r="AG310" i="346"/>
  <c r="AF310" i="346"/>
  <c r="AE310" i="346"/>
  <c r="AD310" i="346"/>
  <c r="AC310" i="346"/>
  <c r="AB310" i="346"/>
  <c r="AA310" i="346"/>
  <c r="W310" i="346"/>
  <c r="U310" i="346"/>
  <c r="T310" i="346"/>
  <c r="S310" i="346"/>
  <c r="O310" i="346"/>
  <c r="N310" i="346"/>
  <c r="M310" i="346"/>
  <c r="K310" i="346"/>
  <c r="J310" i="346"/>
  <c r="H310" i="346"/>
  <c r="H309" i="346"/>
  <c r="F309" i="346"/>
  <c r="H308" i="346"/>
  <c r="F308" i="346"/>
  <c r="H307" i="346"/>
  <c r="F307" i="346" s="1"/>
  <c r="BF306" i="346"/>
  <c r="BC306" i="346"/>
  <c r="BB306" i="346"/>
  <c r="AZ306" i="346"/>
  <c r="AY306" i="346"/>
  <c r="AX306" i="346"/>
  <c r="AW306" i="346"/>
  <c r="AT306" i="346"/>
  <c r="AQ306" i="346"/>
  <c r="AJ306" i="346"/>
  <c r="AI306" i="346"/>
  <c r="AH306" i="346"/>
  <c r="AG306" i="346"/>
  <c r="AF306" i="346"/>
  <c r="AE306" i="346"/>
  <c r="AD306" i="346"/>
  <c r="AC306" i="346"/>
  <c r="AB306" i="346"/>
  <c r="AA306" i="346"/>
  <c r="W306" i="346"/>
  <c r="U306" i="346"/>
  <c r="T306" i="346"/>
  <c r="S306" i="346"/>
  <c r="O306" i="346"/>
  <c r="N306" i="346"/>
  <c r="M306" i="346"/>
  <c r="K306" i="346"/>
  <c r="J306" i="346"/>
  <c r="G306" i="346"/>
  <c r="H305" i="346"/>
  <c r="H304" i="346" s="1"/>
  <c r="F305" i="346"/>
  <c r="BF304" i="346"/>
  <c r="BC304" i="346"/>
  <c r="BB304" i="346"/>
  <c r="AZ304" i="346"/>
  <c r="AY304" i="346"/>
  <c r="AX304" i="346"/>
  <c r="AW304" i="346"/>
  <c r="AW297" i="346" s="1"/>
  <c r="AT304" i="346"/>
  <c r="AQ304" i="346"/>
  <c r="AJ304" i="346"/>
  <c r="AI304" i="346"/>
  <c r="AH304" i="346"/>
  <c r="AG304" i="346"/>
  <c r="AF304" i="346"/>
  <c r="AE304" i="346"/>
  <c r="AD304" i="346"/>
  <c r="AC304" i="346"/>
  <c r="AB304" i="346"/>
  <c r="AA304" i="346"/>
  <c r="W304" i="346"/>
  <c r="U304" i="346"/>
  <c r="T304" i="346"/>
  <c r="S304" i="346"/>
  <c r="O304" i="346"/>
  <c r="N304" i="346"/>
  <c r="M304" i="346"/>
  <c r="K304" i="346"/>
  <c r="J304" i="346"/>
  <c r="G304" i="346"/>
  <c r="F304" i="346" s="1"/>
  <c r="H303" i="346"/>
  <c r="F303" i="346"/>
  <c r="H302" i="346"/>
  <c r="F302" i="346"/>
  <c r="H301" i="346"/>
  <c r="F301" i="346"/>
  <c r="H300" i="346"/>
  <c r="F300" i="346"/>
  <c r="H299" i="346"/>
  <c r="F299" i="346"/>
  <c r="BF298" i="346"/>
  <c r="BC298" i="346"/>
  <c r="BC297" i="346" s="1"/>
  <c r="BB298" i="346"/>
  <c r="AZ298" i="346"/>
  <c r="AY298" i="346"/>
  <c r="AY297" i="346" s="1"/>
  <c r="AX298" i="346"/>
  <c r="AW298" i="346"/>
  <c r="AT298" i="346"/>
  <c r="AQ298" i="346"/>
  <c r="AQ297" i="346" s="1"/>
  <c r="AJ298" i="346"/>
  <c r="AI298" i="346"/>
  <c r="AH298" i="346"/>
  <c r="AG298" i="346"/>
  <c r="AG297" i="346" s="1"/>
  <c r="AF298" i="346"/>
  <c r="AE298" i="346"/>
  <c r="AD298" i="346"/>
  <c r="AC298" i="346"/>
  <c r="AC297" i="346" s="1"/>
  <c r="AB298" i="346"/>
  <c r="AB297" i="346" s="1"/>
  <c r="AA298" i="346"/>
  <c r="W298" i="346"/>
  <c r="U298" i="346"/>
  <c r="U297" i="346" s="1"/>
  <c r="T298" i="346"/>
  <c r="T297" i="346" s="1"/>
  <c r="S298" i="346"/>
  <c r="O298" i="346"/>
  <c r="N298" i="346"/>
  <c r="M298" i="346"/>
  <c r="M297" i="346" s="1"/>
  <c r="K298" i="346"/>
  <c r="J298" i="346"/>
  <c r="H298" i="346"/>
  <c r="G298" i="346"/>
  <c r="F298" i="346" s="1"/>
  <c r="BH297" i="346"/>
  <c r="BH473" i="346" s="1"/>
  <c r="BG297" i="346"/>
  <c r="BG473" i="346" s="1"/>
  <c r="BF297" i="346"/>
  <c r="BE297" i="346"/>
  <c r="BD297" i="346"/>
  <c r="BB297" i="346"/>
  <c r="BA297" i="346"/>
  <c r="AZ297" i="346"/>
  <c r="AX297" i="346"/>
  <c r="AV297" i="346"/>
  <c r="AU297" i="346"/>
  <c r="AT297" i="346"/>
  <c r="AS297" i="346"/>
  <c r="AR297" i="346"/>
  <c r="AP297" i="346"/>
  <c r="AO297" i="346"/>
  <c r="AN297" i="346"/>
  <c r="AM297" i="346"/>
  <c r="AL297" i="346"/>
  <c r="AK297" i="346"/>
  <c r="AJ297" i="346"/>
  <c r="AI297" i="346"/>
  <c r="AH297" i="346"/>
  <c r="AF297" i="346"/>
  <c r="AE297" i="346"/>
  <c r="AD297" i="346"/>
  <c r="AA297" i="346"/>
  <c r="Z297" i="346"/>
  <c r="Y297" i="346"/>
  <c r="X297" i="346"/>
  <c r="W297" i="346"/>
  <c r="V297" i="346"/>
  <c r="S297" i="346"/>
  <c r="R297" i="346"/>
  <c r="Q297" i="346"/>
  <c r="P297" i="346"/>
  <c r="O297" i="346"/>
  <c r="N297" i="346"/>
  <c r="L297" i="346"/>
  <c r="K297" i="346"/>
  <c r="J297" i="346"/>
  <c r="I297" i="346"/>
  <c r="I473" i="346" s="1"/>
  <c r="H296" i="346"/>
  <c r="F296" i="346"/>
  <c r="H295" i="346"/>
  <c r="F295" i="346" s="1"/>
  <c r="H294" i="346"/>
  <c r="F294" i="346" s="1"/>
  <c r="H293" i="346"/>
  <c r="F293" i="346"/>
  <c r="H292" i="346"/>
  <c r="G292" i="346"/>
  <c r="G290" i="346" s="1"/>
  <c r="F292" i="346"/>
  <c r="H291" i="346"/>
  <c r="F291" i="346"/>
  <c r="H290" i="346"/>
  <c r="H289" i="346"/>
  <c r="H288" i="346" s="1"/>
  <c r="F289" i="346"/>
  <c r="BH288" i="346"/>
  <c r="BG288" i="346"/>
  <c r="BF288" i="346"/>
  <c r="BE288" i="346"/>
  <c r="BD288" i="346"/>
  <c r="BC288" i="346"/>
  <c r="BB288" i="346"/>
  <c r="BA288" i="346"/>
  <c r="AZ288" i="346"/>
  <c r="AY288" i="346"/>
  <c r="AX288" i="346"/>
  <c r="AW288" i="346"/>
  <c r="AV288" i="346"/>
  <c r="AU288" i="346"/>
  <c r="AT288" i="346"/>
  <c r="AS288" i="346"/>
  <c r="AR288" i="346"/>
  <c r="AQ288" i="346"/>
  <c r="AP288" i="346"/>
  <c r="AO288" i="346"/>
  <c r="AN288" i="346"/>
  <c r="AM288" i="346"/>
  <c r="AL288" i="346"/>
  <c r="AK288" i="346"/>
  <c r="AJ288" i="346"/>
  <c r="AI288" i="346"/>
  <c r="AH288" i="346"/>
  <c r="AG288" i="346"/>
  <c r="AF288" i="346"/>
  <c r="AE288" i="346"/>
  <c r="AD288" i="346"/>
  <c r="AC288" i="346"/>
  <c r="AB288" i="346"/>
  <c r="AA288" i="346"/>
  <c r="Z288" i="346"/>
  <c r="Y288" i="346"/>
  <c r="X288" i="346"/>
  <c r="W288" i="346"/>
  <c r="V288" i="346"/>
  <c r="U288" i="346"/>
  <c r="T288" i="346"/>
  <c r="S288" i="346"/>
  <c r="R288" i="346"/>
  <c r="Q288" i="346"/>
  <c r="P288" i="346"/>
  <c r="O288" i="346"/>
  <c r="N288" i="346"/>
  <c r="M288" i="346"/>
  <c r="L288" i="346"/>
  <c r="K288" i="346"/>
  <c r="J288" i="346"/>
  <c r="F288" i="346"/>
  <c r="H287" i="346"/>
  <c r="F287" i="346" s="1"/>
  <c r="H286" i="346"/>
  <c r="F286" i="346"/>
  <c r="H285" i="346"/>
  <c r="F285" i="346"/>
  <c r="BH284" i="346"/>
  <c r="BG284" i="346"/>
  <c r="BF284" i="346"/>
  <c r="BE284" i="346"/>
  <c r="BD284" i="346"/>
  <c r="BC284" i="346"/>
  <c r="BB284" i="346"/>
  <c r="BA284" i="346"/>
  <c r="AZ284" i="346"/>
  <c r="AY284" i="346"/>
  <c r="AX284" i="346"/>
  <c r="AW284" i="346"/>
  <c r="AV284" i="346"/>
  <c r="AU284" i="346"/>
  <c r="AT284" i="346"/>
  <c r="AS284" i="346"/>
  <c r="AR284" i="346"/>
  <c r="AQ284" i="346"/>
  <c r="AP284" i="346"/>
  <c r="AO284" i="346"/>
  <c r="AN284" i="346"/>
  <c r="AM284" i="346"/>
  <c r="AL284" i="346"/>
  <c r="AK284" i="346"/>
  <c r="AJ284" i="346"/>
  <c r="AI284" i="346"/>
  <c r="AH284" i="346"/>
  <c r="AG284" i="346"/>
  <c r="AF284" i="346"/>
  <c r="AE284" i="346"/>
  <c r="AD284" i="346"/>
  <c r="AC284" i="346"/>
  <c r="AB284" i="346"/>
  <c r="AA284" i="346"/>
  <c r="Z284" i="346"/>
  <c r="Y284" i="346"/>
  <c r="X284" i="346"/>
  <c r="W284" i="346"/>
  <c r="V284" i="346"/>
  <c r="U284" i="346"/>
  <c r="T284" i="346"/>
  <c r="S284" i="346"/>
  <c r="R284" i="346"/>
  <c r="Q284" i="346"/>
  <c r="P284" i="346"/>
  <c r="O284" i="346"/>
  <c r="N284" i="346"/>
  <c r="M284" i="346"/>
  <c r="L284" i="346"/>
  <c r="K284" i="346"/>
  <c r="J284" i="346"/>
  <c r="H284" i="346"/>
  <c r="G284" i="346"/>
  <c r="F284" i="346" s="1"/>
  <c r="H283" i="346"/>
  <c r="F283" i="346" s="1"/>
  <c r="H282" i="346"/>
  <c r="F282" i="346"/>
  <c r="M281" i="346"/>
  <c r="H281" i="346" s="1"/>
  <c r="F281" i="346" s="1"/>
  <c r="J281" i="346"/>
  <c r="N280" i="346"/>
  <c r="H280" i="346"/>
  <c r="F280" i="346" s="1"/>
  <c r="M279" i="346"/>
  <c r="K279" i="346"/>
  <c r="J279" i="346"/>
  <c r="H279" i="346"/>
  <c r="F279" i="346" s="1"/>
  <c r="H278" i="346"/>
  <c r="F278" i="346" s="1"/>
  <c r="H277" i="346"/>
  <c r="F277" i="346" s="1"/>
  <c r="BH276" i="346"/>
  <c r="BG276" i="346"/>
  <c r="BF276" i="346"/>
  <c r="BE276" i="346"/>
  <c r="BD276" i="346"/>
  <c r="BC276" i="346"/>
  <c r="BB276" i="346"/>
  <c r="BA276" i="346"/>
  <c r="AZ276" i="346"/>
  <c r="AY276" i="346"/>
  <c r="AX276" i="346"/>
  <c r="AW276" i="346"/>
  <c r="AV276" i="346"/>
  <c r="AU276" i="346"/>
  <c r="AT276" i="346"/>
  <c r="AS276" i="346"/>
  <c r="AR276" i="346"/>
  <c r="AQ276" i="346"/>
  <c r="AP276" i="346"/>
  <c r="AO276" i="346"/>
  <c r="AN276" i="346"/>
  <c r="AM276" i="346"/>
  <c r="AL276" i="346"/>
  <c r="AK276" i="346"/>
  <c r="AJ276" i="346"/>
  <c r="AI276" i="346"/>
  <c r="AH276" i="346"/>
  <c r="AG276" i="346"/>
  <c r="AF276" i="346"/>
  <c r="AE276" i="346"/>
  <c r="AD276" i="346"/>
  <c r="AC276" i="346"/>
  <c r="AB276" i="346"/>
  <c r="AA276" i="346"/>
  <c r="Z276" i="346"/>
  <c r="Y276" i="346"/>
  <c r="X276" i="346"/>
  <c r="W276" i="346"/>
  <c r="V276" i="346"/>
  <c r="U276" i="346"/>
  <c r="T276" i="346"/>
  <c r="S276" i="346"/>
  <c r="R276" i="346"/>
  <c r="Q276" i="346"/>
  <c r="P276" i="346"/>
  <c r="O276" i="346"/>
  <c r="N276" i="346"/>
  <c r="L276" i="346"/>
  <c r="K276" i="346"/>
  <c r="J276" i="346"/>
  <c r="G276" i="346"/>
  <c r="H275" i="346"/>
  <c r="F275" i="346" s="1"/>
  <c r="H274" i="346"/>
  <c r="F274" i="346"/>
  <c r="H273" i="346"/>
  <c r="F273" i="346" s="1"/>
  <c r="H272" i="346"/>
  <c r="F272" i="346"/>
  <c r="H271" i="346"/>
  <c r="F271" i="346" s="1"/>
  <c r="H270" i="346"/>
  <c r="F270" i="346"/>
  <c r="H269" i="346"/>
  <c r="F269" i="346" s="1"/>
  <c r="H268" i="346"/>
  <c r="F268" i="346"/>
  <c r="H267" i="346"/>
  <c r="F267" i="346" s="1"/>
  <c r="H266" i="346"/>
  <c r="F266" i="346"/>
  <c r="H265" i="346"/>
  <c r="F265" i="346" s="1"/>
  <c r="H264" i="346"/>
  <c r="F264" i="346"/>
  <c r="H263" i="346"/>
  <c r="F263" i="346" s="1"/>
  <c r="H262" i="346"/>
  <c r="F262" i="346"/>
  <c r="H261" i="346"/>
  <c r="F261" i="346" s="1"/>
  <c r="H260" i="346"/>
  <c r="F260" i="346"/>
  <c r="H259" i="346"/>
  <c r="F259" i="346" s="1"/>
  <c r="H258" i="346"/>
  <c r="F258" i="346"/>
  <c r="BH257" i="346"/>
  <c r="BH236" i="346" s="1"/>
  <c r="BG257" i="346"/>
  <c r="BG236" i="346" s="1"/>
  <c r="BG226" i="346" s="1"/>
  <c r="BF257" i="346"/>
  <c r="BE257" i="346"/>
  <c r="BE236" i="346" s="1"/>
  <c r="BD257" i="346"/>
  <c r="BC257" i="346"/>
  <c r="BB257" i="346"/>
  <c r="BA257" i="346"/>
  <c r="BA236" i="346" s="1"/>
  <c r="AZ257" i="346"/>
  <c r="AY257" i="346"/>
  <c r="AX257" i="346"/>
  <c r="AW257" i="346"/>
  <c r="AW236" i="346" s="1"/>
  <c r="AV257" i="346"/>
  <c r="AV236" i="346" s="1"/>
  <c r="AU257" i="346"/>
  <c r="AT257" i="346"/>
  <c r="AS257" i="346"/>
  <c r="AS236" i="346" s="1"/>
  <c r="AR257" i="346"/>
  <c r="AR236" i="346" s="1"/>
  <c r="AQ257" i="346"/>
  <c r="AQ236" i="346" s="1"/>
  <c r="AQ226" i="346" s="1"/>
  <c r="AP257" i="346"/>
  <c r="AO257" i="346"/>
  <c r="AO236" i="346" s="1"/>
  <c r="AN257" i="346"/>
  <c r="AM257" i="346"/>
  <c r="AL257" i="346"/>
  <c r="AK257" i="346"/>
  <c r="AK236" i="346" s="1"/>
  <c r="AJ257" i="346"/>
  <c r="AI257" i="346"/>
  <c r="AH257" i="346"/>
  <c r="AG257" i="346"/>
  <c r="AG236" i="346" s="1"/>
  <c r="AF257" i="346"/>
  <c r="AF236" i="346" s="1"/>
  <c r="AE257" i="346"/>
  <c r="AD257" i="346"/>
  <c r="AC257" i="346"/>
  <c r="AC236" i="346" s="1"/>
  <c r="AB257" i="346"/>
  <c r="AB236" i="346" s="1"/>
  <c r="AA257" i="346"/>
  <c r="AA236" i="346" s="1"/>
  <c r="Z257" i="346"/>
  <c r="Y257" i="346"/>
  <c r="Y236" i="346" s="1"/>
  <c r="X257" i="346"/>
  <c r="W257" i="346"/>
  <c r="V257" i="346"/>
  <c r="U257" i="346"/>
  <c r="T257" i="346"/>
  <c r="S257" i="346"/>
  <c r="R257" i="346"/>
  <c r="Q257" i="346"/>
  <c r="P257" i="346"/>
  <c r="O257" i="346"/>
  <c r="N257" i="346"/>
  <c r="M257" i="346"/>
  <c r="L257" i="346"/>
  <c r="K257" i="346"/>
  <c r="J257" i="346"/>
  <c r="H257" i="346"/>
  <c r="F257" i="346" s="1"/>
  <c r="N256" i="346"/>
  <c r="H256" i="346"/>
  <c r="F256" i="346" s="1"/>
  <c r="N255" i="346"/>
  <c r="M255" i="346"/>
  <c r="J255" i="346"/>
  <c r="H255" i="346" s="1"/>
  <c r="F255" i="346" s="1"/>
  <c r="J254" i="346"/>
  <c r="H254" i="346" s="1"/>
  <c r="F254" i="346" s="1"/>
  <c r="BF253" i="346"/>
  <c r="U253" i="346"/>
  <c r="N253" i="346"/>
  <c r="H253" i="346" s="1"/>
  <c r="F253" i="346" s="1"/>
  <c r="M253" i="346"/>
  <c r="H252" i="346"/>
  <c r="F252" i="346" s="1"/>
  <c r="M251" i="346"/>
  <c r="H251" i="346" s="1"/>
  <c r="F251" i="346" s="1"/>
  <c r="H250" i="346"/>
  <c r="F250" i="346"/>
  <c r="N249" i="346"/>
  <c r="M249" i="346"/>
  <c r="H248" i="346"/>
  <c r="F248" i="346" s="1"/>
  <c r="M247" i="346"/>
  <c r="H247" i="346"/>
  <c r="F247" i="346" s="1"/>
  <c r="S246" i="346"/>
  <c r="M246" i="346"/>
  <c r="J246" i="346"/>
  <c r="H246" i="346" s="1"/>
  <c r="F246" i="346" s="1"/>
  <c r="N245" i="346"/>
  <c r="M245" i="346"/>
  <c r="H245" i="346" s="1"/>
  <c r="F245" i="346" s="1"/>
  <c r="J245" i="346"/>
  <c r="M244" i="346"/>
  <c r="K244" i="346"/>
  <c r="J244" i="346"/>
  <c r="H244" i="346" s="1"/>
  <c r="F244" i="346" s="1"/>
  <c r="H243" i="346"/>
  <c r="F243" i="346"/>
  <c r="H242" i="346"/>
  <c r="F242" i="346"/>
  <c r="H241" i="346"/>
  <c r="F241" i="346"/>
  <c r="H240" i="346"/>
  <c r="F240" i="346"/>
  <c r="N239" i="346"/>
  <c r="N236" i="346" s="1"/>
  <c r="M239" i="346"/>
  <c r="J239" i="346"/>
  <c r="H238" i="346"/>
  <c r="F238" i="346" s="1"/>
  <c r="H237" i="346"/>
  <c r="F237" i="346" s="1"/>
  <c r="BF236" i="346"/>
  <c r="BD236" i="346"/>
  <c r="BC236" i="346"/>
  <c r="BB236" i="346"/>
  <c r="AZ236" i="346"/>
  <c r="AY236" i="346"/>
  <c r="AX236" i="346"/>
  <c r="AU236" i="346"/>
  <c r="AT236" i="346"/>
  <c r="AP236" i="346"/>
  <c r="AN236" i="346"/>
  <c r="AM236" i="346"/>
  <c r="AL236" i="346"/>
  <c r="AJ236" i="346"/>
  <c r="AI236" i="346"/>
  <c r="AH236" i="346"/>
  <c r="AE236" i="346"/>
  <c r="AD236" i="346"/>
  <c r="Z236" i="346"/>
  <c r="X236" i="346"/>
  <c r="W236" i="346"/>
  <c r="V236" i="346"/>
  <c r="U236" i="346"/>
  <c r="T236" i="346"/>
  <c r="S236" i="346"/>
  <c r="R236" i="346"/>
  <c r="Q236" i="346"/>
  <c r="P236" i="346"/>
  <c r="O236" i="346"/>
  <c r="M236" i="346"/>
  <c r="L236" i="346"/>
  <c r="K236" i="346"/>
  <c r="G236" i="346"/>
  <c r="H235" i="346"/>
  <c r="F235" i="346"/>
  <c r="BF234" i="346"/>
  <c r="BC234" i="346"/>
  <c r="BB234" i="346"/>
  <c r="AZ234" i="346"/>
  <c r="AY234" i="346"/>
  <c r="AX234" i="346"/>
  <c r="AW234" i="346"/>
  <c r="AT234" i="346"/>
  <c r="AQ234" i="346"/>
  <c r="AJ234" i="346"/>
  <c r="AI234" i="346"/>
  <c r="AH234" i="346"/>
  <c r="AG234" i="346"/>
  <c r="AF234" i="346"/>
  <c r="AE234" i="346"/>
  <c r="AD234" i="346"/>
  <c r="AC234" i="346"/>
  <c r="AB234" i="346"/>
  <c r="AA234" i="346"/>
  <c r="W234" i="346"/>
  <c r="U234" i="346"/>
  <c r="T234" i="346"/>
  <c r="S234" i="346"/>
  <c r="O234" i="346"/>
  <c r="N234" i="346"/>
  <c r="M234" i="346"/>
  <c r="K234" i="346"/>
  <c r="J234" i="346"/>
  <c r="H234" i="346" s="1"/>
  <c r="G234" i="346"/>
  <c r="F234" i="346"/>
  <c r="H233" i="346"/>
  <c r="F233" i="346" s="1"/>
  <c r="H232" i="346"/>
  <c r="F232" i="346" s="1"/>
  <c r="BH231" i="346"/>
  <c r="BG231" i="346"/>
  <c r="BF231" i="346"/>
  <c r="BE231" i="346"/>
  <c r="BD231" i="346"/>
  <c r="BC231" i="346"/>
  <c r="BB231" i="346"/>
  <c r="BA231" i="346"/>
  <c r="AZ231" i="346"/>
  <c r="AY231" i="346"/>
  <c r="AX231" i="346"/>
  <c r="AW231" i="346"/>
  <c r="AV231" i="346"/>
  <c r="AU231" i="346"/>
  <c r="AT231" i="346"/>
  <c r="AS231" i="346"/>
  <c r="AR231" i="346"/>
  <c r="AQ231" i="346"/>
  <c r="AP231" i="346"/>
  <c r="AO231" i="346"/>
  <c r="AN231" i="346"/>
  <c r="AM231" i="346"/>
  <c r="AL231" i="346"/>
  <c r="AK231" i="346"/>
  <c r="AJ231" i="346"/>
  <c r="AI231" i="346"/>
  <c r="AH231" i="346"/>
  <c r="AG231" i="346"/>
  <c r="AF231" i="346"/>
  <c r="AE231" i="346"/>
  <c r="AD231" i="346"/>
  <c r="AC231" i="346"/>
  <c r="AB231" i="346"/>
  <c r="AA231" i="346"/>
  <c r="Z231" i="346"/>
  <c r="Y231" i="346"/>
  <c r="X231" i="346"/>
  <c r="W231" i="346"/>
  <c r="V231" i="346"/>
  <c r="U231" i="346"/>
  <c r="T231" i="346"/>
  <c r="S231" i="346"/>
  <c r="R231" i="346"/>
  <c r="Q231" i="346"/>
  <c r="P231" i="346"/>
  <c r="O231" i="346"/>
  <c r="N231" i="346"/>
  <c r="M231" i="346"/>
  <c r="L231" i="346"/>
  <c r="K231" i="346"/>
  <c r="J231" i="346"/>
  <c r="H230" i="346"/>
  <c r="F230" i="346" s="1"/>
  <c r="F229" i="346"/>
  <c r="H228" i="346"/>
  <c r="F228" i="346"/>
  <c r="BH227" i="346"/>
  <c r="BG227" i="346"/>
  <c r="BF227" i="346"/>
  <c r="BF226" i="346" s="1"/>
  <c r="BE227" i="346"/>
  <c r="BE226" i="346" s="1"/>
  <c r="BD227" i="346"/>
  <c r="BC227" i="346"/>
  <c r="BB227" i="346"/>
  <c r="BB226" i="346" s="1"/>
  <c r="BA227" i="346"/>
  <c r="BA226" i="346" s="1"/>
  <c r="AZ227" i="346"/>
  <c r="AY227" i="346"/>
  <c r="AX227" i="346"/>
  <c r="AX226" i="346" s="1"/>
  <c r="AW227" i="346"/>
  <c r="AW226" i="346" s="1"/>
  <c r="AV227" i="346"/>
  <c r="AU227" i="346"/>
  <c r="AT227" i="346"/>
  <c r="AT226" i="346" s="1"/>
  <c r="AS227" i="346"/>
  <c r="AS226" i="346" s="1"/>
  <c r="AR227" i="346"/>
  <c r="AQ227" i="346"/>
  <c r="AP227" i="346"/>
  <c r="AP226" i="346" s="1"/>
  <c r="AO227" i="346"/>
  <c r="AO226" i="346" s="1"/>
  <c r="AN227" i="346"/>
  <c r="AM227" i="346"/>
  <c r="AL227" i="346"/>
  <c r="AL226" i="346" s="1"/>
  <c r="AK227" i="346"/>
  <c r="AK226" i="346" s="1"/>
  <c r="AJ227" i="346"/>
  <c r="AI227" i="346"/>
  <c r="AH227" i="346"/>
  <c r="AH226" i="346" s="1"/>
  <c r="AG227" i="346"/>
  <c r="AG226" i="346" s="1"/>
  <c r="AF227" i="346"/>
  <c r="AE227" i="346"/>
  <c r="AD227" i="346"/>
  <c r="AD226" i="346" s="1"/>
  <c r="AC227" i="346"/>
  <c r="AC226" i="346" s="1"/>
  <c r="AB227" i="346"/>
  <c r="AA227" i="346"/>
  <c r="Z227" i="346"/>
  <c r="Z226" i="346" s="1"/>
  <c r="Y227" i="346"/>
  <c r="Y226" i="346" s="1"/>
  <c r="X227" i="346"/>
  <c r="W227" i="346"/>
  <c r="V227" i="346"/>
  <c r="V226" i="346" s="1"/>
  <c r="U227" i="346"/>
  <c r="U226" i="346" s="1"/>
  <c r="T227" i="346"/>
  <c r="S227" i="346"/>
  <c r="R227" i="346"/>
  <c r="R226" i="346" s="1"/>
  <c r="Q227" i="346"/>
  <c r="Q226" i="346" s="1"/>
  <c r="P227" i="346"/>
  <c r="O227" i="346"/>
  <c r="N227" i="346"/>
  <c r="N226" i="346" s="1"/>
  <c r="M227" i="346"/>
  <c r="L227" i="346"/>
  <c r="K227" i="346"/>
  <c r="J227" i="346"/>
  <c r="G227" i="346"/>
  <c r="BH226" i="346"/>
  <c r="BD226" i="346"/>
  <c r="BC226" i="346"/>
  <c r="AZ226" i="346"/>
  <c r="AY226" i="346"/>
  <c r="AV226" i="346"/>
  <c r="AU226" i="346"/>
  <c r="AR226" i="346"/>
  <c r="AN226" i="346"/>
  <c r="AM226" i="346"/>
  <c r="AJ226" i="346"/>
  <c r="AI226" i="346"/>
  <c r="AF226" i="346"/>
  <c r="AE226" i="346"/>
  <c r="AB226" i="346"/>
  <c r="AA226" i="346"/>
  <c r="X226" i="346"/>
  <c r="W226" i="346"/>
  <c r="T226" i="346"/>
  <c r="S226" i="346"/>
  <c r="P226" i="346"/>
  <c r="O226" i="346"/>
  <c r="L226" i="346"/>
  <c r="K226" i="346"/>
  <c r="I226" i="346"/>
  <c r="G226" i="346"/>
  <c r="H225" i="346"/>
  <c r="F225" i="346" s="1"/>
  <c r="H224" i="346"/>
  <c r="F224" i="346"/>
  <c r="BH223" i="346"/>
  <c r="BG223" i="346"/>
  <c r="BF223" i="346"/>
  <c r="BF222" i="346" s="1"/>
  <c r="BE223" i="346"/>
  <c r="BD223" i="346"/>
  <c r="BC223" i="346"/>
  <c r="BB223" i="346"/>
  <c r="BB222" i="346" s="1"/>
  <c r="BA223" i="346"/>
  <c r="AZ223" i="346"/>
  <c r="AZ222" i="346" s="1"/>
  <c r="AY223" i="346"/>
  <c r="AX223" i="346"/>
  <c r="AX222" i="346" s="1"/>
  <c r="AW223" i="346"/>
  <c r="AV223" i="346"/>
  <c r="AU223" i="346"/>
  <c r="AT223" i="346"/>
  <c r="AT222" i="346" s="1"/>
  <c r="AS223" i="346"/>
  <c r="AR223" i="346"/>
  <c r="AQ223" i="346"/>
  <c r="AP223" i="346"/>
  <c r="AO223" i="346"/>
  <c r="AN223" i="346"/>
  <c r="AM223" i="346"/>
  <c r="AL223" i="346"/>
  <c r="AK223" i="346"/>
  <c r="AJ223" i="346"/>
  <c r="AI223" i="346"/>
  <c r="AH223" i="346"/>
  <c r="AH222" i="346" s="1"/>
  <c r="AG223" i="346"/>
  <c r="AF223" i="346"/>
  <c r="AE223" i="346"/>
  <c r="AD223" i="346"/>
  <c r="AD222" i="346" s="1"/>
  <c r="AC223" i="346"/>
  <c r="AC222" i="346" s="1"/>
  <c r="AB223" i="346"/>
  <c r="AA223" i="346"/>
  <c r="Z223" i="346"/>
  <c r="Y223" i="346"/>
  <c r="X223" i="346"/>
  <c r="W223" i="346"/>
  <c r="V223" i="346"/>
  <c r="U223" i="346"/>
  <c r="U222" i="346" s="1"/>
  <c r="T223" i="346"/>
  <c r="S223" i="346"/>
  <c r="R223" i="346"/>
  <c r="Q223" i="346"/>
  <c r="P223" i="346"/>
  <c r="O223" i="346"/>
  <c r="N223" i="346"/>
  <c r="N222" i="346" s="1"/>
  <c r="M223" i="346"/>
  <c r="L223" i="346"/>
  <c r="K223" i="346"/>
  <c r="J223" i="346"/>
  <c r="J222" i="346" s="1"/>
  <c r="G223" i="346"/>
  <c r="BC222" i="346"/>
  <c r="AY222" i="346"/>
  <c r="AW222" i="346"/>
  <c r="AQ222" i="346"/>
  <c r="AJ222" i="346"/>
  <c r="AI222" i="346"/>
  <c r="AG222" i="346"/>
  <c r="AF222" i="346"/>
  <c r="AE222" i="346"/>
  <c r="AB222" i="346"/>
  <c r="AA222" i="346"/>
  <c r="W222" i="346"/>
  <c r="T222" i="346"/>
  <c r="S222" i="346"/>
  <c r="O222" i="346"/>
  <c r="M222" i="346"/>
  <c r="K222" i="346"/>
  <c r="G222" i="346"/>
  <c r="H221" i="346"/>
  <c r="F221" i="346"/>
  <c r="BF220" i="346"/>
  <c r="BC220" i="346"/>
  <c r="AZ220" i="346"/>
  <c r="AY220" i="346"/>
  <c r="AX220" i="346"/>
  <c r="AW220" i="346"/>
  <c r="AT220" i="346"/>
  <c r="AI220" i="346"/>
  <c r="AH220" i="346"/>
  <c r="AG220" i="346"/>
  <c r="AF220" i="346"/>
  <c r="AE220" i="346"/>
  <c r="AD220" i="346"/>
  <c r="AC220" i="346"/>
  <c r="AA220" i="346"/>
  <c r="W220" i="346"/>
  <c r="U220" i="346"/>
  <c r="T220" i="346"/>
  <c r="S220" i="346"/>
  <c r="O220" i="346"/>
  <c r="N220" i="346"/>
  <c r="M220" i="346"/>
  <c r="K220" i="346"/>
  <c r="J220" i="346"/>
  <c r="H220" i="346"/>
  <c r="F220" i="346" s="1"/>
  <c r="G220" i="346"/>
  <c r="H219" i="346"/>
  <c r="BI218" i="346"/>
  <c r="BH218" i="346"/>
  <c r="BG218" i="346"/>
  <c r="BF218" i="346"/>
  <c r="BE218" i="346"/>
  <c r="BD218" i="346"/>
  <c r="BC218" i="346"/>
  <c r="BB218" i="346"/>
  <c r="BA218" i="346"/>
  <c r="AZ218" i="346"/>
  <c r="AY218" i="346"/>
  <c r="AX218" i="346"/>
  <c r="AW218" i="346"/>
  <c r="AV218" i="346"/>
  <c r="AU218" i="346"/>
  <c r="AT218" i="346"/>
  <c r="AS218" i="346"/>
  <c r="AR218" i="346"/>
  <c r="AQ218" i="346"/>
  <c r="AP218" i="346"/>
  <c r="AO218" i="346"/>
  <c r="AN218" i="346"/>
  <c r="AM218" i="346"/>
  <c r="AL218" i="346"/>
  <c r="AK218" i="346"/>
  <c r="AJ218" i="346"/>
  <c r="AI218" i="346"/>
  <c r="AH218" i="346"/>
  <c r="AG218" i="346"/>
  <c r="AF218" i="346"/>
  <c r="AE218" i="346"/>
  <c r="AD218" i="346"/>
  <c r="AC218" i="346"/>
  <c r="AB218" i="346"/>
  <c r="AA218" i="346"/>
  <c r="Z218" i="346"/>
  <c r="Y218" i="346"/>
  <c r="X218" i="346"/>
  <c r="W218" i="346"/>
  <c r="V218" i="346"/>
  <c r="U218" i="346"/>
  <c r="T218" i="346"/>
  <c r="S218" i="346"/>
  <c r="R218" i="346"/>
  <c r="Q218" i="346"/>
  <c r="P218" i="346"/>
  <c r="O218" i="346"/>
  <c r="N218" i="346"/>
  <c r="M218" i="346"/>
  <c r="L218" i="346"/>
  <c r="K218" i="346"/>
  <c r="J218" i="346"/>
  <c r="H218" i="346" s="1"/>
  <c r="G218" i="346"/>
  <c r="F218" i="346"/>
  <c r="S217" i="346"/>
  <c r="BH216" i="346"/>
  <c r="BG216" i="346"/>
  <c r="BF216" i="346"/>
  <c r="BE216" i="346"/>
  <c r="BD216" i="346"/>
  <c r="BC216" i="346"/>
  <c r="BB216" i="346"/>
  <c r="BA216" i="346"/>
  <c r="AZ216" i="346"/>
  <c r="AY216" i="346"/>
  <c r="AX216" i="346"/>
  <c r="AW216" i="346"/>
  <c r="AV216" i="346"/>
  <c r="AU216" i="346"/>
  <c r="AT216" i="346"/>
  <c r="AS216" i="346"/>
  <c r="AR216" i="346"/>
  <c r="AQ216" i="346"/>
  <c r="AP216" i="346"/>
  <c r="AO216" i="346"/>
  <c r="AN216" i="346"/>
  <c r="AM216" i="346"/>
  <c r="AL216" i="346"/>
  <c r="AK216" i="346"/>
  <c r="AJ216" i="346"/>
  <c r="AI216" i="346"/>
  <c r="AH216" i="346"/>
  <c r="AG216" i="346"/>
  <c r="AF216" i="346"/>
  <c r="AE216" i="346"/>
  <c r="AD216" i="346"/>
  <c r="AC216" i="346"/>
  <c r="AB216" i="346"/>
  <c r="AA216" i="346"/>
  <c r="Z216" i="346"/>
  <c r="Y216" i="346"/>
  <c r="X216" i="346"/>
  <c r="W216" i="346"/>
  <c r="V216" i="346"/>
  <c r="U216" i="346"/>
  <c r="T216" i="346"/>
  <c r="R216" i="346"/>
  <c r="Q216" i="346"/>
  <c r="P216" i="346"/>
  <c r="O216" i="346"/>
  <c r="N216" i="346"/>
  <c r="M216" i="346"/>
  <c r="L216" i="346"/>
  <c r="K216" i="346"/>
  <c r="J216" i="346"/>
  <c r="G216" i="346"/>
  <c r="H215" i="346"/>
  <c r="F215" i="346"/>
  <c r="H214" i="346"/>
  <c r="F214" i="346" s="1"/>
  <c r="H213" i="346"/>
  <c r="F213" i="346" s="1"/>
  <c r="H212" i="346"/>
  <c r="F212" i="346"/>
  <c r="BH211" i="346"/>
  <c r="BG211" i="346"/>
  <c r="BF211" i="346"/>
  <c r="BE211" i="346"/>
  <c r="BD211" i="346"/>
  <c r="BC211" i="346"/>
  <c r="BB211" i="346"/>
  <c r="BA211" i="346"/>
  <c r="AZ211" i="346"/>
  <c r="AY211" i="346"/>
  <c r="AX211" i="346"/>
  <c r="AW211" i="346"/>
  <c r="AV211" i="346"/>
  <c r="AU211" i="346"/>
  <c r="AT211" i="346"/>
  <c r="AS211" i="346"/>
  <c r="AR211" i="346"/>
  <c r="AQ211" i="346"/>
  <c r="AP211" i="346"/>
  <c r="AO211" i="346"/>
  <c r="AN211" i="346"/>
  <c r="AM211" i="346"/>
  <c r="AL211" i="346"/>
  <c r="AK211" i="346"/>
  <c r="AJ211" i="346"/>
  <c r="AI211" i="346"/>
  <c r="AH211" i="346"/>
  <c r="AG211" i="346"/>
  <c r="AF211" i="346"/>
  <c r="AE211" i="346"/>
  <c r="AD211" i="346"/>
  <c r="AC211" i="346"/>
  <c r="AB211" i="346"/>
  <c r="AA211" i="346"/>
  <c r="Z211" i="346"/>
  <c r="Y211" i="346"/>
  <c r="X211" i="346"/>
  <c r="W211" i="346"/>
  <c r="V211" i="346"/>
  <c r="U211" i="346"/>
  <c r="T211" i="346"/>
  <c r="S211" i="346"/>
  <c r="R211" i="346"/>
  <c r="Q211" i="346"/>
  <c r="P211" i="346"/>
  <c r="O211" i="346"/>
  <c r="N211" i="346"/>
  <c r="M211" i="346"/>
  <c r="L211" i="346"/>
  <c r="K211" i="346"/>
  <c r="J211" i="346"/>
  <c r="H210" i="346"/>
  <c r="F210" i="346"/>
  <c r="BF209" i="346"/>
  <c r="BC209" i="346"/>
  <c r="AZ209" i="346"/>
  <c r="AY209" i="346"/>
  <c r="AX209" i="346"/>
  <c r="AW209" i="346"/>
  <c r="AT209" i="346"/>
  <c r="AI209" i="346"/>
  <c r="AH209" i="346"/>
  <c r="AG209" i="346"/>
  <c r="AF209" i="346"/>
  <c r="AE209" i="346"/>
  <c r="AD209" i="346"/>
  <c r="AC209" i="346"/>
  <c r="AA209" i="346"/>
  <c r="W209" i="346"/>
  <c r="U209" i="346"/>
  <c r="T209" i="346"/>
  <c r="S209" i="346"/>
  <c r="O209" i="346"/>
  <c r="N209" i="346"/>
  <c r="M209" i="346"/>
  <c r="L209" i="346"/>
  <c r="K209" i="346"/>
  <c r="J209" i="346"/>
  <c r="G209" i="346"/>
  <c r="H208" i="346"/>
  <c r="F208" i="346" s="1"/>
  <c r="BF207" i="346"/>
  <c r="BE207" i="346"/>
  <c r="BD207" i="346"/>
  <c r="BC207" i="346"/>
  <c r="BB207" i="346"/>
  <c r="BA207" i="346"/>
  <c r="AZ207" i="346"/>
  <c r="AY207" i="346"/>
  <c r="AX207" i="346"/>
  <c r="AW207" i="346"/>
  <c r="AV207" i="346"/>
  <c r="AU207" i="346"/>
  <c r="AT207" i="346"/>
  <c r="AS207" i="346"/>
  <c r="AR207" i="346"/>
  <c r="AQ207" i="346"/>
  <c r="AP207" i="346"/>
  <c r="AO207" i="346"/>
  <c r="AN207" i="346"/>
  <c r="AM207" i="346"/>
  <c r="AL207" i="346"/>
  <c r="AK207" i="346"/>
  <c r="AJ207" i="346"/>
  <c r="AI207" i="346"/>
  <c r="AH207" i="346"/>
  <c r="AG207" i="346"/>
  <c r="AF207" i="346"/>
  <c r="AE207" i="346"/>
  <c r="AD207" i="346"/>
  <c r="AC207" i="346"/>
  <c r="AB207" i="346"/>
  <c r="AA207" i="346"/>
  <c r="Z207" i="346"/>
  <c r="Y207" i="346"/>
  <c r="X207" i="346"/>
  <c r="W207" i="346"/>
  <c r="V207" i="346"/>
  <c r="U207" i="346"/>
  <c r="T207" i="346"/>
  <c r="S207" i="346"/>
  <c r="R207" i="346"/>
  <c r="Q207" i="346"/>
  <c r="P207" i="346"/>
  <c r="O207" i="346"/>
  <c r="N207" i="346"/>
  <c r="M207" i="346"/>
  <c r="L207" i="346"/>
  <c r="K207" i="346"/>
  <c r="J207" i="346"/>
  <c r="H207" i="346" s="1"/>
  <c r="G207" i="346"/>
  <c r="F207" i="346"/>
  <c r="H206" i="346"/>
  <c r="H205" i="346"/>
  <c r="H204" i="346"/>
  <c r="H203" i="346"/>
  <c r="H202" i="346"/>
  <c r="F202" i="346" s="1"/>
  <c r="H201" i="346"/>
  <c r="H200" i="346"/>
  <c r="F200" i="346" s="1"/>
  <c r="H199" i="346"/>
  <c r="F199" i="346" s="1"/>
  <c r="H198" i="346"/>
  <c r="F198" i="346" s="1"/>
  <c r="H197" i="346"/>
  <c r="F197" i="346" s="1"/>
  <c r="H196" i="346"/>
  <c r="F196" i="346"/>
  <c r="H195" i="346"/>
  <c r="F195" i="346" s="1"/>
  <c r="H194" i="346"/>
  <c r="F194" i="346"/>
  <c r="H193" i="346"/>
  <c r="F193" i="346"/>
  <c r="H192" i="346"/>
  <c r="F192" i="346"/>
  <c r="H191" i="346"/>
  <c r="F191" i="346"/>
  <c r="H190" i="346"/>
  <c r="F190" i="346"/>
  <c r="H189" i="346"/>
  <c r="F189" i="346" s="1"/>
  <c r="H188" i="346"/>
  <c r="F188" i="346" s="1"/>
  <c r="H187" i="346"/>
  <c r="F187" i="346" s="1"/>
  <c r="H186" i="346"/>
  <c r="F186" i="346" s="1"/>
  <c r="H185" i="346"/>
  <c r="F185" i="346"/>
  <c r="H184" i="346"/>
  <c r="F184" i="346" s="1"/>
  <c r="H183" i="346"/>
  <c r="F183" i="346"/>
  <c r="H182" i="346"/>
  <c r="F182" i="346"/>
  <c r="H181" i="346"/>
  <c r="F181" i="346"/>
  <c r="H180" i="346"/>
  <c r="F180" i="346" s="1"/>
  <c r="H179" i="346"/>
  <c r="F179" i="346"/>
  <c r="H178" i="346"/>
  <c r="F178" i="346"/>
  <c r="H177" i="346"/>
  <c r="F177" i="346"/>
  <c r="H176" i="346"/>
  <c r="F176" i="346"/>
  <c r="H175" i="346"/>
  <c r="F175" i="346" s="1"/>
  <c r="H174" i="346"/>
  <c r="F174" i="346" s="1"/>
  <c r="H173" i="346"/>
  <c r="F173" i="346"/>
  <c r="H172" i="346"/>
  <c r="F172" i="346"/>
  <c r="H171" i="346"/>
  <c r="F171" i="346" s="1"/>
  <c r="H170" i="346"/>
  <c r="F170" i="346"/>
  <c r="H169" i="346"/>
  <c r="F169" i="346" s="1"/>
  <c r="H168" i="346"/>
  <c r="F168" i="346"/>
  <c r="H167" i="346"/>
  <c r="F167" i="346" s="1"/>
  <c r="H166" i="346"/>
  <c r="F166" i="346"/>
  <c r="H165" i="346"/>
  <c r="F165" i="346"/>
  <c r="H164" i="346"/>
  <c r="F164" i="346"/>
  <c r="H163" i="346"/>
  <c r="F163" i="346"/>
  <c r="H162" i="346"/>
  <c r="F162" i="346"/>
  <c r="H161" i="346"/>
  <c r="F161" i="346"/>
  <c r="H160" i="346"/>
  <c r="F160" i="346" s="1"/>
  <c r="H159" i="346"/>
  <c r="F159" i="346"/>
  <c r="H158" i="346"/>
  <c r="F158" i="346" s="1"/>
  <c r="H157" i="346"/>
  <c r="F157" i="346"/>
  <c r="H156" i="346"/>
  <c r="F156" i="346" s="1"/>
  <c r="H155" i="346"/>
  <c r="F155" i="346"/>
  <c r="H154" i="346"/>
  <c r="F154" i="346" s="1"/>
  <c r="H153" i="346"/>
  <c r="F153" i="346" s="1"/>
  <c r="H152" i="346"/>
  <c r="F152" i="346" s="1"/>
  <c r="H151" i="346"/>
  <c r="F151" i="346"/>
  <c r="H150" i="346"/>
  <c r="F150" i="346" s="1"/>
  <c r="H149" i="346"/>
  <c r="F149" i="346" s="1"/>
  <c r="H148" i="346"/>
  <c r="F148" i="346" s="1"/>
  <c r="H147" i="346"/>
  <c r="F147" i="346" s="1"/>
  <c r="H146" i="346"/>
  <c r="F146" i="346"/>
  <c r="H145" i="346"/>
  <c r="F145" i="346" s="1"/>
  <c r="H144" i="346"/>
  <c r="F144" i="346" s="1"/>
  <c r="H143" i="346"/>
  <c r="F143" i="346" s="1"/>
  <c r="H142" i="346"/>
  <c r="F142" i="346" s="1"/>
  <c r="H141" i="346"/>
  <c r="F141" i="346" s="1"/>
  <c r="H140" i="346"/>
  <c r="F140" i="346" s="1"/>
  <c r="H139" i="346"/>
  <c r="F139" i="346" s="1"/>
  <c r="H138" i="346"/>
  <c r="F138" i="346" s="1"/>
  <c r="H137" i="346"/>
  <c r="F137" i="346" s="1"/>
  <c r="H136" i="346"/>
  <c r="F136" i="346" s="1"/>
  <c r="H135" i="346"/>
  <c r="F135" i="346" s="1"/>
  <c r="BH134" i="346"/>
  <c r="BG134" i="346"/>
  <c r="BF134" i="346"/>
  <c r="BE134" i="346"/>
  <c r="BD134" i="346"/>
  <c r="BC134" i="346"/>
  <c r="BB134" i="346"/>
  <c r="BA134" i="346"/>
  <c r="AZ134" i="346"/>
  <c r="AY134" i="346"/>
  <c r="AX134" i="346"/>
  <c r="AW134" i="346"/>
  <c r="AV134" i="346"/>
  <c r="AU134" i="346"/>
  <c r="AT134" i="346"/>
  <c r="AS134" i="346"/>
  <c r="AR134" i="346"/>
  <c r="AQ134" i="346"/>
  <c r="AP134" i="346"/>
  <c r="AO134" i="346"/>
  <c r="AN134" i="346"/>
  <c r="AM134" i="346"/>
  <c r="AL134" i="346"/>
  <c r="AK134" i="346"/>
  <c r="AJ134" i="346"/>
  <c r="AI134" i="346"/>
  <c r="AH134" i="346"/>
  <c r="AG134" i="346"/>
  <c r="AF134" i="346"/>
  <c r="AE134" i="346"/>
  <c r="AD134" i="346"/>
  <c r="AC134" i="346"/>
  <c r="AB134" i="346"/>
  <c r="AA134" i="346"/>
  <c r="Z134" i="346"/>
  <c r="Y134" i="346"/>
  <c r="X134" i="346"/>
  <c r="W134" i="346"/>
  <c r="V134" i="346"/>
  <c r="U134" i="346"/>
  <c r="T134" i="346"/>
  <c r="S134" i="346"/>
  <c r="R134" i="346"/>
  <c r="Q134" i="346"/>
  <c r="P134" i="346"/>
  <c r="O134" i="346"/>
  <c r="N134" i="346"/>
  <c r="M134" i="346"/>
  <c r="L134" i="346"/>
  <c r="K134" i="346"/>
  <c r="H134" i="346" s="1"/>
  <c r="F134" i="346" s="1"/>
  <c r="J134" i="346"/>
  <c r="H133" i="346"/>
  <c r="F133" i="346" s="1"/>
  <c r="H132" i="346"/>
  <c r="F132" i="346" s="1"/>
  <c r="H131" i="346"/>
  <c r="F131" i="346" s="1"/>
  <c r="H130" i="346"/>
  <c r="F130" i="346" s="1"/>
  <c r="H129" i="346"/>
  <c r="F129" i="346" s="1"/>
  <c r="H128" i="346"/>
  <c r="F128" i="346" s="1"/>
  <c r="H127" i="346"/>
  <c r="F127" i="346" s="1"/>
  <c r="H126" i="346"/>
  <c r="F126" i="346" s="1"/>
  <c r="H125" i="346"/>
  <c r="F125" i="346"/>
  <c r="H124" i="346"/>
  <c r="F124" i="346" s="1"/>
  <c r="H123" i="346"/>
  <c r="F123" i="346"/>
  <c r="H122" i="346"/>
  <c r="F122" i="346" s="1"/>
  <c r="H121" i="346"/>
  <c r="F121" i="346" s="1"/>
  <c r="H120" i="346"/>
  <c r="F120" i="346"/>
  <c r="H119" i="346"/>
  <c r="F119" i="346" s="1"/>
  <c r="BH118" i="346"/>
  <c r="BG118" i="346"/>
  <c r="BF118" i="346"/>
  <c r="BE118" i="346"/>
  <c r="BD118" i="346"/>
  <c r="BC118" i="346"/>
  <c r="BB118" i="346"/>
  <c r="BA118" i="346"/>
  <c r="AZ118" i="346"/>
  <c r="AY118" i="346"/>
  <c r="AX118" i="346"/>
  <c r="AW118" i="346"/>
  <c r="AV118" i="346"/>
  <c r="AU118" i="346"/>
  <c r="AT118" i="346"/>
  <c r="AS118" i="346"/>
  <c r="AR118" i="346"/>
  <c r="AQ118" i="346"/>
  <c r="AP118" i="346"/>
  <c r="AO118" i="346"/>
  <c r="AN118" i="346"/>
  <c r="AM118" i="346"/>
  <c r="AL118" i="346"/>
  <c r="AK118" i="346"/>
  <c r="AJ118" i="346"/>
  <c r="AI118" i="346"/>
  <c r="AH118" i="346"/>
  <c r="AG118" i="346"/>
  <c r="AF118" i="346"/>
  <c r="AE118" i="346"/>
  <c r="AD118" i="346"/>
  <c r="AC118" i="346"/>
  <c r="AB118" i="346"/>
  <c r="AA118" i="346"/>
  <c r="Z118" i="346"/>
  <c r="Y118" i="346"/>
  <c r="X118" i="346"/>
  <c r="W118" i="346"/>
  <c r="V118" i="346"/>
  <c r="U118" i="346"/>
  <c r="T118" i="346"/>
  <c r="S118" i="346"/>
  <c r="R118" i="346"/>
  <c r="Q118" i="346"/>
  <c r="P118" i="346"/>
  <c r="O118" i="346"/>
  <c r="N118" i="346"/>
  <c r="M118" i="346"/>
  <c r="L118" i="346"/>
  <c r="K118" i="346"/>
  <c r="J118" i="346"/>
  <c r="H118" i="346" s="1"/>
  <c r="F118" i="346" s="1"/>
  <c r="H117" i="346"/>
  <c r="F117" i="346" s="1"/>
  <c r="H116" i="346"/>
  <c r="F116" i="346"/>
  <c r="H115" i="346"/>
  <c r="F115" i="346" s="1"/>
  <c r="BH114" i="346"/>
  <c r="BG114" i="346"/>
  <c r="BF114" i="346"/>
  <c r="BE114" i="346"/>
  <c r="BD114" i="346"/>
  <c r="BC114" i="346"/>
  <c r="BB114" i="346"/>
  <c r="BA114" i="346"/>
  <c r="AZ114" i="346"/>
  <c r="AY114" i="346"/>
  <c r="AX114" i="346"/>
  <c r="AW114" i="346"/>
  <c r="AV114" i="346"/>
  <c r="AU114" i="346"/>
  <c r="AT114" i="346"/>
  <c r="AS114" i="346"/>
  <c r="AR114" i="346"/>
  <c r="AQ114" i="346"/>
  <c r="AP114" i="346"/>
  <c r="AO114" i="346"/>
  <c r="AN114" i="346"/>
  <c r="AM114" i="346"/>
  <c r="AL114" i="346"/>
  <c r="AK114" i="346"/>
  <c r="AJ114" i="346"/>
  <c r="AI114" i="346"/>
  <c r="AH114" i="346"/>
  <c r="AG114" i="346"/>
  <c r="AF114" i="346"/>
  <c r="AE114" i="346"/>
  <c r="AD114" i="346"/>
  <c r="AC114" i="346"/>
  <c r="AB114" i="346"/>
  <c r="AA114" i="346"/>
  <c r="Z114" i="346"/>
  <c r="Y114" i="346"/>
  <c r="X114" i="346"/>
  <c r="W114" i="346"/>
  <c r="V114" i="346"/>
  <c r="U114" i="346"/>
  <c r="T114" i="346"/>
  <c r="S114" i="346"/>
  <c r="R114" i="346"/>
  <c r="Q114" i="346"/>
  <c r="P114" i="346"/>
  <c r="O114" i="346"/>
  <c r="N114" i="346"/>
  <c r="M114" i="346"/>
  <c r="L114" i="346"/>
  <c r="K114" i="346"/>
  <c r="J114" i="346"/>
  <c r="H114" i="346" s="1"/>
  <c r="F114" i="346" s="1"/>
  <c r="BH113" i="346"/>
  <c r="BG113" i="346"/>
  <c r="BF113" i="346"/>
  <c r="BE113" i="346"/>
  <c r="BD113" i="346"/>
  <c r="BC113" i="346"/>
  <c r="BB113" i="346"/>
  <c r="BA113" i="346"/>
  <c r="AZ113" i="346"/>
  <c r="AY113" i="346"/>
  <c r="AX113" i="346"/>
  <c r="AW113" i="346"/>
  <c r="AV113" i="346"/>
  <c r="AU113" i="346"/>
  <c r="AT113" i="346"/>
  <c r="AS113" i="346"/>
  <c r="AR113" i="346"/>
  <c r="AQ113" i="346"/>
  <c r="AP113" i="346"/>
  <c r="AO113" i="346"/>
  <c r="AN113" i="346"/>
  <c r="AM113" i="346"/>
  <c r="AL113" i="346"/>
  <c r="AK113" i="346"/>
  <c r="AJ113" i="346"/>
  <c r="AI113" i="346"/>
  <c r="AH113" i="346"/>
  <c r="AG113" i="346"/>
  <c r="AF113" i="346"/>
  <c r="AE113" i="346"/>
  <c r="AD113" i="346"/>
  <c r="AC113" i="346"/>
  <c r="AB113" i="346"/>
  <c r="AA113" i="346"/>
  <c r="Z113" i="346"/>
  <c r="Y113" i="346"/>
  <c r="X113" i="346"/>
  <c r="W113" i="346"/>
  <c r="V113" i="346"/>
  <c r="U113" i="346"/>
  <c r="T113" i="346"/>
  <c r="S113" i="346"/>
  <c r="R113" i="346"/>
  <c r="Q113" i="346"/>
  <c r="P113" i="346"/>
  <c r="O113" i="346"/>
  <c r="N113" i="346"/>
  <c r="M113" i="346"/>
  <c r="L113" i="346"/>
  <c r="K113" i="346"/>
  <c r="J113" i="346"/>
  <c r="H113" i="346" s="1"/>
  <c r="F113" i="346" s="1"/>
  <c r="G113" i="346"/>
  <c r="H112" i="346"/>
  <c r="F112" i="346" s="1"/>
  <c r="H111" i="346"/>
  <c r="F111" i="346"/>
  <c r="H110" i="346"/>
  <c r="F110" i="346"/>
  <c r="H109" i="346"/>
  <c r="F109" i="346"/>
  <c r="BF108" i="346"/>
  <c r="BC108" i="346"/>
  <c r="BB108" i="346"/>
  <c r="AZ108" i="346"/>
  <c r="AY108" i="346"/>
  <c r="AX108" i="346"/>
  <c r="AW108" i="346"/>
  <c r="AT108" i="346"/>
  <c r="AQ108" i="346"/>
  <c r="AJ108" i="346"/>
  <c r="AI108" i="346"/>
  <c r="AH108" i="346"/>
  <c r="AG108" i="346"/>
  <c r="AF108" i="346"/>
  <c r="AE108" i="346"/>
  <c r="AD108" i="346"/>
  <c r="AC108" i="346"/>
  <c r="AB108" i="346"/>
  <c r="AA108" i="346"/>
  <c r="W108" i="346"/>
  <c r="U108" i="346"/>
  <c r="T108" i="346"/>
  <c r="S108" i="346"/>
  <c r="O108" i="346"/>
  <c r="N108" i="346"/>
  <c r="M108" i="346"/>
  <c r="K108" i="346"/>
  <c r="J108" i="346"/>
  <c r="H108" i="346"/>
  <c r="G108" i="346"/>
  <c r="H107" i="346"/>
  <c r="F107" i="346"/>
  <c r="BF106" i="346"/>
  <c r="BC106" i="346"/>
  <c r="BB106" i="346"/>
  <c r="AZ106" i="346"/>
  <c r="AY106" i="346"/>
  <c r="AX106" i="346"/>
  <c r="AW106" i="346"/>
  <c r="AT106" i="346"/>
  <c r="AQ106" i="346"/>
  <c r="AJ106" i="346"/>
  <c r="AI106" i="346"/>
  <c r="AH106" i="346"/>
  <c r="AG106" i="346"/>
  <c r="AF106" i="346"/>
  <c r="AE106" i="346"/>
  <c r="AD106" i="346"/>
  <c r="AC106" i="346"/>
  <c r="AB106" i="346"/>
  <c r="AA106" i="346"/>
  <c r="W106" i="346"/>
  <c r="U106" i="346"/>
  <c r="T106" i="346"/>
  <c r="S106" i="346"/>
  <c r="O106" i="346"/>
  <c r="N106" i="346"/>
  <c r="M106" i="346"/>
  <c r="K106" i="346"/>
  <c r="H106" i="346" s="1"/>
  <c r="F106" i="346" s="1"/>
  <c r="J106" i="346"/>
  <c r="H105" i="346"/>
  <c r="F105" i="346" s="1"/>
  <c r="H104" i="346"/>
  <c r="F104" i="346"/>
  <c r="H103" i="346"/>
  <c r="H102" i="346"/>
  <c r="F102" i="346" s="1"/>
  <c r="S101" i="346"/>
  <c r="H101" i="346"/>
  <c r="F101" i="346" s="1"/>
  <c r="BH100" i="346"/>
  <c r="BG100" i="346"/>
  <c r="BF100" i="346"/>
  <c r="BE100" i="346"/>
  <c r="BD100" i="346"/>
  <c r="BC100" i="346"/>
  <c r="BB100" i="346"/>
  <c r="BA100" i="346"/>
  <c r="AZ100" i="346"/>
  <c r="AY100" i="346"/>
  <c r="AX100" i="346"/>
  <c r="AW100" i="346"/>
  <c r="AV100" i="346"/>
  <c r="AU100" i="346"/>
  <c r="AT100" i="346"/>
  <c r="AS100" i="346"/>
  <c r="AR100" i="346"/>
  <c r="AQ100" i="346"/>
  <c r="AP100" i="346"/>
  <c r="AO100" i="346"/>
  <c r="AN100" i="346"/>
  <c r="AM100" i="346"/>
  <c r="AL100" i="346"/>
  <c r="AK100" i="346"/>
  <c r="AJ100" i="346"/>
  <c r="AI100" i="346"/>
  <c r="AH100" i="346"/>
  <c r="AG100" i="346"/>
  <c r="AF100" i="346"/>
  <c r="AE100" i="346"/>
  <c r="AD100" i="346"/>
  <c r="AC100" i="346"/>
  <c r="AB100" i="346"/>
  <c r="AA100" i="346"/>
  <c r="Z100" i="346"/>
  <c r="Y100" i="346"/>
  <c r="X100" i="346"/>
  <c r="W100" i="346"/>
  <c r="V100" i="346"/>
  <c r="U100" i="346"/>
  <c r="T100" i="346"/>
  <c r="S100" i="346"/>
  <c r="R100" i="346"/>
  <c r="Q100" i="346"/>
  <c r="P100" i="346"/>
  <c r="O100" i="346"/>
  <c r="N100" i="346"/>
  <c r="M100" i="346"/>
  <c r="L100" i="346"/>
  <c r="K100" i="346"/>
  <c r="J100" i="346"/>
  <c r="G100" i="346"/>
  <c r="H99" i="346"/>
  <c r="F99" i="346" s="1"/>
  <c r="H98" i="346"/>
  <c r="F98" i="346" s="1"/>
  <c r="H97" i="346"/>
  <c r="F97" i="346"/>
  <c r="BH96" i="346"/>
  <c r="BG96" i="346"/>
  <c r="BF96" i="346"/>
  <c r="BE96" i="346"/>
  <c r="BD96" i="346"/>
  <c r="BC96" i="346"/>
  <c r="BB96" i="346"/>
  <c r="BA96" i="346"/>
  <c r="AZ96" i="346"/>
  <c r="AY96" i="346"/>
  <c r="AX96" i="346"/>
  <c r="AW96" i="346"/>
  <c r="AV96" i="346"/>
  <c r="AU96" i="346"/>
  <c r="AT96" i="346"/>
  <c r="AS96" i="346"/>
  <c r="AR96" i="346"/>
  <c r="AQ96" i="346"/>
  <c r="AP96" i="346"/>
  <c r="AO96" i="346"/>
  <c r="AN96" i="346"/>
  <c r="AM96" i="346"/>
  <c r="AL96" i="346"/>
  <c r="AK96" i="346"/>
  <c r="AJ96" i="346"/>
  <c r="AI96" i="346"/>
  <c r="AH96" i="346"/>
  <c r="AG96" i="346"/>
  <c r="AF96" i="346"/>
  <c r="AE96" i="346"/>
  <c r="AD96" i="346"/>
  <c r="AC96" i="346"/>
  <c r="AB96" i="346"/>
  <c r="AA96" i="346"/>
  <c r="Z96" i="346"/>
  <c r="Y96" i="346"/>
  <c r="X96" i="346"/>
  <c r="W96" i="346"/>
  <c r="V96" i="346"/>
  <c r="U96" i="346"/>
  <c r="T96" i="346"/>
  <c r="S96" i="346"/>
  <c r="R96" i="346"/>
  <c r="Q96" i="346"/>
  <c r="P96" i="346"/>
  <c r="O96" i="346"/>
  <c r="N96" i="346"/>
  <c r="M96" i="346"/>
  <c r="L96" i="346"/>
  <c r="K96" i="346"/>
  <c r="J96" i="346"/>
  <c r="H96" i="346" s="1"/>
  <c r="F96" i="346" s="1"/>
  <c r="H95" i="346"/>
  <c r="F95" i="346"/>
  <c r="BH94" i="346"/>
  <c r="BG94" i="346"/>
  <c r="BG79" i="346" s="1"/>
  <c r="BF94" i="346"/>
  <c r="BE94" i="346"/>
  <c r="BD94" i="346"/>
  <c r="BC94" i="346"/>
  <c r="BB94" i="346"/>
  <c r="BA94" i="346"/>
  <c r="AZ94" i="346"/>
  <c r="AY94" i="346"/>
  <c r="AX94" i="346"/>
  <c r="AW94" i="346"/>
  <c r="AV94" i="346"/>
  <c r="AU94" i="346"/>
  <c r="AT94" i="346"/>
  <c r="AS94" i="346"/>
  <c r="AR94" i="346"/>
  <c r="AQ94" i="346"/>
  <c r="AP94" i="346"/>
  <c r="AO94" i="346"/>
  <c r="AN94" i="346"/>
  <c r="AM94" i="346"/>
  <c r="AL94" i="346"/>
  <c r="AK94" i="346"/>
  <c r="AJ94" i="346"/>
  <c r="AI94" i="346"/>
  <c r="AH94" i="346"/>
  <c r="AG94" i="346"/>
  <c r="AF94" i="346"/>
  <c r="AE94" i="346"/>
  <c r="AD94" i="346"/>
  <c r="AC94" i="346"/>
  <c r="AB94" i="346"/>
  <c r="AA94" i="346"/>
  <c r="Z94" i="346"/>
  <c r="Y94" i="346"/>
  <c r="X94" i="346"/>
  <c r="W94" i="346"/>
  <c r="V94" i="346"/>
  <c r="U94" i="346"/>
  <c r="T94" i="346"/>
  <c r="S94" i="346"/>
  <c r="R94" i="346"/>
  <c r="Q94" i="346"/>
  <c r="P94" i="346"/>
  <c r="O94" i="346"/>
  <c r="N94" i="346"/>
  <c r="M94" i="346"/>
  <c r="L94" i="346"/>
  <c r="K94" i="346"/>
  <c r="J94" i="346"/>
  <c r="G94" i="346"/>
  <c r="H93" i="346"/>
  <c r="G93" i="346"/>
  <c r="H92" i="346"/>
  <c r="F92" i="346" s="1"/>
  <c r="H91" i="346"/>
  <c r="G91" i="346"/>
  <c r="F91" i="346"/>
  <c r="H90" i="346"/>
  <c r="G90" i="346"/>
  <c r="F90" i="346" s="1"/>
  <c r="H89" i="346"/>
  <c r="G89" i="346"/>
  <c r="F89" i="346" s="1"/>
  <c r="H88" i="346"/>
  <c r="G88" i="346"/>
  <c r="F88" i="346" s="1"/>
  <c r="S87" i="346"/>
  <c r="H87" i="346" s="1"/>
  <c r="G87" i="346"/>
  <c r="F87" i="346"/>
  <c r="H86" i="346"/>
  <c r="G86" i="346"/>
  <c r="F86" i="346"/>
  <c r="H85" i="346"/>
  <c r="F85" i="346" s="1"/>
  <c r="S84" i="346"/>
  <c r="H84" i="346"/>
  <c r="G84" i="346"/>
  <c r="H83" i="346"/>
  <c r="G83" i="346"/>
  <c r="F83" i="346"/>
  <c r="H82" i="346"/>
  <c r="F82" i="346" s="1"/>
  <c r="H81" i="346"/>
  <c r="F81" i="346" s="1"/>
  <c r="S80" i="346"/>
  <c r="H80" i="346"/>
  <c r="F80" i="346"/>
  <c r="BH79" i="346"/>
  <c r="BF79" i="346"/>
  <c r="BE79" i="346"/>
  <c r="BD79" i="346"/>
  <c r="BC79" i="346"/>
  <c r="BB79" i="346"/>
  <c r="BA79" i="346"/>
  <c r="AZ79" i="346"/>
  <c r="AY79" i="346"/>
  <c r="AX79" i="346"/>
  <c r="AW79" i="346"/>
  <c r="AV79" i="346"/>
  <c r="AU79" i="346"/>
  <c r="AT79" i="346"/>
  <c r="AS79" i="346"/>
  <c r="AR79" i="346"/>
  <c r="AQ79" i="346"/>
  <c r="AP79" i="346"/>
  <c r="AO79" i="346"/>
  <c r="AN79" i="346"/>
  <c r="AM79" i="346"/>
  <c r="AL79" i="346"/>
  <c r="AK79" i="346"/>
  <c r="AJ79" i="346"/>
  <c r="AI79" i="346"/>
  <c r="AH79" i="346"/>
  <c r="AG79" i="346"/>
  <c r="AF79" i="346"/>
  <c r="AE79" i="346"/>
  <c r="AD79" i="346"/>
  <c r="AC79" i="346"/>
  <c r="AB79" i="346"/>
  <c r="AA79" i="346"/>
  <c r="Z79" i="346"/>
  <c r="Y79" i="346"/>
  <c r="X79" i="346"/>
  <c r="W79" i="346"/>
  <c r="V79" i="346"/>
  <c r="U79" i="346"/>
  <c r="T79" i="346"/>
  <c r="S79" i="346"/>
  <c r="R79" i="346"/>
  <c r="Q79" i="346"/>
  <c r="P79" i="346"/>
  <c r="O79" i="346"/>
  <c r="N79" i="346"/>
  <c r="M79" i="346"/>
  <c r="L79" i="346"/>
  <c r="K79" i="346"/>
  <c r="J79" i="346"/>
  <c r="I79" i="346"/>
  <c r="H79" i="346"/>
  <c r="S78" i="346"/>
  <c r="H78" i="346" s="1"/>
  <c r="F78" i="346" s="1"/>
  <c r="BF77" i="346"/>
  <c r="H77" i="346" s="1"/>
  <c r="F77" i="346" s="1"/>
  <c r="S76" i="346"/>
  <c r="H76" i="346" s="1"/>
  <c r="F76" i="346" s="1"/>
  <c r="AF75" i="346"/>
  <c r="S75" i="346"/>
  <c r="S74" i="346"/>
  <c r="M74" i="346"/>
  <c r="H74" i="346"/>
  <c r="F74" i="346" s="1"/>
  <c r="N73" i="346"/>
  <c r="H73" i="346"/>
  <c r="F73" i="346"/>
  <c r="H72" i="346"/>
  <c r="F72" i="346"/>
  <c r="H71" i="346"/>
  <c r="F71" i="346" s="1"/>
  <c r="S70" i="346"/>
  <c r="H70" i="346" s="1"/>
  <c r="F70" i="346" s="1"/>
  <c r="H69" i="346"/>
  <c r="F69" i="346" s="1"/>
  <c r="H68" i="346"/>
  <c r="F68" i="346"/>
  <c r="H67" i="346"/>
  <c r="F67" i="346"/>
  <c r="H66" i="346"/>
  <c r="F66" i="346" s="1"/>
  <c r="H65" i="346"/>
  <c r="F65" i="346"/>
  <c r="H64" i="346"/>
  <c r="F64" i="346" s="1"/>
  <c r="H63" i="346"/>
  <c r="F63" i="346" s="1"/>
  <c r="H62" i="346"/>
  <c r="F62" i="346"/>
  <c r="H61" i="346"/>
  <c r="F61" i="346" s="1"/>
  <c r="BH60" i="346"/>
  <c r="BG60" i="346"/>
  <c r="BG55" i="346" s="1"/>
  <c r="BG32" i="346" s="1"/>
  <c r="BG29" i="346" s="1"/>
  <c r="BF60" i="346"/>
  <c r="BE60" i="346"/>
  <c r="BD60" i="346"/>
  <c r="BC60" i="346"/>
  <c r="BC55" i="346" s="1"/>
  <c r="BB60" i="346"/>
  <c r="BA60" i="346"/>
  <c r="AZ60" i="346"/>
  <c r="AY60" i="346"/>
  <c r="AY55" i="346" s="1"/>
  <c r="AY32" i="346" s="1"/>
  <c r="AY29" i="346" s="1"/>
  <c r="AY28" i="346" s="1"/>
  <c r="AX60" i="346"/>
  <c r="AW60" i="346"/>
  <c r="AV60" i="346"/>
  <c r="AU60" i="346"/>
  <c r="AU55" i="346" s="1"/>
  <c r="AU32" i="346" s="1"/>
  <c r="AU29" i="346" s="1"/>
  <c r="AU28" i="346" s="1"/>
  <c r="AT60" i="346"/>
  <c r="AS60" i="346"/>
  <c r="AR60" i="346"/>
  <c r="AQ60" i="346"/>
  <c r="AQ55" i="346" s="1"/>
  <c r="AQ32" i="346" s="1"/>
  <c r="AQ29" i="346" s="1"/>
  <c r="AQ28" i="346" s="1"/>
  <c r="AP60" i="346"/>
  <c r="AO60" i="346"/>
  <c r="AN60" i="346"/>
  <c r="AM60" i="346"/>
  <c r="AM55" i="346" s="1"/>
  <c r="AM32" i="346" s="1"/>
  <c r="AM29" i="346" s="1"/>
  <c r="AM28" i="346" s="1"/>
  <c r="AL60" i="346"/>
  <c r="AK60" i="346"/>
  <c r="AJ60" i="346"/>
  <c r="AI60" i="346"/>
  <c r="AI55" i="346" s="1"/>
  <c r="AI32" i="346" s="1"/>
  <c r="AI29" i="346" s="1"/>
  <c r="AI28" i="346" s="1"/>
  <c r="AH60" i="346"/>
  <c r="AG60" i="346"/>
  <c r="AF60" i="346"/>
  <c r="AE60" i="346"/>
  <c r="AE55" i="346" s="1"/>
  <c r="AE32" i="346" s="1"/>
  <c r="AE29" i="346" s="1"/>
  <c r="AE28" i="346" s="1"/>
  <c r="AD60" i="346"/>
  <c r="AC60" i="346"/>
  <c r="AB60" i="346"/>
  <c r="AA60" i="346"/>
  <c r="AA55" i="346" s="1"/>
  <c r="AA32" i="346" s="1"/>
  <c r="AA29" i="346" s="1"/>
  <c r="AA28" i="346" s="1"/>
  <c r="Z60" i="346"/>
  <c r="Y60" i="346"/>
  <c r="X60" i="346"/>
  <c r="W60" i="346"/>
  <c r="W55" i="346" s="1"/>
  <c r="W32" i="346" s="1"/>
  <c r="W29" i="346" s="1"/>
  <c r="W28" i="346" s="1"/>
  <c r="V60" i="346"/>
  <c r="U60" i="346"/>
  <c r="T60" i="346"/>
  <c r="S60" i="346"/>
  <c r="R60" i="346"/>
  <c r="Q60" i="346"/>
  <c r="P60" i="346"/>
  <c r="O60" i="346"/>
  <c r="O55" i="346" s="1"/>
  <c r="O32" i="346" s="1"/>
  <c r="O29" i="346" s="1"/>
  <c r="O28" i="346" s="1"/>
  <c r="N60" i="346"/>
  <c r="M60" i="346"/>
  <c r="L60" i="346"/>
  <c r="K60" i="346"/>
  <c r="K55" i="346" s="1"/>
  <c r="K32" i="346" s="1"/>
  <c r="K29" i="346" s="1"/>
  <c r="K28" i="346" s="1"/>
  <c r="J60" i="346"/>
  <c r="U59" i="346"/>
  <c r="U56" i="346" s="1"/>
  <c r="U55" i="346" s="1"/>
  <c r="S59" i="346"/>
  <c r="N59" i="346"/>
  <c r="S58" i="346"/>
  <c r="S56" i="346" s="1"/>
  <c r="S55" i="346" s="1"/>
  <c r="S32" i="346" s="1"/>
  <c r="N58" i="346"/>
  <c r="BF57" i="346"/>
  <c r="S57" i="346"/>
  <c r="N57" i="346"/>
  <c r="H57" i="346"/>
  <c r="F57" i="346" s="1"/>
  <c r="BH56" i="346"/>
  <c r="BG56" i="346"/>
  <c r="BF56" i="346"/>
  <c r="BF55" i="346" s="1"/>
  <c r="BE56" i="346"/>
  <c r="BE55" i="346" s="1"/>
  <c r="BD56" i="346"/>
  <c r="BC56" i="346"/>
  <c r="BB56" i="346"/>
  <c r="BB55" i="346" s="1"/>
  <c r="BA56" i="346"/>
  <c r="BA55" i="346" s="1"/>
  <c r="AZ56" i="346"/>
  <c r="AY56" i="346"/>
  <c r="AX56" i="346"/>
  <c r="AX55" i="346" s="1"/>
  <c r="AW56" i="346"/>
  <c r="AW55" i="346" s="1"/>
  <c r="AV56" i="346"/>
  <c r="AU56" i="346"/>
  <c r="AT56" i="346"/>
  <c r="AT55" i="346" s="1"/>
  <c r="AS56" i="346"/>
  <c r="AS55" i="346" s="1"/>
  <c r="AR56" i="346"/>
  <c r="AQ56" i="346"/>
  <c r="AP56" i="346"/>
  <c r="AP55" i="346" s="1"/>
  <c r="AO56" i="346"/>
  <c r="AO55" i="346" s="1"/>
  <c r="AN56" i="346"/>
  <c r="AM56" i="346"/>
  <c r="AL56" i="346"/>
  <c r="AL55" i="346" s="1"/>
  <c r="AK56" i="346"/>
  <c r="AK55" i="346" s="1"/>
  <c r="AJ56" i="346"/>
  <c r="AI56" i="346"/>
  <c r="AH56" i="346"/>
  <c r="AH55" i="346" s="1"/>
  <c r="AG56" i="346"/>
  <c r="AG55" i="346" s="1"/>
  <c r="AF56" i="346"/>
  <c r="AE56" i="346"/>
  <c r="AD56" i="346"/>
  <c r="AD55" i="346" s="1"/>
  <c r="AC56" i="346"/>
  <c r="AC55" i="346" s="1"/>
  <c r="AB56" i="346"/>
  <c r="AA56" i="346"/>
  <c r="Z56" i="346"/>
  <c r="Z55" i="346" s="1"/>
  <c r="Y56" i="346"/>
  <c r="Y55" i="346" s="1"/>
  <c r="X56" i="346"/>
  <c r="W56" i="346"/>
  <c r="V56" i="346"/>
  <c r="V55" i="346" s="1"/>
  <c r="T56" i="346"/>
  <c r="R56" i="346"/>
  <c r="Q56" i="346"/>
  <c r="Q55" i="346" s="1"/>
  <c r="P56" i="346"/>
  <c r="O56" i="346"/>
  <c r="N56" i="346"/>
  <c r="M56" i="346"/>
  <c r="M55" i="346" s="1"/>
  <c r="L56" i="346"/>
  <c r="K56" i="346"/>
  <c r="J56" i="346"/>
  <c r="G56" i="346"/>
  <c r="BH55" i="346"/>
  <c r="BD55" i="346"/>
  <c r="AZ55" i="346"/>
  <c r="AV55" i="346"/>
  <c r="AR55" i="346"/>
  <c r="AN55" i="346"/>
  <c r="AJ55" i="346"/>
  <c r="AF55" i="346"/>
  <c r="AB55" i="346"/>
  <c r="X55" i="346"/>
  <c r="T55" i="346"/>
  <c r="P55" i="346"/>
  <c r="L55" i="346"/>
  <c r="G55" i="346"/>
  <c r="H54" i="346"/>
  <c r="F54" i="346"/>
  <c r="H53" i="346"/>
  <c r="F53" i="346" s="1"/>
  <c r="H52" i="346"/>
  <c r="F52" i="346"/>
  <c r="S51" i="346"/>
  <c r="H51" i="346" s="1"/>
  <c r="F51" i="346" s="1"/>
  <c r="H50" i="346"/>
  <c r="F50" i="346" s="1"/>
  <c r="H49" i="346"/>
  <c r="F49" i="346"/>
  <c r="H48" i="346"/>
  <c r="F48" i="346" s="1"/>
  <c r="S47" i="346"/>
  <c r="N47" i="346"/>
  <c r="M47" i="346"/>
  <c r="J47" i="346"/>
  <c r="S46" i="346"/>
  <c r="H46" i="346"/>
  <c r="F46" i="346"/>
  <c r="BC45" i="346"/>
  <c r="H45" i="346" s="1"/>
  <c r="F45" i="346" s="1"/>
  <c r="BG44" i="346"/>
  <c r="BF44" i="346"/>
  <c r="BE44" i="346"/>
  <c r="BD44" i="346"/>
  <c r="BB44" i="346"/>
  <c r="BA44" i="346"/>
  <c r="AZ44" i="346"/>
  <c r="AY44" i="346"/>
  <c r="AX44" i="346"/>
  <c r="AW44" i="346"/>
  <c r="AV44" i="346"/>
  <c r="AU44" i="346"/>
  <c r="AT44" i="346"/>
  <c r="AS44" i="346"/>
  <c r="AR44" i="346"/>
  <c r="AQ44" i="346"/>
  <c r="AP44" i="346"/>
  <c r="AO44" i="346"/>
  <c r="AN44" i="346"/>
  <c r="AM44" i="346"/>
  <c r="AL44" i="346"/>
  <c r="AK44" i="346"/>
  <c r="AJ44" i="346"/>
  <c r="AI44" i="346"/>
  <c r="AH44" i="346"/>
  <c r="AG44" i="346"/>
  <c r="AF44" i="346"/>
  <c r="AE44" i="346"/>
  <c r="AD44" i="346"/>
  <c r="AC44" i="346"/>
  <c r="AB44" i="346"/>
  <c r="AA44" i="346"/>
  <c r="Z44" i="346"/>
  <c r="Y44" i="346"/>
  <c r="X44" i="346"/>
  <c r="W44" i="346"/>
  <c r="V44" i="346"/>
  <c r="U44" i="346"/>
  <c r="T44" i="346"/>
  <c r="S44" i="346"/>
  <c r="R44" i="346"/>
  <c r="Q44" i="346"/>
  <c r="P44" i="346"/>
  <c r="O44" i="346"/>
  <c r="N44" i="346"/>
  <c r="M44" i="346"/>
  <c r="L44" i="346"/>
  <c r="K44" i="346"/>
  <c r="J44" i="346"/>
  <c r="H43" i="346"/>
  <c r="F43" i="346" s="1"/>
  <c r="S42" i="346"/>
  <c r="N42" i="346"/>
  <c r="H42" i="346" s="1"/>
  <c r="F42" i="346" s="1"/>
  <c r="BG41" i="346"/>
  <c r="BF41" i="346"/>
  <c r="BE41" i="346"/>
  <c r="BD41" i="346"/>
  <c r="BC41" i="346"/>
  <c r="BB41" i="346"/>
  <c r="BA41" i="346"/>
  <c r="AZ41" i="346"/>
  <c r="AY41" i="346"/>
  <c r="AX41" i="346"/>
  <c r="AW41" i="346"/>
  <c r="AV41" i="346"/>
  <c r="AU41" i="346"/>
  <c r="AT41" i="346"/>
  <c r="AS41" i="346"/>
  <c r="AR41" i="346"/>
  <c r="AQ41" i="346"/>
  <c r="AP41" i="346"/>
  <c r="AO41" i="346"/>
  <c r="AN41" i="346"/>
  <c r="AM41" i="346"/>
  <c r="AL41" i="346"/>
  <c r="AK41" i="346"/>
  <c r="AJ41" i="346"/>
  <c r="AI41" i="346"/>
  <c r="AH41" i="346"/>
  <c r="AG41" i="346"/>
  <c r="AF41" i="346"/>
  <c r="AE41" i="346"/>
  <c r="AD41" i="346"/>
  <c r="AC41" i="346"/>
  <c r="AB41" i="346"/>
  <c r="AA41" i="346"/>
  <c r="Z41" i="346"/>
  <c r="Y41" i="346"/>
  <c r="X41" i="346"/>
  <c r="W41" i="346"/>
  <c r="V41" i="346"/>
  <c r="U41" i="346"/>
  <c r="T41" i="346"/>
  <c r="S41" i="346"/>
  <c r="R41" i="346"/>
  <c r="Q41" i="346"/>
  <c r="P41" i="346"/>
  <c r="O41" i="346"/>
  <c r="M41" i="346"/>
  <c r="L41" i="346"/>
  <c r="K41" i="346"/>
  <c r="J41" i="346"/>
  <c r="H40" i="346"/>
  <c r="F40" i="346"/>
  <c r="AY39" i="346"/>
  <c r="M39" i="346"/>
  <c r="J39" i="346"/>
  <c r="H39" i="346" s="1"/>
  <c r="F39" i="346" s="1"/>
  <c r="H38" i="346"/>
  <c r="F38" i="346" s="1"/>
  <c r="H37" i="346"/>
  <c r="F37" i="346" s="1"/>
  <c r="BH36" i="346"/>
  <c r="BH32" i="346" s="1"/>
  <c r="BH29" i="346" s="1"/>
  <c r="BG36" i="346"/>
  <c r="BF36" i="346"/>
  <c r="BF32" i="346" s="1"/>
  <c r="BF29" i="346" s="1"/>
  <c r="BF28" i="346" s="1"/>
  <c r="BE36" i="346"/>
  <c r="BD36" i="346"/>
  <c r="BD32" i="346" s="1"/>
  <c r="BD29" i="346" s="1"/>
  <c r="BD28" i="346" s="1"/>
  <c r="BC36" i="346"/>
  <c r="BB36" i="346"/>
  <c r="BB32" i="346" s="1"/>
  <c r="BB29" i="346" s="1"/>
  <c r="BB28" i="346" s="1"/>
  <c r="BA36" i="346"/>
  <c r="AZ36" i="346"/>
  <c r="AZ32" i="346" s="1"/>
  <c r="AZ29" i="346" s="1"/>
  <c r="AZ28" i="346" s="1"/>
  <c r="AY36" i="346"/>
  <c r="AX36" i="346"/>
  <c r="AX32" i="346" s="1"/>
  <c r="AX29" i="346" s="1"/>
  <c r="AX28" i="346" s="1"/>
  <c r="AW36" i="346"/>
  <c r="AV36" i="346"/>
  <c r="AV32" i="346" s="1"/>
  <c r="AV29" i="346" s="1"/>
  <c r="AV28" i="346" s="1"/>
  <c r="AU36" i="346"/>
  <c r="AT36" i="346"/>
  <c r="AT32" i="346" s="1"/>
  <c r="AT29" i="346" s="1"/>
  <c r="AT28" i="346" s="1"/>
  <c r="AS36" i="346"/>
  <c r="AR36" i="346"/>
  <c r="AR32" i="346" s="1"/>
  <c r="AR29" i="346" s="1"/>
  <c r="AR28" i="346" s="1"/>
  <c r="AQ36" i="346"/>
  <c r="AP36" i="346"/>
  <c r="AP32" i="346" s="1"/>
  <c r="AP29" i="346" s="1"/>
  <c r="AP28" i="346" s="1"/>
  <c r="AO36" i="346"/>
  <c r="AN36" i="346"/>
  <c r="AN32" i="346" s="1"/>
  <c r="AN29" i="346" s="1"/>
  <c r="AN28" i="346" s="1"/>
  <c r="AM36" i="346"/>
  <c r="AL36" i="346"/>
  <c r="AL32" i="346" s="1"/>
  <c r="AL29" i="346" s="1"/>
  <c r="AL28" i="346" s="1"/>
  <c r="AK36" i="346"/>
  <c r="AJ36" i="346"/>
  <c r="AJ32" i="346" s="1"/>
  <c r="AJ29" i="346" s="1"/>
  <c r="AJ28" i="346" s="1"/>
  <c r="AI36" i="346"/>
  <c r="AH36" i="346"/>
  <c r="AH32" i="346" s="1"/>
  <c r="AH29" i="346" s="1"/>
  <c r="AH28" i="346" s="1"/>
  <c r="AG36" i="346"/>
  <c r="AF36" i="346"/>
  <c r="AF32" i="346" s="1"/>
  <c r="AF29" i="346" s="1"/>
  <c r="AF28" i="346" s="1"/>
  <c r="AE36" i="346"/>
  <c r="AD36" i="346"/>
  <c r="AD32" i="346" s="1"/>
  <c r="AD29" i="346" s="1"/>
  <c r="AD28" i="346" s="1"/>
  <c r="AC36" i="346"/>
  <c r="AB36" i="346"/>
  <c r="AB32" i="346" s="1"/>
  <c r="AB29" i="346" s="1"/>
  <c r="AB28" i="346" s="1"/>
  <c r="AA36" i="346"/>
  <c r="Z36" i="346"/>
  <c r="Z32" i="346" s="1"/>
  <c r="Z29" i="346" s="1"/>
  <c r="Z28" i="346" s="1"/>
  <c r="Y36" i="346"/>
  <c r="X36" i="346"/>
  <c r="X32" i="346" s="1"/>
  <c r="X29" i="346" s="1"/>
  <c r="X28" i="346" s="1"/>
  <c r="W36" i="346"/>
  <c r="V36" i="346"/>
  <c r="V32" i="346" s="1"/>
  <c r="V29" i="346" s="1"/>
  <c r="V28" i="346" s="1"/>
  <c r="U36" i="346"/>
  <c r="T36" i="346"/>
  <c r="T32" i="346" s="1"/>
  <c r="T29" i="346" s="1"/>
  <c r="T28" i="346" s="1"/>
  <c r="S36" i="346"/>
  <c r="R36" i="346"/>
  <c r="Q36" i="346"/>
  <c r="P36" i="346"/>
  <c r="P32" i="346" s="1"/>
  <c r="P29" i="346" s="1"/>
  <c r="P28" i="346" s="1"/>
  <c r="O36" i="346"/>
  <c r="N36" i="346"/>
  <c r="M36" i="346"/>
  <c r="L36" i="346"/>
  <c r="L32" i="346" s="1"/>
  <c r="L29" i="346" s="1"/>
  <c r="L28" i="346" s="1"/>
  <c r="K36" i="346"/>
  <c r="J36" i="346"/>
  <c r="H36" i="346" s="1"/>
  <c r="G36" i="346"/>
  <c r="H35" i="346"/>
  <c r="F35" i="346"/>
  <c r="H34" i="346"/>
  <c r="F34" i="346"/>
  <c r="BH33" i="346"/>
  <c r="BG33" i="346"/>
  <c r="BF33" i="346"/>
  <c r="BE33" i="346"/>
  <c r="BE32" i="346" s="1"/>
  <c r="BE29" i="346" s="1"/>
  <c r="BE28" i="346" s="1"/>
  <c r="BD33" i="346"/>
  <c r="BC33" i="346"/>
  <c r="BB33" i="346"/>
  <c r="BA33" i="346"/>
  <c r="BA32" i="346" s="1"/>
  <c r="BA29" i="346" s="1"/>
  <c r="BA28" i="346" s="1"/>
  <c r="AZ33" i="346"/>
  <c r="AY33" i="346"/>
  <c r="AX33" i="346"/>
  <c r="AW33" i="346"/>
  <c r="AW32" i="346" s="1"/>
  <c r="AW29" i="346" s="1"/>
  <c r="AW28" i="346" s="1"/>
  <c r="AV33" i="346"/>
  <c r="AU33" i="346"/>
  <c r="AT33" i="346"/>
  <c r="AS33" i="346"/>
  <c r="AS32" i="346" s="1"/>
  <c r="AS29" i="346" s="1"/>
  <c r="AS28" i="346" s="1"/>
  <c r="AR33" i="346"/>
  <c r="AQ33" i="346"/>
  <c r="AP33" i="346"/>
  <c r="AO33" i="346"/>
  <c r="AO32" i="346" s="1"/>
  <c r="AO29" i="346" s="1"/>
  <c r="AO28" i="346" s="1"/>
  <c r="AN33" i="346"/>
  <c r="AM33" i="346"/>
  <c r="AL33" i="346"/>
  <c r="AK33" i="346"/>
  <c r="AK32" i="346" s="1"/>
  <c r="AK29" i="346" s="1"/>
  <c r="AK28" i="346" s="1"/>
  <c r="AJ33" i="346"/>
  <c r="AI33" i="346"/>
  <c r="AH33" i="346"/>
  <c r="AG33" i="346"/>
  <c r="AG32" i="346" s="1"/>
  <c r="AG29" i="346" s="1"/>
  <c r="AG28" i="346" s="1"/>
  <c r="AF33" i="346"/>
  <c r="AE33" i="346"/>
  <c r="AD33" i="346"/>
  <c r="AC33" i="346"/>
  <c r="AC32" i="346" s="1"/>
  <c r="AC29" i="346" s="1"/>
  <c r="AC28" i="346" s="1"/>
  <c r="AB33" i="346"/>
  <c r="AA33" i="346"/>
  <c r="Z33" i="346"/>
  <c r="Y33" i="346"/>
  <c r="Y32" i="346" s="1"/>
  <c r="Y29" i="346" s="1"/>
  <c r="Y28" i="346" s="1"/>
  <c r="X33" i="346"/>
  <c r="W33" i="346"/>
  <c r="V33" i="346"/>
  <c r="U33" i="346"/>
  <c r="U32" i="346" s="1"/>
  <c r="U29" i="346" s="1"/>
  <c r="U28" i="346" s="1"/>
  <c r="T33" i="346"/>
  <c r="S33" i="346"/>
  <c r="R33" i="346"/>
  <c r="Q33" i="346"/>
  <c r="Q32" i="346" s="1"/>
  <c r="Q29" i="346" s="1"/>
  <c r="Q28" i="346" s="1"/>
  <c r="P33" i="346"/>
  <c r="O33" i="346"/>
  <c r="N33" i="346"/>
  <c r="M33" i="346"/>
  <c r="M32" i="346" s="1"/>
  <c r="M29" i="346" s="1"/>
  <c r="L33" i="346"/>
  <c r="K33" i="346"/>
  <c r="J33" i="346"/>
  <c r="H33" i="346"/>
  <c r="I32" i="346"/>
  <c r="M31" i="346"/>
  <c r="H31" i="346" s="1"/>
  <c r="F31" i="346" s="1"/>
  <c r="BH30" i="346"/>
  <c r="BG30" i="346"/>
  <c r="BF30" i="346"/>
  <c r="BE30" i="346"/>
  <c r="BD30" i="346"/>
  <c r="BC30" i="346"/>
  <c r="BB30" i="346"/>
  <c r="BA30" i="346"/>
  <c r="AZ30" i="346"/>
  <c r="AY30" i="346"/>
  <c r="AX30" i="346"/>
  <c r="AW30" i="346"/>
  <c r="AU30" i="346"/>
  <c r="AT30" i="346"/>
  <c r="AS30" i="346"/>
  <c r="AR30" i="346"/>
  <c r="AQ30" i="346"/>
  <c r="AP30" i="346"/>
  <c r="AO30" i="346"/>
  <c r="AN30" i="346"/>
  <c r="AM30" i="346"/>
  <c r="AL30" i="346"/>
  <c r="AK30" i="346"/>
  <c r="AJ30" i="346"/>
  <c r="AI30" i="346"/>
  <c r="AH30" i="346"/>
  <c r="AG30" i="346"/>
  <c r="AF30" i="346"/>
  <c r="AE30" i="346"/>
  <c r="AD30" i="346"/>
  <c r="AC30" i="346"/>
  <c r="AB30" i="346"/>
  <c r="AA30" i="346"/>
  <c r="Z30" i="346"/>
  <c r="Y30" i="346"/>
  <c r="X30" i="346"/>
  <c r="W30" i="346"/>
  <c r="V30" i="346"/>
  <c r="U30" i="346"/>
  <c r="T30" i="346"/>
  <c r="S30" i="346"/>
  <c r="R30" i="346"/>
  <c r="Q30" i="346"/>
  <c r="P30" i="346"/>
  <c r="O30" i="346"/>
  <c r="N30" i="346"/>
  <c r="M30" i="346"/>
  <c r="L30" i="346"/>
  <c r="K30" i="346"/>
  <c r="J30" i="346"/>
  <c r="H30" i="346"/>
  <c r="F30" i="346" s="1"/>
  <c r="G30" i="346"/>
  <c r="H27" i="346"/>
  <c r="F27" i="346"/>
  <c r="H26" i="346"/>
  <c r="F26" i="346"/>
  <c r="H25" i="346"/>
  <c r="F25" i="346"/>
  <c r="H24" i="346"/>
  <c r="F24" i="346"/>
  <c r="H23" i="346"/>
  <c r="F23" i="346" s="1"/>
  <c r="H22" i="346"/>
  <c r="F22" i="346"/>
  <c r="H21" i="346"/>
  <c r="F21" i="346" s="1"/>
  <c r="H20" i="346"/>
  <c r="F20" i="346"/>
  <c r="H19" i="346"/>
  <c r="F19" i="346" s="1"/>
  <c r="H18" i="346"/>
  <c r="F18" i="346"/>
  <c r="H17" i="346"/>
  <c r="F17" i="346" s="1"/>
  <c r="H16" i="346"/>
  <c r="F16" i="346"/>
  <c r="H15" i="346"/>
  <c r="F15" i="346" s="1"/>
  <c r="A15" i="346"/>
  <c r="A16" i="346" s="1"/>
  <c r="A17" i="346" s="1"/>
  <c r="A18" i="346" s="1"/>
  <c r="A19" i="346" s="1"/>
  <c r="A20" i="346" s="1"/>
  <c r="A21" i="346" s="1"/>
  <c r="A22" i="346" s="1"/>
  <c r="A23" i="346" s="1"/>
  <c r="A24" i="346" s="1"/>
  <c r="A31" i="346" s="1"/>
  <c r="A33" i="346" s="1"/>
  <c r="A36" i="346" s="1"/>
  <c r="A39" i="346" s="1"/>
  <c r="A40" i="346" s="1"/>
  <c r="A41" i="346" s="1"/>
  <c r="A44" i="346" s="1"/>
  <c r="A47" i="346" s="1"/>
  <c r="A51" i="346" s="1"/>
  <c r="A55" i="346" s="1"/>
  <c r="A64" i="346" s="1"/>
  <c r="A67" i="346" s="1"/>
  <c r="A68" i="346" s="1"/>
  <c r="A69" i="346" s="1"/>
  <c r="A70" i="346" s="1"/>
  <c r="A71" i="346" s="1"/>
  <c r="A72" i="346" s="1"/>
  <c r="A73" i="346" s="1"/>
  <c r="A74" i="346" s="1"/>
  <c r="A75" i="346" s="1"/>
  <c r="A76" i="346" s="1"/>
  <c r="A77" i="346" s="1"/>
  <c r="A78" i="346" s="1"/>
  <c r="A79" i="346" s="1"/>
  <c r="A95" i="346" s="1"/>
  <c r="A97" i="346" s="1"/>
  <c r="A98" i="346" s="1"/>
  <c r="A99" i="346" s="1"/>
  <c r="A101" i="346" s="1"/>
  <c r="A102" i="346" s="1"/>
  <c r="A103" i="346" s="1"/>
  <c r="A104" i="346" s="1"/>
  <c r="A105" i="346" s="1"/>
  <c r="A107" i="346" s="1"/>
  <c r="A109" i="346" s="1"/>
  <c r="A110" i="346" s="1"/>
  <c r="A111" i="346" s="1"/>
  <c r="A112" i="346" s="1"/>
  <c r="A114" i="346" s="1"/>
  <c r="A118" i="346" s="1"/>
  <c r="A122" i="346" s="1"/>
  <c r="A127" i="346" s="1"/>
  <c r="A134" i="346" s="1"/>
  <c r="A146" i="346" s="1"/>
  <c r="A155" i="346" s="1"/>
  <c r="A167" i="346" s="1"/>
  <c r="A170" i="346" s="1"/>
  <c r="A173" i="346" s="1"/>
  <c r="A176" i="346" s="1"/>
  <c r="A180" i="346" s="1"/>
  <c r="A181" i="346" s="1"/>
  <c r="A184" i="346" s="1"/>
  <c r="A190" i="346" s="1"/>
  <c r="A194" i="346" s="1"/>
  <c r="A197" i="346" s="1"/>
  <c r="A198" i="346" s="1"/>
  <c r="A201" i="346" s="1"/>
  <c r="A203" i="346" s="1"/>
  <c r="A208" i="346" s="1"/>
  <c r="A210" i="346" s="1"/>
  <c r="A212" i="346" s="1"/>
  <c r="A213" i="346" s="1"/>
  <c r="A217" i="346" s="1"/>
  <c r="A219" i="346" s="1"/>
  <c r="A221" i="346" s="1"/>
  <c r="A224" i="346" s="1"/>
  <c r="A225" i="346" s="1"/>
  <c r="A228" i="346" s="1"/>
  <c r="A232" i="346" s="1"/>
  <c r="A233" i="346" s="1"/>
  <c r="A235" i="346" s="1"/>
  <c r="A237" i="346" s="1"/>
  <c r="A238" i="346" s="1"/>
  <c r="A239" i="346" s="1"/>
  <c r="A240" i="346" s="1"/>
  <c r="H14" i="346"/>
  <c r="F14" i="346"/>
  <c r="A14" i="346"/>
  <c r="BF13" i="346"/>
  <c r="BF10" i="346" s="1"/>
  <c r="BF9" i="346" s="1"/>
  <c r="BF473" i="346" s="1"/>
  <c r="BC13" i="346"/>
  <c r="BB13" i="346"/>
  <c r="AZ13" i="346"/>
  <c r="AY13" i="346"/>
  <c r="AX13" i="346"/>
  <c r="AW13" i="346"/>
  <c r="AT13" i="346"/>
  <c r="AQ13" i="346"/>
  <c r="AQ10" i="346" s="1"/>
  <c r="AQ9" i="346" s="1"/>
  <c r="AQ473" i="346" s="1"/>
  <c r="AJ13" i="346"/>
  <c r="AI13" i="346"/>
  <c r="AH13" i="346"/>
  <c r="AG13" i="346"/>
  <c r="AF13" i="346"/>
  <c r="AE13" i="346"/>
  <c r="AD13" i="346"/>
  <c r="AC13" i="346"/>
  <c r="AB13" i="346"/>
  <c r="AA13" i="346"/>
  <c r="AA10" i="346" s="1"/>
  <c r="AA9" i="346" s="1"/>
  <c r="AA473" i="346" s="1"/>
  <c r="W13" i="346"/>
  <c r="U13" i="346"/>
  <c r="U10" i="346" s="1"/>
  <c r="U9" i="346" s="1"/>
  <c r="U473" i="346" s="1"/>
  <c r="T13" i="346"/>
  <c r="S13" i="346"/>
  <c r="S10" i="346" s="1"/>
  <c r="S9" i="346" s="1"/>
  <c r="O13" i="346"/>
  <c r="N13" i="346"/>
  <c r="N10" i="346" s="1"/>
  <c r="N9" i="346" s="1"/>
  <c r="M13" i="346"/>
  <c r="K13" i="346"/>
  <c r="K10" i="346" s="1"/>
  <c r="K9" i="346" s="1"/>
  <c r="K473" i="346" s="1"/>
  <c r="J13" i="346"/>
  <c r="H13" i="346"/>
  <c r="F13" i="346" s="1"/>
  <c r="G13" i="346"/>
  <c r="H12" i="346"/>
  <c r="F12" i="346"/>
  <c r="BF11" i="346"/>
  <c r="BC11" i="346"/>
  <c r="BC10" i="346" s="1"/>
  <c r="BC9" i="346" s="1"/>
  <c r="AZ11" i="346"/>
  <c r="AY11" i="346"/>
  <c r="AY10" i="346" s="1"/>
  <c r="AY9" i="346" s="1"/>
  <c r="AY473" i="346" s="1"/>
  <c r="AX11" i="346"/>
  <c r="AW11" i="346"/>
  <c r="AW10" i="346" s="1"/>
  <c r="AW9" i="346" s="1"/>
  <c r="AT11" i="346"/>
  <c r="AI11" i="346"/>
  <c r="AI10" i="346" s="1"/>
  <c r="AI9" i="346" s="1"/>
  <c r="AI473" i="346" s="1"/>
  <c r="AH11" i="346"/>
  <c r="AG11" i="346"/>
  <c r="AG10" i="346" s="1"/>
  <c r="AG9" i="346" s="1"/>
  <c r="AF11" i="346"/>
  <c r="AE11" i="346"/>
  <c r="AE10" i="346" s="1"/>
  <c r="AE9" i="346" s="1"/>
  <c r="AE473" i="346" s="1"/>
  <c r="AD11" i="346"/>
  <c r="AC11" i="346"/>
  <c r="AC10" i="346" s="1"/>
  <c r="AC9" i="346" s="1"/>
  <c r="AA11" i="346"/>
  <c r="W11" i="346"/>
  <c r="W10" i="346" s="1"/>
  <c r="W9" i="346" s="1"/>
  <c r="W473" i="346" s="1"/>
  <c r="U11" i="346"/>
  <c r="T11" i="346"/>
  <c r="S11" i="346"/>
  <c r="O11" i="346"/>
  <c r="O10" i="346" s="1"/>
  <c r="O9" i="346" s="1"/>
  <c r="O473" i="346" s="1"/>
  <c r="N11" i="346"/>
  <c r="M11" i="346"/>
  <c r="M10" i="346" s="1"/>
  <c r="M9" i="346" s="1"/>
  <c r="K11" i="346"/>
  <c r="J11" i="346"/>
  <c r="H11" i="346" s="1"/>
  <c r="H10" i="346" s="1"/>
  <c r="G11" i="346"/>
  <c r="F11" i="346" s="1"/>
  <c r="BH10" i="346"/>
  <c r="BG10" i="346"/>
  <c r="BE10" i="346"/>
  <c r="BD10" i="346"/>
  <c r="BB10" i="346"/>
  <c r="BA10" i="346"/>
  <c r="AZ10" i="346"/>
  <c r="AX10" i="346"/>
  <c r="AV10" i="346"/>
  <c r="AU10" i="346"/>
  <c r="AT10" i="346"/>
  <c r="AS10" i="346"/>
  <c r="AR10" i="346"/>
  <c r="AP10" i="346"/>
  <c r="AO10" i="346"/>
  <c r="AN10" i="346"/>
  <c r="AM10" i="346"/>
  <c r="AL10" i="346"/>
  <c r="AK10" i="346"/>
  <c r="AJ10" i="346"/>
  <c r="AH10" i="346"/>
  <c r="AF10" i="346"/>
  <c r="AD10" i="346"/>
  <c r="AB10" i="346"/>
  <c r="Z10" i="346"/>
  <c r="Y10" i="346"/>
  <c r="X10" i="346"/>
  <c r="V10" i="346"/>
  <c r="T10" i="346"/>
  <c r="R10" i="346"/>
  <c r="Q10" i="346"/>
  <c r="P10" i="346"/>
  <c r="L10" i="346"/>
  <c r="G10" i="346"/>
  <c r="BE9" i="346"/>
  <c r="BD9" i="346"/>
  <c r="BB9" i="346"/>
  <c r="BA9" i="346"/>
  <c r="AZ9" i="346"/>
  <c r="AX9" i="346"/>
  <c r="AV9" i="346"/>
  <c r="AU9" i="346"/>
  <c r="AT9" i="346"/>
  <c r="AS9" i="346"/>
  <c r="AR9" i="346"/>
  <c r="AP9" i="346"/>
  <c r="AO9" i="346"/>
  <c r="AN9" i="346"/>
  <c r="AM9" i="346"/>
  <c r="AL9" i="346"/>
  <c r="AK9" i="346"/>
  <c r="AJ9" i="346"/>
  <c r="AH9" i="346"/>
  <c r="AF9" i="346"/>
  <c r="AD9" i="346"/>
  <c r="AB9" i="346"/>
  <c r="Z9" i="346"/>
  <c r="Y9" i="346"/>
  <c r="X9" i="346"/>
  <c r="V9" i="346"/>
  <c r="T9" i="346"/>
  <c r="R9" i="346"/>
  <c r="Q9" i="346"/>
  <c r="P9" i="346"/>
  <c r="L9" i="346"/>
  <c r="G9" i="346"/>
  <c r="F316" i="346" l="1"/>
  <c r="F315" i="346" s="1"/>
  <c r="F310" i="346" s="1"/>
  <c r="AC473" i="346"/>
  <c r="AG473" i="346"/>
  <c r="AW473" i="346"/>
  <c r="A277" i="346"/>
  <c r="A278" i="346" s="1"/>
  <c r="A279" i="346" s="1"/>
  <c r="F36" i="346"/>
  <c r="F10" i="346"/>
  <c r="L473" i="346"/>
  <c r="AB473" i="346"/>
  <c r="AR473" i="346"/>
  <c r="V473" i="346"/>
  <c r="AD473" i="346"/>
  <c r="AL473" i="346"/>
  <c r="AT473" i="346"/>
  <c r="BB473" i="346"/>
  <c r="J10" i="346"/>
  <c r="J9" i="346" s="1"/>
  <c r="H44" i="346"/>
  <c r="F44" i="346" s="1"/>
  <c r="AM473" i="346"/>
  <c r="AU473" i="346"/>
  <c r="J32" i="346"/>
  <c r="F33" i="346"/>
  <c r="N41" i="346"/>
  <c r="H41" i="346" s="1"/>
  <c r="BC44" i="346"/>
  <c r="BC32" i="346" s="1"/>
  <c r="BC29" i="346" s="1"/>
  <c r="BC28" i="346" s="1"/>
  <c r="BC473" i="346" s="1"/>
  <c r="H47" i="346"/>
  <c r="F47" i="346" s="1"/>
  <c r="J55" i="346"/>
  <c r="N55" i="346"/>
  <c r="R55" i="346"/>
  <c r="R32" i="346" s="1"/>
  <c r="R29" i="346" s="1"/>
  <c r="R28" i="346" s="1"/>
  <c r="R473" i="346" s="1"/>
  <c r="H58" i="346"/>
  <c r="H59" i="346"/>
  <c r="F59" i="346" s="1"/>
  <c r="H75" i="346"/>
  <c r="F75" i="346" s="1"/>
  <c r="G79" i="346"/>
  <c r="F93" i="346"/>
  <c r="H94" i="346"/>
  <c r="F94" i="346" s="1"/>
  <c r="P473" i="346"/>
  <c r="AF473" i="346"/>
  <c r="AV473" i="346"/>
  <c r="X473" i="346"/>
  <c r="AN473" i="346"/>
  <c r="BD473" i="346"/>
  <c r="Q473" i="346"/>
  <c r="Y473" i="346"/>
  <c r="AK473" i="346"/>
  <c r="AO473" i="346"/>
  <c r="AS473" i="346"/>
  <c r="BA473" i="346"/>
  <c r="BE473" i="346"/>
  <c r="H60" i="346"/>
  <c r="F60" i="346" s="1"/>
  <c r="F84" i="346"/>
  <c r="H100" i="346"/>
  <c r="F100" i="346" s="1"/>
  <c r="F108" i="346"/>
  <c r="T473" i="346"/>
  <c r="AJ473" i="346"/>
  <c r="AZ473" i="346"/>
  <c r="Z473" i="346"/>
  <c r="AH473" i="346"/>
  <c r="AP473" i="346"/>
  <c r="AX473" i="346"/>
  <c r="H209" i="346"/>
  <c r="F209" i="346" s="1"/>
  <c r="H217" i="346"/>
  <c r="F217" i="346" s="1"/>
  <c r="F216" i="346" s="1"/>
  <c r="S216" i="346"/>
  <c r="H216" i="346" s="1"/>
  <c r="H227" i="346"/>
  <c r="F290" i="346"/>
  <c r="H211" i="346"/>
  <c r="F211" i="346" s="1"/>
  <c r="F223" i="346"/>
  <c r="F222" i="346" s="1"/>
  <c r="H223" i="346"/>
  <c r="H222" i="346" s="1"/>
  <c r="F227" i="346"/>
  <c r="J236" i="346"/>
  <c r="H236" i="346" s="1"/>
  <c r="F236" i="346" s="1"/>
  <c r="H239" i="346"/>
  <c r="F239" i="346" s="1"/>
  <c r="H249" i="346"/>
  <c r="F249" i="346" s="1"/>
  <c r="H306" i="346"/>
  <c r="H297" i="346" s="1"/>
  <c r="H231" i="346"/>
  <c r="F231" i="346" s="1"/>
  <c r="H276" i="346"/>
  <c r="F276" i="346" s="1"/>
  <c r="M276" i="346"/>
  <c r="M226" i="346" s="1"/>
  <c r="M28" i="346" s="1"/>
  <c r="M473" i="346" s="1"/>
  <c r="G297" i="346"/>
  <c r="F297" i="346" s="1"/>
  <c r="F306" i="346"/>
  <c r="Z22" i="322"/>
  <c r="Z9" i="322"/>
  <c r="G41" i="345"/>
  <c r="F41" i="346" l="1"/>
  <c r="H32" i="346"/>
  <c r="H29" i="346" s="1"/>
  <c r="H28" i="346" s="1"/>
  <c r="H9" i="346"/>
  <c r="S29" i="346"/>
  <c r="S28" i="346" s="1"/>
  <c r="S473" i="346" s="1"/>
  <c r="N32" i="346"/>
  <c r="N29" i="346" s="1"/>
  <c r="N28" i="346" s="1"/>
  <c r="N473" i="346" s="1"/>
  <c r="J226" i="346"/>
  <c r="H226" i="346" s="1"/>
  <c r="F226" i="346" s="1"/>
  <c r="F79" i="346"/>
  <c r="G32" i="346"/>
  <c r="G29" i="346" s="1"/>
  <c r="G28" i="346" s="1"/>
  <c r="A281" i="346"/>
  <c r="A282" i="346" s="1"/>
  <c r="A283" i="346" s="1"/>
  <c r="A285" i="346" s="1"/>
  <c r="A286" i="346" s="1"/>
  <c r="A287" i="346" s="1"/>
  <c r="A289" i="346" s="1"/>
  <c r="A291" i="346" s="1"/>
  <c r="A292" i="346" s="1"/>
  <c r="A293" i="346" s="1"/>
  <c r="A294" i="346" s="1"/>
  <c r="A295" i="346" s="1"/>
  <c r="A296" i="346" s="1"/>
  <c r="A299" i="346" s="1"/>
  <c r="A300" i="346" s="1"/>
  <c r="A301" i="346" s="1"/>
  <c r="A302" i="346" s="1"/>
  <c r="A303" i="346" s="1"/>
  <c r="A305" i="346" s="1"/>
  <c r="A307" i="346" s="1"/>
  <c r="A308" i="346" s="1"/>
  <c r="A309" i="346" s="1"/>
  <c r="A312" i="346" s="1"/>
  <c r="A314" i="346" s="1"/>
  <c r="A316" i="346" s="1"/>
  <c r="A319" i="346" s="1"/>
  <c r="A332" i="346" s="1"/>
  <c r="A333" i="346" s="1"/>
  <c r="A334" i="346" s="1"/>
  <c r="A336" i="346" s="1"/>
  <c r="A337" i="346" s="1"/>
  <c r="A338" i="346" s="1"/>
  <c r="A341" i="346" s="1"/>
  <c r="A342" i="346" s="1"/>
  <c r="A343" i="346" s="1"/>
  <c r="A344" i="346" s="1"/>
  <c r="A345" i="346" s="1"/>
  <c r="A346" i="346" s="1"/>
  <c r="A349" i="346" s="1"/>
  <c r="A354" i="346" s="1"/>
  <c r="A355" i="346" s="1"/>
  <c r="A364" i="346" s="1"/>
  <c r="A365" i="346" s="1"/>
  <c r="A366" i="346" s="1"/>
  <c r="A370" i="346" s="1"/>
  <c r="A374" i="346" s="1"/>
  <c r="A375" i="346" s="1"/>
  <c r="A379" i="346" s="1"/>
  <c r="A380" i="346" s="1"/>
  <c r="A381" i="346" s="1"/>
  <c r="A382" i="346" s="1"/>
  <c r="A383" i="346" s="1"/>
  <c r="A384" i="346" s="1"/>
  <c r="A389" i="346" s="1"/>
  <c r="A390" i="346" s="1"/>
  <c r="A391" i="346" s="1"/>
  <c r="A399" i="346" s="1"/>
  <c r="A407" i="346" s="1"/>
  <c r="A408" i="346" s="1"/>
  <c r="A409" i="346" s="1"/>
  <c r="A411" i="346" s="1"/>
  <c r="A412" i="346" s="1"/>
  <c r="A413" i="346" s="1"/>
  <c r="A414" i="346" s="1"/>
  <c r="A415" i="346" s="1"/>
  <c r="A416" i="346" s="1"/>
  <c r="A417" i="346" s="1"/>
  <c r="A418" i="346" s="1"/>
  <c r="A419" i="346" s="1"/>
  <c r="A420" i="346" s="1"/>
  <c r="A421" i="346" s="1"/>
  <c r="A422" i="346" s="1"/>
  <c r="A423" i="346" s="1"/>
  <c r="A424" i="346" s="1"/>
  <c r="A426" i="346" s="1"/>
  <c r="A427" i="346" s="1"/>
  <c r="A428" i="346" s="1"/>
  <c r="A429" i="346" s="1"/>
  <c r="A430" i="346" s="1"/>
  <c r="A431" i="346" s="1"/>
  <c r="A432" i="346" s="1"/>
  <c r="A433" i="346" s="1"/>
  <c r="A434" i="346" s="1"/>
  <c r="A435" i="346" s="1"/>
  <c r="A436" i="346" s="1"/>
  <c r="A437" i="346" s="1"/>
  <c r="A438" i="346" s="1"/>
  <c r="A439" i="346" s="1"/>
  <c r="A440" i="346" s="1"/>
  <c r="A441" i="346" s="1"/>
  <c r="A442" i="346" s="1"/>
  <c r="A443" i="346" s="1"/>
  <c r="A444" i="346" s="1"/>
  <c r="A445" i="346" s="1"/>
  <c r="A446" i="346" s="1"/>
  <c r="A447" i="346" s="1"/>
  <c r="A449" i="346" s="1"/>
  <c r="A450" i="346" s="1"/>
  <c r="A451" i="346" s="1"/>
  <c r="A452" i="346" s="1"/>
  <c r="A453" i="346" s="1"/>
  <c r="A454" i="346" s="1"/>
  <c r="A455" i="346" s="1"/>
  <c r="A457" i="346" s="1"/>
  <c r="A459" i="346" s="1"/>
  <c r="A461" i="346" s="1"/>
  <c r="A462" i="346" s="1"/>
  <c r="A463" i="346" s="1"/>
  <c r="A464" i="346" s="1"/>
  <c r="A465" i="346" s="1"/>
  <c r="A466" i="346" s="1"/>
  <c r="A467" i="346" s="1"/>
  <c r="A468" i="346" s="1"/>
  <c r="A469" i="346" s="1"/>
  <c r="A470" i="346" s="1"/>
  <c r="A472" i="346" s="1"/>
  <c r="A280" i="346"/>
  <c r="H55" i="346"/>
  <c r="F32" i="346"/>
  <c r="F29" i="346" s="1"/>
  <c r="F58" i="346"/>
  <c r="F55" i="346" s="1"/>
  <c r="H56" i="346"/>
  <c r="F56" i="346" s="1"/>
  <c r="J19" i="344"/>
  <c r="J22" i="344"/>
  <c r="F52" i="344"/>
  <c r="F53" i="344"/>
  <c r="F54" i="344"/>
  <c r="D52" i="344"/>
  <c r="D53" i="344"/>
  <c r="D54" i="344"/>
  <c r="F28" i="346" l="1"/>
  <c r="G473" i="346"/>
  <c r="J28" i="346"/>
  <c r="J473" i="346" s="1"/>
  <c r="H473" i="346"/>
  <c r="F9" i="346"/>
  <c r="F473" i="346" s="1"/>
  <c r="E54" i="344"/>
  <c r="E53" i="344"/>
  <c r="E52" i="344"/>
  <c r="I7" i="344" l="1"/>
  <c r="I8" i="344"/>
  <c r="I9" i="344"/>
  <c r="I10" i="344"/>
  <c r="I11" i="344"/>
  <c r="I12" i="344"/>
  <c r="I13" i="344"/>
  <c r="I15" i="344"/>
  <c r="I17" i="344"/>
  <c r="I18" i="344"/>
  <c r="I20" i="344"/>
  <c r="I21" i="344"/>
  <c r="I23" i="344"/>
  <c r="I24" i="344"/>
  <c r="I25" i="344"/>
  <c r="I26" i="344"/>
  <c r="I27" i="344"/>
  <c r="I29" i="344"/>
  <c r="I30" i="344"/>
  <c r="I31" i="344"/>
  <c r="I32" i="344"/>
  <c r="I33" i="344"/>
  <c r="I34" i="344"/>
  <c r="I35" i="344"/>
  <c r="I36" i="344"/>
  <c r="I38" i="344"/>
  <c r="I39" i="344"/>
  <c r="I40" i="344"/>
  <c r="I41" i="344"/>
  <c r="I42" i="344"/>
  <c r="I43" i="344"/>
  <c r="I46" i="344"/>
  <c r="I47" i="344"/>
  <c r="I48" i="344"/>
  <c r="I49" i="344"/>
  <c r="I50" i="344"/>
  <c r="I51" i="344"/>
  <c r="I52" i="344"/>
  <c r="J52" i="344" s="1"/>
  <c r="I53" i="344"/>
  <c r="J53" i="344" s="1"/>
  <c r="I54" i="344"/>
  <c r="J54" i="344" s="1"/>
  <c r="I55" i="344"/>
  <c r="I56" i="344"/>
  <c r="I57" i="344"/>
  <c r="I58" i="344"/>
  <c r="I59" i="344"/>
  <c r="G51" i="344"/>
  <c r="G49" i="344"/>
  <c r="G48" i="344"/>
  <c r="G47" i="344"/>
  <c r="G46" i="344"/>
  <c r="G45" i="344"/>
  <c r="G44" i="344"/>
  <c r="G43" i="344"/>
  <c r="G42" i="344"/>
  <c r="G41" i="344"/>
  <c r="G40" i="344"/>
  <c r="G38" i="344"/>
  <c r="G37" i="344"/>
  <c r="G36" i="344"/>
  <c r="G35" i="344"/>
  <c r="G34" i="344"/>
  <c r="G33" i="344"/>
  <c r="G32" i="344"/>
  <c r="G31" i="344"/>
  <c r="G11" i="344"/>
  <c r="G10" i="344"/>
  <c r="G9" i="344"/>
  <c r="G8" i="344"/>
  <c r="G7" i="344"/>
  <c r="G5" i="344"/>
  <c r="CD69" i="343"/>
  <c r="CC69" i="343"/>
  <c r="CB69" i="343"/>
  <c r="CA69" i="343"/>
  <c r="BZ69" i="343"/>
  <c r="BY69" i="343"/>
  <c r="BX69" i="343"/>
  <c r="BW69" i="343"/>
  <c r="BV69" i="343"/>
  <c r="BU69" i="343"/>
  <c r="BT69" i="343"/>
  <c r="BS69" i="343"/>
  <c r="BR69" i="343"/>
  <c r="BQ69" i="343"/>
  <c r="BP69" i="343"/>
  <c r="BO69" i="343"/>
  <c r="BN69" i="343"/>
  <c r="BM69" i="343"/>
  <c r="BL69" i="343"/>
  <c r="BK69" i="343"/>
  <c r="BJ69" i="343"/>
  <c r="BI69" i="343"/>
  <c r="BH69" i="343"/>
  <c r="BG69" i="343"/>
  <c r="BF69" i="343"/>
  <c r="BE69" i="343"/>
  <c r="BD69" i="343"/>
  <c r="BC69" i="343"/>
  <c r="BB69" i="343"/>
  <c r="BA69" i="343"/>
  <c r="AZ69" i="343"/>
  <c r="AX69" i="343"/>
  <c r="AW69" i="343"/>
  <c r="AV69" i="343"/>
  <c r="AU69" i="343"/>
  <c r="AT69" i="343"/>
  <c r="AS69" i="343"/>
  <c r="AR69" i="343"/>
  <c r="AQ69" i="343"/>
  <c r="AP69" i="343"/>
  <c r="AO69" i="343"/>
  <c r="AN69" i="343"/>
  <c r="AM69" i="343"/>
  <c r="AL69" i="343"/>
  <c r="AK69" i="343"/>
  <c r="AJ69" i="343"/>
  <c r="AI69" i="343"/>
  <c r="AH69" i="343"/>
  <c r="AG69" i="343"/>
  <c r="AF69" i="343"/>
  <c r="AE69" i="343"/>
  <c r="AD69" i="343"/>
  <c r="AC69" i="343"/>
  <c r="AB69" i="343"/>
  <c r="AA69" i="343"/>
  <c r="AC66" i="343"/>
  <c r="BJ64" i="343"/>
  <c r="BI64" i="343"/>
  <c r="BH64" i="343"/>
  <c r="BG64" i="343"/>
  <c r="BF64" i="343"/>
  <c r="BE64" i="343"/>
  <c r="BD64" i="343"/>
  <c r="BC64" i="343"/>
  <c r="BB64" i="343"/>
  <c r="BA64" i="343"/>
  <c r="AZ64" i="343"/>
  <c r="AY64" i="343"/>
  <c r="AX64" i="343"/>
  <c r="AW64" i="343"/>
  <c r="AV64" i="343"/>
  <c r="AU64" i="343"/>
  <c r="AT64" i="343"/>
  <c r="AS64" i="343"/>
  <c r="AR64" i="343"/>
  <c r="AQ64" i="343"/>
  <c r="AP64" i="343"/>
  <c r="AO64" i="343"/>
  <c r="AN64" i="343"/>
  <c r="AM64" i="343"/>
  <c r="AL64" i="343"/>
  <c r="AK64" i="343"/>
  <c r="AJ64" i="343"/>
  <c r="AI64" i="343"/>
  <c r="AH64" i="343"/>
  <c r="AG64" i="343"/>
  <c r="AF64" i="343"/>
  <c r="AE64" i="343"/>
  <c r="AD64" i="343"/>
  <c r="AC64" i="343"/>
  <c r="AA64" i="343"/>
  <c r="Z64" i="343"/>
  <c r="Y64" i="343"/>
  <c r="X64" i="343"/>
  <c r="W64" i="343"/>
  <c r="V64" i="343"/>
  <c r="U64" i="343"/>
  <c r="T64" i="343"/>
  <c r="S64" i="343"/>
  <c r="R64" i="343"/>
  <c r="Q64" i="343"/>
  <c r="P64" i="343"/>
  <c r="O64" i="343"/>
  <c r="N64" i="343"/>
  <c r="M64" i="343"/>
  <c r="L64" i="343"/>
  <c r="K64" i="343"/>
  <c r="J64" i="343"/>
  <c r="I64" i="343"/>
  <c r="H64" i="343"/>
  <c r="G64" i="343"/>
  <c r="F64" i="343"/>
  <c r="E64" i="343"/>
  <c r="D64" i="343"/>
  <c r="BJ63" i="343"/>
  <c r="BI63" i="343"/>
  <c r="BH63" i="343"/>
  <c r="BG63" i="343"/>
  <c r="D63" i="343"/>
  <c r="BJ62" i="343"/>
  <c r="BI62" i="343"/>
  <c r="BH62" i="343"/>
  <c r="BG62" i="343"/>
  <c r="BF62" i="343"/>
  <c r="BE62" i="343"/>
  <c r="BD62" i="343"/>
  <c r="BC62" i="343"/>
  <c r="BB62" i="343"/>
  <c r="BA62" i="343"/>
  <c r="AZ62" i="343"/>
  <c r="AY62" i="343"/>
  <c r="AX62" i="343"/>
  <c r="AW62" i="343"/>
  <c r="AV62" i="343"/>
  <c r="AU62" i="343"/>
  <c r="AT62" i="343"/>
  <c r="AS62" i="343"/>
  <c r="AR62" i="343"/>
  <c r="AQ62" i="343"/>
  <c r="AP62" i="343"/>
  <c r="AO62" i="343"/>
  <c r="AN62" i="343"/>
  <c r="AM62" i="343"/>
  <c r="AL62" i="343"/>
  <c r="AK62" i="343"/>
  <c r="AJ62" i="343"/>
  <c r="AI62" i="343"/>
  <c r="AH62" i="343"/>
  <c r="AG62" i="343"/>
  <c r="AF62" i="343"/>
  <c r="AE62" i="343"/>
  <c r="AD62" i="343"/>
  <c r="AC62" i="343"/>
  <c r="AA62" i="343"/>
  <c r="Z62" i="343"/>
  <c r="Y62" i="343"/>
  <c r="X62" i="343"/>
  <c r="W62" i="343"/>
  <c r="V62" i="343"/>
  <c r="U62" i="343"/>
  <c r="T62" i="343"/>
  <c r="S62" i="343"/>
  <c r="R62" i="343"/>
  <c r="Q62" i="343"/>
  <c r="P62" i="343"/>
  <c r="O62" i="343"/>
  <c r="N62" i="343"/>
  <c r="M62" i="343"/>
  <c r="L62" i="343"/>
  <c r="K62" i="343"/>
  <c r="J62" i="343"/>
  <c r="I62" i="343"/>
  <c r="H62" i="343"/>
  <c r="G62" i="343"/>
  <c r="F62" i="343"/>
  <c r="E62" i="343"/>
  <c r="D62" i="343"/>
  <c r="BJ61" i="343"/>
  <c r="BI61" i="343"/>
  <c r="BH61" i="343"/>
  <c r="BG61" i="343"/>
  <c r="BF61" i="343"/>
  <c r="BE61" i="343"/>
  <c r="BD61" i="343"/>
  <c r="BC61" i="343"/>
  <c r="BB61" i="343"/>
  <c r="BA61" i="343"/>
  <c r="AZ61" i="343"/>
  <c r="AY61" i="343"/>
  <c r="AX61" i="343"/>
  <c r="AW61" i="343"/>
  <c r="AV61" i="343"/>
  <c r="AU61" i="343"/>
  <c r="AT61" i="343"/>
  <c r="AS61" i="343"/>
  <c r="AR61" i="343"/>
  <c r="AQ61" i="343"/>
  <c r="AP61" i="343"/>
  <c r="AO61" i="343"/>
  <c r="AN61" i="343"/>
  <c r="AM61" i="343"/>
  <c r="AL61" i="343"/>
  <c r="AK61" i="343"/>
  <c r="AJ61" i="343"/>
  <c r="AI61" i="343"/>
  <c r="AH61" i="343"/>
  <c r="AG61" i="343"/>
  <c r="AF61" i="343"/>
  <c r="AE61" i="343"/>
  <c r="AD61" i="343"/>
  <c r="AC61" i="343"/>
  <c r="AA61" i="343"/>
  <c r="Z61" i="343"/>
  <c r="Y61" i="343"/>
  <c r="X61" i="343"/>
  <c r="W61" i="343"/>
  <c r="V61" i="343"/>
  <c r="T61" i="343"/>
  <c r="S61" i="343"/>
  <c r="R61" i="343"/>
  <c r="Q61" i="343"/>
  <c r="P61" i="343"/>
  <c r="O61" i="343"/>
  <c r="N61" i="343"/>
  <c r="M61" i="343"/>
  <c r="L61" i="343"/>
  <c r="K61" i="343"/>
  <c r="J61" i="343"/>
  <c r="I61" i="343"/>
  <c r="H61" i="343"/>
  <c r="G61" i="343"/>
  <c r="F61" i="343"/>
  <c r="E61" i="343"/>
  <c r="D61" i="343"/>
  <c r="BJ60" i="343"/>
  <c r="BI60" i="343"/>
  <c r="BH60" i="343"/>
  <c r="BG60" i="343"/>
  <c r="BF60" i="343"/>
  <c r="BE60" i="343"/>
  <c r="BD60" i="343"/>
  <c r="BC60" i="343"/>
  <c r="BB60" i="343"/>
  <c r="BA60" i="343"/>
  <c r="AZ60" i="343"/>
  <c r="AY60" i="343"/>
  <c r="AX60" i="343"/>
  <c r="AW60" i="343"/>
  <c r="AV60" i="343"/>
  <c r="AU60" i="343"/>
  <c r="AT60" i="343"/>
  <c r="AS60" i="343"/>
  <c r="AR60" i="343"/>
  <c r="AQ60" i="343"/>
  <c r="AP60" i="343"/>
  <c r="AO60" i="343"/>
  <c r="AN60" i="343"/>
  <c r="AM60" i="343"/>
  <c r="AL60" i="343"/>
  <c r="AK60" i="343"/>
  <c r="AJ60" i="343"/>
  <c r="AI60" i="343"/>
  <c r="AH60" i="343"/>
  <c r="AG60" i="343"/>
  <c r="AF60" i="343"/>
  <c r="AE60" i="343"/>
  <c r="AD60" i="343"/>
  <c r="AC60" i="343"/>
  <c r="AA60" i="343"/>
  <c r="Z60" i="343"/>
  <c r="Y60" i="343"/>
  <c r="X60" i="343"/>
  <c r="W60" i="343"/>
  <c r="V60" i="343"/>
  <c r="T60" i="343"/>
  <c r="S60" i="343"/>
  <c r="R60" i="343"/>
  <c r="Q60" i="343"/>
  <c r="P60" i="343"/>
  <c r="O60" i="343"/>
  <c r="N60" i="343"/>
  <c r="M60" i="343"/>
  <c r="L60" i="343"/>
  <c r="K60" i="343"/>
  <c r="J60" i="343"/>
  <c r="I60" i="343"/>
  <c r="H60" i="343"/>
  <c r="G60" i="343"/>
  <c r="F60" i="343"/>
  <c r="E60" i="343"/>
  <c r="D60" i="343"/>
  <c r="BJ59" i="343"/>
  <c r="BI59" i="343"/>
  <c r="BH59" i="343"/>
  <c r="BG59" i="343"/>
  <c r="BF59" i="343"/>
  <c r="BE59" i="343"/>
  <c r="BD59" i="343"/>
  <c r="BC59" i="343"/>
  <c r="BB59" i="343"/>
  <c r="BA59" i="343"/>
  <c r="AZ59" i="343"/>
  <c r="AY59" i="343"/>
  <c r="AX59" i="343"/>
  <c r="AW59" i="343"/>
  <c r="AV59" i="343"/>
  <c r="AU59" i="343"/>
  <c r="AT59" i="343"/>
  <c r="AS59" i="343"/>
  <c r="AR59" i="343"/>
  <c r="AQ59" i="343"/>
  <c r="AP59" i="343"/>
  <c r="AO59" i="343"/>
  <c r="AN59" i="343"/>
  <c r="AM59" i="343"/>
  <c r="AL59" i="343"/>
  <c r="AK59" i="343"/>
  <c r="AJ59" i="343"/>
  <c r="AI59" i="343"/>
  <c r="AH59" i="343"/>
  <c r="AG59" i="343"/>
  <c r="AF59" i="343"/>
  <c r="AE59" i="343"/>
  <c r="AD59" i="343"/>
  <c r="AC59" i="343"/>
  <c r="AA59" i="343"/>
  <c r="Z59" i="343"/>
  <c r="Y59" i="343"/>
  <c r="X59" i="343"/>
  <c r="W59" i="343"/>
  <c r="V59" i="343"/>
  <c r="T59" i="343"/>
  <c r="S59" i="343"/>
  <c r="R59" i="343"/>
  <c r="Q59" i="343"/>
  <c r="P59" i="343"/>
  <c r="O59" i="343"/>
  <c r="N59" i="343"/>
  <c r="M59" i="343"/>
  <c r="L59" i="343"/>
  <c r="K59" i="343"/>
  <c r="J59" i="343"/>
  <c r="I59" i="343"/>
  <c r="H59" i="343"/>
  <c r="G59" i="343"/>
  <c r="F59" i="343"/>
  <c r="E59" i="343"/>
  <c r="D59" i="343"/>
  <c r="BJ58" i="343"/>
  <c r="BI58" i="343"/>
  <c r="BH58" i="343"/>
  <c r="BG58" i="343"/>
  <c r="BF58" i="343"/>
  <c r="BE58" i="343"/>
  <c r="BD58" i="343"/>
  <c r="BC58" i="343"/>
  <c r="BB58" i="343"/>
  <c r="BA58" i="343"/>
  <c r="AZ58" i="343"/>
  <c r="AY58" i="343"/>
  <c r="AX58" i="343"/>
  <c r="AW58" i="343"/>
  <c r="AV58" i="343"/>
  <c r="AU58" i="343"/>
  <c r="AT58" i="343"/>
  <c r="AS58" i="343"/>
  <c r="AR58" i="343"/>
  <c r="AQ58" i="343"/>
  <c r="AP58" i="343"/>
  <c r="AO58" i="343"/>
  <c r="AN58" i="343"/>
  <c r="AM58" i="343"/>
  <c r="AL58" i="343"/>
  <c r="AK58" i="343"/>
  <c r="AJ58" i="343"/>
  <c r="AI58" i="343"/>
  <c r="AH58" i="343"/>
  <c r="AG58" i="343"/>
  <c r="AF58" i="343"/>
  <c r="AE58" i="343"/>
  <c r="AD58" i="343"/>
  <c r="AC58" i="343"/>
  <c r="AA58" i="343"/>
  <c r="Z58" i="343"/>
  <c r="Y58" i="343"/>
  <c r="X58" i="343"/>
  <c r="W58" i="343"/>
  <c r="V58" i="343"/>
  <c r="T58" i="343"/>
  <c r="S58" i="343"/>
  <c r="R58" i="343"/>
  <c r="Q58" i="343"/>
  <c r="P58" i="343"/>
  <c r="O58" i="343"/>
  <c r="N58" i="343"/>
  <c r="M58" i="343"/>
  <c r="L58" i="343"/>
  <c r="K58" i="343"/>
  <c r="J58" i="343"/>
  <c r="I58" i="343"/>
  <c r="H58" i="343"/>
  <c r="G58" i="343"/>
  <c r="F58" i="343"/>
  <c r="E58" i="343"/>
  <c r="D58" i="343"/>
  <c r="BJ57" i="343"/>
  <c r="AB57" i="343"/>
  <c r="U57" i="343" s="1"/>
  <c r="BJ56" i="343"/>
  <c r="AB56" i="343"/>
  <c r="U56" i="343" s="1"/>
  <c r="BJ55" i="343"/>
  <c r="AB55" i="343"/>
  <c r="U55" i="343" s="1"/>
  <c r="BJ54" i="343"/>
  <c r="BI54" i="343"/>
  <c r="BH54" i="343"/>
  <c r="BG54" i="343"/>
  <c r="BF54" i="343"/>
  <c r="BE54" i="343"/>
  <c r="BD54" i="343"/>
  <c r="BC54" i="343"/>
  <c r="BB54" i="343"/>
  <c r="BA54" i="343"/>
  <c r="AZ54" i="343"/>
  <c r="AY54" i="343"/>
  <c r="AX54" i="343"/>
  <c r="AW54" i="343"/>
  <c r="AV54" i="343"/>
  <c r="AU54" i="343"/>
  <c r="AT54" i="343"/>
  <c r="AS54" i="343"/>
  <c r="AR54" i="343"/>
  <c r="AQ54" i="343"/>
  <c r="AP54" i="343"/>
  <c r="AO54" i="343"/>
  <c r="AN54" i="343"/>
  <c r="AM54" i="343"/>
  <c r="AL54" i="343"/>
  <c r="AK54" i="343"/>
  <c r="AJ54" i="343"/>
  <c r="AI54" i="343"/>
  <c r="AH54" i="343"/>
  <c r="AG54" i="343"/>
  <c r="AF54" i="343"/>
  <c r="AE54" i="343"/>
  <c r="AD54" i="343"/>
  <c r="AC54" i="343"/>
  <c r="AA54" i="343"/>
  <c r="Z54" i="343"/>
  <c r="Y54" i="343"/>
  <c r="X54" i="343"/>
  <c r="W54" i="343"/>
  <c r="V54" i="343"/>
  <c r="T54" i="343"/>
  <c r="S54" i="343"/>
  <c r="R54" i="343"/>
  <c r="Q54" i="343"/>
  <c r="P54" i="343"/>
  <c r="O54" i="343"/>
  <c r="N54" i="343"/>
  <c r="M54" i="343"/>
  <c r="L54" i="343"/>
  <c r="K54" i="343"/>
  <c r="J54" i="343"/>
  <c r="I54" i="343"/>
  <c r="H54" i="343"/>
  <c r="G54" i="343"/>
  <c r="F54" i="343"/>
  <c r="E54" i="343"/>
  <c r="D54" i="343"/>
  <c r="BJ53" i="343"/>
  <c r="BI53" i="343"/>
  <c r="BH53" i="343"/>
  <c r="BG53" i="343"/>
  <c r="BF53" i="343"/>
  <c r="BE53" i="343"/>
  <c r="BD53" i="343"/>
  <c r="BC53" i="343"/>
  <c r="BB53" i="343"/>
  <c r="BA53" i="343"/>
  <c r="AZ53" i="343"/>
  <c r="AY53" i="343"/>
  <c r="AX53" i="343"/>
  <c r="AW53" i="343"/>
  <c r="AV53" i="343"/>
  <c r="AU53" i="343"/>
  <c r="AT53" i="343"/>
  <c r="AS53" i="343"/>
  <c r="AR53" i="343"/>
  <c r="AQ53" i="343"/>
  <c r="AP53" i="343"/>
  <c r="AO53" i="343"/>
  <c r="AN53" i="343"/>
  <c r="AM53" i="343"/>
  <c r="AL53" i="343"/>
  <c r="AK53" i="343"/>
  <c r="AJ53" i="343"/>
  <c r="AI53" i="343"/>
  <c r="AH53" i="343"/>
  <c r="AG53" i="343"/>
  <c r="AF53" i="343"/>
  <c r="AE53" i="343"/>
  <c r="AD53" i="343"/>
  <c r="AC53" i="343"/>
  <c r="AA53" i="343"/>
  <c r="Z53" i="343"/>
  <c r="Y53" i="343"/>
  <c r="X53" i="343"/>
  <c r="W53" i="343"/>
  <c r="V53" i="343"/>
  <c r="T53" i="343"/>
  <c r="S53" i="343"/>
  <c r="R53" i="343"/>
  <c r="Q53" i="343"/>
  <c r="P53" i="343"/>
  <c r="O53" i="343"/>
  <c r="N53" i="343"/>
  <c r="M53" i="343"/>
  <c r="L53" i="343"/>
  <c r="K53" i="343"/>
  <c r="J53" i="343"/>
  <c r="I53" i="343"/>
  <c r="H53" i="343"/>
  <c r="G53" i="343"/>
  <c r="F53" i="343"/>
  <c r="E53" i="343"/>
  <c r="D53" i="343"/>
  <c r="BJ52" i="343"/>
  <c r="BI52" i="343"/>
  <c r="BH52" i="343"/>
  <c r="BG52" i="343"/>
  <c r="BF52" i="343"/>
  <c r="BE52" i="343"/>
  <c r="BD52" i="343"/>
  <c r="BC52" i="343"/>
  <c r="BB52" i="343"/>
  <c r="BA52" i="343"/>
  <c r="AZ52" i="343"/>
  <c r="AY52" i="343"/>
  <c r="AX52" i="343"/>
  <c r="AW52" i="343"/>
  <c r="AV52" i="343"/>
  <c r="AU52" i="343"/>
  <c r="AT52" i="343"/>
  <c r="AS52" i="343"/>
  <c r="AR52" i="343"/>
  <c r="AQ52" i="343"/>
  <c r="AP52" i="343"/>
  <c r="AO52" i="343"/>
  <c r="AN52" i="343"/>
  <c r="AM52" i="343"/>
  <c r="AL52" i="343"/>
  <c r="AK52" i="343"/>
  <c r="AJ52" i="343"/>
  <c r="AI52" i="343"/>
  <c r="AH52" i="343"/>
  <c r="AG52" i="343"/>
  <c r="AF52" i="343"/>
  <c r="AE52" i="343"/>
  <c r="AD52" i="343"/>
  <c r="AC52" i="343"/>
  <c r="AA52" i="343"/>
  <c r="Z52" i="343"/>
  <c r="Y52" i="343"/>
  <c r="X52" i="343"/>
  <c r="W52" i="343"/>
  <c r="V52" i="343"/>
  <c r="T52" i="343"/>
  <c r="S52" i="343"/>
  <c r="R52" i="343"/>
  <c r="Q52" i="343"/>
  <c r="P52" i="343"/>
  <c r="O52" i="343"/>
  <c r="N52" i="343"/>
  <c r="M52" i="343"/>
  <c r="L52" i="343"/>
  <c r="K52" i="343"/>
  <c r="J52" i="343"/>
  <c r="I52" i="343"/>
  <c r="H52" i="343"/>
  <c r="G52" i="343"/>
  <c r="F52" i="343"/>
  <c r="E52" i="343"/>
  <c r="D52" i="343"/>
  <c r="BJ51" i="343"/>
  <c r="BI51" i="343"/>
  <c r="BH51" i="343"/>
  <c r="BG51" i="343"/>
  <c r="BF51" i="343"/>
  <c r="BE51" i="343"/>
  <c r="BD51" i="343"/>
  <c r="BC51" i="343"/>
  <c r="BB51" i="343"/>
  <c r="BA51" i="343"/>
  <c r="AZ51" i="343"/>
  <c r="AY51" i="343"/>
  <c r="AX51" i="343"/>
  <c r="AW51" i="343"/>
  <c r="AV51" i="343"/>
  <c r="AU51" i="343"/>
  <c r="AT51" i="343"/>
  <c r="AS51" i="343"/>
  <c r="AR51" i="343"/>
  <c r="AQ51" i="343"/>
  <c r="AP51" i="343"/>
  <c r="AO51" i="343"/>
  <c r="AN51" i="343"/>
  <c r="AM51" i="343"/>
  <c r="AL51" i="343"/>
  <c r="AK51" i="343"/>
  <c r="AJ51" i="343"/>
  <c r="AI51" i="343"/>
  <c r="AH51" i="343"/>
  <c r="AG51" i="343"/>
  <c r="AF51" i="343"/>
  <c r="AE51" i="343"/>
  <c r="AD51" i="343"/>
  <c r="AC51" i="343"/>
  <c r="AA51" i="343"/>
  <c r="Z51" i="343"/>
  <c r="Y51" i="343"/>
  <c r="X51" i="343"/>
  <c r="W51" i="343"/>
  <c r="V51" i="343"/>
  <c r="T51" i="343"/>
  <c r="S51" i="343"/>
  <c r="R51" i="343"/>
  <c r="Q51" i="343"/>
  <c r="P51" i="343"/>
  <c r="O51" i="343"/>
  <c r="N51" i="343"/>
  <c r="M51" i="343"/>
  <c r="L51" i="343"/>
  <c r="K51" i="343"/>
  <c r="J51" i="343"/>
  <c r="I51" i="343"/>
  <c r="H51" i="343"/>
  <c r="G51" i="343"/>
  <c r="F51" i="343"/>
  <c r="E51" i="343"/>
  <c r="D51" i="343"/>
  <c r="BJ50" i="343"/>
  <c r="BI50" i="343"/>
  <c r="BH50" i="343"/>
  <c r="BG50" i="343"/>
  <c r="BF50" i="343"/>
  <c r="BE50" i="343"/>
  <c r="BD50" i="343"/>
  <c r="BC50" i="343"/>
  <c r="BB50" i="343"/>
  <c r="BA50" i="343"/>
  <c r="AZ50" i="343"/>
  <c r="AY50" i="343"/>
  <c r="AX50" i="343"/>
  <c r="AW50" i="343"/>
  <c r="AV50" i="343"/>
  <c r="AT50" i="343"/>
  <c r="AS50" i="343"/>
  <c r="AR50" i="343"/>
  <c r="AQ50" i="343"/>
  <c r="AP50" i="343"/>
  <c r="AO50" i="343"/>
  <c r="AM50" i="343"/>
  <c r="AL50" i="343"/>
  <c r="AK50" i="343"/>
  <c r="AJ50" i="343"/>
  <c r="AI50" i="343"/>
  <c r="AH50" i="343"/>
  <c r="AG50" i="343"/>
  <c r="AF50" i="343"/>
  <c r="AE50" i="343"/>
  <c r="AD50" i="343"/>
  <c r="AC50" i="343"/>
  <c r="AA50" i="343"/>
  <c r="Z50" i="343"/>
  <c r="Y50" i="343"/>
  <c r="X50" i="343"/>
  <c r="W50" i="343"/>
  <c r="V50" i="343"/>
  <c r="T50" i="343"/>
  <c r="S50" i="343"/>
  <c r="R50" i="343"/>
  <c r="Q50" i="343"/>
  <c r="P50" i="343"/>
  <c r="O50" i="343"/>
  <c r="N50" i="343"/>
  <c r="M50" i="343"/>
  <c r="L50" i="343"/>
  <c r="K50" i="343"/>
  <c r="J50" i="343"/>
  <c r="I50" i="343"/>
  <c r="H50" i="343"/>
  <c r="G50" i="343"/>
  <c r="F50" i="343"/>
  <c r="E50" i="343"/>
  <c r="D50" i="343"/>
  <c r="BJ49" i="343"/>
  <c r="BI49" i="343"/>
  <c r="BH49" i="343"/>
  <c r="BG49" i="343"/>
  <c r="BF49" i="343"/>
  <c r="BE49" i="343"/>
  <c r="BD49" i="343"/>
  <c r="BC49" i="343"/>
  <c r="BB49" i="343"/>
  <c r="BA49" i="343"/>
  <c r="AZ49" i="343"/>
  <c r="AY49" i="343"/>
  <c r="AX49" i="343"/>
  <c r="AW49" i="343"/>
  <c r="AV49" i="343"/>
  <c r="AU49" i="343"/>
  <c r="AT49" i="343"/>
  <c r="AS49" i="343"/>
  <c r="AR49" i="343"/>
  <c r="AQ49" i="343"/>
  <c r="AP49" i="343"/>
  <c r="AO49" i="343"/>
  <c r="AN49" i="343"/>
  <c r="AM49" i="343"/>
  <c r="AL49" i="343"/>
  <c r="AK49" i="343"/>
  <c r="AJ49" i="343"/>
  <c r="AI49" i="343"/>
  <c r="AH49" i="343"/>
  <c r="AG49" i="343"/>
  <c r="AF49" i="343"/>
  <c r="AE49" i="343"/>
  <c r="AD49" i="343"/>
  <c r="AC49" i="343"/>
  <c r="AA49" i="343"/>
  <c r="Z49" i="343"/>
  <c r="Y49" i="343"/>
  <c r="X49" i="343"/>
  <c r="W49" i="343"/>
  <c r="V49" i="343"/>
  <c r="T49" i="343"/>
  <c r="S49" i="343"/>
  <c r="R49" i="343"/>
  <c r="Q49" i="343"/>
  <c r="P49" i="343"/>
  <c r="O49" i="343"/>
  <c r="N49" i="343"/>
  <c r="M49" i="343"/>
  <c r="L49" i="343"/>
  <c r="K49" i="343"/>
  <c r="J49" i="343"/>
  <c r="I49" i="343"/>
  <c r="H49" i="343"/>
  <c r="G49" i="343"/>
  <c r="F49" i="343"/>
  <c r="E49" i="343"/>
  <c r="D49" i="343"/>
  <c r="BJ48" i="343"/>
  <c r="BI48" i="343"/>
  <c r="BH48" i="343"/>
  <c r="BG48" i="343"/>
  <c r="BF48" i="343"/>
  <c r="BE48" i="343"/>
  <c r="BD48" i="343"/>
  <c r="BC48" i="343"/>
  <c r="BB48" i="343"/>
  <c r="BA48" i="343"/>
  <c r="AZ48" i="343"/>
  <c r="AY48" i="343"/>
  <c r="AX48" i="343"/>
  <c r="AW48" i="343"/>
  <c r="AV48" i="343"/>
  <c r="AU48" i="343"/>
  <c r="AT48" i="343"/>
  <c r="AS48" i="343"/>
  <c r="AR48" i="343"/>
  <c r="AQ48" i="343"/>
  <c r="AP48" i="343"/>
  <c r="AO48" i="343"/>
  <c r="AN48" i="343"/>
  <c r="AM48" i="343"/>
  <c r="AL48" i="343"/>
  <c r="AK48" i="343"/>
  <c r="AJ48" i="343"/>
  <c r="AI48" i="343"/>
  <c r="AH48" i="343"/>
  <c r="AG48" i="343"/>
  <c r="AF48" i="343"/>
  <c r="AE48" i="343"/>
  <c r="AD48" i="343"/>
  <c r="AC48" i="343"/>
  <c r="AA48" i="343"/>
  <c r="Z48" i="343"/>
  <c r="Y48" i="343"/>
  <c r="X48" i="343"/>
  <c r="W48" i="343"/>
  <c r="V48" i="343"/>
  <c r="T48" i="343"/>
  <c r="S48" i="343"/>
  <c r="R48" i="343"/>
  <c r="Q48" i="343"/>
  <c r="P48" i="343"/>
  <c r="O48" i="343"/>
  <c r="N48" i="343"/>
  <c r="M48" i="343"/>
  <c r="L48" i="343"/>
  <c r="K48" i="343"/>
  <c r="J48" i="343"/>
  <c r="I48" i="343"/>
  <c r="H48" i="343"/>
  <c r="G48" i="343"/>
  <c r="F48" i="343"/>
  <c r="E48" i="343"/>
  <c r="D48" i="343"/>
  <c r="BJ47" i="343"/>
  <c r="BI47" i="343"/>
  <c r="BH47" i="343"/>
  <c r="BG47" i="343"/>
  <c r="BF47" i="343"/>
  <c r="BE47" i="343"/>
  <c r="BD47" i="343"/>
  <c r="BC47" i="343"/>
  <c r="BB47" i="343"/>
  <c r="BA47" i="343"/>
  <c r="AZ47" i="343"/>
  <c r="AY47" i="343"/>
  <c r="AX47" i="343"/>
  <c r="AW47" i="343"/>
  <c r="AV47" i="343"/>
  <c r="AU47" i="343"/>
  <c r="AT47" i="343"/>
  <c r="AS47" i="343"/>
  <c r="AR47" i="343"/>
  <c r="AQ47" i="343"/>
  <c r="AP47" i="343"/>
  <c r="AO47" i="343"/>
  <c r="AN47" i="343"/>
  <c r="AM47" i="343"/>
  <c r="AL47" i="343"/>
  <c r="AK47" i="343"/>
  <c r="AJ47" i="343"/>
  <c r="AI47" i="343"/>
  <c r="AH47" i="343"/>
  <c r="AG47" i="343"/>
  <c r="AF47" i="343"/>
  <c r="AE47" i="343"/>
  <c r="AD47" i="343"/>
  <c r="AC47" i="343"/>
  <c r="AA47" i="343"/>
  <c r="Z47" i="343"/>
  <c r="Y47" i="343"/>
  <c r="X47" i="343"/>
  <c r="W47" i="343"/>
  <c r="V47" i="343"/>
  <c r="T47" i="343"/>
  <c r="S47" i="343"/>
  <c r="R47" i="343"/>
  <c r="Q47" i="343"/>
  <c r="P47" i="343"/>
  <c r="O47" i="343"/>
  <c r="N47" i="343"/>
  <c r="M47" i="343"/>
  <c r="L47" i="343"/>
  <c r="K47" i="343"/>
  <c r="J47" i="343"/>
  <c r="I47" i="343"/>
  <c r="H47" i="343"/>
  <c r="G47" i="343"/>
  <c r="F47" i="343"/>
  <c r="E47" i="343"/>
  <c r="D47" i="343"/>
  <c r="BJ46" i="343"/>
  <c r="BI46" i="343"/>
  <c r="BH46" i="343"/>
  <c r="BG46" i="343"/>
  <c r="BF46" i="343"/>
  <c r="BE46" i="343"/>
  <c r="BD46" i="343"/>
  <c r="BC46" i="343"/>
  <c r="BB46" i="343"/>
  <c r="BA46" i="343"/>
  <c r="AZ46" i="343"/>
  <c r="AY46" i="343"/>
  <c r="AX46" i="343"/>
  <c r="AW46" i="343"/>
  <c r="AV46" i="343"/>
  <c r="AU46" i="343"/>
  <c r="AT46" i="343"/>
  <c r="AS46" i="343"/>
  <c r="AR46" i="343"/>
  <c r="AQ46" i="343"/>
  <c r="AP46" i="343"/>
  <c r="AO46" i="343"/>
  <c r="AN46" i="343"/>
  <c r="AM46" i="343"/>
  <c r="AL46" i="343"/>
  <c r="AK46" i="343"/>
  <c r="AJ46" i="343"/>
  <c r="AI46" i="343"/>
  <c r="AH46" i="343"/>
  <c r="AG46" i="343"/>
  <c r="AF46" i="343"/>
  <c r="AE46" i="343"/>
  <c r="AD46" i="343"/>
  <c r="AC46" i="343"/>
  <c r="AA46" i="343"/>
  <c r="Z46" i="343"/>
  <c r="Y46" i="343"/>
  <c r="X46" i="343"/>
  <c r="W46" i="343"/>
  <c r="V46" i="343"/>
  <c r="T46" i="343"/>
  <c r="S46" i="343"/>
  <c r="R46" i="343"/>
  <c r="Q46" i="343"/>
  <c r="P46" i="343"/>
  <c r="O46" i="343"/>
  <c r="N46" i="343"/>
  <c r="M46" i="343"/>
  <c r="L46" i="343"/>
  <c r="K46" i="343"/>
  <c r="J46" i="343"/>
  <c r="I46" i="343"/>
  <c r="H46" i="343"/>
  <c r="G46" i="343"/>
  <c r="F46" i="343"/>
  <c r="E46" i="343"/>
  <c r="D46" i="343"/>
  <c r="BJ45" i="343"/>
  <c r="BI45" i="343"/>
  <c r="BH45" i="343"/>
  <c r="BG45" i="343"/>
  <c r="BF45" i="343"/>
  <c r="BE45" i="343"/>
  <c r="BD45" i="343"/>
  <c r="BC45" i="343"/>
  <c r="BB45" i="343"/>
  <c r="BA45" i="343"/>
  <c r="AZ45" i="343"/>
  <c r="AY45" i="343"/>
  <c r="AX45" i="343"/>
  <c r="AW45" i="343"/>
  <c r="AV45" i="343"/>
  <c r="AU45" i="343"/>
  <c r="AT45" i="343"/>
  <c r="AS45" i="343"/>
  <c r="AR45" i="343"/>
  <c r="AQ45" i="343"/>
  <c r="AP45" i="343"/>
  <c r="AO45" i="343"/>
  <c r="AN45" i="343"/>
  <c r="AM45" i="343"/>
  <c r="AL45" i="343"/>
  <c r="AK45" i="343"/>
  <c r="AJ45" i="343"/>
  <c r="AI45" i="343"/>
  <c r="AH45" i="343"/>
  <c r="AG45" i="343"/>
  <c r="AF45" i="343"/>
  <c r="AE45" i="343"/>
  <c r="AD45" i="343"/>
  <c r="AC45" i="343"/>
  <c r="AA45" i="343"/>
  <c r="Z45" i="343"/>
  <c r="Y45" i="343"/>
  <c r="X45" i="343"/>
  <c r="W45" i="343"/>
  <c r="V45" i="343"/>
  <c r="T45" i="343"/>
  <c r="S45" i="343"/>
  <c r="R45" i="343"/>
  <c r="Q45" i="343"/>
  <c r="P45" i="343"/>
  <c r="O45" i="343"/>
  <c r="N45" i="343"/>
  <c r="M45" i="343"/>
  <c r="L45" i="343"/>
  <c r="K45" i="343"/>
  <c r="J45" i="343"/>
  <c r="I45" i="343"/>
  <c r="H45" i="343"/>
  <c r="G45" i="343"/>
  <c r="F45" i="343"/>
  <c r="E45" i="343"/>
  <c r="D45" i="343"/>
  <c r="BJ44" i="343"/>
  <c r="BI44" i="343"/>
  <c r="BH44" i="343"/>
  <c r="BG44" i="343"/>
  <c r="BF44" i="343"/>
  <c r="BE44" i="343"/>
  <c r="BD44" i="343"/>
  <c r="BC44" i="343"/>
  <c r="BB44" i="343"/>
  <c r="BA44" i="343"/>
  <c r="AZ44" i="343"/>
  <c r="AY44" i="343"/>
  <c r="AX44" i="343"/>
  <c r="AW44" i="343"/>
  <c r="AV44" i="343"/>
  <c r="AU44" i="343"/>
  <c r="AT44" i="343"/>
  <c r="AS44" i="343"/>
  <c r="AR44" i="343"/>
  <c r="AQ44" i="343"/>
  <c r="AP44" i="343"/>
  <c r="AO44" i="343"/>
  <c r="AN44" i="343"/>
  <c r="AM44" i="343"/>
  <c r="AL44" i="343"/>
  <c r="AK44" i="343"/>
  <c r="AJ44" i="343"/>
  <c r="AI44" i="343"/>
  <c r="AH44" i="343"/>
  <c r="AG44" i="343"/>
  <c r="AF44" i="343"/>
  <c r="AE44" i="343"/>
  <c r="AD44" i="343"/>
  <c r="AC44" i="343"/>
  <c r="AA44" i="343"/>
  <c r="Z44" i="343"/>
  <c r="Y44" i="343"/>
  <c r="X44" i="343"/>
  <c r="W44" i="343"/>
  <c r="V44" i="343"/>
  <c r="T44" i="343"/>
  <c r="S44" i="343"/>
  <c r="R44" i="343"/>
  <c r="Q44" i="343"/>
  <c r="P44" i="343"/>
  <c r="O44" i="343"/>
  <c r="N44" i="343"/>
  <c r="M44" i="343"/>
  <c r="L44" i="343"/>
  <c r="K44" i="343"/>
  <c r="J44" i="343"/>
  <c r="I44" i="343"/>
  <c r="H44" i="343"/>
  <c r="G44" i="343"/>
  <c r="F44" i="343"/>
  <c r="E44" i="343"/>
  <c r="D44" i="343"/>
  <c r="BJ43" i="343"/>
  <c r="BI43" i="343"/>
  <c r="BH43" i="343"/>
  <c r="BG43" i="343"/>
  <c r="BF43" i="343"/>
  <c r="BE43" i="343"/>
  <c r="BD43" i="343"/>
  <c r="BC43" i="343"/>
  <c r="BB43" i="343"/>
  <c r="BA43" i="343"/>
  <c r="AZ43" i="343"/>
  <c r="AY43" i="343"/>
  <c r="AX43" i="343"/>
  <c r="AW43" i="343"/>
  <c r="AV43" i="343"/>
  <c r="AU43" i="343"/>
  <c r="AT43" i="343"/>
  <c r="AS43" i="343"/>
  <c r="AR43" i="343"/>
  <c r="AQ43" i="343"/>
  <c r="AP43" i="343"/>
  <c r="AO43" i="343"/>
  <c r="AN43" i="343"/>
  <c r="AM43" i="343"/>
  <c r="AL43" i="343"/>
  <c r="AK43" i="343"/>
  <c r="AJ43" i="343"/>
  <c r="AI43" i="343"/>
  <c r="AH43" i="343"/>
  <c r="AG43" i="343"/>
  <c r="AF43" i="343"/>
  <c r="AE43" i="343"/>
  <c r="AD43" i="343"/>
  <c r="AC43" i="343"/>
  <c r="AA43" i="343"/>
  <c r="Z43" i="343"/>
  <c r="Y43" i="343"/>
  <c r="X43" i="343"/>
  <c r="W43" i="343"/>
  <c r="V43" i="343"/>
  <c r="T43" i="343"/>
  <c r="S43" i="343"/>
  <c r="R43" i="343"/>
  <c r="Q43" i="343"/>
  <c r="P43" i="343"/>
  <c r="O43" i="343"/>
  <c r="N43" i="343"/>
  <c r="M43" i="343"/>
  <c r="L43" i="343"/>
  <c r="K43" i="343"/>
  <c r="J43" i="343"/>
  <c r="I43" i="343"/>
  <c r="H43" i="343"/>
  <c r="G43" i="343"/>
  <c r="F43" i="343"/>
  <c r="E43" i="343"/>
  <c r="D43" i="343"/>
  <c r="BJ42" i="343"/>
  <c r="BI42" i="343"/>
  <c r="BH42" i="343"/>
  <c r="BG42" i="343"/>
  <c r="BF42" i="343"/>
  <c r="BE42" i="343"/>
  <c r="BD42" i="343"/>
  <c r="BC42" i="343"/>
  <c r="BB42" i="343"/>
  <c r="BA42" i="343"/>
  <c r="AZ42" i="343"/>
  <c r="AY42" i="343"/>
  <c r="AX42" i="343"/>
  <c r="AW42" i="343"/>
  <c r="AV42" i="343"/>
  <c r="AU42" i="343"/>
  <c r="AT42" i="343"/>
  <c r="AS42" i="343"/>
  <c r="AR42" i="343"/>
  <c r="AQ42" i="343"/>
  <c r="AP42" i="343"/>
  <c r="AO42" i="343"/>
  <c r="AN42" i="343"/>
  <c r="AM42" i="343"/>
  <c r="AL42" i="343"/>
  <c r="AK42" i="343"/>
  <c r="AJ42" i="343"/>
  <c r="AI42" i="343"/>
  <c r="AH42" i="343"/>
  <c r="AG42" i="343"/>
  <c r="AF42" i="343"/>
  <c r="AE42" i="343"/>
  <c r="AD42" i="343"/>
  <c r="AC42" i="343"/>
  <c r="AA42" i="343"/>
  <c r="Z42" i="343"/>
  <c r="Y42" i="343"/>
  <c r="X42" i="343"/>
  <c r="W42" i="343"/>
  <c r="V42" i="343"/>
  <c r="T42" i="343"/>
  <c r="S42" i="343"/>
  <c r="R42" i="343"/>
  <c r="Q42" i="343"/>
  <c r="P42" i="343"/>
  <c r="O42" i="343"/>
  <c r="N42" i="343"/>
  <c r="M42" i="343"/>
  <c r="L42" i="343"/>
  <c r="K42" i="343"/>
  <c r="J42" i="343"/>
  <c r="I42" i="343"/>
  <c r="H42" i="343"/>
  <c r="G42" i="343"/>
  <c r="F42" i="343"/>
  <c r="E42" i="343"/>
  <c r="D42" i="343"/>
  <c r="BJ41" i="343"/>
  <c r="BI41" i="343"/>
  <c r="BH41" i="343"/>
  <c r="BG41" i="343"/>
  <c r="BF41" i="343"/>
  <c r="BE41" i="343"/>
  <c r="BD41" i="343"/>
  <c r="BC41" i="343"/>
  <c r="BB41" i="343"/>
  <c r="BA41" i="343"/>
  <c r="AZ41" i="343"/>
  <c r="AY41" i="343"/>
  <c r="AX41" i="343"/>
  <c r="AW41" i="343"/>
  <c r="AV41" i="343"/>
  <c r="AU41" i="343"/>
  <c r="AT41" i="343"/>
  <c r="AS41" i="343"/>
  <c r="AR41" i="343"/>
  <c r="AQ41" i="343"/>
  <c r="AP41" i="343"/>
  <c r="AO41" i="343"/>
  <c r="AN41" i="343"/>
  <c r="AM41" i="343"/>
  <c r="AL41" i="343"/>
  <c r="AK41" i="343"/>
  <c r="AJ41" i="343"/>
  <c r="AI41" i="343"/>
  <c r="AH41" i="343"/>
  <c r="AG41" i="343"/>
  <c r="AF41" i="343"/>
  <c r="AE41" i="343"/>
  <c r="AD41" i="343"/>
  <c r="AC41" i="343"/>
  <c r="AA41" i="343"/>
  <c r="Z41" i="343"/>
  <c r="Y41" i="343"/>
  <c r="X41" i="343"/>
  <c r="W41" i="343"/>
  <c r="V41" i="343"/>
  <c r="T41" i="343"/>
  <c r="S41" i="343"/>
  <c r="R41" i="343"/>
  <c r="Q41" i="343"/>
  <c r="P41" i="343"/>
  <c r="O41" i="343"/>
  <c r="N41" i="343"/>
  <c r="M41" i="343"/>
  <c r="L41" i="343"/>
  <c r="K41" i="343"/>
  <c r="J41" i="343"/>
  <c r="I41" i="343"/>
  <c r="H41" i="343"/>
  <c r="G41" i="343"/>
  <c r="F41" i="343"/>
  <c r="E41" i="343"/>
  <c r="D41" i="343"/>
  <c r="BJ40" i="343"/>
  <c r="BI40" i="343"/>
  <c r="BH40" i="343"/>
  <c r="BG40" i="343"/>
  <c r="BF40" i="343"/>
  <c r="BE40" i="343"/>
  <c r="BD40" i="343"/>
  <c r="BC40" i="343"/>
  <c r="BB40" i="343"/>
  <c r="BA40" i="343"/>
  <c r="AZ40" i="343"/>
  <c r="AY40" i="343"/>
  <c r="AX40" i="343"/>
  <c r="AW40" i="343"/>
  <c r="AV40" i="343"/>
  <c r="AU40" i="343"/>
  <c r="AT40" i="343"/>
  <c r="AS40" i="343"/>
  <c r="AR40" i="343"/>
  <c r="AQ40" i="343"/>
  <c r="AP40" i="343"/>
  <c r="AO40" i="343"/>
  <c r="AN40" i="343"/>
  <c r="AM40" i="343"/>
  <c r="AL40" i="343"/>
  <c r="AK40" i="343"/>
  <c r="AJ40" i="343"/>
  <c r="AI40" i="343"/>
  <c r="AH40" i="343"/>
  <c r="AG40" i="343"/>
  <c r="AF40" i="343"/>
  <c r="AE40" i="343"/>
  <c r="AD40" i="343"/>
  <c r="AC40" i="343"/>
  <c r="AA40" i="343"/>
  <c r="Z40" i="343"/>
  <c r="Y40" i="343"/>
  <c r="X40" i="343"/>
  <c r="W40" i="343"/>
  <c r="V40" i="343"/>
  <c r="T40" i="343"/>
  <c r="S40" i="343"/>
  <c r="R40" i="343"/>
  <c r="Q40" i="343"/>
  <c r="P40" i="343"/>
  <c r="O40" i="343"/>
  <c r="N40" i="343"/>
  <c r="M40" i="343"/>
  <c r="L40" i="343"/>
  <c r="K40" i="343"/>
  <c r="J40" i="343"/>
  <c r="I40" i="343"/>
  <c r="H40" i="343"/>
  <c r="G40" i="343"/>
  <c r="F40" i="343"/>
  <c r="E40" i="343"/>
  <c r="D40" i="343"/>
  <c r="BJ39" i="343"/>
  <c r="BI39" i="343"/>
  <c r="BH39" i="343"/>
  <c r="BG39" i="343"/>
  <c r="BF39" i="343"/>
  <c r="BE39" i="343"/>
  <c r="BD39" i="343"/>
  <c r="BC39" i="343"/>
  <c r="BB39" i="343"/>
  <c r="BA39" i="343"/>
  <c r="AZ39" i="343"/>
  <c r="AY39" i="343"/>
  <c r="AX39" i="343"/>
  <c r="AW39" i="343"/>
  <c r="AV39" i="343"/>
  <c r="AU39" i="343"/>
  <c r="AT39" i="343"/>
  <c r="AS39" i="343"/>
  <c r="AR39" i="343"/>
  <c r="AQ39" i="343"/>
  <c r="AP39" i="343"/>
  <c r="AO39" i="343"/>
  <c r="AN39" i="343"/>
  <c r="AM39" i="343"/>
  <c r="AL39" i="343"/>
  <c r="AK39" i="343"/>
  <c r="AJ39" i="343"/>
  <c r="AI39" i="343"/>
  <c r="AH39" i="343"/>
  <c r="AG39" i="343"/>
  <c r="AF39" i="343"/>
  <c r="AE39" i="343"/>
  <c r="AD39" i="343"/>
  <c r="AC39" i="343"/>
  <c r="AA39" i="343"/>
  <c r="Z39" i="343"/>
  <c r="Y39" i="343"/>
  <c r="X39" i="343"/>
  <c r="W39" i="343"/>
  <c r="V39" i="343"/>
  <c r="T39" i="343"/>
  <c r="S39" i="343"/>
  <c r="R39" i="343"/>
  <c r="Q39" i="343"/>
  <c r="P39" i="343"/>
  <c r="O39" i="343"/>
  <c r="N39" i="343"/>
  <c r="M39" i="343"/>
  <c r="L39" i="343"/>
  <c r="K39" i="343"/>
  <c r="J39" i="343"/>
  <c r="I39" i="343"/>
  <c r="H39" i="343"/>
  <c r="G39" i="343"/>
  <c r="F39" i="343"/>
  <c r="E39" i="343"/>
  <c r="D39" i="343"/>
  <c r="BJ38" i="343"/>
  <c r="BI38" i="343"/>
  <c r="BH38" i="343"/>
  <c r="BG38" i="343"/>
  <c r="BF38" i="343"/>
  <c r="BE38" i="343"/>
  <c r="BD38" i="343"/>
  <c r="BC38" i="343"/>
  <c r="BB38" i="343"/>
  <c r="BA38" i="343"/>
  <c r="AZ38" i="343"/>
  <c r="AY38" i="343"/>
  <c r="AX38" i="343"/>
  <c r="AW38" i="343"/>
  <c r="AV38" i="343"/>
  <c r="AU38" i="343"/>
  <c r="AT38" i="343"/>
  <c r="AS38" i="343"/>
  <c r="AR38" i="343"/>
  <c r="AQ38" i="343"/>
  <c r="AP38" i="343"/>
  <c r="AO38" i="343"/>
  <c r="AN38" i="343"/>
  <c r="AM38" i="343"/>
  <c r="AL38" i="343"/>
  <c r="AK38" i="343"/>
  <c r="AJ38" i="343"/>
  <c r="AI38" i="343"/>
  <c r="AH38" i="343"/>
  <c r="AG38" i="343"/>
  <c r="AF38" i="343"/>
  <c r="AE38" i="343"/>
  <c r="AD38" i="343"/>
  <c r="AC38" i="343"/>
  <c r="AA38" i="343"/>
  <c r="Z38" i="343"/>
  <c r="Y38" i="343"/>
  <c r="X38" i="343"/>
  <c r="W38" i="343"/>
  <c r="V38" i="343"/>
  <c r="T38" i="343"/>
  <c r="S38" i="343"/>
  <c r="R38" i="343"/>
  <c r="Q38" i="343"/>
  <c r="P38" i="343"/>
  <c r="O38" i="343"/>
  <c r="N38" i="343"/>
  <c r="M38" i="343"/>
  <c r="L38" i="343"/>
  <c r="K38" i="343"/>
  <c r="J38" i="343"/>
  <c r="I38" i="343"/>
  <c r="H38" i="343"/>
  <c r="G38" i="343"/>
  <c r="F38" i="343"/>
  <c r="E38" i="343"/>
  <c r="D38" i="343"/>
  <c r="BJ37" i="343"/>
  <c r="BI37" i="343"/>
  <c r="BH37" i="343"/>
  <c r="BG37" i="343"/>
  <c r="BF37" i="343"/>
  <c r="BE37" i="343"/>
  <c r="BD37" i="343"/>
  <c r="BC37" i="343"/>
  <c r="BB37" i="343"/>
  <c r="BA37" i="343"/>
  <c r="AZ37" i="343"/>
  <c r="AY37" i="343"/>
  <c r="AX37" i="343"/>
  <c r="AW37" i="343"/>
  <c r="AV37" i="343"/>
  <c r="AU37" i="343"/>
  <c r="AT37" i="343"/>
  <c r="AS37" i="343"/>
  <c r="AR37" i="343"/>
  <c r="AQ37" i="343"/>
  <c r="AP37" i="343"/>
  <c r="AO37" i="343"/>
  <c r="AN37" i="343"/>
  <c r="AM37" i="343"/>
  <c r="AL37" i="343"/>
  <c r="AK37" i="343"/>
  <c r="AJ37" i="343"/>
  <c r="AI37" i="343"/>
  <c r="AH37" i="343"/>
  <c r="AG37" i="343"/>
  <c r="AF37" i="343"/>
  <c r="AE37" i="343"/>
  <c r="AD37" i="343"/>
  <c r="AC37" i="343"/>
  <c r="AA37" i="343"/>
  <c r="Z37" i="343"/>
  <c r="Y37" i="343"/>
  <c r="X37" i="343"/>
  <c r="W37" i="343"/>
  <c r="V37" i="343"/>
  <c r="T37" i="343"/>
  <c r="S37" i="343"/>
  <c r="R37" i="343"/>
  <c r="Q37" i="343"/>
  <c r="P37" i="343"/>
  <c r="O37" i="343"/>
  <c r="N37" i="343"/>
  <c r="M37" i="343"/>
  <c r="L37" i="343"/>
  <c r="K37" i="343"/>
  <c r="J37" i="343"/>
  <c r="I37" i="343"/>
  <c r="H37" i="343"/>
  <c r="G37" i="343"/>
  <c r="F37" i="343"/>
  <c r="E37" i="343"/>
  <c r="D37" i="343"/>
  <c r="BJ36" i="343"/>
  <c r="BI36" i="343"/>
  <c r="BH36" i="343"/>
  <c r="BG36" i="343"/>
  <c r="BF36" i="343"/>
  <c r="BE36" i="343"/>
  <c r="BD36" i="343"/>
  <c r="BC36" i="343"/>
  <c r="BB36" i="343"/>
  <c r="BA36" i="343"/>
  <c r="AZ36" i="343"/>
  <c r="AY36" i="343"/>
  <c r="AX36" i="343"/>
  <c r="AW36" i="343"/>
  <c r="AV36" i="343"/>
  <c r="AU36" i="343"/>
  <c r="AT36" i="343"/>
  <c r="AS36" i="343"/>
  <c r="AR36" i="343"/>
  <c r="AQ36" i="343"/>
  <c r="AP36" i="343"/>
  <c r="AO36" i="343"/>
  <c r="AN36" i="343"/>
  <c r="AM36" i="343"/>
  <c r="AL36" i="343"/>
  <c r="AK36" i="343"/>
  <c r="AJ36" i="343"/>
  <c r="AI36" i="343"/>
  <c r="AH36" i="343"/>
  <c r="AG36" i="343"/>
  <c r="AF36" i="343"/>
  <c r="AE36" i="343"/>
  <c r="AD36" i="343"/>
  <c r="AC36" i="343"/>
  <c r="AA36" i="343"/>
  <c r="Z36" i="343"/>
  <c r="Y36" i="343"/>
  <c r="X36" i="343"/>
  <c r="W36" i="343"/>
  <c r="V36" i="343"/>
  <c r="T36" i="343"/>
  <c r="S36" i="343"/>
  <c r="R36" i="343"/>
  <c r="Q36" i="343"/>
  <c r="P36" i="343"/>
  <c r="O36" i="343"/>
  <c r="N36" i="343"/>
  <c r="M36" i="343"/>
  <c r="L36" i="343"/>
  <c r="K36" i="343"/>
  <c r="J36" i="343"/>
  <c r="I36" i="343"/>
  <c r="H36" i="343"/>
  <c r="G36" i="343"/>
  <c r="F36" i="343"/>
  <c r="E36" i="343"/>
  <c r="D36" i="343"/>
  <c r="BJ35" i="343"/>
  <c r="BI35" i="343"/>
  <c r="BH35" i="343"/>
  <c r="BG35" i="343"/>
  <c r="BF35" i="343"/>
  <c r="BE35" i="343"/>
  <c r="BD35" i="343"/>
  <c r="BC35" i="343"/>
  <c r="BB35" i="343"/>
  <c r="BA35" i="343"/>
  <c r="AZ35" i="343"/>
  <c r="AY35" i="343"/>
  <c r="AX35" i="343"/>
  <c r="AW35" i="343"/>
  <c r="AV35" i="343"/>
  <c r="AU35" i="343"/>
  <c r="AT35" i="343"/>
  <c r="AS35" i="343"/>
  <c r="AR35" i="343"/>
  <c r="AQ35" i="343"/>
  <c r="AP35" i="343"/>
  <c r="AO35" i="343"/>
  <c r="AN35" i="343"/>
  <c r="AM35" i="343"/>
  <c r="AL35" i="343"/>
  <c r="AK35" i="343"/>
  <c r="AJ35" i="343"/>
  <c r="AI35" i="343"/>
  <c r="AH35" i="343"/>
  <c r="AG35" i="343"/>
  <c r="AF35" i="343"/>
  <c r="AE35" i="343"/>
  <c r="AD35" i="343"/>
  <c r="AC35" i="343"/>
  <c r="AA35" i="343"/>
  <c r="Z35" i="343"/>
  <c r="Y35" i="343"/>
  <c r="X35" i="343"/>
  <c r="W35" i="343"/>
  <c r="V35" i="343"/>
  <c r="T35" i="343"/>
  <c r="S35" i="343"/>
  <c r="R35" i="343"/>
  <c r="Q35" i="343"/>
  <c r="P35" i="343"/>
  <c r="O35" i="343"/>
  <c r="N35" i="343"/>
  <c r="M35" i="343"/>
  <c r="L35" i="343"/>
  <c r="K35" i="343"/>
  <c r="J35" i="343"/>
  <c r="I35" i="343"/>
  <c r="H35" i="343"/>
  <c r="G35" i="343"/>
  <c r="F35" i="343"/>
  <c r="E35" i="343"/>
  <c r="D35" i="343"/>
  <c r="BJ34" i="343"/>
  <c r="BI34" i="343"/>
  <c r="BH34" i="343"/>
  <c r="BG34" i="343"/>
  <c r="BF34" i="343"/>
  <c r="BE34" i="343"/>
  <c r="BD34" i="343"/>
  <c r="BC34" i="343"/>
  <c r="BB34" i="343"/>
  <c r="BA34" i="343"/>
  <c r="AZ34" i="343"/>
  <c r="AY34" i="343"/>
  <c r="AX34" i="343"/>
  <c r="AW34" i="343"/>
  <c r="AV34" i="343"/>
  <c r="AU34" i="343"/>
  <c r="AT34" i="343"/>
  <c r="AS34" i="343"/>
  <c r="AR34" i="343"/>
  <c r="AQ34" i="343"/>
  <c r="AP34" i="343"/>
  <c r="AO34" i="343"/>
  <c r="AN34" i="343"/>
  <c r="AM34" i="343"/>
  <c r="AL34" i="343"/>
  <c r="AK34" i="343"/>
  <c r="AJ34" i="343"/>
  <c r="AI34" i="343"/>
  <c r="AH34" i="343"/>
  <c r="AG34" i="343"/>
  <c r="AF34" i="343"/>
  <c r="AE34" i="343"/>
  <c r="AD34" i="343"/>
  <c r="AC34" i="343"/>
  <c r="AA34" i="343"/>
  <c r="Z34" i="343"/>
  <c r="Y34" i="343"/>
  <c r="X34" i="343"/>
  <c r="W34" i="343"/>
  <c r="V34" i="343"/>
  <c r="T34" i="343"/>
  <c r="S34" i="343"/>
  <c r="R34" i="343"/>
  <c r="Q34" i="343"/>
  <c r="P34" i="343"/>
  <c r="O34" i="343"/>
  <c r="N34" i="343"/>
  <c r="M34" i="343"/>
  <c r="L34" i="343"/>
  <c r="K34" i="343"/>
  <c r="J34" i="343"/>
  <c r="I34" i="343"/>
  <c r="H34" i="343"/>
  <c r="G34" i="343"/>
  <c r="F34" i="343"/>
  <c r="E34" i="343"/>
  <c r="D34" i="343"/>
  <c r="BJ33" i="343"/>
  <c r="BI33" i="343"/>
  <c r="BH33" i="343"/>
  <c r="BG33" i="343"/>
  <c r="BF33" i="343"/>
  <c r="BE33" i="343"/>
  <c r="BD33" i="343"/>
  <c r="BC33" i="343"/>
  <c r="BB33" i="343"/>
  <c r="BA33" i="343"/>
  <c r="AZ33" i="343"/>
  <c r="AY33" i="343"/>
  <c r="AX33" i="343"/>
  <c r="AW33" i="343"/>
  <c r="AV33" i="343"/>
  <c r="AU33" i="343"/>
  <c r="AT33" i="343"/>
  <c r="AS33" i="343"/>
  <c r="AR33" i="343"/>
  <c r="AQ33" i="343"/>
  <c r="AP33" i="343"/>
  <c r="AO33" i="343"/>
  <c r="AN33" i="343"/>
  <c r="AM33" i="343"/>
  <c r="AL33" i="343"/>
  <c r="AK33" i="343"/>
  <c r="AJ33" i="343"/>
  <c r="AI33" i="343"/>
  <c r="AH33" i="343"/>
  <c r="AG33" i="343"/>
  <c r="AF33" i="343"/>
  <c r="AE33" i="343"/>
  <c r="AD33" i="343"/>
  <c r="AC33" i="343"/>
  <c r="AA33" i="343"/>
  <c r="Z33" i="343"/>
  <c r="Y33" i="343"/>
  <c r="X33" i="343"/>
  <c r="W33" i="343"/>
  <c r="V33" i="343"/>
  <c r="T33" i="343"/>
  <c r="S33" i="343"/>
  <c r="R33" i="343"/>
  <c r="Q33" i="343"/>
  <c r="P33" i="343"/>
  <c r="O33" i="343"/>
  <c r="N33" i="343"/>
  <c r="M33" i="343"/>
  <c r="L33" i="343"/>
  <c r="K33" i="343"/>
  <c r="J33" i="343"/>
  <c r="I33" i="343"/>
  <c r="H33" i="343"/>
  <c r="G33" i="343"/>
  <c r="F33" i="343"/>
  <c r="E33" i="343"/>
  <c r="D33" i="343"/>
  <c r="BJ32" i="343"/>
  <c r="BI32" i="343"/>
  <c r="BH32" i="343"/>
  <c r="BG32" i="343"/>
  <c r="BF32" i="343"/>
  <c r="BE32" i="343"/>
  <c r="BD32" i="343"/>
  <c r="BC32" i="343"/>
  <c r="BB32" i="343"/>
  <c r="BA32" i="343"/>
  <c r="AZ32" i="343"/>
  <c r="AY32" i="343"/>
  <c r="AX32" i="343"/>
  <c r="AW32" i="343"/>
  <c r="AV32" i="343"/>
  <c r="AU32" i="343"/>
  <c r="AT32" i="343"/>
  <c r="AS32" i="343"/>
  <c r="AR32" i="343"/>
  <c r="AQ32" i="343"/>
  <c r="AP32" i="343"/>
  <c r="AO32" i="343"/>
  <c r="AN32" i="343"/>
  <c r="AM32" i="343"/>
  <c r="AL32" i="343"/>
  <c r="AK32" i="343"/>
  <c r="AJ32" i="343"/>
  <c r="AI32" i="343"/>
  <c r="AH32" i="343"/>
  <c r="AG32" i="343"/>
  <c r="AF32" i="343"/>
  <c r="AE32" i="343"/>
  <c r="AD32" i="343"/>
  <c r="AC32" i="343"/>
  <c r="AA32" i="343"/>
  <c r="Z32" i="343"/>
  <c r="Y32" i="343"/>
  <c r="X32" i="343"/>
  <c r="W32" i="343"/>
  <c r="V32" i="343"/>
  <c r="T32" i="343"/>
  <c r="S32" i="343"/>
  <c r="R32" i="343"/>
  <c r="Q32" i="343"/>
  <c r="P32" i="343"/>
  <c r="O32" i="343"/>
  <c r="N32" i="343"/>
  <c r="M32" i="343"/>
  <c r="L32" i="343"/>
  <c r="K32" i="343"/>
  <c r="J32" i="343"/>
  <c r="I32" i="343"/>
  <c r="H32" i="343"/>
  <c r="G32" i="343"/>
  <c r="F32" i="343"/>
  <c r="E32" i="343"/>
  <c r="D32" i="343"/>
  <c r="BJ30" i="343"/>
  <c r="BI30" i="343"/>
  <c r="BH30" i="343"/>
  <c r="BG30" i="343"/>
  <c r="BF30" i="343"/>
  <c r="BE30" i="343"/>
  <c r="BD30" i="343"/>
  <c r="BC30" i="343"/>
  <c r="BB30" i="343"/>
  <c r="BA30" i="343"/>
  <c r="AZ30" i="343"/>
  <c r="AY30" i="343"/>
  <c r="AX30" i="343"/>
  <c r="AW30" i="343"/>
  <c r="AV30" i="343"/>
  <c r="AU30" i="343"/>
  <c r="AT30" i="343"/>
  <c r="AS30" i="343"/>
  <c r="AR30" i="343"/>
  <c r="AQ30" i="343"/>
  <c r="AP30" i="343"/>
  <c r="AO30" i="343"/>
  <c r="AN30" i="343"/>
  <c r="AM30" i="343"/>
  <c r="AL30" i="343"/>
  <c r="AK30" i="343"/>
  <c r="AJ30" i="343"/>
  <c r="AI30" i="343"/>
  <c r="AH30" i="343"/>
  <c r="AG30" i="343"/>
  <c r="AF30" i="343"/>
  <c r="AE30" i="343"/>
  <c r="AD30" i="343"/>
  <c r="AC30" i="343"/>
  <c r="AA30" i="343"/>
  <c r="Z30" i="343"/>
  <c r="Y30" i="343"/>
  <c r="X30" i="343"/>
  <c r="W30" i="343"/>
  <c r="V30" i="343"/>
  <c r="U30" i="343"/>
  <c r="T30" i="343"/>
  <c r="S30" i="343"/>
  <c r="R30" i="343"/>
  <c r="Q30" i="343"/>
  <c r="P30" i="343"/>
  <c r="O30" i="343"/>
  <c r="N30" i="343"/>
  <c r="M30" i="343"/>
  <c r="L30" i="343"/>
  <c r="K30" i="343"/>
  <c r="J30" i="343"/>
  <c r="I30" i="343"/>
  <c r="H30" i="343"/>
  <c r="G30" i="343"/>
  <c r="F30" i="343"/>
  <c r="E30" i="343"/>
  <c r="D30" i="343"/>
  <c r="BJ29" i="343"/>
  <c r="BI29" i="343"/>
  <c r="BH29" i="343"/>
  <c r="BG29" i="343"/>
  <c r="BF29" i="343"/>
  <c r="BE29" i="343"/>
  <c r="BD29" i="343"/>
  <c r="BC29" i="343"/>
  <c r="BB29" i="343"/>
  <c r="BA29" i="343"/>
  <c r="AZ29" i="343"/>
  <c r="AY29" i="343"/>
  <c r="AX29" i="343"/>
  <c r="AW29" i="343"/>
  <c r="AV29" i="343"/>
  <c r="AU29" i="343"/>
  <c r="AT29" i="343"/>
  <c r="AS29" i="343"/>
  <c r="AR29" i="343"/>
  <c r="AQ29" i="343"/>
  <c r="AP29" i="343"/>
  <c r="AO29" i="343"/>
  <c r="AN29" i="343"/>
  <c r="AM29" i="343"/>
  <c r="AL29" i="343"/>
  <c r="AK29" i="343"/>
  <c r="AJ29" i="343"/>
  <c r="AI29" i="343"/>
  <c r="AH29" i="343"/>
  <c r="AG29" i="343"/>
  <c r="AF29" i="343"/>
  <c r="AE29" i="343"/>
  <c r="AD29" i="343"/>
  <c r="AC29" i="343"/>
  <c r="AA29" i="343"/>
  <c r="Z29" i="343"/>
  <c r="Y29" i="343"/>
  <c r="X29" i="343"/>
  <c r="W29" i="343"/>
  <c r="V29" i="343"/>
  <c r="U29" i="343"/>
  <c r="T29" i="343"/>
  <c r="S29" i="343"/>
  <c r="R29" i="343"/>
  <c r="Q29" i="343"/>
  <c r="P29" i="343"/>
  <c r="O29" i="343"/>
  <c r="N29" i="343"/>
  <c r="M29" i="343"/>
  <c r="L29" i="343"/>
  <c r="K29" i="343"/>
  <c r="J29" i="343"/>
  <c r="I29" i="343"/>
  <c r="H29" i="343"/>
  <c r="G29" i="343"/>
  <c r="F29" i="343"/>
  <c r="E29" i="343"/>
  <c r="D29" i="343"/>
  <c r="BJ28" i="343"/>
  <c r="BI28" i="343"/>
  <c r="BH28" i="343"/>
  <c r="BG28" i="343"/>
  <c r="BF28" i="343"/>
  <c r="BE28" i="343"/>
  <c r="BD28" i="343"/>
  <c r="BC28" i="343"/>
  <c r="BB28" i="343"/>
  <c r="BA28" i="343"/>
  <c r="AZ28" i="343"/>
  <c r="AY28" i="343"/>
  <c r="AX28" i="343"/>
  <c r="AW28" i="343"/>
  <c r="AV28" i="343"/>
  <c r="AU28" i="343"/>
  <c r="AT28" i="343"/>
  <c r="AS28" i="343"/>
  <c r="AR28" i="343"/>
  <c r="AQ28" i="343"/>
  <c r="AP28" i="343"/>
  <c r="AO28" i="343"/>
  <c r="AN28" i="343"/>
  <c r="AM28" i="343"/>
  <c r="AL28" i="343"/>
  <c r="AK28" i="343"/>
  <c r="AJ28" i="343"/>
  <c r="AI28" i="343"/>
  <c r="AH28" i="343"/>
  <c r="AG28" i="343"/>
  <c r="AF28" i="343"/>
  <c r="AE28" i="343"/>
  <c r="AD28" i="343"/>
  <c r="AC28" i="343"/>
  <c r="AA28" i="343"/>
  <c r="Z28" i="343"/>
  <c r="Y28" i="343"/>
  <c r="X28" i="343"/>
  <c r="W28" i="343"/>
  <c r="V28" i="343"/>
  <c r="U28" i="343"/>
  <c r="T28" i="343"/>
  <c r="S28" i="343"/>
  <c r="R28" i="343"/>
  <c r="Q28" i="343"/>
  <c r="P28" i="343"/>
  <c r="O28" i="343"/>
  <c r="N28" i="343"/>
  <c r="M28" i="343"/>
  <c r="L28" i="343"/>
  <c r="K28" i="343"/>
  <c r="J28" i="343"/>
  <c r="I28" i="343"/>
  <c r="H28" i="343"/>
  <c r="G28" i="343"/>
  <c r="F28" i="343"/>
  <c r="E28" i="343"/>
  <c r="D28" i="343"/>
  <c r="BJ27" i="343"/>
  <c r="BI27" i="343"/>
  <c r="BH27" i="343"/>
  <c r="BG27" i="343"/>
  <c r="BF27" i="343"/>
  <c r="BE27" i="343"/>
  <c r="BD27" i="343"/>
  <c r="BC27" i="343"/>
  <c r="BB27" i="343"/>
  <c r="BA27" i="343"/>
  <c r="AZ27" i="343"/>
  <c r="AY27" i="343"/>
  <c r="AX27" i="343"/>
  <c r="AW27" i="343"/>
  <c r="AV27" i="343"/>
  <c r="AU27" i="343"/>
  <c r="AT27" i="343"/>
  <c r="AS27" i="343"/>
  <c r="AR27" i="343"/>
  <c r="AQ27" i="343"/>
  <c r="AP27" i="343"/>
  <c r="AO27" i="343"/>
  <c r="AN27" i="343"/>
  <c r="AM27" i="343"/>
  <c r="AL27" i="343"/>
  <c r="AK27" i="343"/>
  <c r="AJ27" i="343"/>
  <c r="AI27" i="343"/>
  <c r="AH27" i="343"/>
  <c r="AG27" i="343"/>
  <c r="AF27" i="343"/>
  <c r="AE27" i="343"/>
  <c r="AD27" i="343"/>
  <c r="AC27" i="343"/>
  <c r="AA27" i="343"/>
  <c r="Z27" i="343"/>
  <c r="Y27" i="343"/>
  <c r="X27" i="343"/>
  <c r="W27" i="343"/>
  <c r="V27" i="343"/>
  <c r="U27" i="343"/>
  <c r="T27" i="343"/>
  <c r="S27" i="343"/>
  <c r="R27" i="343"/>
  <c r="Q27" i="343"/>
  <c r="P27" i="343"/>
  <c r="O27" i="343"/>
  <c r="N27" i="343"/>
  <c r="M27" i="343"/>
  <c r="L27" i="343"/>
  <c r="K27" i="343"/>
  <c r="J27" i="343"/>
  <c r="I27" i="343"/>
  <c r="H27" i="343"/>
  <c r="G27" i="343"/>
  <c r="F27" i="343"/>
  <c r="E27" i="343"/>
  <c r="D27" i="343"/>
  <c r="BJ26" i="343"/>
  <c r="BI26" i="343"/>
  <c r="BH26" i="343"/>
  <c r="BG26" i="343"/>
  <c r="BF26" i="343"/>
  <c r="BE26" i="343"/>
  <c r="BD26" i="343"/>
  <c r="BC26" i="343"/>
  <c r="BB26" i="343"/>
  <c r="BA26" i="343"/>
  <c r="AZ26" i="343"/>
  <c r="AY26" i="343"/>
  <c r="AX26" i="343"/>
  <c r="AW26" i="343"/>
  <c r="AV26" i="343"/>
  <c r="AU26" i="343"/>
  <c r="AT26" i="343"/>
  <c r="AS26" i="343"/>
  <c r="AR26" i="343"/>
  <c r="AQ26" i="343"/>
  <c r="AP26" i="343"/>
  <c r="AO26" i="343"/>
  <c r="AN26" i="343"/>
  <c r="AM26" i="343"/>
  <c r="AL26" i="343"/>
  <c r="AK26" i="343"/>
  <c r="AJ26" i="343"/>
  <c r="AI26" i="343"/>
  <c r="AH26" i="343"/>
  <c r="AG26" i="343"/>
  <c r="AF26" i="343"/>
  <c r="AE26" i="343"/>
  <c r="AD26" i="343"/>
  <c r="AC26" i="343"/>
  <c r="AA26" i="343"/>
  <c r="Z26" i="343"/>
  <c r="Y26" i="343"/>
  <c r="X26" i="343"/>
  <c r="W26" i="343"/>
  <c r="V26" i="343"/>
  <c r="U26" i="343"/>
  <c r="T26" i="343"/>
  <c r="S26" i="343"/>
  <c r="R26" i="343"/>
  <c r="Q26" i="343"/>
  <c r="P26" i="343"/>
  <c r="O26" i="343"/>
  <c r="N26" i="343"/>
  <c r="M26" i="343"/>
  <c r="L26" i="343"/>
  <c r="K26" i="343"/>
  <c r="J26" i="343"/>
  <c r="I26" i="343"/>
  <c r="H26" i="343"/>
  <c r="G26" i="343"/>
  <c r="F26" i="343"/>
  <c r="E26" i="343"/>
  <c r="D26" i="343"/>
  <c r="BJ25" i="343"/>
  <c r="BI25" i="343"/>
  <c r="BH25" i="343"/>
  <c r="BG25" i="343"/>
  <c r="BF25" i="343"/>
  <c r="BE25" i="343"/>
  <c r="BD25" i="343"/>
  <c r="BC25" i="343"/>
  <c r="BB25" i="343"/>
  <c r="BA25" i="343"/>
  <c r="AZ25" i="343"/>
  <c r="AY25" i="343"/>
  <c r="AX25" i="343"/>
  <c r="AW25" i="343"/>
  <c r="AV25" i="343"/>
  <c r="AU25" i="343"/>
  <c r="AT25" i="343"/>
  <c r="AS25" i="343"/>
  <c r="AR25" i="343"/>
  <c r="AQ25" i="343"/>
  <c r="AP25" i="343"/>
  <c r="AO25" i="343"/>
  <c r="AN25" i="343"/>
  <c r="AM25" i="343"/>
  <c r="AL25" i="343"/>
  <c r="AK25" i="343"/>
  <c r="AJ25" i="343"/>
  <c r="AI25" i="343"/>
  <c r="AH25" i="343"/>
  <c r="AG25" i="343"/>
  <c r="AF25" i="343"/>
  <c r="AE25" i="343"/>
  <c r="AD25" i="343"/>
  <c r="AC25" i="343"/>
  <c r="AA25" i="343"/>
  <c r="Z25" i="343"/>
  <c r="Y25" i="343"/>
  <c r="X25" i="343"/>
  <c r="W25" i="343"/>
  <c r="V25" i="343"/>
  <c r="U25" i="343"/>
  <c r="T25" i="343"/>
  <c r="S25" i="343"/>
  <c r="R25" i="343"/>
  <c r="Q25" i="343"/>
  <c r="P25" i="343"/>
  <c r="O25" i="343"/>
  <c r="N25" i="343"/>
  <c r="M25" i="343"/>
  <c r="L25" i="343"/>
  <c r="K25" i="343"/>
  <c r="J25" i="343"/>
  <c r="I25" i="343"/>
  <c r="H25" i="343"/>
  <c r="G25" i="343"/>
  <c r="F25" i="343"/>
  <c r="E25" i="343"/>
  <c r="D25" i="343"/>
  <c r="BJ24" i="343"/>
  <c r="BI24" i="343"/>
  <c r="BH24" i="343"/>
  <c r="BG24" i="343"/>
  <c r="BF24" i="343"/>
  <c r="BE24" i="343"/>
  <c r="BD24" i="343"/>
  <c r="BC24" i="343"/>
  <c r="BB24" i="343"/>
  <c r="BA24" i="343"/>
  <c r="AZ24" i="343"/>
  <c r="AY24" i="343"/>
  <c r="AX24" i="343"/>
  <c r="AW24" i="343"/>
  <c r="D24" i="343"/>
  <c r="BJ23" i="343"/>
  <c r="BI23" i="343"/>
  <c r="BH23" i="343"/>
  <c r="BG23" i="343"/>
  <c r="BF23" i="343"/>
  <c r="BE23" i="343"/>
  <c r="BD23" i="343"/>
  <c r="BC23" i="343"/>
  <c r="BB23" i="343"/>
  <c r="BA23" i="343"/>
  <c r="AZ23" i="343"/>
  <c r="AY23" i="343"/>
  <c r="AX23" i="343"/>
  <c r="AW23" i="343"/>
  <c r="AV23" i="343"/>
  <c r="AU23" i="343"/>
  <c r="AT23" i="343"/>
  <c r="AS23" i="343"/>
  <c r="AR23" i="343"/>
  <c r="AQ23" i="343"/>
  <c r="AP23" i="343"/>
  <c r="AO23" i="343"/>
  <c r="AN23" i="343"/>
  <c r="AM23" i="343"/>
  <c r="AL23" i="343"/>
  <c r="AK23" i="343"/>
  <c r="AJ23" i="343"/>
  <c r="AI23" i="343"/>
  <c r="AH23" i="343"/>
  <c r="AG23" i="343"/>
  <c r="AF23" i="343"/>
  <c r="AE23" i="343"/>
  <c r="AD23" i="343"/>
  <c r="AC23" i="343"/>
  <c r="AB23" i="343"/>
  <c r="AA23" i="343"/>
  <c r="Z23" i="343"/>
  <c r="Y23" i="343"/>
  <c r="X23" i="343"/>
  <c r="W23" i="343"/>
  <c r="V23" i="343"/>
  <c r="U23" i="343"/>
  <c r="T23" i="343"/>
  <c r="S23" i="343"/>
  <c r="R23" i="343"/>
  <c r="Q23" i="343"/>
  <c r="P23" i="343"/>
  <c r="O23" i="343"/>
  <c r="N23" i="343"/>
  <c r="M23" i="343"/>
  <c r="L23" i="343"/>
  <c r="K23" i="343"/>
  <c r="J23" i="343"/>
  <c r="I23" i="343"/>
  <c r="H23" i="343"/>
  <c r="G23" i="343"/>
  <c r="F23" i="343"/>
  <c r="E23" i="343"/>
  <c r="D23" i="343"/>
  <c r="BJ22" i="343"/>
  <c r="BI22" i="343"/>
  <c r="BH22" i="343"/>
  <c r="BG22" i="343"/>
  <c r="BF22" i="343"/>
  <c r="BE22" i="343"/>
  <c r="BD22" i="343"/>
  <c r="BC22" i="343"/>
  <c r="BB22" i="343"/>
  <c r="BA22" i="343"/>
  <c r="AZ22" i="343"/>
  <c r="AY22" i="343"/>
  <c r="AX22" i="343"/>
  <c r="AW22" i="343"/>
  <c r="AV22" i="343"/>
  <c r="AU22" i="343"/>
  <c r="AT22" i="343"/>
  <c r="AS22" i="343"/>
  <c r="AR22" i="343"/>
  <c r="AQ22" i="343"/>
  <c r="AP22" i="343"/>
  <c r="AO22" i="343"/>
  <c r="AN22" i="343"/>
  <c r="AM22" i="343"/>
  <c r="AL22" i="343"/>
  <c r="AK22" i="343"/>
  <c r="AJ22" i="343"/>
  <c r="AI22" i="343"/>
  <c r="AH22" i="343"/>
  <c r="AG22" i="343"/>
  <c r="AF22" i="343"/>
  <c r="AE22" i="343"/>
  <c r="AD22" i="343"/>
  <c r="AC22" i="343"/>
  <c r="AB22" i="343"/>
  <c r="AA22" i="343"/>
  <c r="Z22" i="343"/>
  <c r="Y22" i="343"/>
  <c r="X22" i="343"/>
  <c r="W22" i="343"/>
  <c r="V22" i="343"/>
  <c r="U22" i="343"/>
  <c r="T22" i="343"/>
  <c r="S22" i="343"/>
  <c r="R22" i="343"/>
  <c r="Q22" i="343"/>
  <c r="P22" i="343"/>
  <c r="O22" i="343"/>
  <c r="N22" i="343"/>
  <c r="M22" i="343"/>
  <c r="L22" i="343"/>
  <c r="K22" i="343"/>
  <c r="J22" i="343"/>
  <c r="I22" i="343"/>
  <c r="H22" i="343"/>
  <c r="G22" i="343"/>
  <c r="F22" i="343"/>
  <c r="E22" i="343"/>
  <c r="D22" i="343"/>
  <c r="BJ21" i="343"/>
  <c r="BI21" i="343"/>
  <c r="BH21" i="343"/>
  <c r="BG21" i="343"/>
  <c r="BF21" i="343"/>
  <c r="BE21" i="343"/>
  <c r="BD21" i="343"/>
  <c r="BC21" i="343"/>
  <c r="BB21" i="343"/>
  <c r="BA21" i="343"/>
  <c r="AZ21" i="343"/>
  <c r="AY21" i="343"/>
  <c r="AX21" i="343"/>
  <c r="AW21" i="343"/>
  <c r="AV21" i="343"/>
  <c r="AU21" i="343"/>
  <c r="AT21" i="343"/>
  <c r="AS21" i="343"/>
  <c r="AR21" i="343"/>
  <c r="AQ21" i="343"/>
  <c r="AP21" i="343"/>
  <c r="AO21" i="343"/>
  <c r="AN21" i="343"/>
  <c r="AM21" i="343"/>
  <c r="AL21" i="343"/>
  <c r="AK21" i="343"/>
  <c r="AJ21" i="343"/>
  <c r="AI21" i="343"/>
  <c r="AH21" i="343"/>
  <c r="AG21" i="343"/>
  <c r="AF21" i="343"/>
  <c r="AE21" i="343"/>
  <c r="AD21" i="343"/>
  <c r="AC21" i="343"/>
  <c r="AA21" i="343"/>
  <c r="Z21" i="343"/>
  <c r="Y21" i="343"/>
  <c r="X21" i="343"/>
  <c r="W21" i="343"/>
  <c r="V21" i="343"/>
  <c r="U21" i="343"/>
  <c r="T21" i="343"/>
  <c r="S21" i="343"/>
  <c r="R21" i="343"/>
  <c r="Q21" i="343"/>
  <c r="P21" i="343"/>
  <c r="O21" i="343"/>
  <c r="N21" i="343"/>
  <c r="M21" i="343"/>
  <c r="L21" i="343"/>
  <c r="K21" i="343"/>
  <c r="J21" i="343"/>
  <c r="I21" i="343"/>
  <c r="H21" i="343"/>
  <c r="G21" i="343"/>
  <c r="F21" i="343"/>
  <c r="E21" i="343"/>
  <c r="D21" i="343"/>
  <c r="BJ20" i="343"/>
  <c r="AB20" i="343"/>
  <c r="BJ19" i="343"/>
  <c r="AB19" i="343"/>
  <c r="BJ18" i="343"/>
  <c r="BI18" i="343"/>
  <c r="BH18" i="343"/>
  <c r="BG18" i="343"/>
  <c r="BF18" i="343"/>
  <c r="BE18" i="343"/>
  <c r="BD18" i="343"/>
  <c r="BC18" i="343"/>
  <c r="BB18" i="343"/>
  <c r="BA18" i="343"/>
  <c r="AZ18" i="343"/>
  <c r="AY18" i="343"/>
  <c r="AX18" i="343"/>
  <c r="AW18" i="343"/>
  <c r="AV18" i="343"/>
  <c r="AU18" i="343"/>
  <c r="AT18" i="343"/>
  <c r="AS18" i="343"/>
  <c r="AR18" i="343"/>
  <c r="AQ18" i="343"/>
  <c r="AP18" i="343"/>
  <c r="AO18" i="343"/>
  <c r="AN18" i="343"/>
  <c r="AM18" i="343"/>
  <c r="AL18" i="343"/>
  <c r="AK18" i="343"/>
  <c r="AJ18" i="343"/>
  <c r="AI18" i="343"/>
  <c r="AH18" i="343"/>
  <c r="AG18" i="343"/>
  <c r="AF18" i="343"/>
  <c r="AE18" i="343"/>
  <c r="AD18" i="343"/>
  <c r="AC18" i="343"/>
  <c r="AA18" i="343"/>
  <c r="Z18" i="343"/>
  <c r="Y18" i="343"/>
  <c r="X18" i="343"/>
  <c r="W18" i="343"/>
  <c r="V18" i="343"/>
  <c r="U18" i="343"/>
  <c r="T18" i="343"/>
  <c r="S18" i="343"/>
  <c r="R18" i="343"/>
  <c r="Q18" i="343"/>
  <c r="P18" i="343"/>
  <c r="O18" i="343"/>
  <c r="N18" i="343"/>
  <c r="M18" i="343"/>
  <c r="L18" i="343"/>
  <c r="K18" i="343"/>
  <c r="J18" i="343"/>
  <c r="I18" i="343"/>
  <c r="H18" i="343"/>
  <c r="G18" i="343"/>
  <c r="F18" i="343"/>
  <c r="E18" i="343"/>
  <c r="D18" i="343"/>
  <c r="BJ17" i="343"/>
  <c r="BI17" i="343"/>
  <c r="BH17" i="343"/>
  <c r="BG17" i="343"/>
  <c r="BF17" i="343"/>
  <c r="BE17" i="343"/>
  <c r="BD17" i="343"/>
  <c r="BC17" i="343"/>
  <c r="BB17" i="343"/>
  <c r="BA17" i="343"/>
  <c r="AZ17" i="343"/>
  <c r="AY17" i="343"/>
  <c r="AX17" i="343"/>
  <c r="AW17" i="343"/>
  <c r="AV17" i="343"/>
  <c r="AU17" i="343"/>
  <c r="AT17" i="343"/>
  <c r="AS17" i="343"/>
  <c r="AR17" i="343"/>
  <c r="AQ17" i="343"/>
  <c r="AP17" i="343"/>
  <c r="AO17" i="343"/>
  <c r="AN17" i="343"/>
  <c r="AM17" i="343"/>
  <c r="AL17" i="343"/>
  <c r="AK17" i="343"/>
  <c r="AJ17" i="343"/>
  <c r="AI17" i="343"/>
  <c r="AH17" i="343"/>
  <c r="AG17" i="343"/>
  <c r="AF17" i="343"/>
  <c r="AE17" i="343"/>
  <c r="AD17" i="343"/>
  <c r="AC17" i="343"/>
  <c r="AA17" i="343"/>
  <c r="Z17" i="343"/>
  <c r="Y17" i="343"/>
  <c r="X17" i="343"/>
  <c r="W17" i="343"/>
  <c r="V17" i="343"/>
  <c r="U17" i="343"/>
  <c r="T17" i="343"/>
  <c r="S17" i="343"/>
  <c r="R17" i="343"/>
  <c r="Q17" i="343"/>
  <c r="P17" i="343"/>
  <c r="O17" i="343"/>
  <c r="N17" i="343"/>
  <c r="M17" i="343"/>
  <c r="L17" i="343"/>
  <c r="K17" i="343"/>
  <c r="J17" i="343"/>
  <c r="I17" i="343"/>
  <c r="H17" i="343"/>
  <c r="G17" i="343"/>
  <c r="F17" i="343"/>
  <c r="E17" i="343"/>
  <c r="D17" i="343"/>
  <c r="BJ16" i="343"/>
  <c r="BI16" i="343"/>
  <c r="BH16" i="343"/>
  <c r="BG16" i="343"/>
  <c r="BF16" i="343"/>
  <c r="BE16" i="343"/>
  <c r="BD16" i="343"/>
  <c r="BC16" i="343"/>
  <c r="BB16" i="343"/>
  <c r="BA16" i="343"/>
  <c r="AZ16" i="343"/>
  <c r="AY16" i="343"/>
  <c r="AX16" i="343"/>
  <c r="AW16" i="343"/>
  <c r="AV16" i="343"/>
  <c r="AU16" i="343"/>
  <c r="AT16" i="343"/>
  <c r="AS16" i="343"/>
  <c r="AR16" i="343"/>
  <c r="AQ16" i="343"/>
  <c r="AP16" i="343"/>
  <c r="AO16" i="343"/>
  <c r="AN16" i="343"/>
  <c r="AM16" i="343"/>
  <c r="AL16" i="343"/>
  <c r="AK16" i="343"/>
  <c r="AJ16" i="343"/>
  <c r="AI16" i="343"/>
  <c r="AH16" i="343"/>
  <c r="AG16" i="343"/>
  <c r="AF16" i="343"/>
  <c r="AE16" i="343"/>
  <c r="AD16" i="343"/>
  <c r="AC16" i="343"/>
  <c r="AA16" i="343"/>
  <c r="Z16" i="343"/>
  <c r="Y16" i="343"/>
  <c r="X16" i="343"/>
  <c r="W16" i="343"/>
  <c r="V16" i="343"/>
  <c r="U16" i="343"/>
  <c r="T16" i="343"/>
  <c r="S16" i="343"/>
  <c r="R16" i="343"/>
  <c r="Q16" i="343"/>
  <c r="P16" i="343"/>
  <c r="O16" i="343"/>
  <c r="N16" i="343"/>
  <c r="M16" i="343"/>
  <c r="L16" i="343"/>
  <c r="K16" i="343"/>
  <c r="J16" i="343"/>
  <c r="I16" i="343"/>
  <c r="H16" i="343"/>
  <c r="G16" i="343"/>
  <c r="F16" i="343"/>
  <c r="E16" i="343"/>
  <c r="D16" i="343"/>
  <c r="BJ15" i="343"/>
  <c r="BI15" i="343"/>
  <c r="BH15" i="343"/>
  <c r="BG15" i="343"/>
  <c r="BF15" i="343"/>
  <c r="BE15" i="343"/>
  <c r="BD15" i="343"/>
  <c r="BC15" i="343"/>
  <c r="BB15" i="343"/>
  <c r="BA15" i="343"/>
  <c r="AZ15" i="343"/>
  <c r="AY15" i="343"/>
  <c r="AX15" i="343"/>
  <c r="AW15" i="343"/>
  <c r="AV15" i="343"/>
  <c r="AU15" i="343"/>
  <c r="AT15" i="343"/>
  <c r="AS15" i="343"/>
  <c r="AR15" i="343"/>
  <c r="AQ15" i="343"/>
  <c r="AP15" i="343"/>
  <c r="AO15" i="343"/>
  <c r="AN15" i="343"/>
  <c r="AM15" i="343"/>
  <c r="AL15" i="343"/>
  <c r="AK15" i="343"/>
  <c r="AJ15" i="343"/>
  <c r="AI15" i="343"/>
  <c r="AH15" i="343"/>
  <c r="AG15" i="343"/>
  <c r="AF15" i="343"/>
  <c r="AE15" i="343"/>
  <c r="AD15" i="343"/>
  <c r="AC15" i="343"/>
  <c r="AA15" i="343"/>
  <c r="Z15" i="343"/>
  <c r="Y15" i="343"/>
  <c r="X15" i="343"/>
  <c r="W15" i="343"/>
  <c r="V15" i="343"/>
  <c r="U15" i="343"/>
  <c r="T15" i="343"/>
  <c r="S15" i="343"/>
  <c r="R15" i="343"/>
  <c r="Q15" i="343"/>
  <c r="P15" i="343"/>
  <c r="O15" i="343"/>
  <c r="N15" i="343"/>
  <c r="M15" i="343"/>
  <c r="L15" i="343"/>
  <c r="K15" i="343"/>
  <c r="J15" i="343"/>
  <c r="I15" i="343"/>
  <c r="H15" i="343"/>
  <c r="G15" i="343"/>
  <c r="F15" i="343"/>
  <c r="E15" i="343"/>
  <c r="D15" i="343"/>
  <c r="BJ14" i="343"/>
  <c r="BI14" i="343"/>
  <c r="BH14" i="343"/>
  <c r="BG14" i="343"/>
  <c r="BF14" i="343"/>
  <c r="BE14" i="343"/>
  <c r="BD14" i="343"/>
  <c r="BC14" i="343"/>
  <c r="BB14" i="343"/>
  <c r="BA14" i="343"/>
  <c r="AZ14" i="343"/>
  <c r="AY14" i="343"/>
  <c r="AX14" i="343"/>
  <c r="AW14" i="343"/>
  <c r="AV14" i="343"/>
  <c r="AU14" i="343"/>
  <c r="AT14" i="343"/>
  <c r="AS14" i="343"/>
  <c r="AR14" i="343"/>
  <c r="AQ14" i="343"/>
  <c r="AP14" i="343"/>
  <c r="AO14" i="343"/>
  <c r="AN14" i="343"/>
  <c r="AM14" i="343"/>
  <c r="AL14" i="343"/>
  <c r="AK14" i="343"/>
  <c r="AJ14" i="343"/>
  <c r="AI14" i="343"/>
  <c r="AH14" i="343"/>
  <c r="AG14" i="343"/>
  <c r="AF14" i="343"/>
  <c r="AE14" i="343"/>
  <c r="AD14" i="343"/>
  <c r="AC14" i="343"/>
  <c r="AA14" i="343"/>
  <c r="Z14" i="343"/>
  <c r="Y14" i="343"/>
  <c r="X14" i="343"/>
  <c r="W14" i="343"/>
  <c r="V14" i="343"/>
  <c r="U14" i="343"/>
  <c r="T14" i="343"/>
  <c r="S14" i="343"/>
  <c r="R14" i="343"/>
  <c r="Q14" i="343"/>
  <c r="P14" i="343"/>
  <c r="O14" i="343"/>
  <c r="N14" i="343"/>
  <c r="M14" i="343"/>
  <c r="L14" i="343"/>
  <c r="K14" i="343"/>
  <c r="J14" i="343"/>
  <c r="I14" i="343"/>
  <c r="H14" i="343"/>
  <c r="G14" i="343"/>
  <c r="F14" i="343"/>
  <c r="E14" i="343"/>
  <c r="D14" i="343"/>
  <c r="BJ13" i="343"/>
  <c r="BI13" i="343"/>
  <c r="BH13" i="343"/>
  <c r="BG13" i="343"/>
  <c r="BF13" i="343"/>
  <c r="BE13" i="343"/>
  <c r="BD13" i="343"/>
  <c r="BC13" i="343"/>
  <c r="BB13" i="343"/>
  <c r="BA13" i="343"/>
  <c r="AZ13" i="343"/>
  <c r="AY13" i="343"/>
  <c r="AX13" i="343"/>
  <c r="AW13" i="343"/>
  <c r="AV13" i="343"/>
  <c r="AU13" i="343"/>
  <c r="AT13" i="343"/>
  <c r="AS13" i="343"/>
  <c r="AR13" i="343"/>
  <c r="AQ13" i="343"/>
  <c r="AP13" i="343"/>
  <c r="AO13" i="343"/>
  <c r="AN13" i="343"/>
  <c r="AM13" i="343"/>
  <c r="AL13" i="343"/>
  <c r="AK13" i="343"/>
  <c r="AJ13" i="343"/>
  <c r="AI13" i="343"/>
  <c r="AH13" i="343"/>
  <c r="AG13" i="343"/>
  <c r="AF13" i="343"/>
  <c r="AE13" i="343"/>
  <c r="AD13" i="343"/>
  <c r="AC13" i="343"/>
  <c r="AA13" i="343"/>
  <c r="Z13" i="343"/>
  <c r="Y13" i="343"/>
  <c r="X13" i="343"/>
  <c r="W13" i="343"/>
  <c r="V13" i="343"/>
  <c r="U13" i="343"/>
  <c r="T13" i="343"/>
  <c r="S13" i="343"/>
  <c r="R13" i="343"/>
  <c r="Q13" i="343"/>
  <c r="P13" i="343"/>
  <c r="O13" i="343"/>
  <c r="N13" i="343"/>
  <c r="M13" i="343"/>
  <c r="L13" i="343"/>
  <c r="K13" i="343"/>
  <c r="J13" i="343"/>
  <c r="I13" i="343"/>
  <c r="H13" i="343"/>
  <c r="G13" i="343"/>
  <c r="F13" i="343"/>
  <c r="E13" i="343"/>
  <c r="D13" i="343"/>
  <c r="BJ12" i="343"/>
  <c r="AB12" i="343"/>
  <c r="BJ11" i="343"/>
  <c r="AB11" i="343"/>
  <c r="BJ10" i="343"/>
  <c r="BI10" i="343"/>
  <c r="BG10" i="343"/>
  <c r="BF10" i="343"/>
  <c r="BE10" i="343"/>
  <c r="BD10" i="343"/>
  <c r="BC10" i="343"/>
  <c r="BB10" i="343"/>
  <c r="BA10" i="343"/>
  <c r="AZ10" i="343"/>
  <c r="AY10" i="343"/>
  <c r="AX10" i="343"/>
  <c r="AW10" i="343"/>
  <c r="AV10" i="343"/>
  <c r="AU10" i="343"/>
  <c r="AT10" i="343"/>
  <c r="AS10" i="343"/>
  <c r="AR10" i="343"/>
  <c r="AQ10" i="343"/>
  <c r="AP10" i="343"/>
  <c r="AO10" i="343"/>
  <c r="AN10" i="343"/>
  <c r="AM10" i="343"/>
  <c r="AL10" i="343"/>
  <c r="AK10" i="343"/>
  <c r="AJ10" i="343"/>
  <c r="AI10" i="343"/>
  <c r="AH10" i="343"/>
  <c r="AG10" i="343"/>
  <c r="AF10" i="343"/>
  <c r="AE10" i="343"/>
  <c r="AD10" i="343"/>
  <c r="AC10" i="343"/>
  <c r="AA10" i="343"/>
  <c r="Z10" i="343"/>
  <c r="Y10" i="343"/>
  <c r="X10" i="343"/>
  <c r="W10" i="343"/>
  <c r="V10" i="343"/>
  <c r="U10" i="343"/>
  <c r="T10" i="343"/>
  <c r="S10" i="343"/>
  <c r="R10" i="343"/>
  <c r="Q10" i="343"/>
  <c r="P10" i="343"/>
  <c r="O10" i="343"/>
  <c r="N10" i="343"/>
  <c r="M10" i="343"/>
  <c r="L10" i="343"/>
  <c r="K10" i="343"/>
  <c r="J10" i="343"/>
  <c r="I10" i="343"/>
  <c r="H10" i="343"/>
  <c r="G10" i="343"/>
  <c r="F10" i="343"/>
  <c r="E10" i="343"/>
  <c r="D10" i="343"/>
  <c r="BJ9" i="343"/>
  <c r="BI9" i="343"/>
  <c r="BG9" i="343"/>
  <c r="BF9" i="343"/>
  <c r="BE9" i="343"/>
  <c r="BD9" i="343"/>
  <c r="BC9" i="343"/>
  <c r="BB9" i="343"/>
  <c r="BA9" i="343"/>
  <c r="AZ9" i="343"/>
  <c r="AY9" i="343"/>
  <c r="AX9" i="343"/>
  <c r="AW9" i="343"/>
  <c r="AV9" i="343"/>
  <c r="AU9" i="343"/>
  <c r="AT9" i="343"/>
  <c r="AS9" i="343"/>
  <c r="AR9" i="343"/>
  <c r="AQ9" i="343"/>
  <c r="AP9" i="343"/>
  <c r="AO9" i="343"/>
  <c r="AN9" i="343"/>
  <c r="AM9" i="343"/>
  <c r="AL9" i="343"/>
  <c r="AK9" i="343"/>
  <c r="AJ9" i="343"/>
  <c r="AI9" i="343"/>
  <c r="AH9" i="343"/>
  <c r="AG9" i="343"/>
  <c r="AF9" i="343"/>
  <c r="AE9" i="343"/>
  <c r="AD9" i="343"/>
  <c r="AC9" i="343"/>
  <c r="AA9" i="343"/>
  <c r="Z9" i="343"/>
  <c r="Y9" i="343"/>
  <c r="X9" i="343"/>
  <c r="W9" i="343"/>
  <c r="V9" i="343"/>
  <c r="U9" i="343"/>
  <c r="T9" i="343"/>
  <c r="S9" i="343"/>
  <c r="R9" i="343"/>
  <c r="Q9" i="343"/>
  <c r="P9" i="343"/>
  <c r="O9" i="343"/>
  <c r="N9" i="343"/>
  <c r="M9" i="343"/>
  <c r="L9" i="343"/>
  <c r="K9" i="343"/>
  <c r="J9" i="343"/>
  <c r="I9" i="343"/>
  <c r="H9" i="343"/>
  <c r="G9" i="343"/>
  <c r="F9" i="343"/>
  <c r="E9" i="343"/>
  <c r="D9" i="343"/>
  <c r="BJ8" i="343"/>
  <c r="BI8" i="343"/>
  <c r="BG8" i="343"/>
  <c r="BF8" i="343"/>
  <c r="BE8" i="343"/>
  <c r="BD8" i="343"/>
  <c r="BC8" i="343"/>
  <c r="BB8" i="343"/>
  <c r="BA8" i="343"/>
  <c r="AZ8" i="343"/>
  <c r="AY8" i="343"/>
  <c r="AX8" i="343"/>
  <c r="AX63" i="343" s="1"/>
  <c r="AX7" i="343" s="1"/>
  <c r="AX66" i="343" s="1"/>
  <c r="AW8" i="343"/>
  <c r="AV8" i="343"/>
  <c r="AU8" i="343"/>
  <c r="AT8" i="343"/>
  <c r="AS8" i="343"/>
  <c r="AR8" i="343"/>
  <c r="AQ8" i="343"/>
  <c r="AP8" i="343"/>
  <c r="AO8" i="343"/>
  <c r="AN8" i="343"/>
  <c r="AM8" i="343"/>
  <c r="AL8" i="343"/>
  <c r="AK8" i="343"/>
  <c r="AJ8" i="343"/>
  <c r="AI8" i="343"/>
  <c r="AH8" i="343"/>
  <c r="AG8" i="343"/>
  <c r="AF8" i="343"/>
  <c r="AE8" i="343"/>
  <c r="AD8" i="343"/>
  <c r="AC8" i="343"/>
  <c r="AA8" i="343"/>
  <c r="Z8" i="343"/>
  <c r="Y8" i="343"/>
  <c r="X8" i="343"/>
  <c r="W8" i="343"/>
  <c r="V8" i="343"/>
  <c r="U8" i="343"/>
  <c r="T8" i="343"/>
  <c r="S8" i="343"/>
  <c r="R8" i="343"/>
  <c r="Q8" i="343"/>
  <c r="P8" i="343"/>
  <c r="O8" i="343"/>
  <c r="N8" i="343"/>
  <c r="M8" i="343"/>
  <c r="L8" i="343"/>
  <c r="K8" i="343"/>
  <c r="J8" i="343"/>
  <c r="I8" i="343"/>
  <c r="H8" i="343"/>
  <c r="G8" i="343"/>
  <c r="F8" i="343"/>
  <c r="E8" i="343"/>
  <c r="D8" i="343"/>
  <c r="BJ7" i="343"/>
  <c r="BI7" i="343"/>
  <c r="BH7" i="343"/>
  <c r="D7" i="343"/>
  <c r="AZ63" i="343" l="1"/>
  <c r="AZ7" i="343" s="1"/>
  <c r="AZ66" i="343" s="1"/>
  <c r="I5" i="344"/>
  <c r="AY63" i="343"/>
  <c r="AY7" i="343" s="1"/>
  <c r="AY66" i="343" s="1"/>
  <c r="AB60" i="343"/>
  <c r="I44" i="344"/>
  <c r="I14" i="344"/>
  <c r="G14" i="344"/>
  <c r="I45" i="344"/>
  <c r="I37" i="344"/>
  <c r="BH8" i="343"/>
  <c r="BA63" i="343"/>
  <c r="BA7" i="343" s="1"/>
  <c r="BA66" i="343" s="1"/>
  <c r="AY69" i="343"/>
  <c r="AW63" i="343"/>
  <c r="AW7" i="343" s="1"/>
  <c r="AW66" i="343" s="1"/>
  <c r="BB63" i="343"/>
  <c r="BB7" i="343" s="1"/>
  <c r="BB66" i="343" s="1"/>
  <c r="AN31" i="343"/>
  <c r="AN24" i="343" s="1"/>
  <c r="AN63" i="343" s="1"/>
  <c r="AN7" i="343" s="1"/>
  <c r="AN66" i="343" s="1"/>
  <c r="AB13" i="343"/>
  <c r="BC63" i="343"/>
  <c r="BC7" i="343" s="1"/>
  <c r="BC66" i="343" s="1"/>
  <c r="U50" i="343"/>
  <c r="R31" i="343"/>
  <c r="R24" i="343" s="1"/>
  <c r="R63" i="343" s="1"/>
  <c r="R7" i="343" s="1"/>
  <c r="R66" i="343" s="1"/>
  <c r="G31" i="343"/>
  <c r="X31" i="343"/>
  <c r="X24" i="343" s="1"/>
  <c r="X63" i="343" s="1"/>
  <c r="X7" i="343" s="1"/>
  <c r="X66" i="343" s="1"/>
  <c r="BD31" i="343"/>
  <c r="AB15" i="343"/>
  <c r="H31" i="343"/>
  <c r="H24" i="343" s="1"/>
  <c r="H63" i="343" s="1"/>
  <c r="H7" i="343" s="1"/>
  <c r="H66" i="343" s="1"/>
  <c r="AB46" i="343"/>
  <c r="BH10" i="343"/>
  <c r="BD63" i="343"/>
  <c r="BD7" i="343" s="1"/>
  <c r="BD66" i="343" s="1"/>
  <c r="AB52" i="343"/>
  <c r="U52" i="343" s="1"/>
  <c r="AB29" i="343"/>
  <c r="AB33" i="343"/>
  <c r="U39" i="343"/>
  <c r="AD31" i="343"/>
  <c r="AD24" i="343" s="1"/>
  <c r="AD63" i="343" s="1"/>
  <c r="AD7" i="343" s="1"/>
  <c r="AD66" i="343" s="1"/>
  <c r="U46" i="343"/>
  <c r="U32" i="343"/>
  <c r="AT31" i="343"/>
  <c r="AT24" i="343" s="1"/>
  <c r="AT63" i="343" s="1"/>
  <c r="AT7" i="343" s="1"/>
  <c r="AT66" i="343" s="1"/>
  <c r="BJ31" i="343"/>
  <c r="AB64" i="343" s="1"/>
  <c r="AB42" i="343"/>
  <c r="AB48" i="343"/>
  <c r="AB51" i="343"/>
  <c r="U51" i="343" s="1"/>
  <c r="S31" i="343"/>
  <c r="S24" i="343" s="1"/>
  <c r="S63" i="343" s="1"/>
  <c r="S7" i="343" s="1"/>
  <c r="S66" i="343" s="1"/>
  <c r="AB40" i="343"/>
  <c r="AB17" i="343"/>
  <c r="AE31" i="343"/>
  <c r="AE24" i="343" s="1"/>
  <c r="AE63" i="343" s="1"/>
  <c r="AE7" i="343" s="1"/>
  <c r="AE66" i="343" s="1"/>
  <c r="AU31" i="343"/>
  <c r="AU24" i="343" s="1"/>
  <c r="AU63" i="343" s="1"/>
  <c r="AU7" i="343" s="1"/>
  <c r="AU66" i="343" s="1"/>
  <c r="AO31" i="343"/>
  <c r="AO24" i="343" s="1"/>
  <c r="AO63" i="343" s="1"/>
  <c r="AO7" i="343" s="1"/>
  <c r="AO66" i="343" s="1"/>
  <c r="BE31" i="343"/>
  <c r="U41" i="343"/>
  <c r="U48" i="343"/>
  <c r="AB62" i="343"/>
  <c r="U44" i="343"/>
  <c r="AB14" i="343"/>
  <c r="AB18" i="343"/>
  <c r="G24" i="343"/>
  <c r="G63" i="343" s="1"/>
  <c r="G7" i="343" s="1"/>
  <c r="G66" i="343" s="1"/>
  <c r="N31" i="343"/>
  <c r="N24" i="343" s="1"/>
  <c r="N63" i="343" s="1"/>
  <c r="N7" i="343" s="1"/>
  <c r="N66" i="343" s="1"/>
  <c r="AB35" i="343"/>
  <c r="Y31" i="343"/>
  <c r="Y24" i="343" s="1"/>
  <c r="Y63" i="343" s="1"/>
  <c r="Y7" i="343" s="1"/>
  <c r="Y66" i="343" s="1"/>
  <c r="AB44" i="343"/>
  <c r="AB49" i="343"/>
  <c r="BE63" i="343"/>
  <c r="BE7" i="343" s="1"/>
  <c r="BE66" i="343" s="1"/>
  <c r="AB26" i="343"/>
  <c r="AP31" i="343"/>
  <c r="AP24" i="343" s="1"/>
  <c r="AP63" i="343" s="1"/>
  <c r="AP7" i="343" s="1"/>
  <c r="AP66" i="343" s="1"/>
  <c r="BF31" i="343"/>
  <c r="O31" i="343"/>
  <c r="O24" i="343" s="1"/>
  <c r="O63" i="343" s="1"/>
  <c r="O7" i="343" s="1"/>
  <c r="O66" i="343" s="1"/>
  <c r="AJ31" i="343"/>
  <c r="AJ24" i="343" s="1"/>
  <c r="AJ63" i="343" s="1"/>
  <c r="AJ7" i="343" s="1"/>
  <c r="AJ66" i="343" s="1"/>
  <c r="AZ31" i="343"/>
  <c r="I31" i="343"/>
  <c r="I24" i="343" s="1"/>
  <c r="I63" i="343" s="1"/>
  <c r="I7" i="343" s="1"/>
  <c r="I66" i="343" s="1"/>
  <c r="AB53" i="343"/>
  <c r="U53" i="343" s="1"/>
  <c r="BF63" i="343"/>
  <c r="BF7" i="343" s="1"/>
  <c r="BF66" i="343" s="1"/>
  <c r="AB16" i="343"/>
  <c r="Z31" i="343"/>
  <c r="Z24" i="343" s="1"/>
  <c r="Z63" i="343" s="1"/>
  <c r="Z7" i="343" s="1"/>
  <c r="Z66" i="343" s="1"/>
  <c r="AQ31" i="343"/>
  <c r="AQ24" i="343" s="1"/>
  <c r="AQ63" i="343" s="1"/>
  <c r="AQ7" i="343" s="1"/>
  <c r="AQ66" i="343" s="1"/>
  <c r="BG31" i="343"/>
  <c r="U36" i="343"/>
  <c r="AB37" i="343"/>
  <c r="AK31" i="343"/>
  <c r="AK24" i="343" s="1"/>
  <c r="AK63" i="343" s="1"/>
  <c r="AK7" i="343" s="1"/>
  <c r="AK66" i="343" s="1"/>
  <c r="BA31" i="343"/>
  <c r="BG7" i="343"/>
  <c r="BG66" i="343" s="1"/>
  <c r="J31" i="343"/>
  <c r="J24" i="343" s="1"/>
  <c r="J63" i="343" s="1"/>
  <c r="J7" i="343" s="1"/>
  <c r="J66" i="343" s="1"/>
  <c r="AA31" i="343"/>
  <c r="AA24" i="343" s="1"/>
  <c r="AA63" i="343" s="1"/>
  <c r="AA7" i="343" s="1"/>
  <c r="AA66" i="343" s="1"/>
  <c r="AR31" i="343"/>
  <c r="AR24" i="343" s="1"/>
  <c r="AR63" i="343" s="1"/>
  <c r="AR7" i="343" s="1"/>
  <c r="AR66" i="343" s="1"/>
  <c r="D31" i="343"/>
  <c r="T31" i="343"/>
  <c r="T24" i="343" s="1"/>
  <c r="T63" i="343" s="1"/>
  <c r="T7" i="343" s="1"/>
  <c r="T66" i="343" s="1"/>
  <c r="U45" i="343"/>
  <c r="AB59" i="343"/>
  <c r="U59" i="343" s="1"/>
  <c r="AB28" i="343"/>
  <c r="K31" i="343"/>
  <c r="K24" i="343" s="1"/>
  <c r="K63" i="343" s="1"/>
  <c r="K7" i="343" s="1"/>
  <c r="K66" i="343" s="1"/>
  <c r="U34" i="343"/>
  <c r="AF31" i="343"/>
  <c r="AF24" i="343" s="1"/>
  <c r="AF63" i="343" s="1"/>
  <c r="AF7" i="343" s="1"/>
  <c r="AF66" i="343" s="1"/>
  <c r="AV31" i="343"/>
  <c r="AV24" i="343" s="1"/>
  <c r="AV63" i="343" s="1"/>
  <c r="AV7" i="343" s="1"/>
  <c r="AV66" i="343" s="1"/>
  <c r="E31" i="343"/>
  <c r="E24" i="343" s="1"/>
  <c r="E63" i="343" s="1"/>
  <c r="E7" i="343" s="1"/>
  <c r="E66" i="343" s="1"/>
  <c r="AB10" i="343"/>
  <c r="AB25" i="343"/>
  <c r="L31" i="343"/>
  <c r="L24" i="343" s="1"/>
  <c r="L63" i="343" s="1"/>
  <c r="L7" i="343" s="1"/>
  <c r="L66" i="343" s="1"/>
  <c r="AB21" i="343"/>
  <c r="AB34" i="343"/>
  <c r="P31" i="343"/>
  <c r="P24" i="343" s="1"/>
  <c r="P63" i="343" s="1"/>
  <c r="P7" i="343" s="1"/>
  <c r="P66" i="343" s="1"/>
  <c r="U40" i="343"/>
  <c r="U60" i="343"/>
  <c r="AB9" i="343"/>
  <c r="AB39" i="343"/>
  <c r="AB41" i="343"/>
  <c r="AB43" i="343"/>
  <c r="U43" i="343"/>
  <c r="BI31" i="343"/>
  <c r="U47" i="343"/>
  <c r="AB50" i="343"/>
  <c r="AG31" i="343"/>
  <c r="AG24" i="343" s="1"/>
  <c r="AG63" i="343" s="1"/>
  <c r="AG7" i="343" s="1"/>
  <c r="AG66" i="343" s="1"/>
  <c r="AW31" i="343"/>
  <c r="AL31" i="343"/>
  <c r="AL24" i="343" s="1"/>
  <c r="AL63" i="343" s="1"/>
  <c r="AL7" i="343" s="1"/>
  <c r="AL66" i="343" s="1"/>
  <c r="BB31" i="343"/>
  <c r="AB36" i="343"/>
  <c r="U49" i="343"/>
  <c r="AB61" i="343"/>
  <c r="U61" i="343" s="1"/>
  <c r="U63" i="343"/>
  <c r="U37" i="343"/>
  <c r="AB47" i="343"/>
  <c r="AB30" i="343"/>
  <c r="AH31" i="343"/>
  <c r="AH24" i="343" s="1"/>
  <c r="AH63" i="343" s="1"/>
  <c r="AH7" i="343" s="1"/>
  <c r="AH66" i="343" s="1"/>
  <c r="AX31" i="343"/>
  <c r="U35" i="343"/>
  <c r="AM31" i="343"/>
  <c r="AM24" i="343" s="1"/>
  <c r="AM63" i="343" s="1"/>
  <c r="AM7" i="343" s="1"/>
  <c r="AM66" i="343" s="1"/>
  <c r="BC31" i="343"/>
  <c r="U42" i="343"/>
  <c r="M31" i="343"/>
  <c r="M24" i="343" s="1"/>
  <c r="M63" i="343" s="1"/>
  <c r="M7" i="343" s="1"/>
  <c r="M66" i="343" s="1"/>
  <c r="AB45" i="343"/>
  <c r="AB58" i="343"/>
  <c r="U58" i="343" s="1"/>
  <c r="Q31" i="343"/>
  <c r="Q24" i="343" s="1"/>
  <c r="Q63" i="343" s="1"/>
  <c r="Q7" i="343" s="1"/>
  <c r="Q66" i="343" s="1"/>
  <c r="AI31" i="343"/>
  <c r="AI24" i="343" s="1"/>
  <c r="AI63" i="343" s="1"/>
  <c r="AI7" i="343" s="1"/>
  <c r="AI66" i="343" s="1"/>
  <c r="AY31" i="343"/>
  <c r="F31" i="343"/>
  <c r="F24" i="343" s="1"/>
  <c r="F63" i="343" s="1"/>
  <c r="F7" i="343" s="1"/>
  <c r="F66" i="343" s="1"/>
  <c r="W31" i="343"/>
  <c r="W24" i="343" s="1"/>
  <c r="W63" i="343" s="1"/>
  <c r="W7" i="343" s="1"/>
  <c r="W66" i="343" s="1"/>
  <c r="AB54" i="343"/>
  <c r="U54" i="343" s="1"/>
  <c r="AB32" i="343"/>
  <c r="U38" i="343"/>
  <c r="AC31" i="343"/>
  <c r="AC24" i="343" s="1"/>
  <c r="AC63" i="343" s="1"/>
  <c r="AC7" i="343" s="1"/>
  <c r="AS31" i="343"/>
  <c r="AS24" i="343" s="1"/>
  <c r="AS63" i="343" s="1"/>
  <c r="AS7" i="343" s="1"/>
  <c r="AS66" i="343" s="1"/>
  <c r="BH9" i="343"/>
  <c r="U33" i="343"/>
  <c r="AB27" i="343"/>
  <c r="AB38" i="343"/>
  <c r="V31" i="343"/>
  <c r="V24" i="343" s="1"/>
  <c r="V63" i="343" s="1"/>
  <c r="V7" i="343" s="1"/>
  <c r="V66" i="343" s="1"/>
  <c r="BL34" i="343" l="1"/>
  <c r="AB8" i="343"/>
  <c r="U31" i="343"/>
  <c r="U24" i="343"/>
  <c r="U7" i="343" s="1"/>
  <c r="U66" i="343" s="1"/>
  <c r="AB24" i="343"/>
  <c r="AB63" i="343" s="1"/>
  <c r="AB31" i="343"/>
  <c r="AB66" i="343" s="1"/>
  <c r="AB68" i="343" l="1"/>
  <c r="BL31" i="343"/>
  <c r="BL32" i="343" s="1"/>
  <c r="BH31" i="343"/>
  <c r="BK31" i="343" s="1"/>
  <c r="AK68" i="343" s="1"/>
  <c r="AB7" i="343"/>
  <c r="BK32" i="343" l="1"/>
  <c r="BK33" i="343" s="1"/>
  <c r="BL35" i="343"/>
  <c r="Z65" i="341" l="1"/>
  <c r="H63" i="341"/>
  <c r="AD19" i="341"/>
  <c r="AE19" i="341" s="1"/>
  <c r="AR12" i="340"/>
  <c r="Z5" i="340"/>
  <c r="Y5" i="340"/>
  <c r="X5" i="340"/>
  <c r="W5" i="340"/>
  <c r="V5" i="340"/>
  <c r="U5" i="340"/>
  <c r="T5" i="340"/>
  <c r="S5" i="340"/>
  <c r="R5" i="340"/>
  <c r="Q5" i="340"/>
  <c r="P5" i="340"/>
  <c r="O5" i="340"/>
  <c r="N5" i="340"/>
  <c r="M5" i="340"/>
  <c r="L5" i="340"/>
  <c r="K5" i="340"/>
  <c r="J5" i="340"/>
  <c r="I5" i="340"/>
  <c r="H5" i="340"/>
  <c r="G5" i="340"/>
  <c r="F5" i="340"/>
  <c r="E5" i="340"/>
  <c r="Z34" i="339"/>
  <c r="Z33" i="339"/>
  <c r="Z32" i="339"/>
  <c r="Z31" i="339"/>
  <c r="Z30" i="339"/>
  <c r="Z29" i="339"/>
  <c r="Z28" i="339"/>
  <c r="Z27" i="339"/>
  <c r="Z26" i="339"/>
  <c r="Z25" i="339"/>
  <c r="Z24" i="339"/>
  <c r="Z23" i="339"/>
  <c r="Z22" i="339"/>
  <c r="Z19" i="339"/>
  <c r="Z18" i="339"/>
  <c r="Z17" i="339"/>
  <c r="Z16" i="339"/>
  <c r="Z15" i="339"/>
  <c r="Z14" i="339"/>
  <c r="Z13" i="339"/>
  <c r="Z12" i="339"/>
  <c r="Z11" i="339"/>
  <c r="Z10" i="339"/>
  <c r="Z9" i="339"/>
  <c r="Z5" i="339"/>
  <c r="Y5" i="339"/>
  <c r="X5" i="339"/>
  <c r="W5" i="339"/>
  <c r="V5" i="339"/>
  <c r="U5" i="339"/>
  <c r="T5" i="339"/>
  <c r="S5" i="339"/>
  <c r="R5" i="339"/>
  <c r="Q5" i="339"/>
  <c r="P5" i="339"/>
  <c r="O5" i="339"/>
  <c r="N5" i="339"/>
  <c r="M5" i="339"/>
  <c r="L5" i="339"/>
  <c r="K5" i="339"/>
  <c r="J5" i="339"/>
  <c r="I5" i="339"/>
  <c r="H5" i="339"/>
  <c r="G5" i="339"/>
  <c r="F5" i="339"/>
  <c r="E5" i="339"/>
  <c r="Z7" i="339" l="1"/>
  <c r="Z20" i="339"/>
  <c r="D62" i="340"/>
  <c r="Z64" i="341" l="1"/>
  <c r="Z66" i="341" s="1"/>
  <c r="D44" i="344" l="1"/>
  <c r="D39" i="344"/>
  <c r="D16" i="344"/>
  <c r="AC81" i="338"/>
  <c r="AC80" i="338"/>
  <c r="AC79" i="338"/>
  <c r="AC78" i="338"/>
  <c r="AC77" i="338"/>
  <c r="AC76" i="338"/>
  <c r="AC75" i="338"/>
  <c r="AC74" i="338"/>
  <c r="AC73" i="338"/>
  <c r="AC72" i="338"/>
  <c r="AC71" i="338"/>
  <c r="AC70" i="338"/>
  <c r="AC69" i="338"/>
  <c r="AC68" i="338"/>
  <c r="AC67" i="338"/>
  <c r="AD67" i="338" s="1"/>
  <c r="AT66" i="338"/>
  <c r="AR66" i="338"/>
  <c r="AT65" i="338"/>
  <c r="AR65" i="338"/>
  <c r="AT64" i="338"/>
  <c r="AR64" i="338"/>
  <c r="AT63" i="338"/>
  <c r="AR63" i="338"/>
  <c r="AT62" i="338"/>
  <c r="AR62" i="338"/>
  <c r="AR61" i="338"/>
  <c r="AP61" i="338"/>
  <c r="AX61" i="338" s="1"/>
  <c r="AR60" i="338"/>
  <c r="AY60" i="338" s="1"/>
  <c r="AP60" i="338"/>
  <c r="AX60" i="338" s="1"/>
  <c r="AT59" i="338"/>
  <c r="AR59" i="338"/>
  <c r="AT58" i="338"/>
  <c r="AR58" i="338"/>
  <c r="AT57" i="338"/>
  <c r="AR57" i="338"/>
  <c r="AT56" i="338"/>
  <c r="AR56" i="338"/>
  <c r="AT55" i="338"/>
  <c r="AR55" i="338"/>
  <c r="AT54" i="338"/>
  <c r="AR54" i="338"/>
  <c r="AT53" i="338"/>
  <c r="AR53" i="338"/>
  <c r="AT52" i="338"/>
  <c r="AR52" i="338"/>
  <c r="AT51" i="338"/>
  <c r="AR51" i="338"/>
  <c r="AT50" i="338"/>
  <c r="AR50" i="338"/>
  <c r="AT49" i="338"/>
  <c r="AR49" i="338"/>
  <c r="AT48" i="338"/>
  <c r="AR48" i="338"/>
  <c r="AT47" i="338"/>
  <c r="AR47" i="338"/>
  <c r="AT46" i="338"/>
  <c r="AR46" i="338"/>
  <c r="AT45" i="338"/>
  <c r="AR45" i="338"/>
  <c r="AR44" i="338"/>
  <c r="AT43" i="338"/>
  <c r="AR43" i="338"/>
  <c r="AT42" i="338"/>
  <c r="AR42" i="338"/>
  <c r="AT41" i="338"/>
  <c r="AR41" i="338"/>
  <c r="AT40" i="338"/>
  <c r="AR40" i="338"/>
  <c r="AT39" i="338"/>
  <c r="AR39" i="338"/>
  <c r="AT38" i="338"/>
  <c r="AR38" i="338"/>
  <c r="AT37" i="338"/>
  <c r="AR37" i="338"/>
  <c r="AT36" i="338"/>
  <c r="AR36" i="338"/>
  <c r="AV35" i="338"/>
  <c r="AY35" i="338" s="1"/>
  <c r="AP35" i="338"/>
  <c r="AD35" i="338"/>
  <c r="AU35" i="338"/>
  <c r="AR34" i="338"/>
  <c r="AT34" i="338"/>
  <c r="AT33" i="338"/>
  <c r="AR33" i="338"/>
  <c r="AT32" i="338"/>
  <c r="AR32" i="338"/>
  <c r="AT31" i="338"/>
  <c r="AR31" i="338"/>
  <c r="AT30" i="338"/>
  <c r="AR30" i="338"/>
  <c r="AT29" i="338"/>
  <c r="AR29" i="338"/>
  <c r="AT28" i="338"/>
  <c r="AR28" i="338"/>
  <c r="AT27" i="338"/>
  <c r="AR27" i="338"/>
  <c r="AT26" i="338"/>
  <c r="AR26" i="338"/>
  <c r="AZ25" i="338"/>
  <c r="AV25" i="338"/>
  <c r="AY25" i="338" s="1"/>
  <c r="AG25" i="338"/>
  <c r="AD25" i="338"/>
  <c r="AU25" i="338"/>
  <c r="AT24" i="338"/>
  <c r="AR24" i="338"/>
  <c r="AT23" i="338"/>
  <c r="AR23" i="338"/>
  <c r="AP23" i="338"/>
  <c r="AT22" i="338"/>
  <c r="AR22" i="338"/>
  <c r="AP22" i="338"/>
  <c r="AC22" i="338"/>
  <c r="AT21" i="338"/>
  <c r="AR21" i="338"/>
  <c r="AP21" i="338"/>
  <c r="AT20" i="338"/>
  <c r="AR20" i="338"/>
  <c r="AP20" i="338"/>
  <c r="AT19" i="338"/>
  <c r="AR19" i="338"/>
  <c r="AP19" i="338"/>
  <c r="AT18" i="338"/>
  <c r="AR18" i="338"/>
  <c r="AP18" i="338"/>
  <c r="AT17" i="338"/>
  <c r="AR17" i="338"/>
  <c r="AP17" i="338"/>
  <c r="AT16" i="338"/>
  <c r="AR16" i="338"/>
  <c r="AP16" i="338"/>
  <c r="AT15" i="338"/>
  <c r="AR15" i="338"/>
  <c r="AP15" i="338"/>
  <c r="AT14" i="338"/>
  <c r="AR14" i="338"/>
  <c r="AP14" i="338"/>
  <c r="AT13" i="338"/>
  <c r="AR13" i="338"/>
  <c r="AP13" i="338"/>
  <c r="AZ12" i="338"/>
  <c r="AV12" i="338"/>
  <c r="AY12" i="338" s="1"/>
  <c r="AD12" i="338"/>
  <c r="AU12" i="338"/>
  <c r="AT11" i="338"/>
  <c r="AR11" i="338"/>
  <c r="AP11" i="338"/>
  <c r="AZ10" i="338"/>
  <c r="AV10" i="338"/>
  <c r="AY10" i="338" s="1"/>
  <c r="AD10" i="338"/>
  <c r="AU9" i="338"/>
  <c r="AT9" i="338"/>
  <c r="AR9" i="338"/>
  <c r="AS41" i="338" s="1"/>
  <c r="AB7" i="338"/>
  <c r="AA7" i="338"/>
  <c r="Z7" i="338"/>
  <c r="Y7" i="338"/>
  <c r="X7" i="338"/>
  <c r="W7" i="338"/>
  <c r="V7" i="338"/>
  <c r="U7" i="338"/>
  <c r="T7" i="338"/>
  <c r="S7" i="338"/>
  <c r="R7" i="338"/>
  <c r="Q7" i="338"/>
  <c r="P7" i="338"/>
  <c r="O7" i="338"/>
  <c r="N7" i="338"/>
  <c r="M7" i="338"/>
  <c r="L7" i="338"/>
  <c r="K7" i="338"/>
  <c r="J7" i="338"/>
  <c r="I7" i="338"/>
  <c r="H7" i="338"/>
  <c r="G7" i="338"/>
  <c r="D7" i="344" l="1"/>
  <c r="F7" i="345"/>
  <c r="D25" i="344"/>
  <c r="F23" i="345"/>
  <c r="D8" i="344"/>
  <c r="F8" i="345"/>
  <c r="D26" i="344"/>
  <c r="F24" i="345"/>
  <c r="D45" i="344"/>
  <c r="F42" i="345"/>
  <c r="D9" i="344"/>
  <c r="F9" i="345"/>
  <c r="D27" i="344"/>
  <c r="F25" i="345"/>
  <c r="D46" i="344"/>
  <c r="F43" i="345"/>
  <c r="D10" i="344"/>
  <c r="F10" i="345"/>
  <c r="D29" i="344"/>
  <c r="F27" i="345"/>
  <c r="D47" i="344"/>
  <c r="F44" i="345"/>
  <c r="D11" i="344"/>
  <c r="F11" i="345"/>
  <c r="D30" i="344"/>
  <c r="F28" i="345"/>
  <c r="D31" i="344"/>
  <c r="F29" i="345"/>
  <c r="D12" i="344"/>
  <c r="F12" i="345"/>
  <c r="D33" i="344"/>
  <c r="F31" i="345"/>
  <c r="D32" i="344"/>
  <c r="F30" i="345"/>
  <c r="D13" i="344"/>
  <c r="F13" i="345"/>
  <c r="D34" i="344"/>
  <c r="F32" i="345"/>
  <c r="D48" i="344"/>
  <c r="F45" i="345"/>
  <c r="D14" i="344"/>
  <c r="F14" i="345"/>
  <c r="D35" i="344"/>
  <c r="F33" i="345"/>
  <c r="D49" i="344"/>
  <c r="F46" i="345"/>
  <c r="D15" i="344"/>
  <c r="F15" i="345"/>
  <c r="D36" i="344"/>
  <c r="F34" i="345"/>
  <c r="D50" i="344"/>
  <c r="F47" i="345"/>
  <c r="D37" i="344"/>
  <c r="F35" i="345"/>
  <c r="D51" i="344"/>
  <c r="F48" i="345"/>
  <c r="D17" i="344"/>
  <c r="F16" i="345"/>
  <c r="D38" i="344"/>
  <c r="F36" i="345"/>
  <c r="D55" i="344"/>
  <c r="F49" i="345"/>
  <c r="D56" i="344"/>
  <c r="F50" i="345"/>
  <c r="D20" i="344"/>
  <c r="F19" i="345"/>
  <c r="D40" i="344"/>
  <c r="F37" i="345"/>
  <c r="D57" i="344"/>
  <c r="F51" i="345"/>
  <c r="D21" i="344"/>
  <c r="F20" i="345"/>
  <c r="D41" i="344"/>
  <c r="F38" i="345"/>
  <c r="D58" i="344"/>
  <c r="F52" i="345"/>
  <c r="D23" i="344"/>
  <c r="F21" i="345"/>
  <c r="D42" i="344"/>
  <c r="F39" i="345"/>
  <c r="D24" i="344"/>
  <c r="F22" i="345"/>
  <c r="D43" i="344"/>
  <c r="F40" i="345"/>
  <c r="D59" i="344"/>
  <c r="F53" i="345"/>
  <c r="D18" i="344"/>
  <c r="F17" i="345"/>
  <c r="D5" i="344"/>
  <c r="F5" i="345"/>
  <c r="AX35" i="338"/>
  <c r="AS65" i="338"/>
  <c r="AS36" i="338"/>
  <c r="AS52" i="338"/>
  <c r="AX10" i="338"/>
  <c r="AZ35" i="338"/>
  <c r="AS27" i="338"/>
  <c r="AS37" i="338"/>
  <c r="AS29" i="338"/>
  <c r="AS32" i="338"/>
  <c r="AS62" i="338"/>
  <c r="AS16" i="338"/>
  <c r="AS58" i="338"/>
  <c r="AS33" i="338"/>
  <c r="AS13" i="338"/>
  <c r="AS21" i="338"/>
  <c r="AS54" i="338"/>
  <c r="AS34" i="338"/>
  <c r="AS39" i="338"/>
  <c r="AS44" i="338"/>
  <c r="AS63" i="338"/>
  <c r="AS49" i="338"/>
  <c r="AS14" i="338"/>
  <c r="AS18" i="338"/>
  <c r="AS50" i="338"/>
  <c r="AS53" i="338"/>
  <c r="AS56" i="338"/>
  <c r="AS48" i="338"/>
  <c r="AS11" i="338"/>
  <c r="AS61" i="338"/>
  <c r="AS66" i="338"/>
  <c r="AS64" i="338"/>
  <c r="AS15" i="338"/>
  <c r="AS19" i="338"/>
  <c r="AS31" i="338"/>
  <c r="AS46" i="338"/>
  <c r="AS9" i="338"/>
  <c r="AS57" i="338"/>
  <c r="AY61" i="338"/>
  <c r="AD68" i="338"/>
  <c r="AS22" i="338"/>
  <c r="AS47" i="338"/>
  <c r="AS17" i="338"/>
  <c r="AS30" i="338"/>
  <c r="AS42" i="338"/>
  <c r="AS59" i="338"/>
  <c r="AS20" i="338"/>
  <c r="AS45" i="338"/>
  <c r="AS23" i="338"/>
  <c r="AS28" i="338"/>
  <c r="AS40" i="338"/>
  <c r="AS51" i="338"/>
  <c r="AS60" i="338"/>
  <c r="AX12" i="338"/>
  <c r="AX25" i="338"/>
  <c r="AS43" i="338"/>
  <c r="AS26" i="338"/>
  <c r="AS35" i="338"/>
  <c r="AS24" i="338"/>
  <c r="AS38" i="338"/>
  <c r="AS55" i="338"/>
  <c r="F16" i="344" l="1"/>
  <c r="AU22" i="338"/>
  <c r="AV22" i="338"/>
  <c r="AZ22" i="338" s="1"/>
  <c r="AD22" i="338"/>
  <c r="AY22" i="338"/>
  <c r="AX22" i="338"/>
  <c r="J16" i="344" l="1"/>
  <c r="E16" i="344"/>
  <c r="G27" i="344"/>
  <c r="D52" i="336"/>
  <c r="F25" i="336"/>
  <c r="D48" i="336"/>
  <c r="D45" i="336"/>
  <c r="D37" i="336"/>
  <c r="D24" i="336" s="1"/>
  <c r="D23" i="336"/>
  <c r="G12" i="344"/>
  <c r="G13" i="344"/>
  <c r="G18" i="344"/>
  <c r="G20" i="344"/>
  <c r="G21" i="344"/>
  <c r="G23" i="344"/>
  <c r="G24" i="344"/>
  <c r="G25" i="344"/>
  <c r="G26" i="344"/>
  <c r="G29" i="344"/>
  <c r="G30" i="344"/>
  <c r="G39" i="344"/>
  <c r="G50" i="344"/>
  <c r="G52" i="344"/>
  <c r="H52" i="344" s="1"/>
  <c r="G54" i="344"/>
  <c r="H54" i="344" s="1"/>
  <c r="G55" i="344"/>
  <c r="G56" i="344"/>
  <c r="G57" i="344"/>
  <c r="G58" i="344"/>
  <c r="G59" i="344"/>
  <c r="E7" i="335"/>
  <c r="G7" i="335" s="1"/>
  <c r="AA63" i="333"/>
  <c r="AA62" i="333"/>
  <c r="AA61" i="333"/>
  <c r="AA60" i="333"/>
  <c r="AA59" i="333"/>
  <c r="AA57" i="333"/>
  <c r="AA56" i="333"/>
  <c r="AA55" i="333"/>
  <c r="AA54" i="333"/>
  <c r="AA53" i="333"/>
  <c r="AA52" i="333"/>
  <c r="AA51" i="333"/>
  <c r="AA50" i="333"/>
  <c r="AA49" i="333"/>
  <c r="AA48" i="333"/>
  <c r="AA47" i="333"/>
  <c r="AA46" i="333"/>
  <c r="AA45" i="333"/>
  <c r="AA44" i="333"/>
  <c r="AA43" i="333"/>
  <c r="AA42" i="333"/>
  <c r="AA41" i="333"/>
  <c r="AA40" i="333"/>
  <c r="AA39" i="333"/>
  <c r="AA38" i="333"/>
  <c r="AA37" i="333"/>
  <c r="AA36" i="333"/>
  <c r="AA35" i="333"/>
  <c r="AA34" i="333"/>
  <c r="AA33" i="333"/>
  <c r="AA30" i="333"/>
  <c r="AA29" i="333"/>
  <c r="AA28" i="333"/>
  <c r="AA27" i="333"/>
  <c r="AA26" i="333"/>
  <c r="AA25" i="333"/>
  <c r="AA24" i="333"/>
  <c r="AA23" i="333"/>
  <c r="AA20" i="333"/>
  <c r="AA19" i="333"/>
  <c r="AA18" i="333"/>
  <c r="AA17" i="333"/>
  <c r="AA16" i="333"/>
  <c r="AA15" i="333"/>
  <c r="AA14" i="333"/>
  <c r="AA13" i="333"/>
  <c r="AA12" i="333"/>
  <c r="AA11" i="333"/>
  <c r="AA10" i="333"/>
  <c r="D934" i="332"/>
  <c r="D933" i="332"/>
  <c r="F932" i="332"/>
  <c r="D932" i="332" s="1"/>
  <c r="F931" i="332"/>
  <c r="D931" i="332" s="1"/>
  <c r="F930" i="332"/>
  <c r="D930" i="332" s="1"/>
  <c r="F929" i="332"/>
  <c r="D929" i="332" s="1"/>
  <c r="F928" i="332"/>
  <c r="D928" i="332" s="1"/>
  <c r="F925" i="332"/>
  <c r="D925" i="332" s="1"/>
  <c r="F924" i="332"/>
  <c r="D924" i="332" s="1"/>
  <c r="F918" i="332"/>
  <c r="D918" i="332" s="1"/>
  <c r="F917" i="332"/>
  <c r="D917" i="332" s="1"/>
  <c r="F916" i="332"/>
  <c r="D916" i="332" s="1"/>
  <c r="F915" i="332"/>
  <c r="D915" i="332" s="1"/>
  <c r="F912" i="332"/>
  <c r="D912" i="332" s="1"/>
  <c r="F911" i="332"/>
  <c r="D911" i="332" s="1"/>
  <c r="F910" i="332"/>
  <c r="D910" i="332" s="1"/>
  <c r="F909" i="332"/>
  <c r="D909" i="332" s="1"/>
  <c r="AS908" i="332"/>
  <c r="AR908" i="332"/>
  <c r="AQ908" i="332"/>
  <c r="AP908" i="332"/>
  <c r="AO908" i="332"/>
  <c r="AN908" i="332"/>
  <c r="AM908" i="332"/>
  <c r="AL908" i="332"/>
  <c r="AK908" i="332"/>
  <c r="AJ908" i="332"/>
  <c r="AI908" i="332"/>
  <c r="AH908" i="332"/>
  <c r="AG908" i="332"/>
  <c r="AF908" i="332"/>
  <c r="AE908" i="332"/>
  <c r="AD908" i="332"/>
  <c r="AC908" i="332"/>
  <c r="AB908" i="332"/>
  <c r="AA908" i="332"/>
  <c r="Z908" i="332"/>
  <c r="Y908" i="332"/>
  <c r="X908" i="332"/>
  <c r="W908" i="332"/>
  <c r="V908" i="332"/>
  <c r="U908" i="332"/>
  <c r="T908" i="332"/>
  <c r="S908" i="332"/>
  <c r="R908" i="332"/>
  <c r="Q908" i="332"/>
  <c r="P908" i="332"/>
  <c r="O908" i="332"/>
  <c r="N908" i="332"/>
  <c r="M908" i="332"/>
  <c r="L908" i="332"/>
  <c r="K908" i="332"/>
  <c r="J908" i="332"/>
  <c r="I908" i="332"/>
  <c r="H908" i="332"/>
  <c r="G908" i="332"/>
  <c r="E908" i="332"/>
  <c r="AS903" i="332"/>
  <c r="AR903" i="332"/>
  <c r="AQ903" i="332"/>
  <c r="AP903" i="332"/>
  <c r="AO903" i="332"/>
  <c r="AN903" i="332"/>
  <c r="AM903" i="332"/>
  <c r="AL903" i="332"/>
  <c r="AK903" i="332"/>
  <c r="AJ903" i="332"/>
  <c r="AI903" i="332"/>
  <c r="AH903" i="332"/>
  <c r="AG903" i="332"/>
  <c r="AF903" i="332"/>
  <c r="AE903" i="332"/>
  <c r="AD903" i="332"/>
  <c r="AC903" i="332"/>
  <c r="AB903" i="332"/>
  <c r="AA903" i="332"/>
  <c r="Z903" i="332"/>
  <c r="Y903" i="332"/>
  <c r="X903" i="332"/>
  <c r="W903" i="332"/>
  <c r="V903" i="332"/>
  <c r="U903" i="332"/>
  <c r="T903" i="332"/>
  <c r="S903" i="332"/>
  <c r="R903" i="332"/>
  <c r="Q903" i="332"/>
  <c r="P903" i="332"/>
  <c r="O903" i="332"/>
  <c r="N903" i="332"/>
  <c r="M903" i="332"/>
  <c r="L903" i="332"/>
  <c r="K903" i="332"/>
  <c r="J903" i="332"/>
  <c r="I903" i="332"/>
  <c r="H903" i="332"/>
  <c r="G903" i="332"/>
  <c r="D898" i="332"/>
  <c r="D884" i="332"/>
  <c r="F883" i="332"/>
  <c r="D883" i="332" s="1"/>
  <c r="AS882" i="332"/>
  <c r="AR882" i="332"/>
  <c r="AQ882" i="332"/>
  <c r="AP882" i="332"/>
  <c r="AO882" i="332"/>
  <c r="AN882" i="332"/>
  <c r="AM882" i="332"/>
  <c r="AL882" i="332"/>
  <c r="AK882" i="332"/>
  <c r="AJ882" i="332"/>
  <c r="AI882" i="332"/>
  <c r="AH882" i="332"/>
  <c r="AG882" i="332"/>
  <c r="AF882" i="332"/>
  <c r="AE882" i="332"/>
  <c r="AD882" i="332"/>
  <c r="AC882" i="332"/>
  <c r="AB882" i="332"/>
  <c r="AA882" i="332"/>
  <c r="Z882" i="332"/>
  <c r="Y882" i="332"/>
  <c r="X882" i="332"/>
  <c r="W882" i="332"/>
  <c r="V882" i="332"/>
  <c r="U882" i="332"/>
  <c r="T882" i="332"/>
  <c r="S882" i="332"/>
  <c r="R882" i="332"/>
  <c r="Q882" i="332"/>
  <c r="P882" i="332"/>
  <c r="O882" i="332"/>
  <c r="N882" i="332"/>
  <c r="M882" i="332"/>
  <c r="L882" i="332"/>
  <c r="K882" i="332"/>
  <c r="J882" i="332"/>
  <c r="I882" i="332"/>
  <c r="H882" i="332"/>
  <c r="G882" i="332"/>
  <c r="E882" i="332"/>
  <c r="BA880" i="332"/>
  <c r="D876" i="332"/>
  <c r="F873" i="332"/>
  <c r="F863" i="332"/>
  <c r="D863" i="332" s="1"/>
  <c r="F862" i="332"/>
  <c r="D862" i="332" s="1"/>
  <c r="D861" i="332"/>
  <c r="F854" i="332"/>
  <c r="AS853" i="332"/>
  <c r="AR853" i="332"/>
  <c r="AQ853" i="332"/>
  <c r="AP853" i="332"/>
  <c r="AO853" i="332"/>
  <c r="AN853" i="332"/>
  <c r="AM853" i="332"/>
  <c r="AL853" i="332"/>
  <c r="AK853" i="332"/>
  <c r="AJ853" i="332"/>
  <c r="AI853" i="332"/>
  <c r="AH853" i="332"/>
  <c r="AG853" i="332"/>
  <c r="AF853" i="332"/>
  <c r="AE853" i="332"/>
  <c r="AD853" i="332"/>
  <c r="AC853" i="332"/>
  <c r="AB853" i="332"/>
  <c r="AA853" i="332"/>
  <c r="Z853" i="332"/>
  <c r="Y853" i="332"/>
  <c r="X853" i="332"/>
  <c r="W853" i="332"/>
  <c r="V853" i="332"/>
  <c r="U853" i="332"/>
  <c r="T853" i="332"/>
  <c r="S853" i="332"/>
  <c r="R853" i="332"/>
  <c r="Q853" i="332"/>
  <c r="P853" i="332"/>
  <c r="O853" i="332"/>
  <c r="N853" i="332"/>
  <c r="M853" i="332"/>
  <c r="L853" i="332"/>
  <c r="K853" i="332"/>
  <c r="J853" i="332"/>
  <c r="I853" i="332"/>
  <c r="H853" i="332"/>
  <c r="G853" i="332"/>
  <c r="E853" i="332"/>
  <c r="F852" i="332"/>
  <c r="D852" i="332" s="1"/>
  <c r="F849" i="332"/>
  <c r="D849" i="332" s="1"/>
  <c r="D847" i="332"/>
  <c r="F846" i="332"/>
  <c r="D846" i="332" s="1"/>
  <c r="F845" i="332"/>
  <c r="D845" i="332"/>
  <c r="F844" i="332"/>
  <c r="D844" i="332" s="1"/>
  <c r="AS843" i="332"/>
  <c r="AR843" i="332"/>
  <c r="AQ843" i="332"/>
  <c r="AP843" i="332"/>
  <c r="AO843" i="332"/>
  <c r="AN843" i="332"/>
  <c r="AM843" i="332"/>
  <c r="AL843" i="332"/>
  <c r="AK843" i="332"/>
  <c r="AJ843" i="332"/>
  <c r="AI843" i="332"/>
  <c r="AH843" i="332"/>
  <c r="AG843" i="332"/>
  <c r="AF843" i="332"/>
  <c r="AE843" i="332"/>
  <c r="AD843" i="332"/>
  <c r="AC843" i="332"/>
  <c r="AB843" i="332"/>
  <c r="AA843" i="332"/>
  <c r="Z843" i="332"/>
  <c r="Y843" i="332"/>
  <c r="X843" i="332"/>
  <c r="W843" i="332"/>
  <c r="V843" i="332"/>
  <c r="U843" i="332"/>
  <c r="T843" i="332"/>
  <c r="S843" i="332"/>
  <c r="R843" i="332"/>
  <c r="Q843" i="332"/>
  <c r="P843" i="332"/>
  <c r="O843" i="332"/>
  <c r="N843" i="332"/>
  <c r="M843" i="332"/>
  <c r="L843" i="332"/>
  <c r="K843" i="332"/>
  <c r="J843" i="332"/>
  <c r="I843" i="332"/>
  <c r="H843" i="332"/>
  <c r="G843" i="332"/>
  <c r="E843" i="332"/>
  <c r="F842" i="332"/>
  <c r="D842" i="332" s="1"/>
  <c r="F841" i="332"/>
  <c r="D841" i="332" s="1"/>
  <c r="F840" i="332"/>
  <c r="D840" i="332" s="1"/>
  <c r="F839" i="332"/>
  <c r="D839" i="332" s="1"/>
  <c r="F838" i="332"/>
  <c r="D838" i="332" s="1"/>
  <c r="F837" i="332"/>
  <c r="D837" i="332" s="1"/>
  <c r="F836" i="332"/>
  <c r="D836" i="332" s="1"/>
  <c r="F835" i="332"/>
  <c r="D835" i="332" s="1"/>
  <c r="F834" i="332"/>
  <c r="D834" i="332" s="1"/>
  <c r="AS833" i="332"/>
  <c r="AR833" i="332"/>
  <c r="AQ833" i="332"/>
  <c r="AP833" i="332"/>
  <c r="AO833" i="332"/>
  <c r="AN833" i="332"/>
  <c r="AM833" i="332"/>
  <c r="AL833" i="332"/>
  <c r="AK833" i="332"/>
  <c r="AJ833" i="332"/>
  <c r="AI833" i="332"/>
  <c r="AH833" i="332"/>
  <c r="AG833" i="332"/>
  <c r="AF833" i="332"/>
  <c r="AE833" i="332"/>
  <c r="AD833" i="332"/>
  <c r="AC833" i="332"/>
  <c r="AB833" i="332"/>
  <c r="AA833" i="332"/>
  <c r="Z833" i="332"/>
  <c r="Y833" i="332"/>
  <c r="X833" i="332"/>
  <c r="W833" i="332"/>
  <c r="V833" i="332"/>
  <c r="U833" i="332"/>
  <c r="T833" i="332"/>
  <c r="S833" i="332"/>
  <c r="R833" i="332"/>
  <c r="Q833" i="332"/>
  <c r="P833" i="332"/>
  <c r="O833" i="332"/>
  <c r="N833" i="332"/>
  <c r="M833" i="332"/>
  <c r="L833" i="332"/>
  <c r="K833" i="332"/>
  <c r="J833" i="332"/>
  <c r="I833" i="332"/>
  <c r="H833" i="332"/>
  <c r="G833" i="332"/>
  <c r="E833" i="332"/>
  <c r="F828" i="332"/>
  <c r="D828" i="332" s="1"/>
  <c r="F827" i="332"/>
  <c r="D827" i="332" s="1"/>
  <c r="F823" i="332"/>
  <c r="D823" i="332" s="1"/>
  <c r="F822" i="332"/>
  <c r="D822" i="332" s="1"/>
  <c r="F821" i="332"/>
  <c r="D821" i="332" s="1"/>
  <c r="F820" i="332"/>
  <c r="D820" i="332" s="1"/>
  <c r="F819" i="332"/>
  <c r="D819" i="332" s="1"/>
  <c r="AS818" i="332"/>
  <c r="AR818" i="332"/>
  <c r="AQ818" i="332"/>
  <c r="AP818" i="332"/>
  <c r="AO818" i="332"/>
  <c r="AN818" i="332"/>
  <c r="AM818" i="332"/>
  <c r="AL818" i="332"/>
  <c r="AK818" i="332"/>
  <c r="AJ818" i="332"/>
  <c r="AI818" i="332"/>
  <c r="AH818" i="332"/>
  <c r="AG818" i="332"/>
  <c r="AF818" i="332"/>
  <c r="AE818" i="332"/>
  <c r="AD818" i="332"/>
  <c r="AC818" i="332"/>
  <c r="AB818" i="332"/>
  <c r="AA818" i="332"/>
  <c r="Z818" i="332"/>
  <c r="Y818" i="332"/>
  <c r="X818" i="332"/>
  <c r="W818" i="332"/>
  <c r="V818" i="332"/>
  <c r="U818" i="332"/>
  <c r="T818" i="332"/>
  <c r="S818" i="332"/>
  <c r="R818" i="332"/>
  <c r="Q818" i="332"/>
  <c r="P818" i="332"/>
  <c r="O818" i="332"/>
  <c r="N818" i="332"/>
  <c r="M818" i="332"/>
  <c r="L818" i="332"/>
  <c r="K818" i="332"/>
  <c r="J818" i="332"/>
  <c r="I818" i="332"/>
  <c r="H818" i="332"/>
  <c r="G818" i="332"/>
  <c r="E818" i="332"/>
  <c r="D809" i="332"/>
  <c r="J807" i="332"/>
  <c r="I807" i="332"/>
  <c r="H807" i="332"/>
  <c r="G807" i="332"/>
  <c r="D807" i="332"/>
  <c r="BA799" i="332"/>
  <c r="BA797" i="332"/>
  <c r="BB793" i="332"/>
  <c r="F793" i="332"/>
  <c r="J788" i="332"/>
  <c r="I788" i="332"/>
  <c r="H788" i="332"/>
  <c r="H726" i="332" s="1"/>
  <c r="G788" i="332"/>
  <c r="F788" i="332"/>
  <c r="D788" i="332" s="1"/>
  <c r="F787" i="332"/>
  <c r="D787" i="332" s="1"/>
  <c r="F786" i="332"/>
  <c r="D786" i="332" s="1"/>
  <c r="R785" i="332"/>
  <c r="R726" i="332" s="1"/>
  <c r="R935" i="332" s="1"/>
  <c r="R937" i="332" s="1"/>
  <c r="F784" i="332"/>
  <c r="D784" i="332" s="1"/>
  <c r="M770" i="332"/>
  <c r="I770" i="332"/>
  <c r="G770" i="332"/>
  <c r="F770" i="332"/>
  <c r="D770" i="332" s="1"/>
  <c r="F768" i="332"/>
  <c r="D768" i="332" s="1"/>
  <c r="F767" i="332"/>
  <c r="D767" i="332" s="1"/>
  <c r="M766" i="332"/>
  <c r="K766" i="332" s="1"/>
  <c r="I766" i="332"/>
  <c r="G766" i="332"/>
  <c r="F766" i="332"/>
  <c r="D766" i="332" s="1"/>
  <c r="F765" i="332"/>
  <c r="D765" i="332" s="1"/>
  <c r="F764" i="332"/>
  <c r="D764" i="332" s="1"/>
  <c r="J763" i="332"/>
  <c r="F763" i="332"/>
  <c r="D763" i="332" s="1"/>
  <c r="F762" i="332"/>
  <c r="D762" i="332" s="1"/>
  <c r="F761" i="332"/>
  <c r="D761" i="332" s="1"/>
  <c r="G760" i="332"/>
  <c r="F760" i="332"/>
  <c r="D760" i="332" s="1"/>
  <c r="F759" i="332"/>
  <c r="D759" i="332"/>
  <c r="J758" i="332"/>
  <c r="F758" i="332"/>
  <c r="D758" i="332" s="1"/>
  <c r="F757" i="332"/>
  <c r="D757" i="332" s="1"/>
  <c r="F756" i="332"/>
  <c r="D756" i="332" s="1"/>
  <c r="K755" i="332"/>
  <c r="I755" i="332"/>
  <c r="G755" i="332"/>
  <c r="F755" i="332"/>
  <c r="D755" i="332" s="1"/>
  <c r="F754" i="332"/>
  <c r="D754" i="332" s="1"/>
  <c r="F753" i="332"/>
  <c r="D753" i="332" s="1"/>
  <c r="J752" i="332"/>
  <c r="F752" i="332"/>
  <c r="D752" i="332" s="1"/>
  <c r="F751" i="332"/>
  <c r="D751" i="332" s="1"/>
  <c r="F750" i="332"/>
  <c r="D750" i="332" s="1"/>
  <c r="F749" i="332"/>
  <c r="D749" i="332" s="1"/>
  <c r="F748" i="332"/>
  <c r="G745" i="332"/>
  <c r="F744" i="332"/>
  <c r="D744" i="332" s="1"/>
  <c r="F743" i="332"/>
  <c r="D743" i="332" s="1"/>
  <c r="F742" i="332"/>
  <c r="D742" i="332" s="1"/>
  <c r="F741" i="332"/>
  <c r="D741" i="332" s="1"/>
  <c r="F740" i="332"/>
  <c r="D740" i="332" s="1"/>
  <c r="F739" i="332"/>
  <c r="D739" i="332" s="1"/>
  <c r="F738" i="332"/>
  <c r="D738" i="332" s="1"/>
  <c r="AG737" i="332"/>
  <c r="AG726" i="332" s="1"/>
  <c r="F736" i="332"/>
  <c r="D736" i="332" s="1"/>
  <c r="F735" i="332"/>
  <c r="D735" i="332" s="1"/>
  <c r="F734" i="332"/>
  <c r="D734" i="332" s="1"/>
  <c r="F733" i="332"/>
  <c r="D733" i="332" s="1"/>
  <c r="F732" i="332"/>
  <c r="D732" i="332" s="1"/>
  <c r="J729" i="332"/>
  <c r="F729" i="332" s="1"/>
  <c r="D729" i="332" s="1"/>
  <c r="F728" i="332"/>
  <c r="D728" i="332" s="1"/>
  <c r="AS726" i="332"/>
  <c r="AR726" i="332"/>
  <c r="AQ726" i="332"/>
  <c r="AP726" i="332"/>
  <c r="AO726" i="332"/>
  <c r="AN726" i="332"/>
  <c r="AM726" i="332"/>
  <c r="AL726" i="332"/>
  <c r="AK726" i="332"/>
  <c r="AJ726" i="332"/>
  <c r="AI726" i="332"/>
  <c r="AH726" i="332"/>
  <c r="AF726" i="332"/>
  <c r="AE726" i="332"/>
  <c r="AD726" i="332"/>
  <c r="AC726" i="332"/>
  <c r="AB726" i="332"/>
  <c r="AA726" i="332"/>
  <c r="Z726" i="332"/>
  <c r="Y726" i="332"/>
  <c r="X726" i="332"/>
  <c r="W726" i="332"/>
  <c r="V726" i="332"/>
  <c r="U726" i="332"/>
  <c r="T726" i="332"/>
  <c r="S726" i="332"/>
  <c r="Q726" i="332"/>
  <c r="P726" i="332"/>
  <c r="O726" i="332"/>
  <c r="N726" i="332"/>
  <c r="L726" i="332"/>
  <c r="F721" i="332"/>
  <c r="D721" i="332" s="1"/>
  <c r="AS720" i="332"/>
  <c r="AR720" i="332"/>
  <c r="AQ720" i="332"/>
  <c r="AP720" i="332"/>
  <c r="AO720" i="332"/>
  <c r="AN720" i="332"/>
  <c r="AM720" i="332"/>
  <c r="AL720" i="332"/>
  <c r="AK720" i="332"/>
  <c r="AJ720" i="332"/>
  <c r="AI720" i="332"/>
  <c r="AH720" i="332"/>
  <c r="AG720" i="332"/>
  <c r="AF720" i="332"/>
  <c r="AE720" i="332"/>
  <c r="AD720" i="332"/>
  <c r="AC720" i="332"/>
  <c r="AB720" i="332"/>
  <c r="AA720" i="332"/>
  <c r="Z720" i="332"/>
  <c r="Y720" i="332"/>
  <c r="X720" i="332"/>
  <c r="W720" i="332"/>
  <c r="V720" i="332"/>
  <c r="U720" i="332"/>
  <c r="T720" i="332"/>
  <c r="S720" i="332"/>
  <c r="R720" i="332"/>
  <c r="Q720" i="332"/>
  <c r="P720" i="332"/>
  <c r="O720" i="332"/>
  <c r="N720" i="332"/>
  <c r="M720" i="332"/>
  <c r="L720" i="332"/>
  <c r="K720" i="332"/>
  <c r="J720" i="332"/>
  <c r="I720" i="332"/>
  <c r="H720" i="332"/>
  <c r="G720" i="332"/>
  <c r="E720" i="332"/>
  <c r="BA712" i="332"/>
  <c r="D696" i="332"/>
  <c r="F637" i="332"/>
  <c r="D637" i="332" s="1"/>
  <c r="AS636" i="332"/>
  <c r="AR636" i="332"/>
  <c r="AQ636" i="332"/>
  <c r="AP636" i="332"/>
  <c r="AO636" i="332"/>
  <c r="AN636" i="332"/>
  <c r="AM636" i="332"/>
  <c r="AL636" i="332"/>
  <c r="AK636" i="332"/>
  <c r="AJ636" i="332"/>
  <c r="AI636" i="332"/>
  <c r="AH636" i="332"/>
  <c r="AG636" i="332"/>
  <c r="AF636" i="332"/>
  <c r="AE636" i="332"/>
  <c r="AD636" i="332"/>
  <c r="AC636" i="332"/>
  <c r="AB636" i="332"/>
  <c r="AA636" i="332"/>
  <c r="Z636" i="332"/>
  <c r="Y636" i="332"/>
  <c r="X636" i="332"/>
  <c r="W636" i="332"/>
  <c r="V636" i="332"/>
  <c r="U636" i="332"/>
  <c r="T636" i="332"/>
  <c r="S636" i="332"/>
  <c r="R636" i="332"/>
  <c r="Q636" i="332"/>
  <c r="P636" i="332"/>
  <c r="O636" i="332"/>
  <c r="N636" i="332"/>
  <c r="M636" i="332"/>
  <c r="L636" i="332"/>
  <c r="K636" i="332"/>
  <c r="J636" i="332"/>
  <c r="I636" i="332"/>
  <c r="H636" i="332"/>
  <c r="G636" i="332"/>
  <c r="E636" i="332"/>
  <c r="G627" i="332"/>
  <c r="F627" i="332" s="1"/>
  <c r="D627" i="332" s="1"/>
  <c r="F626" i="332"/>
  <c r="D626" i="332" s="1"/>
  <c r="F625" i="332"/>
  <c r="D625" i="332" s="1"/>
  <c r="F624" i="332"/>
  <c r="D624" i="332" s="1"/>
  <c r="F623" i="332"/>
  <c r="D623" i="332" s="1"/>
  <c r="AS622" i="332"/>
  <c r="AR622" i="332"/>
  <c r="AQ622" i="332"/>
  <c r="AP622" i="332"/>
  <c r="AO622" i="332"/>
  <c r="AN622" i="332"/>
  <c r="AM622" i="332"/>
  <c r="AL622" i="332"/>
  <c r="AK622" i="332"/>
  <c r="AJ622" i="332"/>
  <c r="AI622" i="332"/>
  <c r="AH622" i="332"/>
  <c r="AG622" i="332"/>
  <c r="AF622" i="332"/>
  <c r="AE622" i="332"/>
  <c r="AD622" i="332"/>
  <c r="AC622" i="332"/>
  <c r="AB622" i="332"/>
  <c r="AA622" i="332"/>
  <c r="Z622" i="332"/>
  <c r="Y622" i="332"/>
  <c r="X622" i="332"/>
  <c r="W622" i="332"/>
  <c r="V622" i="332"/>
  <c r="U622" i="332"/>
  <c r="T622" i="332"/>
  <c r="S622" i="332"/>
  <c r="R622" i="332"/>
  <c r="Q622" i="332"/>
  <c r="P622" i="332"/>
  <c r="O622" i="332"/>
  <c r="N622" i="332"/>
  <c r="M622" i="332"/>
  <c r="L622" i="332"/>
  <c r="K622" i="332"/>
  <c r="J622" i="332"/>
  <c r="I622" i="332"/>
  <c r="H622" i="332"/>
  <c r="E622" i="332"/>
  <c r="F573" i="332"/>
  <c r="D573" i="332" s="1"/>
  <c r="F572" i="332"/>
  <c r="D572" i="332" s="1"/>
  <c r="AS571" i="332"/>
  <c r="AR571" i="332"/>
  <c r="AQ571" i="332"/>
  <c r="AP571" i="332"/>
  <c r="AO571" i="332"/>
  <c r="AN571" i="332"/>
  <c r="AM571" i="332"/>
  <c r="AL571" i="332"/>
  <c r="AK571" i="332"/>
  <c r="AJ571" i="332"/>
  <c r="AI571" i="332"/>
  <c r="AH571" i="332"/>
  <c r="AG571" i="332"/>
  <c r="AF571" i="332"/>
  <c r="AE571" i="332"/>
  <c r="AD571" i="332"/>
  <c r="AC571" i="332"/>
  <c r="AB571" i="332"/>
  <c r="AA571" i="332"/>
  <c r="Z571" i="332"/>
  <c r="Y571" i="332"/>
  <c r="X571" i="332"/>
  <c r="W571" i="332"/>
  <c r="V571" i="332"/>
  <c r="U571" i="332"/>
  <c r="T571" i="332"/>
  <c r="S571" i="332"/>
  <c r="R571" i="332"/>
  <c r="Q571" i="332"/>
  <c r="P571" i="332"/>
  <c r="O571" i="332"/>
  <c r="N571" i="332"/>
  <c r="M571" i="332"/>
  <c r="L571" i="332"/>
  <c r="K571" i="332"/>
  <c r="J571" i="332"/>
  <c r="I571" i="332"/>
  <c r="H571" i="332"/>
  <c r="G571" i="332"/>
  <c r="E571" i="332"/>
  <c r="F570" i="332"/>
  <c r="D570" i="332" s="1"/>
  <c r="F569" i="332"/>
  <c r="D569" i="332" s="1"/>
  <c r="F568" i="332"/>
  <c r="D568" i="332" s="1"/>
  <c r="F567" i="332"/>
  <c r="D567" i="332" s="1"/>
  <c r="F566" i="332"/>
  <c r="D566" i="332" s="1"/>
  <c r="F565" i="332"/>
  <c r="D565" i="332" s="1"/>
  <c r="F564" i="332"/>
  <c r="D564" i="332" s="1"/>
  <c r="F563" i="332"/>
  <c r="D563" i="332" s="1"/>
  <c r="F562" i="332"/>
  <c r="D562" i="332" s="1"/>
  <c r="F561" i="332"/>
  <c r="D561" i="332" s="1"/>
  <c r="AS560" i="332"/>
  <c r="AR560" i="332"/>
  <c r="AQ560" i="332"/>
  <c r="AP560" i="332"/>
  <c r="AO560" i="332"/>
  <c r="AN560" i="332"/>
  <c r="AM560" i="332"/>
  <c r="AL560" i="332"/>
  <c r="AK560" i="332"/>
  <c r="AJ560" i="332"/>
  <c r="AI560" i="332"/>
  <c r="AH560" i="332"/>
  <c r="AG560" i="332"/>
  <c r="AF560" i="332"/>
  <c r="AE560" i="332"/>
  <c r="AD560" i="332"/>
  <c r="AC560" i="332"/>
  <c r="AB560" i="332"/>
  <c r="AA560" i="332"/>
  <c r="Z560" i="332"/>
  <c r="Y560" i="332"/>
  <c r="X560" i="332"/>
  <c r="W560" i="332"/>
  <c r="V560" i="332"/>
  <c r="U560" i="332"/>
  <c r="T560" i="332"/>
  <c r="S560" i="332"/>
  <c r="R560" i="332"/>
  <c r="Q560" i="332"/>
  <c r="P560" i="332"/>
  <c r="O560" i="332"/>
  <c r="N560" i="332"/>
  <c r="M560" i="332"/>
  <c r="L560" i="332"/>
  <c r="K560" i="332"/>
  <c r="J560" i="332"/>
  <c r="I560" i="332"/>
  <c r="H560" i="332"/>
  <c r="G560" i="332"/>
  <c r="E560" i="332"/>
  <c r="D555" i="332"/>
  <c r="F546" i="332"/>
  <c r="D546" i="332" s="1"/>
  <c r="D544" i="332"/>
  <c r="F541" i="332"/>
  <c r="D541" i="332" s="1"/>
  <c r="AS540" i="332"/>
  <c r="AR540" i="332"/>
  <c r="AQ540" i="332"/>
  <c r="AP540" i="332"/>
  <c r="AO540" i="332"/>
  <c r="AN540" i="332"/>
  <c r="AM540" i="332"/>
  <c r="AL540" i="332"/>
  <c r="AK540" i="332"/>
  <c r="AJ540" i="332"/>
  <c r="AI540" i="332"/>
  <c r="AH540" i="332"/>
  <c r="AG540" i="332"/>
  <c r="AF540" i="332"/>
  <c r="AE540" i="332"/>
  <c r="AD540" i="332"/>
  <c r="AC540" i="332"/>
  <c r="AB540" i="332"/>
  <c r="AA540" i="332"/>
  <c r="Z540" i="332"/>
  <c r="Y540" i="332"/>
  <c r="X540" i="332"/>
  <c r="W540" i="332"/>
  <c r="V540" i="332"/>
  <c r="U540" i="332"/>
  <c r="T540" i="332"/>
  <c r="S540" i="332"/>
  <c r="R540" i="332"/>
  <c r="Q540" i="332"/>
  <c r="P540" i="332"/>
  <c r="O540" i="332"/>
  <c r="N540" i="332"/>
  <c r="M540" i="332"/>
  <c r="L540" i="332"/>
  <c r="K540" i="332"/>
  <c r="J540" i="332"/>
  <c r="I540" i="332"/>
  <c r="H540" i="332"/>
  <c r="G540" i="332"/>
  <c r="F539" i="332"/>
  <c r="D539" i="332" s="1"/>
  <c r="F538" i="332"/>
  <c r="D538" i="332" s="1"/>
  <c r="F537" i="332"/>
  <c r="D537" i="332"/>
  <c r="AS536" i="332"/>
  <c r="AR536" i="332"/>
  <c r="AQ536" i="332"/>
  <c r="AP536" i="332"/>
  <c r="AO536" i="332"/>
  <c r="AN536" i="332"/>
  <c r="AM536" i="332"/>
  <c r="AL536" i="332"/>
  <c r="AK536" i="332"/>
  <c r="AJ536" i="332"/>
  <c r="AI536" i="332"/>
  <c r="AH536" i="332"/>
  <c r="AG536" i="332"/>
  <c r="AF536" i="332"/>
  <c r="AE536" i="332"/>
  <c r="AD536" i="332"/>
  <c r="AC536" i="332"/>
  <c r="AB536" i="332"/>
  <c r="AA536" i="332"/>
  <c r="Z536" i="332"/>
  <c r="Y536" i="332"/>
  <c r="X536" i="332"/>
  <c r="W536" i="332"/>
  <c r="V536" i="332"/>
  <c r="U536" i="332"/>
  <c r="T536" i="332"/>
  <c r="S536" i="332"/>
  <c r="R536" i="332"/>
  <c r="Q536" i="332"/>
  <c r="P536" i="332"/>
  <c r="O536" i="332"/>
  <c r="N536" i="332"/>
  <c r="M536" i="332"/>
  <c r="L536" i="332"/>
  <c r="K536" i="332"/>
  <c r="J536" i="332"/>
  <c r="I536" i="332"/>
  <c r="H536" i="332"/>
  <c r="G536" i="332"/>
  <c r="E536" i="332"/>
  <c r="F533" i="332"/>
  <c r="D533" i="332" s="1"/>
  <c r="AS532" i="332"/>
  <c r="AR532" i="332"/>
  <c r="AQ532" i="332"/>
  <c r="AP532" i="332"/>
  <c r="AO532" i="332"/>
  <c r="AN532" i="332"/>
  <c r="AM532" i="332"/>
  <c r="AL532" i="332"/>
  <c r="AK532" i="332"/>
  <c r="AJ532" i="332"/>
  <c r="AI532" i="332"/>
  <c r="AH532" i="332"/>
  <c r="AG532" i="332"/>
  <c r="AF532" i="332"/>
  <c r="AE532" i="332"/>
  <c r="AD532" i="332"/>
  <c r="AC532" i="332"/>
  <c r="AB532" i="332"/>
  <c r="AA532" i="332"/>
  <c r="Z532" i="332"/>
  <c r="Y532" i="332"/>
  <c r="X532" i="332"/>
  <c r="W532" i="332"/>
  <c r="V532" i="332"/>
  <c r="U532" i="332"/>
  <c r="T532" i="332"/>
  <c r="S532" i="332"/>
  <c r="R532" i="332"/>
  <c r="Q532" i="332"/>
  <c r="P532" i="332"/>
  <c r="O532" i="332"/>
  <c r="N532" i="332"/>
  <c r="M532" i="332"/>
  <c r="L532" i="332"/>
  <c r="K532" i="332"/>
  <c r="J532" i="332"/>
  <c r="I532" i="332"/>
  <c r="H532" i="332"/>
  <c r="G532" i="332"/>
  <c r="E532" i="332"/>
  <c r="D517" i="332"/>
  <c r="F482" i="332"/>
  <c r="D482" i="332" s="1"/>
  <c r="F481" i="332"/>
  <c r="D481" i="332" s="1"/>
  <c r="F472" i="332"/>
  <c r="D472" i="332" s="1"/>
  <c r="F469" i="332"/>
  <c r="D469" i="332" s="1"/>
  <c r="F466" i="332"/>
  <c r="D466" i="332" s="1"/>
  <c r="F465" i="332"/>
  <c r="D465" i="332" s="1"/>
  <c r="F464" i="332"/>
  <c r="D464" i="332" s="1"/>
  <c r="AS463" i="332"/>
  <c r="AR463" i="332"/>
  <c r="AQ463" i="332"/>
  <c r="AP463" i="332"/>
  <c r="AO463" i="332"/>
  <c r="AN463" i="332"/>
  <c r="AM463" i="332"/>
  <c r="AL463" i="332"/>
  <c r="AK463" i="332"/>
  <c r="AJ463" i="332"/>
  <c r="AI463" i="332"/>
  <c r="AH463" i="332"/>
  <c r="AG463" i="332"/>
  <c r="AF463" i="332"/>
  <c r="AE463" i="332"/>
  <c r="AD463" i="332"/>
  <c r="AC463" i="332"/>
  <c r="AB463" i="332"/>
  <c r="AA463" i="332"/>
  <c r="Z463" i="332"/>
  <c r="Y463" i="332"/>
  <c r="X463" i="332"/>
  <c r="W463" i="332"/>
  <c r="V463" i="332"/>
  <c r="U463" i="332"/>
  <c r="T463" i="332"/>
  <c r="S463" i="332"/>
  <c r="R463" i="332"/>
  <c r="Q463" i="332"/>
  <c r="P463" i="332"/>
  <c r="O463" i="332"/>
  <c r="N463" i="332"/>
  <c r="M463" i="332"/>
  <c r="L463" i="332"/>
  <c r="K463" i="332"/>
  <c r="J463" i="332"/>
  <c r="I463" i="332"/>
  <c r="H463" i="332"/>
  <c r="G463" i="332"/>
  <c r="E463" i="332"/>
  <c r="A458" i="332"/>
  <c r="A459" i="332" s="1"/>
  <c r="A460" i="332" s="1"/>
  <c r="D457" i="332"/>
  <c r="F434" i="332"/>
  <c r="D434" i="332" s="1"/>
  <c r="D431" i="332"/>
  <c r="F417" i="332"/>
  <c r="D417" i="332" s="1"/>
  <c r="AS416" i="332"/>
  <c r="AR416" i="332"/>
  <c r="AQ416" i="332"/>
  <c r="AP416" i="332"/>
  <c r="AO416" i="332"/>
  <c r="AN416" i="332"/>
  <c r="AM416" i="332"/>
  <c r="AL416" i="332"/>
  <c r="AK416" i="332"/>
  <c r="AJ416" i="332"/>
  <c r="AI416" i="332"/>
  <c r="AH416" i="332"/>
  <c r="AG416" i="332"/>
  <c r="AF416" i="332"/>
  <c r="AE416" i="332"/>
  <c r="AD416" i="332"/>
  <c r="AC416" i="332"/>
  <c r="AB416" i="332"/>
  <c r="AA416" i="332"/>
  <c r="Z416" i="332"/>
  <c r="Y416" i="332"/>
  <c r="X416" i="332"/>
  <c r="W416" i="332"/>
  <c r="V416" i="332"/>
  <c r="U416" i="332"/>
  <c r="T416" i="332"/>
  <c r="S416" i="332"/>
  <c r="R416" i="332"/>
  <c r="Q416" i="332"/>
  <c r="P416" i="332"/>
  <c r="O416" i="332"/>
  <c r="N416" i="332"/>
  <c r="M416" i="332"/>
  <c r="L416" i="332"/>
  <c r="K416" i="332"/>
  <c r="J416" i="332"/>
  <c r="I416" i="332"/>
  <c r="H416" i="332"/>
  <c r="G416" i="332"/>
  <c r="E416" i="332"/>
  <c r="A403" i="332"/>
  <c r="A404" i="332" s="1"/>
  <c r="A405" i="332" s="1"/>
  <c r="A372" i="332"/>
  <c r="F366" i="332"/>
  <c r="D366" i="332" s="1"/>
  <c r="AA365" i="332"/>
  <c r="AA364" i="332"/>
  <c r="I365" i="332"/>
  <c r="I364" i="332" s="1"/>
  <c r="H365" i="332"/>
  <c r="H364" i="332" s="1"/>
  <c r="G365" i="332"/>
  <c r="G364" i="332" s="1"/>
  <c r="AS364" i="332"/>
  <c r="AR364" i="332"/>
  <c r="AQ364" i="332"/>
  <c r="AP364" i="332"/>
  <c r="AO364" i="332"/>
  <c r="AN364" i="332"/>
  <c r="AM364" i="332"/>
  <c r="AL364" i="332"/>
  <c r="AK364" i="332"/>
  <c r="AJ364" i="332"/>
  <c r="AI364" i="332"/>
  <c r="AH364" i="332"/>
  <c r="AG364" i="332"/>
  <c r="AF364" i="332"/>
  <c r="AE364" i="332"/>
  <c r="AD364" i="332"/>
  <c r="AC364" i="332"/>
  <c r="AB364" i="332"/>
  <c r="Z364" i="332"/>
  <c r="Y364" i="332"/>
  <c r="X364" i="332"/>
  <c r="W364" i="332"/>
  <c r="V364" i="332"/>
  <c r="U364" i="332"/>
  <c r="T364" i="332"/>
  <c r="S364" i="332"/>
  <c r="R364" i="332"/>
  <c r="Q364" i="332"/>
  <c r="P364" i="332"/>
  <c r="O364" i="332"/>
  <c r="N364" i="332"/>
  <c r="M364" i="332"/>
  <c r="L364" i="332"/>
  <c r="K364" i="332"/>
  <c r="J364" i="332"/>
  <c r="E364" i="332"/>
  <c r="D361" i="332"/>
  <c r="F358" i="332"/>
  <c r="D358" i="332" s="1"/>
  <c r="F357" i="332"/>
  <c r="D357" i="332" s="1"/>
  <c r="AS356" i="332"/>
  <c r="AR356" i="332"/>
  <c r="AQ356" i="332"/>
  <c r="AP356" i="332"/>
  <c r="AO356" i="332"/>
  <c r="AN356" i="332"/>
  <c r="AM356" i="332"/>
  <c r="AL356" i="332"/>
  <c r="AK356" i="332"/>
  <c r="AJ356" i="332"/>
  <c r="AI356" i="332"/>
  <c r="AH356" i="332"/>
  <c r="AG356" i="332"/>
  <c r="AF356" i="332"/>
  <c r="AE356" i="332"/>
  <c r="AD356" i="332"/>
  <c r="AC356" i="332"/>
  <c r="AB356" i="332"/>
  <c r="AA356" i="332"/>
  <c r="Z356" i="332"/>
  <c r="Y356" i="332"/>
  <c r="X356" i="332"/>
  <c r="W356" i="332"/>
  <c r="V356" i="332"/>
  <c r="U356" i="332"/>
  <c r="T356" i="332"/>
  <c r="S356" i="332"/>
  <c r="R356" i="332"/>
  <c r="Q356" i="332"/>
  <c r="P356" i="332"/>
  <c r="O356" i="332"/>
  <c r="N356" i="332"/>
  <c r="M356" i="332"/>
  <c r="L356" i="332"/>
  <c r="K356" i="332"/>
  <c r="J356" i="332"/>
  <c r="I356" i="332"/>
  <c r="H356" i="332"/>
  <c r="G356" i="332"/>
  <c r="E356" i="332"/>
  <c r="D355" i="332"/>
  <c r="F348" i="332"/>
  <c r="D348" i="332" s="1"/>
  <c r="F347" i="332"/>
  <c r="F346" i="332"/>
  <c r="AS345" i="332"/>
  <c r="AR345" i="332"/>
  <c r="AQ345" i="332"/>
  <c r="AP345" i="332"/>
  <c r="AO345" i="332"/>
  <c r="AN345" i="332"/>
  <c r="AM345" i="332"/>
  <c r="AL345" i="332"/>
  <c r="AK345" i="332"/>
  <c r="AJ345" i="332"/>
  <c r="AI345" i="332"/>
  <c r="AH345" i="332"/>
  <c r="AG345" i="332"/>
  <c r="AF345" i="332"/>
  <c r="AE345" i="332"/>
  <c r="AD345" i="332"/>
  <c r="AC345" i="332"/>
  <c r="AB345" i="332"/>
  <c r="AA345" i="332"/>
  <c r="Z345" i="332"/>
  <c r="Y345" i="332"/>
  <c r="X345" i="332"/>
  <c r="W345" i="332"/>
  <c r="V345" i="332"/>
  <c r="U345" i="332"/>
  <c r="T345" i="332"/>
  <c r="S345" i="332"/>
  <c r="R345" i="332"/>
  <c r="Q345" i="332"/>
  <c r="P345" i="332"/>
  <c r="O345" i="332"/>
  <c r="N345" i="332"/>
  <c r="M345" i="332"/>
  <c r="L345" i="332"/>
  <c r="K345" i="332"/>
  <c r="J345" i="332"/>
  <c r="I345" i="332"/>
  <c r="H345" i="332"/>
  <c r="G345" i="332"/>
  <c r="E345" i="332"/>
  <c r="F259" i="332"/>
  <c r="D259" i="332" s="1"/>
  <c r="F258" i="332"/>
  <c r="D258" i="332" s="1"/>
  <c r="F257" i="332"/>
  <c r="D257" i="332" s="1"/>
  <c r="F256" i="332"/>
  <c r="D256" i="332" s="1"/>
  <c r="F255" i="332"/>
  <c r="D255" i="332" s="1"/>
  <c r="F254" i="332"/>
  <c r="D254" i="332" s="1"/>
  <c r="F253" i="332"/>
  <c r="D253" i="332" s="1"/>
  <c r="F252" i="332"/>
  <c r="D252" i="332" s="1"/>
  <c r="F251" i="332"/>
  <c r="D251" i="332" s="1"/>
  <c r="F250" i="332"/>
  <c r="D250" i="332" s="1"/>
  <c r="F249" i="332"/>
  <c r="D249" i="332" s="1"/>
  <c r="F248" i="332"/>
  <c r="D248" i="332" s="1"/>
  <c r="AS247" i="332"/>
  <c r="AR247" i="332"/>
  <c r="AQ247" i="332"/>
  <c r="AP247" i="332"/>
  <c r="AO247" i="332"/>
  <c r="AN247" i="332"/>
  <c r="AM247" i="332"/>
  <c r="AL247" i="332"/>
  <c r="AK247" i="332"/>
  <c r="AJ247" i="332"/>
  <c r="AI247" i="332"/>
  <c r="AH247" i="332"/>
  <c r="AG247" i="332"/>
  <c r="AF247" i="332"/>
  <c r="AE247" i="332"/>
  <c r="AD247" i="332"/>
  <c r="AC247" i="332"/>
  <c r="AB247" i="332"/>
  <c r="AA247" i="332"/>
  <c r="Z247" i="332"/>
  <c r="Y247" i="332"/>
  <c r="X247" i="332"/>
  <c r="W247" i="332"/>
  <c r="V247" i="332"/>
  <c r="U247" i="332"/>
  <c r="T247" i="332"/>
  <c r="S247" i="332"/>
  <c r="R247" i="332"/>
  <c r="Q247" i="332"/>
  <c r="P247" i="332"/>
  <c r="O247" i="332"/>
  <c r="N247" i="332"/>
  <c r="M247" i="332"/>
  <c r="L247" i="332"/>
  <c r="K247" i="332"/>
  <c r="J247" i="332"/>
  <c r="I247" i="332"/>
  <c r="H247" i="332"/>
  <c r="G247" i="332"/>
  <c r="E247" i="332"/>
  <c r="A241" i="332"/>
  <c r="D240" i="332"/>
  <c r="D234" i="332"/>
  <c r="F225" i="332"/>
  <c r="D225" i="332" s="1"/>
  <c r="F220" i="332"/>
  <c r="D220" i="332" s="1"/>
  <c r="F219" i="332"/>
  <c r="D219" i="332" s="1"/>
  <c r="F218" i="332"/>
  <c r="D218" i="332" s="1"/>
  <c r="F215" i="332"/>
  <c r="D215" i="332" s="1"/>
  <c r="F214" i="332"/>
  <c r="D214" i="332" s="1"/>
  <c r="F210" i="332"/>
  <c r="D210" i="332" s="1"/>
  <c r="F204" i="332"/>
  <c r="D204" i="332" s="1"/>
  <c r="F201" i="332"/>
  <c r="D201" i="332" s="1"/>
  <c r="F200" i="332"/>
  <c r="D200" i="332" s="1"/>
  <c r="F199" i="332"/>
  <c r="D199" i="332" s="1"/>
  <c r="F194" i="332"/>
  <c r="D194" i="332" s="1"/>
  <c r="F190" i="332"/>
  <c r="D190" i="332" s="1"/>
  <c r="K189" i="332"/>
  <c r="G189" i="332"/>
  <c r="K185" i="332"/>
  <c r="G185" i="332"/>
  <c r="F185" i="332" s="1"/>
  <c r="D185" i="332" s="1"/>
  <c r="F177" i="332"/>
  <c r="D177" i="332" s="1"/>
  <c r="AS176" i="332"/>
  <c r="AR176" i="332"/>
  <c r="AQ176" i="332"/>
  <c r="AP176" i="332"/>
  <c r="AO176" i="332"/>
  <c r="AN176" i="332"/>
  <c r="AM176" i="332"/>
  <c r="AL176" i="332"/>
  <c r="AK176" i="332"/>
  <c r="AJ176" i="332"/>
  <c r="AI176" i="332"/>
  <c r="AH176" i="332"/>
  <c r="AG176" i="332"/>
  <c r="AF176" i="332"/>
  <c r="AE176" i="332"/>
  <c r="AD176" i="332"/>
  <c r="AC176" i="332"/>
  <c r="AB176" i="332"/>
  <c r="AA176" i="332"/>
  <c r="Z176" i="332"/>
  <c r="Y176" i="332"/>
  <c r="X176" i="332"/>
  <c r="W176" i="332"/>
  <c r="V176" i="332"/>
  <c r="U176" i="332"/>
  <c r="T176" i="332"/>
  <c r="S176" i="332"/>
  <c r="R176" i="332"/>
  <c r="Q176" i="332"/>
  <c r="P176" i="332"/>
  <c r="O176" i="332"/>
  <c r="N176" i="332"/>
  <c r="M176" i="332"/>
  <c r="L176" i="332"/>
  <c r="J176" i="332"/>
  <c r="I176" i="332"/>
  <c r="H176" i="332"/>
  <c r="E176" i="332"/>
  <c r="F175" i="332"/>
  <c r="D175" i="332" s="1"/>
  <c r="F174" i="332"/>
  <c r="D174" i="332" s="1"/>
  <c r="F173" i="332"/>
  <c r="D173" i="332" s="1"/>
  <c r="F172" i="332"/>
  <c r="D172" i="332" s="1"/>
  <c r="F171" i="332"/>
  <c r="D171" i="332" s="1"/>
  <c r="AS170" i="332"/>
  <c r="AR170" i="332"/>
  <c r="AQ170" i="332"/>
  <c r="AP170" i="332"/>
  <c r="AO170" i="332"/>
  <c r="AN170" i="332"/>
  <c r="AM170" i="332"/>
  <c r="AL170" i="332"/>
  <c r="AK170" i="332"/>
  <c r="AJ170" i="332"/>
  <c r="AI170" i="332"/>
  <c r="AH170" i="332"/>
  <c r="AG170" i="332"/>
  <c r="AF170" i="332"/>
  <c r="AE170" i="332"/>
  <c r="AD170" i="332"/>
  <c r="AC170" i="332"/>
  <c r="AB170" i="332"/>
  <c r="AA170" i="332"/>
  <c r="Z170" i="332"/>
  <c r="Y170" i="332"/>
  <c r="X170" i="332"/>
  <c r="W170" i="332"/>
  <c r="V170" i="332"/>
  <c r="U170" i="332"/>
  <c r="T170" i="332"/>
  <c r="S170" i="332"/>
  <c r="R170" i="332"/>
  <c r="Q170" i="332"/>
  <c r="P170" i="332"/>
  <c r="O170" i="332"/>
  <c r="N170" i="332"/>
  <c r="M170" i="332"/>
  <c r="L170" i="332"/>
  <c r="K170" i="332"/>
  <c r="J170" i="332"/>
  <c r="I170" i="332"/>
  <c r="H170" i="332"/>
  <c r="G170" i="332"/>
  <c r="E170" i="332"/>
  <c r="F169" i="332"/>
  <c r="D169" i="332" s="1"/>
  <c r="AS166" i="332"/>
  <c r="AR166" i="332"/>
  <c r="AQ166" i="332"/>
  <c r="AP166" i="332"/>
  <c r="AO166" i="332"/>
  <c r="AN166" i="332"/>
  <c r="AM166" i="332"/>
  <c r="AL166" i="332"/>
  <c r="AK166" i="332"/>
  <c r="AJ166" i="332"/>
  <c r="AI166" i="332"/>
  <c r="AH166" i="332"/>
  <c r="AG166" i="332"/>
  <c r="AF166" i="332"/>
  <c r="AE166" i="332"/>
  <c r="AD166" i="332"/>
  <c r="AC166" i="332"/>
  <c r="AB166" i="332"/>
  <c r="AA166" i="332"/>
  <c r="Z166" i="332"/>
  <c r="Y166" i="332"/>
  <c r="X166" i="332"/>
  <c r="W166" i="332"/>
  <c r="V166" i="332"/>
  <c r="U166" i="332"/>
  <c r="T166" i="332"/>
  <c r="S166" i="332"/>
  <c r="R166" i="332"/>
  <c r="Q166" i="332"/>
  <c r="P166" i="332"/>
  <c r="O166" i="332"/>
  <c r="F166" i="332" s="1"/>
  <c r="D166" i="332" s="1"/>
  <c r="N166" i="332"/>
  <c r="M166" i="332"/>
  <c r="L166" i="332"/>
  <c r="K166" i="332"/>
  <c r="J166" i="332"/>
  <c r="I166" i="332"/>
  <c r="H166" i="332"/>
  <c r="G166" i="332"/>
  <c r="E166" i="332"/>
  <c r="F165" i="332"/>
  <c r="D165" i="332" s="1"/>
  <c r="F164" i="332"/>
  <c r="D164" i="332" s="1"/>
  <c r="F157" i="332"/>
  <c r="D157" i="332" s="1"/>
  <c r="F154" i="332"/>
  <c r="D154" i="332" s="1"/>
  <c r="F153" i="332"/>
  <c r="D153" i="332" s="1"/>
  <c r="F149" i="332"/>
  <c r="D149" i="332" s="1"/>
  <c r="F148" i="332"/>
  <c r="D148" i="332" s="1"/>
  <c r="F147" i="332"/>
  <c r="D147" i="332" s="1"/>
  <c r="F125" i="332"/>
  <c r="D125" i="332" s="1"/>
  <c r="F124" i="332"/>
  <c r="D124" i="332" s="1"/>
  <c r="F123" i="332"/>
  <c r="D123" i="332" s="1"/>
  <c r="D122" i="332"/>
  <c r="D121" i="332"/>
  <c r="F120" i="332"/>
  <c r="D120" i="332" s="1"/>
  <c r="F119" i="332"/>
  <c r="D119" i="332" s="1"/>
  <c r="F118" i="332"/>
  <c r="D118" i="332" s="1"/>
  <c r="F115" i="332"/>
  <c r="D115" i="332" s="1"/>
  <c r="F110" i="332"/>
  <c r="D110" i="332" s="1"/>
  <c r="F109" i="332"/>
  <c r="D109" i="332" s="1"/>
  <c r="F108" i="332"/>
  <c r="D108" i="332" s="1"/>
  <c r="F107" i="332"/>
  <c r="D107" i="332" s="1"/>
  <c r="F106" i="332"/>
  <c r="D106" i="332" s="1"/>
  <c r="F102" i="332"/>
  <c r="D102" i="332" s="1"/>
  <c r="D100" i="332"/>
  <c r="F96" i="332"/>
  <c r="D96" i="332" s="1"/>
  <c r="AS95" i="332"/>
  <c r="AR95" i="332"/>
  <c r="AQ95" i="332"/>
  <c r="AP95" i="332"/>
  <c r="AO95" i="332"/>
  <c r="AN95" i="332"/>
  <c r="AM95" i="332"/>
  <c r="AL95" i="332"/>
  <c r="AK95" i="332"/>
  <c r="AJ95" i="332"/>
  <c r="AI95" i="332"/>
  <c r="AH95" i="332"/>
  <c r="AG95" i="332"/>
  <c r="AF95" i="332"/>
  <c r="AE95" i="332"/>
  <c r="AD95" i="332"/>
  <c r="AC95" i="332"/>
  <c r="AB95" i="332"/>
  <c r="AA95" i="332"/>
  <c r="Z95" i="332"/>
  <c r="Y95" i="332"/>
  <c r="X95" i="332"/>
  <c r="W95" i="332"/>
  <c r="V95" i="332"/>
  <c r="U95" i="332"/>
  <c r="T95" i="332"/>
  <c r="S95" i="332"/>
  <c r="R95" i="332"/>
  <c r="Q95" i="332"/>
  <c r="P95" i="332"/>
  <c r="O95" i="332"/>
  <c r="N95" i="332"/>
  <c r="M95" i="332"/>
  <c r="L95" i="332"/>
  <c r="K95" i="332"/>
  <c r="J95" i="332"/>
  <c r="I95" i="332"/>
  <c r="H95" i="332"/>
  <c r="G95" i="332"/>
  <c r="E95" i="332"/>
  <c r="F94" i="332"/>
  <c r="D94" i="332" s="1"/>
  <c r="F93" i="332"/>
  <c r="D93" i="332" s="1"/>
  <c r="F92" i="332"/>
  <c r="D92" i="332" s="1"/>
  <c r="F91" i="332"/>
  <c r="D91" i="332" s="1"/>
  <c r="F90" i="332"/>
  <c r="D90" i="332" s="1"/>
  <c r="F89" i="332"/>
  <c r="D89" i="332" s="1"/>
  <c r="F88" i="332"/>
  <c r="D88" i="332" s="1"/>
  <c r="F85" i="332"/>
  <c r="D85" i="332" s="1"/>
  <c r="F84" i="332"/>
  <c r="D84" i="332" s="1"/>
  <c r="F83" i="332"/>
  <c r="D83" i="332" s="1"/>
  <c r="F82" i="332"/>
  <c r="D82" i="332" s="1"/>
  <c r="D80" i="332"/>
  <c r="F79" i="332"/>
  <c r="D79" i="332"/>
  <c r="F78" i="332"/>
  <c r="D78" i="332" s="1"/>
  <c r="F77" i="332"/>
  <c r="D77" i="332" s="1"/>
  <c r="F76" i="332"/>
  <c r="D76" i="332" s="1"/>
  <c r="D75" i="332"/>
  <c r="F72" i="332"/>
  <c r="D72" i="332" s="1"/>
  <c r="I65" i="332"/>
  <c r="I51" i="332" s="1"/>
  <c r="F65" i="332"/>
  <c r="D65" i="332" s="1"/>
  <c r="D61" i="332"/>
  <c r="F59" i="332"/>
  <c r="D59" i="332" s="1"/>
  <c r="F57" i="332"/>
  <c r="D57" i="332" s="1"/>
  <c r="F56" i="332"/>
  <c r="D56" i="332" s="1"/>
  <c r="F55" i="332"/>
  <c r="D55" i="332" s="1"/>
  <c r="F54" i="332"/>
  <c r="D54" i="332" s="1"/>
  <c r="F53" i="332"/>
  <c r="D53" i="332" s="1"/>
  <c r="F52" i="332"/>
  <c r="AS51" i="332"/>
  <c r="AR51" i="332"/>
  <c r="AQ51" i="332"/>
  <c r="AP51" i="332"/>
  <c r="AO51" i="332"/>
  <c r="AN51" i="332"/>
  <c r="AM51" i="332"/>
  <c r="AM935" i="332" s="1"/>
  <c r="AM937" i="332" s="1"/>
  <c r="AL51" i="332"/>
  <c r="AK51" i="332"/>
  <c r="AJ51" i="332"/>
  <c r="AI51" i="332"/>
  <c r="AH51" i="332"/>
  <c r="AG51" i="332"/>
  <c r="AF51" i="332"/>
  <c r="AE51" i="332"/>
  <c r="AD51" i="332"/>
  <c r="AC51" i="332"/>
  <c r="AB51" i="332"/>
  <c r="AA51" i="332"/>
  <c r="Z51" i="332"/>
  <c r="Y51" i="332"/>
  <c r="X51" i="332"/>
  <c r="W51" i="332"/>
  <c r="V51" i="332"/>
  <c r="U51" i="332"/>
  <c r="T51" i="332"/>
  <c r="S51" i="332"/>
  <c r="R51" i="332"/>
  <c r="Q51" i="332"/>
  <c r="P51" i="332"/>
  <c r="O51" i="332"/>
  <c r="N51" i="332"/>
  <c r="M51" i="332"/>
  <c r="L51" i="332"/>
  <c r="K51" i="332"/>
  <c r="J51" i="332"/>
  <c r="H51" i="332"/>
  <c r="G51" i="332"/>
  <c r="E51" i="332"/>
  <c r="G48" i="332"/>
  <c r="F48" i="332" s="1"/>
  <c r="D48" i="332" s="1"/>
  <c r="F47" i="332"/>
  <c r="D47" i="332" s="1"/>
  <c r="F46" i="332"/>
  <c r="D46" i="332" s="1"/>
  <c r="F45" i="332"/>
  <c r="D45" i="332" s="1"/>
  <c r="AS44" i="332"/>
  <c r="AR44" i="332"/>
  <c r="AQ44" i="332"/>
  <c r="AP44" i="332"/>
  <c r="AO44" i="332"/>
  <c r="AN44" i="332"/>
  <c r="AM44" i="332"/>
  <c r="AL44" i="332"/>
  <c r="AK44" i="332"/>
  <c r="AJ44" i="332"/>
  <c r="AI44" i="332"/>
  <c r="AH44" i="332"/>
  <c r="AG44" i="332"/>
  <c r="AF44" i="332"/>
  <c r="AE44" i="332"/>
  <c r="AD44" i="332"/>
  <c r="AC44" i="332"/>
  <c r="AB44" i="332"/>
  <c r="AA44" i="332"/>
  <c r="Z44" i="332"/>
  <c r="Y44" i="332"/>
  <c r="X44" i="332"/>
  <c r="W44" i="332"/>
  <c r="V44" i="332"/>
  <c r="U44" i="332"/>
  <c r="T44" i="332"/>
  <c r="S44" i="332"/>
  <c r="R44" i="332"/>
  <c r="Q44" i="332"/>
  <c r="P44" i="332"/>
  <c r="O44" i="332"/>
  <c r="N44" i="332"/>
  <c r="M44" i="332"/>
  <c r="L44" i="332"/>
  <c r="K44" i="332"/>
  <c r="J44" i="332"/>
  <c r="I44" i="332"/>
  <c r="H44" i="332"/>
  <c r="E44" i="332"/>
  <c r="F43" i="332"/>
  <c r="D43" i="332" s="1"/>
  <c r="AS42" i="332"/>
  <c r="AR42" i="332"/>
  <c r="AQ42" i="332"/>
  <c r="AP42" i="332"/>
  <c r="AO42" i="332"/>
  <c r="AN42" i="332"/>
  <c r="AM42" i="332"/>
  <c r="AL42" i="332"/>
  <c r="AK42" i="332"/>
  <c r="AJ42" i="332"/>
  <c r="AI42" i="332"/>
  <c r="AH42" i="332"/>
  <c r="AG42" i="332"/>
  <c r="AF42" i="332"/>
  <c r="AE42" i="332"/>
  <c r="AD42" i="332"/>
  <c r="AC42" i="332"/>
  <c r="AB42" i="332"/>
  <c r="AA42" i="332"/>
  <c r="Z42" i="332"/>
  <c r="Y42" i="332"/>
  <c r="X42" i="332"/>
  <c r="W42" i="332"/>
  <c r="V42" i="332"/>
  <c r="U42" i="332"/>
  <c r="T42" i="332"/>
  <c r="S42" i="332"/>
  <c r="R42" i="332"/>
  <c r="Q42" i="332"/>
  <c r="P42" i="332"/>
  <c r="O42" i="332"/>
  <c r="N42" i="332"/>
  <c r="M42" i="332"/>
  <c r="L42" i="332"/>
  <c r="K42" i="332"/>
  <c r="J42" i="332"/>
  <c r="I42" i="332"/>
  <c r="H42" i="332"/>
  <c r="G42" i="332"/>
  <c r="F18" i="332"/>
  <c r="D18" i="332" s="1"/>
  <c r="F17" i="332"/>
  <c r="D17" i="332" s="1"/>
  <c r="F16" i="332"/>
  <c r="D16" i="332" s="1"/>
  <c r="AS15" i="332"/>
  <c r="AR15" i="332"/>
  <c r="AQ15" i="332"/>
  <c r="AP15" i="332"/>
  <c r="AO15" i="332"/>
  <c r="AN15" i="332"/>
  <c r="AM15" i="332"/>
  <c r="AL15" i="332"/>
  <c r="AK15" i="332"/>
  <c r="AJ15" i="332"/>
  <c r="AI15" i="332"/>
  <c r="AH15" i="332"/>
  <c r="AG15" i="332"/>
  <c r="AF15" i="332"/>
  <c r="AE15" i="332"/>
  <c r="AD15" i="332"/>
  <c r="AC15" i="332"/>
  <c r="AB15" i="332"/>
  <c r="AA15" i="332"/>
  <c r="Z15" i="332"/>
  <c r="Y15" i="332"/>
  <c r="X15" i="332"/>
  <c r="W15" i="332"/>
  <c r="V15" i="332"/>
  <c r="U15" i="332"/>
  <c r="T15" i="332"/>
  <c r="S15" i="332"/>
  <c r="R15" i="332"/>
  <c r="Q15" i="332"/>
  <c r="P15" i="332"/>
  <c r="O15" i="332"/>
  <c r="N15" i="332"/>
  <c r="M15" i="332"/>
  <c r="L15" i="332"/>
  <c r="K15" i="332"/>
  <c r="J15" i="332"/>
  <c r="I15" i="332"/>
  <c r="H15" i="332"/>
  <c r="G15" i="332"/>
  <c r="E15" i="332"/>
  <c r="F14" i="332"/>
  <c r="D14" i="332" s="1"/>
  <c r="F13" i="332"/>
  <c r="D13" i="332" s="1"/>
  <c r="F12" i="332"/>
  <c r="D12" i="332" s="1"/>
  <c r="F11" i="332"/>
  <c r="D11" i="332" s="1"/>
  <c r="F10" i="332"/>
  <c r="D10" i="332" s="1"/>
  <c r="A10" i="332"/>
  <c r="A11" i="332" s="1"/>
  <c r="A12" i="332" s="1"/>
  <c r="A13" i="332" s="1"/>
  <c r="A14" i="332" s="1"/>
  <c r="A16" i="332" s="1"/>
  <c r="A17" i="332" s="1"/>
  <c r="A18" i="332" s="1"/>
  <c r="A19" i="332" s="1"/>
  <c r="A43" i="332" s="1"/>
  <c r="A45" i="332" s="1"/>
  <c r="A46" i="332" s="1"/>
  <c r="A47" i="332" s="1"/>
  <c r="A48" i="332" s="1"/>
  <c r="A52" i="332" s="1"/>
  <c r="A53" i="332" s="1"/>
  <c r="A54" i="332" s="1"/>
  <c r="A55" i="332" s="1"/>
  <c r="A56" i="332" s="1"/>
  <c r="A57" i="332" s="1"/>
  <c r="A58" i="332" s="1"/>
  <c r="F9" i="332"/>
  <c r="D9" i="332" s="1"/>
  <c r="AS8" i="332"/>
  <c r="AR8" i="332"/>
  <c r="AQ8" i="332"/>
  <c r="AP8" i="332"/>
  <c r="AO8" i="332"/>
  <c r="AN8" i="332"/>
  <c r="AM8" i="332"/>
  <c r="AL8" i="332"/>
  <c r="AK8" i="332"/>
  <c r="AJ8" i="332"/>
  <c r="AI8" i="332"/>
  <c r="AH8" i="332"/>
  <c r="AG8" i="332"/>
  <c r="AF8" i="332"/>
  <c r="AE8" i="332"/>
  <c r="AD8" i="332"/>
  <c r="AC8" i="332"/>
  <c r="AB8" i="332"/>
  <c r="AA8" i="332"/>
  <c r="Z8" i="332"/>
  <c r="Y8" i="332"/>
  <c r="X8" i="332"/>
  <c r="W8" i="332"/>
  <c r="V8" i="332"/>
  <c r="U8" i="332"/>
  <c r="T8" i="332"/>
  <c r="S8" i="332"/>
  <c r="R8" i="332"/>
  <c r="Q8" i="332"/>
  <c r="P8" i="332"/>
  <c r="O8" i="332"/>
  <c r="N8" i="332"/>
  <c r="M8" i="332"/>
  <c r="L8" i="332"/>
  <c r="K8" i="332"/>
  <c r="J8" i="332"/>
  <c r="I8" i="332"/>
  <c r="H8" i="332"/>
  <c r="G8" i="332"/>
  <c r="E8" i="332"/>
  <c r="BF7" i="332"/>
  <c r="BE7" i="332"/>
  <c r="BD7" i="332"/>
  <c r="BC7" i="332"/>
  <c r="D347" i="332"/>
  <c r="F1762" i="330"/>
  <c r="D1762" i="330" s="1"/>
  <c r="F1761" i="330"/>
  <c r="D1761" i="330" s="1"/>
  <c r="F1760" i="330"/>
  <c r="D1760" i="330" s="1"/>
  <c r="F1759" i="330"/>
  <c r="D1759" i="330" s="1"/>
  <c r="F1758" i="330"/>
  <c r="D1758" i="330" s="1"/>
  <c r="F1757" i="330"/>
  <c r="D1757" i="330" s="1"/>
  <c r="F1756" i="330"/>
  <c r="D1756" i="330" s="1"/>
  <c r="F1755" i="330"/>
  <c r="D1755" i="330" s="1"/>
  <c r="F1754" i="330"/>
  <c r="D1754" i="330" s="1"/>
  <c r="F1753" i="330"/>
  <c r="D1753" i="330" s="1"/>
  <c r="F1752" i="330"/>
  <c r="D1752" i="330" s="1"/>
  <c r="F1751" i="330"/>
  <c r="D1751" i="330" s="1"/>
  <c r="F1750" i="330"/>
  <c r="D1750" i="330" s="1"/>
  <c r="F1749" i="330"/>
  <c r="D1749" i="330" s="1"/>
  <c r="F1748" i="330"/>
  <c r="D1748" i="330" s="1"/>
  <c r="F1747" i="330"/>
  <c r="D1747" i="330" s="1"/>
  <c r="F1746" i="330"/>
  <c r="D1746" i="330" s="1"/>
  <c r="F1745" i="330"/>
  <c r="D1745" i="330" s="1"/>
  <c r="F1744" i="330"/>
  <c r="D1744" i="330" s="1"/>
  <c r="F1743" i="330"/>
  <c r="D1743" i="330" s="1"/>
  <c r="F1742" i="330"/>
  <c r="D1742" i="330" s="1"/>
  <c r="F1741" i="330"/>
  <c r="D1741" i="330" s="1"/>
  <c r="M1740" i="330"/>
  <c r="F1740" i="330" s="1"/>
  <c r="D1740" i="330" s="1"/>
  <c r="F1739" i="330"/>
  <c r="D1739" i="330" s="1"/>
  <c r="F1738" i="330"/>
  <c r="D1738" i="330" s="1"/>
  <c r="F1737" i="330"/>
  <c r="D1737" i="330" s="1"/>
  <c r="F1736" i="330"/>
  <c r="D1736" i="330" s="1"/>
  <c r="F1735" i="330"/>
  <c r="D1735" i="330"/>
  <c r="F1734" i="330"/>
  <c r="D1734" i="330" s="1"/>
  <c r="F1733" i="330"/>
  <c r="D1733" i="330" s="1"/>
  <c r="F1732" i="330"/>
  <c r="D1732" i="330" s="1"/>
  <c r="AX1731" i="330"/>
  <c r="AW1731" i="330"/>
  <c r="AV1731" i="330"/>
  <c r="AU1731" i="330"/>
  <c r="AT1731" i="330"/>
  <c r="AS1731" i="330"/>
  <c r="AR1731" i="330"/>
  <c r="AQ1731" i="330"/>
  <c r="AP1731" i="330"/>
  <c r="AO1731" i="330"/>
  <c r="AN1731" i="330"/>
  <c r="AM1731" i="330"/>
  <c r="AL1731" i="330"/>
  <c r="AK1731" i="330"/>
  <c r="AJ1731" i="330"/>
  <c r="AI1731" i="330"/>
  <c r="AH1731" i="330"/>
  <c r="AG1731" i="330"/>
  <c r="AF1731" i="330"/>
  <c r="AE1731" i="330"/>
  <c r="AD1731" i="330"/>
  <c r="AC1731" i="330"/>
  <c r="AB1731" i="330"/>
  <c r="AA1731" i="330"/>
  <c r="Z1731" i="330"/>
  <c r="Y1731" i="330"/>
  <c r="X1731" i="330"/>
  <c r="W1731" i="330"/>
  <c r="V1731" i="330"/>
  <c r="U1731" i="330"/>
  <c r="T1731" i="330"/>
  <c r="S1731" i="330"/>
  <c r="R1731" i="330"/>
  <c r="Q1731" i="330"/>
  <c r="P1731" i="330"/>
  <c r="O1731" i="330"/>
  <c r="N1731" i="330"/>
  <c r="L1731" i="330"/>
  <c r="K1731" i="330"/>
  <c r="J1731" i="330"/>
  <c r="I1731" i="330"/>
  <c r="H1731" i="330"/>
  <c r="G1731" i="330"/>
  <c r="E1731" i="330"/>
  <c r="F1730" i="330"/>
  <c r="D1730" i="330" s="1"/>
  <c r="F1729" i="330"/>
  <c r="D1729" i="330" s="1"/>
  <c r="F1728" i="330"/>
  <c r="D1728" i="330" s="1"/>
  <c r="F1727" i="330"/>
  <c r="D1727" i="330" s="1"/>
  <c r="F1726" i="330"/>
  <c r="D1726" i="330" s="1"/>
  <c r="F1725" i="330"/>
  <c r="D1725" i="330" s="1"/>
  <c r="F1724" i="330"/>
  <c r="D1724" i="330" s="1"/>
  <c r="H1723" i="330"/>
  <c r="H1722" i="330" s="1"/>
  <c r="AX1722" i="330"/>
  <c r="AW1722" i="330"/>
  <c r="AV1722" i="330"/>
  <c r="AU1722" i="330"/>
  <c r="AT1722" i="330"/>
  <c r="AS1722" i="330"/>
  <c r="AR1722" i="330"/>
  <c r="AQ1722" i="330"/>
  <c r="AP1722" i="330"/>
  <c r="AO1722" i="330"/>
  <c r="AN1722" i="330"/>
  <c r="AM1722" i="330"/>
  <c r="AL1722" i="330"/>
  <c r="AK1722" i="330"/>
  <c r="AJ1722" i="330"/>
  <c r="AI1722" i="330"/>
  <c r="AH1722" i="330"/>
  <c r="AG1722" i="330"/>
  <c r="AF1722" i="330"/>
  <c r="AE1722" i="330"/>
  <c r="AD1722" i="330"/>
  <c r="AC1722" i="330"/>
  <c r="AB1722" i="330"/>
  <c r="AA1722" i="330"/>
  <c r="Z1722" i="330"/>
  <c r="Y1722" i="330"/>
  <c r="X1722" i="330"/>
  <c r="W1722" i="330"/>
  <c r="V1722" i="330"/>
  <c r="U1722" i="330"/>
  <c r="T1722" i="330"/>
  <c r="S1722" i="330"/>
  <c r="R1722" i="330"/>
  <c r="Q1722" i="330"/>
  <c r="P1722" i="330"/>
  <c r="O1722" i="330"/>
  <c r="N1722" i="330"/>
  <c r="M1722" i="330"/>
  <c r="L1722" i="330"/>
  <c r="K1722" i="330"/>
  <c r="J1722" i="330"/>
  <c r="I1722" i="330"/>
  <c r="G1722" i="330"/>
  <c r="E1722" i="330"/>
  <c r="F1721" i="330"/>
  <c r="D1721" i="330" s="1"/>
  <c r="F1720" i="330"/>
  <c r="D1720" i="330" s="1"/>
  <c r="F1719" i="330"/>
  <c r="D1719" i="330" s="1"/>
  <c r="F1718" i="330"/>
  <c r="D1718" i="330" s="1"/>
  <c r="F1717" i="330"/>
  <c r="D1717" i="330" s="1"/>
  <c r="F1716" i="330"/>
  <c r="D1716" i="330" s="1"/>
  <c r="F1715" i="330"/>
  <c r="D1715" i="330" s="1"/>
  <c r="F1714" i="330"/>
  <c r="D1714" i="330" s="1"/>
  <c r="F1713" i="330"/>
  <c r="D1713" i="330" s="1"/>
  <c r="G1712" i="330"/>
  <c r="F1712" i="330" s="1"/>
  <c r="D1712" i="330" s="1"/>
  <c r="F1711" i="330"/>
  <c r="D1711" i="330" s="1"/>
  <c r="F1710" i="330"/>
  <c r="D1710" i="330" s="1"/>
  <c r="F1709" i="330"/>
  <c r="D1709" i="330" s="1"/>
  <c r="G1708" i="330"/>
  <c r="F1708" i="330"/>
  <c r="D1708" i="330" s="1"/>
  <c r="F1707" i="330"/>
  <c r="D1707" i="330" s="1"/>
  <c r="F1706" i="330"/>
  <c r="D1706" i="330" s="1"/>
  <c r="F1705" i="330"/>
  <c r="D1705" i="330" s="1"/>
  <c r="F1704" i="330"/>
  <c r="D1704" i="330" s="1"/>
  <c r="F1703" i="330"/>
  <c r="D1703" i="330" s="1"/>
  <c r="F1702" i="330"/>
  <c r="D1702" i="330" s="1"/>
  <c r="F1701" i="330"/>
  <c r="D1701" i="330" s="1"/>
  <c r="F1700" i="330"/>
  <c r="D1700" i="330" s="1"/>
  <c r="F1699" i="330"/>
  <c r="D1699" i="330" s="1"/>
  <c r="F1698" i="330"/>
  <c r="D1698" i="330" s="1"/>
  <c r="F1697" i="330"/>
  <c r="D1697" i="330" s="1"/>
  <c r="AX1696" i="330"/>
  <c r="AW1696" i="330"/>
  <c r="AV1696" i="330"/>
  <c r="AU1696" i="330"/>
  <c r="AT1696" i="330"/>
  <c r="AS1696" i="330"/>
  <c r="AR1696" i="330"/>
  <c r="AQ1696" i="330"/>
  <c r="AP1696" i="330"/>
  <c r="AO1696" i="330"/>
  <c r="AN1696" i="330"/>
  <c r="AM1696" i="330"/>
  <c r="AL1696" i="330"/>
  <c r="AK1696" i="330"/>
  <c r="AJ1696" i="330"/>
  <c r="AI1696" i="330"/>
  <c r="AH1696" i="330"/>
  <c r="AG1696" i="330"/>
  <c r="AF1696" i="330"/>
  <c r="AE1696" i="330"/>
  <c r="AD1696" i="330"/>
  <c r="AC1696" i="330"/>
  <c r="AB1696" i="330"/>
  <c r="AA1696" i="330"/>
  <c r="Z1696" i="330"/>
  <c r="Y1696" i="330"/>
  <c r="X1696" i="330"/>
  <c r="W1696" i="330"/>
  <c r="V1696" i="330"/>
  <c r="U1696" i="330"/>
  <c r="T1696" i="330"/>
  <c r="S1696" i="330"/>
  <c r="R1696" i="330"/>
  <c r="Q1696" i="330"/>
  <c r="P1696" i="330"/>
  <c r="O1696" i="330"/>
  <c r="N1696" i="330"/>
  <c r="M1696" i="330"/>
  <c r="L1696" i="330"/>
  <c r="K1696" i="330"/>
  <c r="J1696" i="330"/>
  <c r="I1696" i="330"/>
  <c r="H1696" i="330"/>
  <c r="E1696" i="330"/>
  <c r="F1695" i="330"/>
  <c r="D1695" i="330" s="1"/>
  <c r="AX1694" i="330"/>
  <c r="AW1694" i="330"/>
  <c r="AV1694" i="330"/>
  <c r="AU1694" i="330"/>
  <c r="AT1694" i="330"/>
  <c r="AS1694" i="330"/>
  <c r="AR1694" i="330"/>
  <c r="AQ1694" i="330"/>
  <c r="AP1694" i="330"/>
  <c r="AO1694" i="330"/>
  <c r="AN1694" i="330"/>
  <c r="AM1694" i="330"/>
  <c r="AL1694" i="330"/>
  <c r="AK1694" i="330"/>
  <c r="AJ1694" i="330"/>
  <c r="AI1694" i="330"/>
  <c r="AH1694" i="330"/>
  <c r="AG1694" i="330"/>
  <c r="AF1694" i="330"/>
  <c r="AE1694" i="330"/>
  <c r="AD1694" i="330"/>
  <c r="AC1694" i="330"/>
  <c r="AB1694" i="330"/>
  <c r="AA1694" i="330"/>
  <c r="Z1694" i="330"/>
  <c r="Y1694" i="330"/>
  <c r="X1694" i="330"/>
  <c r="W1694" i="330"/>
  <c r="V1694" i="330"/>
  <c r="U1694" i="330"/>
  <c r="T1694" i="330"/>
  <c r="S1694" i="330"/>
  <c r="R1694" i="330"/>
  <c r="Q1694" i="330"/>
  <c r="P1694" i="330"/>
  <c r="O1694" i="330"/>
  <c r="N1694" i="330"/>
  <c r="M1694" i="330"/>
  <c r="L1694" i="330"/>
  <c r="K1694" i="330"/>
  <c r="J1694" i="330"/>
  <c r="I1694" i="330"/>
  <c r="H1694" i="330"/>
  <c r="G1694" i="330"/>
  <c r="E1694" i="330"/>
  <c r="F1693" i="330"/>
  <c r="D1693" i="330" s="1"/>
  <c r="F1692" i="330"/>
  <c r="D1692" i="330" s="1"/>
  <c r="F1691" i="330"/>
  <c r="D1691" i="330" s="1"/>
  <c r="AX1690" i="330"/>
  <c r="AW1690" i="330"/>
  <c r="AV1690" i="330"/>
  <c r="AU1690" i="330"/>
  <c r="AT1690" i="330"/>
  <c r="AS1690" i="330"/>
  <c r="AR1690" i="330"/>
  <c r="AQ1690" i="330"/>
  <c r="AP1690" i="330"/>
  <c r="AO1690" i="330"/>
  <c r="AN1690" i="330"/>
  <c r="AM1690" i="330"/>
  <c r="AL1690" i="330"/>
  <c r="AK1690" i="330"/>
  <c r="AJ1690" i="330"/>
  <c r="AI1690" i="330"/>
  <c r="AH1690" i="330"/>
  <c r="AG1690" i="330"/>
  <c r="AF1690" i="330"/>
  <c r="AE1690" i="330"/>
  <c r="AD1690" i="330"/>
  <c r="AC1690" i="330"/>
  <c r="AB1690" i="330"/>
  <c r="AA1690" i="330"/>
  <c r="Z1690" i="330"/>
  <c r="Y1690" i="330"/>
  <c r="X1690" i="330"/>
  <c r="W1690" i="330"/>
  <c r="V1690" i="330"/>
  <c r="U1690" i="330"/>
  <c r="T1690" i="330"/>
  <c r="S1690" i="330"/>
  <c r="R1690" i="330"/>
  <c r="Q1690" i="330"/>
  <c r="P1690" i="330"/>
  <c r="O1690" i="330"/>
  <c r="N1690" i="330"/>
  <c r="M1690" i="330"/>
  <c r="L1690" i="330"/>
  <c r="K1690" i="330"/>
  <c r="J1690" i="330"/>
  <c r="I1690" i="330"/>
  <c r="H1690" i="330"/>
  <c r="G1690" i="330"/>
  <c r="E1690" i="330"/>
  <c r="F1689" i="330"/>
  <c r="D1689" i="330" s="1"/>
  <c r="F1688" i="330"/>
  <c r="D1688" i="330" s="1"/>
  <c r="F1687" i="330"/>
  <c r="D1687" i="330" s="1"/>
  <c r="F1686" i="330"/>
  <c r="D1686" i="330" s="1"/>
  <c r="F1685" i="330"/>
  <c r="D1685" i="330" s="1"/>
  <c r="F1684" i="330"/>
  <c r="D1684" i="330" s="1"/>
  <c r="F1683" i="330"/>
  <c r="D1683" i="330" s="1"/>
  <c r="F1682" i="330"/>
  <c r="D1682" i="330" s="1"/>
  <c r="F1681" i="330"/>
  <c r="D1681" i="330" s="1"/>
  <c r="F1680" i="330"/>
  <c r="D1680" i="330" s="1"/>
  <c r="F1679" i="330"/>
  <c r="D1679" i="330" s="1"/>
  <c r="AX1678" i="330"/>
  <c r="AW1678" i="330"/>
  <c r="AV1678" i="330"/>
  <c r="AU1678" i="330"/>
  <c r="AT1678" i="330"/>
  <c r="AS1678" i="330"/>
  <c r="AR1678" i="330"/>
  <c r="AQ1678" i="330"/>
  <c r="AP1678" i="330"/>
  <c r="AO1678" i="330"/>
  <c r="AN1678" i="330"/>
  <c r="AM1678" i="330"/>
  <c r="AL1678" i="330"/>
  <c r="AK1678" i="330"/>
  <c r="AJ1678" i="330"/>
  <c r="AI1678" i="330"/>
  <c r="AH1678" i="330"/>
  <c r="AG1678" i="330"/>
  <c r="AF1678" i="330"/>
  <c r="AE1678" i="330"/>
  <c r="AD1678" i="330"/>
  <c r="AC1678" i="330"/>
  <c r="AB1678" i="330"/>
  <c r="AA1678" i="330"/>
  <c r="Z1678" i="330"/>
  <c r="Y1678" i="330"/>
  <c r="X1678" i="330"/>
  <c r="W1678" i="330"/>
  <c r="V1678" i="330"/>
  <c r="U1678" i="330"/>
  <c r="T1678" i="330"/>
  <c r="S1678" i="330"/>
  <c r="R1678" i="330"/>
  <c r="Q1678" i="330"/>
  <c r="P1678" i="330"/>
  <c r="O1678" i="330"/>
  <c r="N1678" i="330"/>
  <c r="M1678" i="330"/>
  <c r="L1678" i="330"/>
  <c r="K1678" i="330"/>
  <c r="J1678" i="330"/>
  <c r="I1678" i="330"/>
  <c r="H1678" i="330"/>
  <c r="G1678" i="330"/>
  <c r="E1678" i="330"/>
  <c r="F1677" i="330"/>
  <c r="D1677" i="330" s="1"/>
  <c r="F1676" i="330"/>
  <c r="D1676" i="330" s="1"/>
  <c r="F1675" i="330"/>
  <c r="D1675" i="330" s="1"/>
  <c r="F1674" i="330"/>
  <c r="D1674" i="330" s="1"/>
  <c r="F1673" i="330"/>
  <c r="D1673" i="330" s="1"/>
  <c r="F1672" i="330"/>
  <c r="D1672" i="330" s="1"/>
  <c r="F1671" i="330"/>
  <c r="D1671" i="330" s="1"/>
  <c r="F1670" i="330"/>
  <c r="D1670" i="330" s="1"/>
  <c r="F1669" i="330"/>
  <c r="D1669" i="330" s="1"/>
  <c r="F1668" i="330"/>
  <c r="D1668" i="330" s="1"/>
  <c r="F1667" i="330"/>
  <c r="D1667" i="330" s="1"/>
  <c r="F1666" i="330"/>
  <c r="D1666" i="330" s="1"/>
  <c r="F1665" i="330"/>
  <c r="D1665" i="330" s="1"/>
  <c r="F1664" i="330"/>
  <c r="D1664" i="330" s="1"/>
  <c r="F1663" i="330"/>
  <c r="D1663" i="330" s="1"/>
  <c r="AX1662" i="330"/>
  <c r="AW1662" i="330"/>
  <c r="AV1662" i="330"/>
  <c r="AU1662" i="330"/>
  <c r="AT1662" i="330"/>
  <c r="AS1662" i="330"/>
  <c r="AR1662" i="330"/>
  <c r="AQ1662" i="330"/>
  <c r="AP1662" i="330"/>
  <c r="AO1662" i="330"/>
  <c r="AN1662" i="330"/>
  <c r="AM1662" i="330"/>
  <c r="AL1662" i="330"/>
  <c r="AK1662" i="330"/>
  <c r="AJ1662" i="330"/>
  <c r="AI1662" i="330"/>
  <c r="AH1662" i="330"/>
  <c r="AG1662" i="330"/>
  <c r="AF1662" i="330"/>
  <c r="AE1662" i="330"/>
  <c r="AD1662" i="330"/>
  <c r="AC1662" i="330"/>
  <c r="AB1662" i="330"/>
  <c r="AA1662" i="330"/>
  <c r="Z1662" i="330"/>
  <c r="Y1662" i="330"/>
  <c r="X1662" i="330"/>
  <c r="W1662" i="330"/>
  <c r="V1662" i="330"/>
  <c r="U1662" i="330"/>
  <c r="T1662" i="330"/>
  <c r="S1662" i="330"/>
  <c r="R1662" i="330"/>
  <c r="Q1662" i="330"/>
  <c r="P1662" i="330"/>
  <c r="O1662" i="330"/>
  <c r="N1662" i="330"/>
  <c r="M1662" i="330"/>
  <c r="L1662" i="330"/>
  <c r="K1662" i="330"/>
  <c r="J1662" i="330"/>
  <c r="I1662" i="330"/>
  <c r="H1662" i="330"/>
  <c r="G1662" i="330"/>
  <c r="E1662" i="330"/>
  <c r="F1661" i="330"/>
  <c r="D1661" i="330" s="1"/>
  <c r="F1660" i="330"/>
  <c r="D1660" i="330" s="1"/>
  <c r="F1659" i="330"/>
  <c r="D1659" i="330" s="1"/>
  <c r="AX1658" i="330"/>
  <c r="AW1658" i="330"/>
  <c r="AV1658" i="330"/>
  <c r="AU1658" i="330"/>
  <c r="AT1658" i="330"/>
  <c r="AS1658" i="330"/>
  <c r="AR1658" i="330"/>
  <c r="AQ1658" i="330"/>
  <c r="AP1658" i="330"/>
  <c r="AO1658" i="330"/>
  <c r="AN1658" i="330"/>
  <c r="AM1658" i="330"/>
  <c r="AL1658" i="330"/>
  <c r="AK1658" i="330"/>
  <c r="AJ1658" i="330"/>
  <c r="AI1658" i="330"/>
  <c r="AH1658" i="330"/>
  <c r="AG1658" i="330"/>
  <c r="AF1658" i="330"/>
  <c r="AE1658" i="330"/>
  <c r="AD1658" i="330"/>
  <c r="AC1658" i="330"/>
  <c r="AB1658" i="330"/>
  <c r="AA1658" i="330"/>
  <c r="Z1658" i="330"/>
  <c r="Y1658" i="330"/>
  <c r="X1658" i="330"/>
  <c r="W1658" i="330"/>
  <c r="V1658" i="330"/>
  <c r="U1658" i="330"/>
  <c r="T1658" i="330"/>
  <c r="S1658" i="330"/>
  <c r="R1658" i="330"/>
  <c r="Q1658" i="330"/>
  <c r="P1658" i="330"/>
  <c r="O1658" i="330"/>
  <c r="N1658" i="330"/>
  <c r="M1658" i="330"/>
  <c r="L1658" i="330"/>
  <c r="K1658" i="330"/>
  <c r="J1658" i="330"/>
  <c r="H1658" i="330"/>
  <c r="F1657" i="330"/>
  <c r="D1657" i="330" s="1"/>
  <c r="F1656" i="330"/>
  <c r="D1656" i="330" s="1"/>
  <c r="F1655" i="330"/>
  <c r="D1655" i="330" s="1"/>
  <c r="I1654" i="330"/>
  <c r="I1658" i="330" s="1"/>
  <c r="G1654" i="330"/>
  <c r="F1653" i="330"/>
  <c r="D1653" i="330" s="1"/>
  <c r="F1652" i="330"/>
  <c r="D1652" i="330" s="1"/>
  <c r="F1651" i="330"/>
  <c r="D1651" i="330" s="1"/>
  <c r="F1650" i="330"/>
  <c r="D1650" i="330" s="1"/>
  <c r="AX1649" i="330"/>
  <c r="AW1649" i="330"/>
  <c r="AV1649" i="330"/>
  <c r="AU1649" i="330"/>
  <c r="AT1649" i="330"/>
  <c r="AS1649" i="330"/>
  <c r="AR1649" i="330"/>
  <c r="AQ1649" i="330"/>
  <c r="AP1649" i="330"/>
  <c r="AO1649" i="330"/>
  <c r="AN1649" i="330"/>
  <c r="AM1649" i="330"/>
  <c r="AL1649" i="330"/>
  <c r="AK1649" i="330"/>
  <c r="AJ1649" i="330"/>
  <c r="AI1649" i="330"/>
  <c r="AH1649" i="330"/>
  <c r="AG1649" i="330"/>
  <c r="AF1649" i="330"/>
  <c r="AE1649" i="330"/>
  <c r="AD1649" i="330"/>
  <c r="AC1649" i="330"/>
  <c r="AB1649" i="330"/>
  <c r="AA1649" i="330"/>
  <c r="Z1649" i="330"/>
  <c r="Y1649" i="330"/>
  <c r="X1649" i="330"/>
  <c r="W1649" i="330"/>
  <c r="V1649" i="330"/>
  <c r="U1649" i="330"/>
  <c r="T1649" i="330"/>
  <c r="S1649" i="330"/>
  <c r="R1649" i="330"/>
  <c r="Q1649" i="330"/>
  <c r="P1649" i="330"/>
  <c r="O1649" i="330"/>
  <c r="N1649" i="330"/>
  <c r="M1649" i="330"/>
  <c r="L1649" i="330"/>
  <c r="K1649" i="330"/>
  <c r="J1649" i="330"/>
  <c r="I1649" i="330"/>
  <c r="H1649" i="330"/>
  <c r="G1649" i="330"/>
  <c r="F1648" i="330"/>
  <c r="D1648" i="330" s="1"/>
  <c r="F1647" i="330"/>
  <c r="D1647" i="330" s="1"/>
  <c r="F1646" i="330"/>
  <c r="D1646" i="330" s="1"/>
  <c r="F1645" i="330"/>
  <c r="D1645" i="330" s="1"/>
  <c r="F1644" i="330"/>
  <c r="D1644" i="330" s="1"/>
  <c r="F1643" i="330"/>
  <c r="D1643" i="330" s="1"/>
  <c r="F1642" i="330"/>
  <c r="D1642" i="330" s="1"/>
  <c r="AX1641" i="330"/>
  <c r="AW1641" i="330"/>
  <c r="AV1641" i="330"/>
  <c r="AU1641" i="330"/>
  <c r="AT1641" i="330"/>
  <c r="AS1641" i="330"/>
  <c r="AR1641" i="330"/>
  <c r="AQ1641" i="330"/>
  <c r="AP1641" i="330"/>
  <c r="AO1641" i="330"/>
  <c r="AN1641" i="330"/>
  <c r="AM1641" i="330"/>
  <c r="AL1641" i="330"/>
  <c r="AK1641" i="330"/>
  <c r="AJ1641" i="330"/>
  <c r="AI1641" i="330"/>
  <c r="AH1641" i="330"/>
  <c r="AG1641" i="330"/>
  <c r="AF1641" i="330"/>
  <c r="AE1641" i="330"/>
  <c r="AD1641" i="330"/>
  <c r="AC1641" i="330"/>
  <c r="AB1641" i="330"/>
  <c r="AA1641" i="330"/>
  <c r="Z1641" i="330"/>
  <c r="Y1641" i="330"/>
  <c r="X1641" i="330"/>
  <c r="W1641" i="330"/>
  <c r="V1641" i="330"/>
  <c r="U1641" i="330"/>
  <c r="T1641" i="330"/>
  <c r="S1641" i="330"/>
  <c r="R1641" i="330"/>
  <c r="Q1641" i="330"/>
  <c r="P1641" i="330"/>
  <c r="O1641" i="330"/>
  <c r="N1641" i="330"/>
  <c r="M1641" i="330"/>
  <c r="L1641" i="330"/>
  <c r="K1641" i="330"/>
  <c r="J1641" i="330"/>
  <c r="I1641" i="330"/>
  <c r="H1641" i="330"/>
  <c r="G1641" i="330"/>
  <c r="F1640" i="330"/>
  <c r="D1640" i="330" s="1"/>
  <c r="F1639" i="330"/>
  <c r="D1639" i="330" s="1"/>
  <c r="F1638" i="330"/>
  <c r="D1638" i="330" s="1"/>
  <c r="F1637" i="330"/>
  <c r="D1637" i="330" s="1"/>
  <c r="AX1636" i="330"/>
  <c r="AW1636" i="330"/>
  <c r="AV1636" i="330"/>
  <c r="AU1636" i="330"/>
  <c r="AT1636" i="330"/>
  <c r="AS1636" i="330"/>
  <c r="AR1636" i="330"/>
  <c r="AQ1636" i="330"/>
  <c r="AP1636" i="330"/>
  <c r="AO1636" i="330"/>
  <c r="AN1636" i="330"/>
  <c r="AM1636" i="330"/>
  <c r="AL1636" i="330"/>
  <c r="AK1636" i="330"/>
  <c r="AJ1636" i="330"/>
  <c r="AI1636" i="330"/>
  <c r="AH1636" i="330"/>
  <c r="AG1636" i="330"/>
  <c r="AF1636" i="330"/>
  <c r="AE1636" i="330"/>
  <c r="AD1636" i="330"/>
  <c r="AC1636" i="330"/>
  <c r="AB1636" i="330"/>
  <c r="AA1636" i="330"/>
  <c r="Z1636" i="330"/>
  <c r="Y1636" i="330"/>
  <c r="X1636" i="330"/>
  <c r="W1636" i="330"/>
  <c r="V1636" i="330"/>
  <c r="U1636" i="330"/>
  <c r="T1636" i="330"/>
  <c r="S1636" i="330"/>
  <c r="R1636" i="330"/>
  <c r="Q1636" i="330"/>
  <c r="P1636" i="330"/>
  <c r="O1636" i="330"/>
  <c r="N1636" i="330"/>
  <c r="M1636" i="330"/>
  <c r="L1636" i="330"/>
  <c r="K1636" i="330"/>
  <c r="J1636" i="330"/>
  <c r="I1636" i="330"/>
  <c r="H1636" i="330"/>
  <c r="G1636" i="330"/>
  <c r="F1635" i="330"/>
  <c r="D1635" i="330" s="1"/>
  <c r="F1634" i="330"/>
  <c r="D1634" i="330" s="1"/>
  <c r="F1633" i="330"/>
  <c r="D1633" i="330" s="1"/>
  <c r="AX1632" i="330"/>
  <c r="AW1632" i="330"/>
  <c r="AV1632" i="330"/>
  <c r="AU1632" i="330"/>
  <c r="AT1632" i="330"/>
  <c r="AS1632" i="330"/>
  <c r="AR1632" i="330"/>
  <c r="AQ1632" i="330"/>
  <c r="AP1632" i="330"/>
  <c r="AO1632" i="330"/>
  <c r="AN1632" i="330"/>
  <c r="AM1632" i="330"/>
  <c r="AL1632" i="330"/>
  <c r="AK1632" i="330"/>
  <c r="AJ1632" i="330"/>
  <c r="AI1632" i="330"/>
  <c r="AH1632" i="330"/>
  <c r="AG1632" i="330"/>
  <c r="AF1632" i="330"/>
  <c r="AE1632" i="330"/>
  <c r="AD1632" i="330"/>
  <c r="AC1632" i="330"/>
  <c r="AB1632" i="330"/>
  <c r="AA1632" i="330"/>
  <c r="Z1632" i="330"/>
  <c r="Y1632" i="330"/>
  <c r="X1632" i="330"/>
  <c r="W1632" i="330"/>
  <c r="V1632" i="330"/>
  <c r="U1632" i="330"/>
  <c r="T1632" i="330"/>
  <c r="S1632" i="330"/>
  <c r="R1632" i="330"/>
  <c r="Q1632" i="330"/>
  <c r="P1632" i="330"/>
  <c r="O1632" i="330"/>
  <c r="N1632" i="330"/>
  <c r="M1632" i="330"/>
  <c r="L1632" i="330"/>
  <c r="K1632" i="330"/>
  <c r="J1632" i="330"/>
  <c r="I1632" i="330"/>
  <c r="H1632" i="330"/>
  <c r="G1632" i="330"/>
  <c r="F1631" i="330"/>
  <c r="D1631" i="330" s="1"/>
  <c r="F1630" i="330"/>
  <c r="D1630" i="330" s="1"/>
  <c r="F1629" i="330"/>
  <c r="D1629" i="330" s="1"/>
  <c r="AX1628" i="330"/>
  <c r="AW1628" i="330"/>
  <c r="AV1628" i="330"/>
  <c r="AU1628" i="330"/>
  <c r="AT1628" i="330"/>
  <c r="AS1628" i="330"/>
  <c r="AR1628" i="330"/>
  <c r="AQ1628" i="330"/>
  <c r="AP1628" i="330"/>
  <c r="AO1628" i="330"/>
  <c r="AN1628" i="330"/>
  <c r="AM1628" i="330"/>
  <c r="AL1628" i="330"/>
  <c r="AK1628" i="330"/>
  <c r="AJ1628" i="330"/>
  <c r="AI1628" i="330"/>
  <c r="AH1628" i="330"/>
  <c r="AG1628" i="330"/>
  <c r="AF1628" i="330"/>
  <c r="AE1628" i="330"/>
  <c r="AD1628" i="330"/>
  <c r="AC1628" i="330"/>
  <c r="AB1628" i="330"/>
  <c r="AA1628" i="330"/>
  <c r="Z1628" i="330"/>
  <c r="Y1628" i="330"/>
  <c r="X1628" i="330"/>
  <c r="W1628" i="330"/>
  <c r="V1628" i="330"/>
  <c r="U1628" i="330"/>
  <c r="T1628" i="330"/>
  <c r="S1628" i="330"/>
  <c r="R1628" i="330"/>
  <c r="Q1628" i="330"/>
  <c r="P1628" i="330"/>
  <c r="O1628" i="330"/>
  <c r="N1628" i="330"/>
  <c r="M1628" i="330"/>
  <c r="L1628" i="330"/>
  <c r="K1628" i="330"/>
  <c r="J1628" i="330"/>
  <c r="I1628" i="330"/>
  <c r="H1628" i="330"/>
  <c r="G1628" i="330"/>
  <c r="F1627" i="330"/>
  <c r="D1627" i="330" s="1"/>
  <c r="F1626" i="330"/>
  <c r="D1626" i="330" s="1"/>
  <c r="F1625" i="330"/>
  <c r="D1625" i="330" s="1"/>
  <c r="AX1624" i="330"/>
  <c r="AW1624" i="330"/>
  <c r="AV1624" i="330"/>
  <c r="AU1624" i="330"/>
  <c r="AT1624" i="330"/>
  <c r="AS1624" i="330"/>
  <c r="AR1624" i="330"/>
  <c r="AQ1624" i="330"/>
  <c r="AP1624" i="330"/>
  <c r="AO1624" i="330"/>
  <c r="AN1624" i="330"/>
  <c r="AM1624" i="330"/>
  <c r="AL1624" i="330"/>
  <c r="AK1624" i="330"/>
  <c r="AJ1624" i="330"/>
  <c r="AI1624" i="330"/>
  <c r="AH1624" i="330"/>
  <c r="AG1624" i="330"/>
  <c r="AF1624" i="330"/>
  <c r="AE1624" i="330"/>
  <c r="AD1624" i="330"/>
  <c r="AC1624" i="330"/>
  <c r="AB1624" i="330"/>
  <c r="AA1624" i="330"/>
  <c r="Z1624" i="330"/>
  <c r="Y1624" i="330"/>
  <c r="X1624" i="330"/>
  <c r="W1624" i="330"/>
  <c r="V1624" i="330"/>
  <c r="U1624" i="330"/>
  <c r="T1624" i="330"/>
  <c r="S1624" i="330"/>
  <c r="R1624" i="330"/>
  <c r="Q1624" i="330"/>
  <c r="P1624" i="330"/>
  <c r="O1624" i="330"/>
  <c r="N1624" i="330"/>
  <c r="M1624" i="330"/>
  <c r="L1624" i="330"/>
  <c r="K1624" i="330"/>
  <c r="J1624" i="330"/>
  <c r="I1624" i="330"/>
  <c r="H1624" i="330"/>
  <c r="G1624" i="330"/>
  <c r="F1623" i="330"/>
  <c r="D1623" i="330" s="1"/>
  <c r="F1622" i="330"/>
  <c r="D1622" i="330" s="1"/>
  <c r="F1621" i="330"/>
  <c r="D1621" i="330" s="1"/>
  <c r="AX1620" i="330"/>
  <c r="AW1620" i="330"/>
  <c r="AV1620" i="330"/>
  <c r="AU1620" i="330"/>
  <c r="AT1620" i="330"/>
  <c r="AS1620" i="330"/>
  <c r="AR1620" i="330"/>
  <c r="AQ1620" i="330"/>
  <c r="AP1620" i="330"/>
  <c r="AO1620" i="330"/>
  <c r="AN1620" i="330"/>
  <c r="AM1620" i="330"/>
  <c r="AL1620" i="330"/>
  <c r="AK1620" i="330"/>
  <c r="AJ1620" i="330"/>
  <c r="AI1620" i="330"/>
  <c r="AH1620" i="330"/>
  <c r="AG1620" i="330"/>
  <c r="AF1620" i="330"/>
  <c r="AE1620" i="330"/>
  <c r="AD1620" i="330"/>
  <c r="AC1620" i="330"/>
  <c r="AB1620" i="330"/>
  <c r="AA1620" i="330"/>
  <c r="Z1620" i="330"/>
  <c r="Y1620" i="330"/>
  <c r="X1620" i="330"/>
  <c r="W1620" i="330"/>
  <c r="V1620" i="330"/>
  <c r="U1620" i="330"/>
  <c r="T1620" i="330"/>
  <c r="S1620" i="330"/>
  <c r="R1620" i="330"/>
  <c r="Q1620" i="330"/>
  <c r="P1620" i="330"/>
  <c r="O1620" i="330"/>
  <c r="N1620" i="330"/>
  <c r="M1620" i="330"/>
  <c r="L1620" i="330"/>
  <c r="K1620" i="330"/>
  <c r="J1620" i="330"/>
  <c r="F1620" i="330" s="1"/>
  <c r="D1620" i="330" s="1"/>
  <c r="I1620" i="330"/>
  <c r="H1620" i="330"/>
  <c r="G1620" i="330"/>
  <c r="F1619" i="330"/>
  <c r="D1619" i="330" s="1"/>
  <c r="F1618" i="330"/>
  <c r="D1618" i="330" s="1"/>
  <c r="F1617" i="330"/>
  <c r="D1617" i="330" s="1"/>
  <c r="AX1616" i="330"/>
  <c r="AW1616" i="330"/>
  <c r="AV1616" i="330"/>
  <c r="AU1616" i="330"/>
  <c r="AT1616" i="330"/>
  <c r="AS1616" i="330"/>
  <c r="AR1616" i="330"/>
  <c r="AQ1616" i="330"/>
  <c r="AP1616" i="330"/>
  <c r="AO1616" i="330"/>
  <c r="AN1616" i="330"/>
  <c r="AM1616" i="330"/>
  <c r="AL1616" i="330"/>
  <c r="AK1616" i="330"/>
  <c r="AJ1616" i="330"/>
  <c r="AI1616" i="330"/>
  <c r="AH1616" i="330"/>
  <c r="AG1616" i="330"/>
  <c r="AF1616" i="330"/>
  <c r="AE1616" i="330"/>
  <c r="AD1616" i="330"/>
  <c r="AC1616" i="330"/>
  <c r="AB1616" i="330"/>
  <c r="AA1616" i="330"/>
  <c r="Z1616" i="330"/>
  <c r="Y1616" i="330"/>
  <c r="X1616" i="330"/>
  <c r="W1616" i="330"/>
  <c r="V1616" i="330"/>
  <c r="U1616" i="330"/>
  <c r="T1616" i="330"/>
  <c r="S1616" i="330"/>
  <c r="R1616" i="330"/>
  <c r="Q1616" i="330"/>
  <c r="P1616" i="330"/>
  <c r="O1616" i="330"/>
  <c r="N1616" i="330"/>
  <c r="M1616" i="330"/>
  <c r="L1616" i="330"/>
  <c r="K1616" i="330"/>
  <c r="J1616" i="330"/>
  <c r="I1616" i="330"/>
  <c r="F1616" i="330" s="1"/>
  <c r="D1616" i="330" s="1"/>
  <c r="H1616" i="330"/>
  <c r="G1616" i="330"/>
  <c r="F1615" i="330"/>
  <c r="D1615" i="330" s="1"/>
  <c r="F1614" i="330"/>
  <c r="D1614" i="330" s="1"/>
  <c r="F1613" i="330"/>
  <c r="D1613" i="330" s="1"/>
  <c r="AX1612" i="330"/>
  <c r="AW1612" i="330"/>
  <c r="AV1612" i="330"/>
  <c r="AU1612" i="330"/>
  <c r="AT1612" i="330"/>
  <c r="AS1612" i="330"/>
  <c r="AR1612" i="330"/>
  <c r="AQ1612" i="330"/>
  <c r="AP1612" i="330"/>
  <c r="AO1612" i="330"/>
  <c r="AN1612" i="330"/>
  <c r="AM1612" i="330"/>
  <c r="AL1612" i="330"/>
  <c r="AK1612" i="330"/>
  <c r="AJ1612" i="330"/>
  <c r="AI1612" i="330"/>
  <c r="AH1612" i="330"/>
  <c r="AG1612" i="330"/>
  <c r="AF1612" i="330"/>
  <c r="AE1612" i="330"/>
  <c r="AD1612" i="330"/>
  <c r="AC1612" i="330"/>
  <c r="AB1612" i="330"/>
  <c r="AA1612" i="330"/>
  <c r="Z1612" i="330"/>
  <c r="Y1612" i="330"/>
  <c r="X1612" i="330"/>
  <c r="W1612" i="330"/>
  <c r="V1612" i="330"/>
  <c r="U1612" i="330"/>
  <c r="T1612" i="330"/>
  <c r="S1612" i="330"/>
  <c r="R1612" i="330"/>
  <c r="Q1612" i="330"/>
  <c r="P1612" i="330"/>
  <c r="O1612" i="330"/>
  <c r="N1612" i="330"/>
  <c r="M1612" i="330"/>
  <c r="L1612" i="330"/>
  <c r="K1612" i="330"/>
  <c r="J1612" i="330"/>
  <c r="I1612" i="330"/>
  <c r="H1612" i="330"/>
  <c r="G1612" i="330"/>
  <c r="F1611" i="330"/>
  <c r="D1611" i="330" s="1"/>
  <c r="F1610" i="330"/>
  <c r="D1610" i="330" s="1"/>
  <c r="F1609" i="330"/>
  <c r="D1609" i="330" s="1"/>
  <c r="AX1608" i="330"/>
  <c r="AW1608" i="330"/>
  <c r="AV1608" i="330"/>
  <c r="AU1608" i="330"/>
  <c r="AT1608" i="330"/>
  <c r="AS1608" i="330"/>
  <c r="AR1608" i="330"/>
  <c r="AQ1608" i="330"/>
  <c r="AP1608" i="330"/>
  <c r="AO1608" i="330"/>
  <c r="AN1608" i="330"/>
  <c r="AM1608" i="330"/>
  <c r="AL1608" i="330"/>
  <c r="AK1608" i="330"/>
  <c r="AJ1608" i="330"/>
  <c r="AI1608" i="330"/>
  <c r="AH1608" i="330"/>
  <c r="AG1608" i="330"/>
  <c r="AF1608" i="330"/>
  <c r="AE1608" i="330"/>
  <c r="AD1608" i="330"/>
  <c r="AC1608" i="330"/>
  <c r="AB1608" i="330"/>
  <c r="AA1608" i="330"/>
  <c r="Z1608" i="330"/>
  <c r="Y1608" i="330"/>
  <c r="X1608" i="330"/>
  <c r="W1608" i="330"/>
  <c r="V1608" i="330"/>
  <c r="U1608" i="330"/>
  <c r="T1608" i="330"/>
  <c r="S1608" i="330"/>
  <c r="R1608" i="330"/>
  <c r="Q1608" i="330"/>
  <c r="P1608" i="330"/>
  <c r="O1608" i="330"/>
  <c r="N1608" i="330"/>
  <c r="M1608" i="330"/>
  <c r="L1608" i="330"/>
  <c r="K1608" i="330"/>
  <c r="J1608" i="330"/>
  <c r="I1608" i="330"/>
  <c r="H1608" i="330"/>
  <c r="G1608" i="330"/>
  <c r="F1607" i="330"/>
  <c r="D1607" i="330" s="1"/>
  <c r="F1606" i="330"/>
  <c r="D1606" i="330" s="1"/>
  <c r="F1605" i="330"/>
  <c r="D1605" i="330" s="1"/>
  <c r="AX1604" i="330"/>
  <c r="AW1604" i="330"/>
  <c r="AV1604" i="330"/>
  <c r="AU1604" i="330"/>
  <c r="AT1604" i="330"/>
  <c r="AS1604" i="330"/>
  <c r="AR1604" i="330"/>
  <c r="AQ1604" i="330"/>
  <c r="AP1604" i="330"/>
  <c r="AO1604" i="330"/>
  <c r="AN1604" i="330"/>
  <c r="AM1604" i="330"/>
  <c r="AL1604" i="330"/>
  <c r="AK1604" i="330"/>
  <c r="AJ1604" i="330"/>
  <c r="AI1604" i="330"/>
  <c r="AH1604" i="330"/>
  <c r="AG1604" i="330"/>
  <c r="AF1604" i="330"/>
  <c r="AE1604" i="330"/>
  <c r="AD1604" i="330"/>
  <c r="AC1604" i="330"/>
  <c r="AB1604" i="330"/>
  <c r="AA1604" i="330"/>
  <c r="Y1604" i="330"/>
  <c r="X1604" i="330"/>
  <c r="W1604" i="330"/>
  <c r="V1604" i="330"/>
  <c r="U1604" i="330"/>
  <c r="T1604" i="330"/>
  <c r="S1604" i="330"/>
  <c r="R1604" i="330"/>
  <c r="Q1604" i="330"/>
  <c r="P1604" i="330"/>
  <c r="O1604" i="330"/>
  <c r="N1604" i="330"/>
  <c r="M1604" i="330"/>
  <c r="L1604" i="330"/>
  <c r="K1604" i="330"/>
  <c r="J1604" i="330"/>
  <c r="I1604" i="330"/>
  <c r="H1604" i="330"/>
  <c r="G1604" i="330"/>
  <c r="F1603" i="330"/>
  <c r="D1603" i="330" s="1"/>
  <c r="F1602" i="330"/>
  <c r="D1602" i="330" s="1"/>
  <c r="F1601" i="330"/>
  <c r="D1601" i="330" s="1"/>
  <c r="Z1600" i="330"/>
  <c r="F1600" i="330" s="1"/>
  <c r="D1600" i="330" s="1"/>
  <c r="AX1599" i="330"/>
  <c r="AW1599" i="330"/>
  <c r="AV1599" i="330"/>
  <c r="AU1599" i="330"/>
  <c r="AT1599" i="330"/>
  <c r="AS1599" i="330"/>
  <c r="AR1599" i="330"/>
  <c r="AQ1599" i="330"/>
  <c r="AP1599" i="330"/>
  <c r="AO1599" i="330"/>
  <c r="AN1599" i="330"/>
  <c r="AM1599" i="330"/>
  <c r="AL1599" i="330"/>
  <c r="AK1599" i="330"/>
  <c r="AJ1599" i="330"/>
  <c r="AI1599" i="330"/>
  <c r="AH1599" i="330"/>
  <c r="AG1599" i="330"/>
  <c r="AF1599" i="330"/>
  <c r="AE1599" i="330"/>
  <c r="AD1599" i="330"/>
  <c r="AC1599" i="330"/>
  <c r="AB1599" i="330"/>
  <c r="AA1599" i="330"/>
  <c r="Z1599" i="330"/>
  <c r="Y1599" i="330"/>
  <c r="X1599" i="330"/>
  <c r="W1599" i="330"/>
  <c r="V1599" i="330"/>
  <c r="U1599" i="330"/>
  <c r="T1599" i="330"/>
  <c r="S1599" i="330"/>
  <c r="R1599" i="330"/>
  <c r="Q1599" i="330"/>
  <c r="P1599" i="330"/>
  <c r="O1599" i="330"/>
  <c r="N1599" i="330"/>
  <c r="M1599" i="330"/>
  <c r="L1599" i="330"/>
  <c r="K1599" i="330"/>
  <c r="J1599" i="330"/>
  <c r="I1599" i="330"/>
  <c r="H1599" i="330"/>
  <c r="G1599" i="330"/>
  <c r="F1598" i="330"/>
  <c r="D1598" i="330" s="1"/>
  <c r="F1597" i="330"/>
  <c r="D1597" i="330" s="1"/>
  <c r="F1596" i="330"/>
  <c r="D1596" i="330" s="1"/>
  <c r="F1595" i="330"/>
  <c r="D1595" i="330" s="1"/>
  <c r="AX1594" i="330"/>
  <c r="AW1594" i="330"/>
  <c r="AV1594" i="330"/>
  <c r="AU1594" i="330"/>
  <c r="AT1594" i="330"/>
  <c r="AS1594" i="330"/>
  <c r="AR1594" i="330"/>
  <c r="AQ1594" i="330"/>
  <c r="AP1594" i="330"/>
  <c r="AO1594" i="330"/>
  <c r="AN1594" i="330"/>
  <c r="AM1594" i="330"/>
  <c r="AL1594" i="330"/>
  <c r="AK1594" i="330"/>
  <c r="AJ1594" i="330"/>
  <c r="AI1594" i="330"/>
  <c r="AH1594" i="330"/>
  <c r="AG1594" i="330"/>
  <c r="AF1594" i="330"/>
  <c r="AE1594" i="330"/>
  <c r="AD1594" i="330"/>
  <c r="AC1594" i="330"/>
  <c r="AB1594" i="330"/>
  <c r="AA1594" i="330"/>
  <c r="Z1594" i="330"/>
  <c r="Y1594" i="330"/>
  <c r="X1594" i="330"/>
  <c r="W1594" i="330"/>
  <c r="V1594" i="330"/>
  <c r="U1594" i="330"/>
  <c r="T1594" i="330"/>
  <c r="S1594" i="330"/>
  <c r="R1594" i="330"/>
  <c r="Q1594" i="330"/>
  <c r="P1594" i="330"/>
  <c r="O1594" i="330"/>
  <c r="N1594" i="330"/>
  <c r="M1594" i="330"/>
  <c r="L1594" i="330"/>
  <c r="K1594" i="330"/>
  <c r="J1594" i="330"/>
  <c r="I1594" i="330"/>
  <c r="H1594" i="330"/>
  <c r="G1594" i="330"/>
  <c r="F1593" i="330"/>
  <c r="D1593" i="330" s="1"/>
  <c r="F1592" i="330"/>
  <c r="D1592" i="330" s="1"/>
  <c r="F1591" i="330"/>
  <c r="D1591" i="330"/>
  <c r="F1590" i="330"/>
  <c r="D1590" i="330" s="1"/>
  <c r="AX1589" i="330"/>
  <c r="AW1589" i="330"/>
  <c r="AV1589" i="330"/>
  <c r="AU1589" i="330"/>
  <c r="AT1589" i="330"/>
  <c r="AS1589" i="330"/>
  <c r="AR1589" i="330"/>
  <c r="AQ1589" i="330"/>
  <c r="AP1589" i="330"/>
  <c r="AO1589" i="330"/>
  <c r="AN1589" i="330"/>
  <c r="AM1589" i="330"/>
  <c r="AL1589" i="330"/>
  <c r="AK1589" i="330"/>
  <c r="AJ1589" i="330"/>
  <c r="AI1589" i="330"/>
  <c r="AH1589" i="330"/>
  <c r="AG1589" i="330"/>
  <c r="AF1589" i="330"/>
  <c r="AE1589" i="330"/>
  <c r="AD1589" i="330"/>
  <c r="AC1589" i="330"/>
  <c r="AB1589" i="330"/>
  <c r="AA1589" i="330"/>
  <c r="Z1589" i="330"/>
  <c r="Y1589" i="330"/>
  <c r="X1589" i="330"/>
  <c r="W1589" i="330"/>
  <c r="V1589" i="330"/>
  <c r="U1589" i="330"/>
  <c r="T1589" i="330"/>
  <c r="S1589" i="330"/>
  <c r="R1589" i="330"/>
  <c r="Q1589" i="330"/>
  <c r="P1589" i="330"/>
  <c r="O1589" i="330"/>
  <c r="N1589" i="330"/>
  <c r="M1589" i="330"/>
  <c r="L1589" i="330"/>
  <c r="K1589" i="330"/>
  <c r="J1589" i="330"/>
  <c r="I1589" i="330"/>
  <c r="H1589" i="330"/>
  <c r="G1589" i="330"/>
  <c r="F1588" i="330"/>
  <c r="D1588" i="330" s="1"/>
  <c r="F1587" i="330"/>
  <c r="D1587" i="330" s="1"/>
  <c r="F1586" i="330"/>
  <c r="D1586" i="330" s="1"/>
  <c r="F1585" i="330"/>
  <c r="D1585" i="330" s="1"/>
  <c r="AX1584" i="330"/>
  <c r="AW1584" i="330"/>
  <c r="AV1584" i="330"/>
  <c r="AU1584" i="330"/>
  <c r="AT1584" i="330"/>
  <c r="AS1584" i="330"/>
  <c r="AR1584" i="330"/>
  <c r="AP1584" i="330"/>
  <c r="AO1584" i="330"/>
  <c r="AN1584" i="330"/>
  <c r="AM1584" i="330"/>
  <c r="AL1584" i="330"/>
  <c r="AK1584" i="330"/>
  <c r="AJ1584" i="330"/>
  <c r="AI1584" i="330"/>
  <c r="AH1584" i="330"/>
  <c r="AG1584" i="330"/>
  <c r="AF1584" i="330"/>
  <c r="AE1584" i="330"/>
  <c r="AD1584" i="330"/>
  <c r="AC1584" i="330"/>
  <c r="AB1584" i="330"/>
  <c r="AA1584" i="330"/>
  <c r="Z1584" i="330"/>
  <c r="Y1584" i="330"/>
  <c r="X1584" i="330"/>
  <c r="W1584" i="330"/>
  <c r="V1584" i="330"/>
  <c r="U1584" i="330"/>
  <c r="T1584" i="330"/>
  <c r="S1584" i="330"/>
  <c r="R1584" i="330"/>
  <c r="Q1584" i="330"/>
  <c r="P1584" i="330"/>
  <c r="O1584" i="330"/>
  <c r="N1584" i="330"/>
  <c r="M1584" i="330"/>
  <c r="L1584" i="330"/>
  <c r="K1584" i="330"/>
  <c r="J1584" i="330"/>
  <c r="I1584" i="330"/>
  <c r="H1584" i="330"/>
  <c r="G1584" i="330"/>
  <c r="F1583" i="330"/>
  <c r="D1583" i="330" s="1"/>
  <c r="F1582" i="330"/>
  <c r="D1582" i="330" s="1"/>
  <c r="F1581" i="330"/>
  <c r="D1581" i="330" s="1"/>
  <c r="F1580" i="330"/>
  <c r="D1580" i="330" s="1"/>
  <c r="AQ1579" i="330"/>
  <c r="F1579" i="330"/>
  <c r="D1579" i="330" s="1"/>
  <c r="AQ1578" i="330"/>
  <c r="AX1577" i="330"/>
  <c r="AW1577" i="330"/>
  <c r="AV1577" i="330"/>
  <c r="AU1577" i="330"/>
  <c r="AT1577" i="330"/>
  <c r="AS1577" i="330"/>
  <c r="AR1577" i="330"/>
  <c r="AQ1577" i="330"/>
  <c r="AP1577" i="330"/>
  <c r="AO1577" i="330"/>
  <c r="AN1577" i="330"/>
  <c r="AM1577" i="330"/>
  <c r="AL1577" i="330"/>
  <c r="AK1577" i="330"/>
  <c r="AJ1577" i="330"/>
  <c r="AI1577" i="330"/>
  <c r="AH1577" i="330"/>
  <c r="AG1577" i="330"/>
  <c r="AF1577" i="330"/>
  <c r="AE1577" i="330"/>
  <c r="AD1577" i="330"/>
  <c r="AC1577" i="330"/>
  <c r="AB1577" i="330"/>
  <c r="AA1577" i="330"/>
  <c r="Z1577" i="330"/>
  <c r="Y1577" i="330"/>
  <c r="X1577" i="330"/>
  <c r="W1577" i="330"/>
  <c r="V1577" i="330"/>
  <c r="U1577" i="330"/>
  <c r="T1577" i="330"/>
  <c r="S1577" i="330"/>
  <c r="R1577" i="330"/>
  <c r="Q1577" i="330"/>
  <c r="P1577" i="330"/>
  <c r="O1577" i="330"/>
  <c r="N1577" i="330"/>
  <c r="M1577" i="330"/>
  <c r="L1577" i="330"/>
  <c r="K1577" i="330"/>
  <c r="J1577" i="330"/>
  <c r="I1577" i="330"/>
  <c r="H1577" i="330"/>
  <c r="G1577" i="330"/>
  <c r="F1576" i="330"/>
  <c r="D1576" i="330" s="1"/>
  <c r="F1575" i="330"/>
  <c r="D1575" i="330" s="1"/>
  <c r="F1574" i="330"/>
  <c r="D1574" i="330" s="1"/>
  <c r="AX1573" i="330"/>
  <c r="AW1573" i="330"/>
  <c r="AV1573" i="330"/>
  <c r="AU1573" i="330"/>
  <c r="AT1573" i="330"/>
  <c r="AS1573" i="330"/>
  <c r="AR1573" i="330"/>
  <c r="AQ1573" i="330"/>
  <c r="AP1573" i="330"/>
  <c r="AO1573" i="330"/>
  <c r="AN1573" i="330"/>
  <c r="AM1573" i="330"/>
  <c r="AL1573" i="330"/>
  <c r="AK1573" i="330"/>
  <c r="AJ1573" i="330"/>
  <c r="AI1573" i="330"/>
  <c r="AH1573" i="330"/>
  <c r="AG1573" i="330"/>
  <c r="AF1573" i="330"/>
  <c r="AE1573" i="330"/>
  <c r="AD1573" i="330"/>
  <c r="AC1573" i="330"/>
  <c r="AB1573" i="330"/>
  <c r="AA1573" i="330"/>
  <c r="Z1573" i="330"/>
  <c r="Y1573" i="330"/>
  <c r="X1573" i="330"/>
  <c r="W1573" i="330"/>
  <c r="V1573" i="330"/>
  <c r="U1573" i="330"/>
  <c r="T1573" i="330"/>
  <c r="S1573" i="330"/>
  <c r="R1573" i="330"/>
  <c r="Q1573" i="330"/>
  <c r="P1573" i="330"/>
  <c r="O1573" i="330"/>
  <c r="N1573" i="330"/>
  <c r="M1573" i="330"/>
  <c r="L1573" i="330"/>
  <c r="K1573" i="330"/>
  <c r="J1573" i="330"/>
  <c r="I1573" i="330"/>
  <c r="H1573" i="330"/>
  <c r="G1573" i="330"/>
  <c r="F1572" i="330"/>
  <c r="D1572" i="330" s="1"/>
  <c r="F1571" i="330"/>
  <c r="D1571" i="330" s="1"/>
  <c r="F1570" i="330"/>
  <c r="D1570" i="330" s="1"/>
  <c r="F1569" i="330"/>
  <c r="D1569" i="330" s="1"/>
  <c r="F1568" i="330"/>
  <c r="D1568" i="330" s="1"/>
  <c r="F1567" i="330"/>
  <c r="D1567" i="330" s="1"/>
  <c r="AX1566" i="330"/>
  <c r="AW1566" i="330"/>
  <c r="AV1566" i="330"/>
  <c r="AU1566" i="330"/>
  <c r="AT1566" i="330"/>
  <c r="AS1566" i="330"/>
  <c r="AR1566" i="330"/>
  <c r="AQ1566" i="330"/>
  <c r="AP1566" i="330"/>
  <c r="AO1566" i="330"/>
  <c r="AN1566" i="330"/>
  <c r="AM1566" i="330"/>
  <c r="AL1566" i="330"/>
  <c r="AK1566" i="330"/>
  <c r="AJ1566" i="330"/>
  <c r="AI1566" i="330"/>
  <c r="AH1566" i="330"/>
  <c r="AG1566" i="330"/>
  <c r="AF1566" i="330"/>
  <c r="AE1566" i="330"/>
  <c r="AD1566" i="330"/>
  <c r="AC1566" i="330"/>
  <c r="AB1566" i="330"/>
  <c r="Z1566" i="330"/>
  <c r="Y1566" i="330"/>
  <c r="X1566" i="330"/>
  <c r="W1566" i="330"/>
  <c r="V1566" i="330"/>
  <c r="U1566" i="330"/>
  <c r="T1566" i="330"/>
  <c r="S1566" i="330"/>
  <c r="R1566" i="330"/>
  <c r="Q1566" i="330"/>
  <c r="O1566" i="330"/>
  <c r="N1566" i="330"/>
  <c r="L1566" i="330"/>
  <c r="K1566" i="330"/>
  <c r="H1566" i="330"/>
  <c r="F1565" i="330"/>
  <c r="D1565" i="330" s="1"/>
  <c r="F1564" i="330"/>
  <c r="D1564" i="330" s="1"/>
  <c r="F1563" i="330"/>
  <c r="D1563" i="330" s="1"/>
  <c r="F1562" i="330"/>
  <c r="D1562" i="330" s="1"/>
  <c r="F1561" i="330"/>
  <c r="D1561" i="330" s="1"/>
  <c r="F1560" i="330"/>
  <c r="D1560" i="330" s="1"/>
  <c r="F1559" i="330"/>
  <c r="D1559" i="330" s="1"/>
  <c r="F1558" i="330"/>
  <c r="D1558" i="330" s="1"/>
  <c r="F1557" i="330"/>
  <c r="D1557" i="330" s="1"/>
  <c r="F1556" i="330"/>
  <c r="D1556" i="330" s="1"/>
  <c r="AA1555" i="330"/>
  <c r="AA1554" i="330" s="1"/>
  <c r="AA1566" i="330"/>
  <c r="P1555" i="330"/>
  <c r="P1566" i="330" s="1"/>
  <c r="M1555" i="330"/>
  <c r="M1566" i="330" s="1"/>
  <c r="J1555" i="330"/>
  <c r="J1554" i="330" s="1"/>
  <c r="I1555" i="330"/>
  <c r="I1566" i="330" s="1"/>
  <c r="G1555" i="330"/>
  <c r="AX1554" i="330"/>
  <c r="AW1554" i="330"/>
  <c r="AV1554" i="330"/>
  <c r="AU1554" i="330"/>
  <c r="AT1554" i="330"/>
  <c r="AS1554" i="330"/>
  <c r="AR1554" i="330"/>
  <c r="AP1554" i="330"/>
  <c r="AO1554" i="330"/>
  <c r="AN1554" i="330"/>
  <c r="AM1554" i="330"/>
  <c r="AL1554" i="330"/>
  <c r="AK1554" i="330"/>
  <c r="AJ1554" i="330"/>
  <c r="AI1554" i="330"/>
  <c r="AH1554" i="330"/>
  <c r="AG1554" i="330"/>
  <c r="AF1554" i="330"/>
  <c r="AE1554" i="330"/>
  <c r="AD1554" i="330"/>
  <c r="AC1554" i="330"/>
  <c r="AB1554" i="330"/>
  <c r="Z1554" i="330"/>
  <c r="Y1554" i="330"/>
  <c r="X1554" i="330"/>
  <c r="W1554" i="330"/>
  <c r="V1554" i="330"/>
  <c r="U1554" i="330"/>
  <c r="T1554" i="330"/>
  <c r="S1554" i="330"/>
  <c r="R1554" i="330"/>
  <c r="Q1554" i="330"/>
  <c r="O1554" i="330"/>
  <c r="N1554" i="330"/>
  <c r="M1554" i="330"/>
  <c r="L1554" i="330"/>
  <c r="K1554" i="330"/>
  <c r="H1554" i="330"/>
  <c r="E1554" i="330"/>
  <c r="AX1553" i="330"/>
  <c r="AW1553" i="330"/>
  <c r="AV1553" i="330"/>
  <c r="AU1553" i="330"/>
  <c r="AT1553" i="330"/>
  <c r="AS1553" i="330"/>
  <c r="AR1553" i="330"/>
  <c r="AQ1553" i="330"/>
  <c r="AP1553" i="330"/>
  <c r="AO1553" i="330"/>
  <c r="AN1553" i="330"/>
  <c r="AM1553" i="330"/>
  <c r="AL1553" i="330"/>
  <c r="AK1553" i="330"/>
  <c r="AJ1553" i="330"/>
  <c r="AI1553" i="330"/>
  <c r="AH1553" i="330"/>
  <c r="AG1553" i="330"/>
  <c r="AF1553" i="330"/>
  <c r="AE1553" i="330"/>
  <c r="AD1553" i="330"/>
  <c r="AC1553" i="330"/>
  <c r="AB1553" i="330"/>
  <c r="AA1553" i="330"/>
  <c r="Z1553" i="330"/>
  <c r="Y1553" i="330"/>
  <c r="X1553" i="330"/>
  <c r="W1553" i="330"/>
  <c r="V1553" i="330"/>
  <c r="U1553" i="330"/>
  <c r="T1553" i="330"/>
  <c r="S1553" i="330"/>
  <c r="R1553" i="330"/>
  <c r="Q1553" i="330"/>
  <c r="P1553" i="330"/>
  <c r="O1553" i="330"/>
  <c r="N1553" i="330"/>
  <c r="M1553" i="330"/>
  <c r="L1553" i="330"/>
  <c r="K1553" i="330"/>
  <c r="J1553" i="330"/>
  <c r="I1553" i="330"/>
  <c r="H1553" i="330"/>
  <c r="G1553" i="330"/>
  <c r="F1552" i="330"/>
  <c r="D1552" i="330" s="1"/>
  <c r="F1551" i="330"/>
  <c r="D1551" i="330" s="1"/>
  <c r="F1550" i="330"/>
  <c r="D1550" i="330" s="1"/>
  <c r="F1549" i="330"/>
  <c r="D1549" i="330" s="1"/>
  <c r="F1548" i="330"/>
  <c r="D1548" i="330" s="1"/>
  <c r="F1547" i="330"/>
  <c r="D1547" i="330" s="1"/>
  <c r="F1546" i="330"/>
  <c r="D1546" i="330" s="1"/>
  <c r="AX1545" i="330"/>
  <c r="AW1545" i="330"/>
  <c r="AV1545" i="330"/>
  <c r="AU1545" i="330"/>
  <c r="AT1545" i="330"/>
  <c r="AS1545" i="330"/>
  <c r="AR1545" i="330"/>
  <c r="AQ1545" i="330"/>
  <c r="AP1545" i="330"/>
  <c r="AO1545" i="330"/>
  <c r="AN1545" i="330"/>
  <c r="AM1545" i="330"/>
  <c r="AL1545" i="330"/>
  <c r="AK1545" i="330"/>
  <c r="AJ1545" i="330"/>
  <c r="AI1545" i="330"/>
  <c r="AH1545" i="330"/>
  <c r="AG1545" i="330"/>
  <c r="AF1545" i="330"/>
  <c r="AE1545" i="330"/>
  <c r="AD1545" i="330"/>
  <c r="AC1545" i="330"/>
  <c r="AB1545" i="330"/>
  <c r="AA1545" i="330"/>
  <c r="Z1545" i="330"/>
  <c r="Y1545" i="330"/>
  <c r="X1545" i="330"/>
  <c r="W1545" i="330"/>
  <c r="V1545" i="330"/>
  <c r="U1545" i="330"/>
  <c r="T1545" i="330"/>
  <c r="S1545" i="330"/>
  <c r="R1545" i="330"/>
  <c r="Q1545" i="330"/>
  <c r="P1545" i="330"/>
  <c r="O1545" i="330"/>
  <c r="N1545" i="330"/>
  <c r="M1545" i="330"/>
  <c r="L1545" i="330"/>
  <c r="K1545" i="330"/>
  <c r="J1545" i="330"/>
  <c r="I1545" i="330"/>
  <c r="H1545" i="330"/>
  <c r="G1545" i="330"/>
  <c r="F1544" i="330"/>
  <c r="D1544" i="330" s="1"/>
  <c r="F1543" i="330"/>
  <c r="D1543" i="330" s="1"/>
  <c r="F1542" i="330"/>
  <c r="D1542" i="330" s="1"/>
  <c r="AX1541" i="330"/>
  <c r="AW1541" i="330"/>
  <c r="AV1541" i="330"/>
  <c r="AU1541" i="330"/>
  <c r="AT1541" i="330"/>
  <c r="AS1541" i="330"/>
  <c r="AR1541" i="330"/>
  <c r="AQ1541" i="330"/>
  <c r="AP1541" i="330"/>
  <c r="AO1541" i="330"/>
  <c r="AN1541" i="330"/>
  <c r="AM1541" i="330"/>
  <c r="AL1541" i="330"/>
  <c r="AK1541" i="330"/>
  <c r="AJ1541" i="330"/>
  <c r="AI1541" i="330"/>
  <c r="AH1541" i="330"/>
  <c r="AG1541" i="330"/>
  <c r="AF1541" i="330"/>
  <c r="AE1541" i="330"/>
  <c r="AD1541" i="330"/>
  <c r="AC1541" i="330"/>
  <c r="AB1541" i="330"/>
  <c r="AA1541" i="330"/>
  <c r="Z1541" i="330"/>
  <c r="Y1541" i="330"/>
  <c r="X1541" i="330"/>
  <c r="W1541" i="330"/>
  <c r="V1541" i="330"/>
  <c r="U1541" i="330"/>
  <c r="T1541" i="330"/>
  <c r="S1541" i="330"/>
  <c r="R1541" i="330"/>
  <c r="Q1541" i="330"/>
  <c r="P1541" i="330"/>
  <c r="O1541" i="330"/>
  <c r="N1541" i="330"/>
  <c r="M1541" i="330"/>
  <c r="L1541" i="330"/>
  <c r="K1541" i="330"/>
  <c r="J1541" i="330"/>
  <c r="I1541" i="330"/>
  <c r="H1541" i="330"/>
  <c r="G1541" i="330"/>
  <c r="F1540" i="330"/>
  <c r="D1540" i="330" s="1"/>
  <c r="F1539" i="330"/>
  <c r="D1539" i="330" s="1"/>
  <c r="F1538" i="330"/>
  <c r="D1538" i="330" s="1"/>
  <c r="F1537" i="330"/>
  <c r="D1537" i="330" s="1"/>
  <c r="F1536" i="330"/>
  <c r="D1536" i="330" s="1"/>
  <c r="AX1535" i="330"/>
  <c r="AW1535" i="330"/>
  <c r="AV1535" i="330"/>
  <c r="AU1535" i="330"/>
  <c r="AT1535" i="330"/>
  <c r="AS1535" i="330"/>
  <c r="AR1535" i="330"/>
  <c r="AQ1535" i="330"/>
  <c r="AP1535" i="330"/>
  <c r="AO1535" i="330"/>
  <c r="AN1535" i="330"/>
  <c r="AM1535" i="330"/>
  <c r="AL1535" i="330"/>
  <c r="AK1535" i="330"/>
  <c r="AJ1535" i="330"/>
  <c r="AI1535" i="330"/>
  <c r="AH1535" i="330"/>
  <c r="AG1535" i="330"/>
  <c r="AF1535" i="330"/>
  <c r="AE1535" i="330"/>
  <c r="AD1535" i="330"/>
  <c r="AC1535" i="330"/>
  <c r="AB1535" i="330"/>
  <c r="AA1535" i="330"/>
  <c r="Z1535" i="330"/>
  <c r="Y1535" i="330"/>
  <c r="X1535" i="330"/>
  <c r="W1535" i="330"/>
  <c r="V1535" i="330"/>
  <c r="U1535" i="330"/>
  <c r="T1535" i="330"/>
  <c r="S1535" i="330"/>
  <c r="R1535" i="330"/>
  <c r="Q1535" i="330"/>
  <c r="P1535" i="330"/>
  <c r="O1535" i="330"/>
  <c r="N1535" i="330"/>
  <c r="M1535" i="330"/>
  <c r="L1535" i="330"/>
  <c r="K1535" i="330"/>
  <c r="J1535" i="330"/>
  <c r="I1535" i="330"/>
  <c r="H1535" i="330"/>
  <c r="G1535" i="330"/>
  <c r="F1534" i="330"/>
  <c r="D1534" i="330" s="1"/>
  <c r="F1533" i="330"/>
  <c r="D1533" i="330" s="1"/>
  <c r="F1532" i="330"/>
  <c r="D1532" i="330" s="1"/>
  <c r="F1531" i="330"/>
  <c r="D1531" i="330" s="1"/>
  <c r="AX1530" i="330"/>
  <c r="AW1530" i="330"/>
  <c r="AV1530" i="330"/>
  <c r="AU1530" i="330"/>
  <c r="AT1530" i="330"/>
  <c r="AS1530" i="330"/>
  <c r="AR1530" i="330"/>
  <c r="AQ1530" i="330"/>
  <c r="AP1530" i="330"/>
  <c r="AO1530" i="330"/>
  <c r="AN1530" i="330"/>
  <c r="AM1530" i="330"/>
  <c r="AL1530" i="330"/>
  <c r="AK1530" i="330"/>
  <c r="AJ1530" i="330"/>
  <c r="AI1530" i="330"/>
  <c r="AH1530" i="330"/>
  <c r="AG1530" i="330"/>
  <c r="AF1530" i="330"/>
  <c r="AE1530" i="330"/>
  <c r="AD1530" i="330"/>
  <c r="AC1530" i="330"/>
  <c r="AB1530" i="330"/>
  <c r="AA1530" i="330"/>
  <c r="Z1530" i="330"/>
  <c r="Y1530" i="330"/>
  <c r="X1530" i="330"/>
  <c r="W1530" i="330"/>
  <c r="V1530" i="330"/>
  <c r="U1530" i="330"/>
  <c r="T1530" i="330"/>
  <c r="S1530" i="330"/>
  <c r="R1530" i="330"/>
  <c r="Q1530" i="330"/>
  <c r="P1530" i="330"/>
  <c r="O1530" i="330"/>
  <c r="N1530" i="330"/>
  <c r="M1530" i="330"/>
  <c r="L1530" i="330"/>
  <c r="K1530" i="330"/>
  <c r="J1530" i="330"/>
  <c r="I1530" i="330"/>
  <c r="H1530" i="330"/>
  <c r="G1530" i="330"/>
  <c r="F1529" i="330"/>
  <c r="D1529" i="330" s="1"/>
  <c r="F1528" i="330"/>
  <c r="D1528" i="330" s="1"/>
  <c r="F1527" i="330"/>
  <c r="D1527" i="330" s="1"/>
  <c r="AX1526" i="330"/>
  <c r="AW1526" i="330"/>
  <c r="AV1526" i="330"/>
  <c r="AU1526" i="330"/>
  <c r="AT1526" i="330"/>
  <c r="AS1526" i="330"/>
  <c r="AR1526" i="330"/>
  <c r="AQ1526" i="330"/>
  <c r="AP1526" i="330"/>
  <c r="AO1526" i="330"/>
  <c r="AN1526" i="330"/>
  <c r="AM1526" i="330"/>
  <c r="AL1526" i="330"/>
  <c r="AK1526" i="330"/>
  <c r="AJ1526" i="330"/>
  <c r="AI1526" i="330"/>
  <c r="AH1526" i="330"/>
  <c r="AG1526" i="330"/>
  <c r="AF1526" i="330"/>
  <c r="AE1526" i="330"/>
  <c r="AD1526" i="330"/>
  <c r="AC1526" i="330"/>
  <c r="AB1526" i="330"/>
  <c r="AA1526" i="330"/>
  <c r="Z1526" i="330"/>
  <c r="Y1526" i="330"/>
  <c r="X1526" i="330"/>
  <c r="W1526" i="330"/>
  <c r="V1526" i="330"/>
  <c r="U1526" i="330"/>
  <c r="T1526" i="330"/>
  <c r="S1526" i="330"/>
  <c r="R1526" i="330"/>
  <c r="Q1526" i="330"/>
  <c r="P1526" i="330"/>
  <c r="O1526" i="330"/>
  <c r="N1526" i="330"/>
  <c r="M1526" i="330"/>
  <c r="L1526" i="330"/>
  <c r="K1526" i="330"/>
  <c r="J1526" i="330"/>
  <c r="I1526" i="330"/>
  <c r="H1526" i="330"/>
  <c r="G1526" i="330"/>
  <c r="F1525" i="330"/>
  <c r="D1525" i="330" s="1"/>
  <c r="F1524" i="330"/>
  <c r="D1524" i="330" s="1"/>
  <c r="F1523" i="330"/>
  <c r="D1523" i="330" s="1"/>
  <c r="F1522" i="330"/>
  <c r="D1522" i="330" s="1"/>
  <c r="F1521" i="330"/>
  <c r="D1521" i="330" s="1"/>
  <c r="AX1520" i="330"/>
  <c r="AW1520" i="330"/>
  <c r="AV1520" i="330"/>
  <c r="AU1520" i="330"/>
  <c r="AT1520" i="330"/>
  <c r="AS1520" i="330"/>
  <c r="AR1520" i="330"/>
  <c r="AQ1520" i="330"/>
  <c r="AP1520" i="330"/>
  <c r="AO1520" i="330"/>
  <c r="AN1520" i="330"/>
  <c r="AM1520" i="330"/>
  <c r="AL1520" i="330"/>
  <c r="AK1520" i="330"/>
  <c r="AJ1520" i="330"/>
  <c r="AI1520" i="330"/>
  <c r="AH1520" i="330"/>
  <c r="AG1520" i="330"/>
  <c r="AF1520" i="330"/>
  <c r="AE1520" i="330"/>
  <c r="AD1520" i="330"/>
  <c r="AC1520" i="330"/>
  <c r="AB1520" i="330"/>
  <c r="AA1520" i="330"/>
  <c r="Z1520" i="330"/>
  <c r="Y1520" i="330"/>
  <c r="X1520" i="330"/>
  <c r="W1520" i="330"/>
  <c r="V1520" i="330"/>
  <c r="U1520" i="330"/>
  <c r="T1520" i="330"/>
  <c r="S1520" i="330"/>
  <c r="R1520" i="330"/>
  <c r="Q1520" i="330"/>
  <c r="P1520" i="330"/>
  <c r="O1520" i="330"/>
  <c r="N1520" i="330"/>
  <c r="L1520" i="330"/>
  <c r="K1520" i="330"/>
  <c r="J1520" i="330"/>
  <c r="I1520" i="330"/>
  <c r="H1520" i="330"/>
  <c r="G1520" i="330"/>
  <c r="F1519" i="330"/>
  <c r="D1519" i="330" s="1"/>
  <c r="F1518" i="330"/>
  <c r="D1518" i="330" s="1"/>
  <c r="F1517" i="330"/>
  <c r="D1517" i="330" s="1"/>
  <c r="M1516" i="330"/>
  <c r="F1516" i="330" s="1"/>
  <c r="AX1515" i="330"/>
  <c r="AW1515" i="330"/>
  <c r="AV1515" i="330"/>
  <c r="AU1515" i="330"/>
  <c r="AT1515" i="330"/>
  <c r="AS1515" i="330"/>
  <c r="AR1515" i="330"/>
  <c r="AQ1515" i="330"/>
  <c r="AP1515" i="330"/>
  <c r="AO1515" i="330"/>
  <c r="AN1515" i="330"/>
  <c r="AM1515" i="330"/>
  <c r="AL1515" i="330"/>
  <c r="AK1515" i="330"/>
  <c r="AJ1515" i="330"/>
  <c r="AI1515" i="330"/>
  <c r="AH1515" i="330"/>
  <c r="AG1515" i="330"/>
  <c r="AF1515" i="330"/>
  <c r="AE1515" i="330"/>
  <c r="AD1515" i="330"/>
  <c r="AC1515" i="330"/>
  <c r="AB1515" i="330"/>
  <c r="AA1515" i="330"/>
  <c r="Z1515" i="330"/>
  <c r="Y1515" i="330"/>
  <c r="X1515" i="330"/>
  <c r="W1515" i="330"/>
  <c r="V1515" i="330"/>
  <c r="U1515" i="330"/>
  <c r="T1515" i="330"/>
  <c r="S1515" i="330"/>
  <c r="R1515" i="330"/>
  <c r="Q1515" i="330"/>
  <c r="P1515" i="330"/>
  <c r="O1515" i="330"/>
  <c r="N1515" i="330"/>
  <c r="M1515" i="330"/>
  <c r="L1515" i="330"/>
  <c r="K1515" i="330"/>
  <c r="J1515" i="330"/>
  <c r="I1515" i="330"/>
  <c r="H1515" i="330"/>
  <c r="G1515" i="330"/>
  <c r="F1514" i="330"/>
  <c r="D1514" i="330" s="1"/>
  <c r="F1513" i="330"/>
  <c r="D1513" i="330" s="1"/>
  <c r="F1512" i="330"/>
  <c r="D1512" i="330" s="1"/>
  <c r="AX1511" i="330"/>
  <c r="AW1511" i="330"/>
  <c r="AV1511" i="330"/>
  <c r="AU1511" i="330"/>
  <c r="AT1511" i="330"/>
  <c r="AS1511" i="330"/>
  <c r="AR1511" i="330"/>
  <c r="AQ1511" i="330"/>
  <c r="AP1511" i="330"/>
  <c r="AO1511" i="330"/>
  <c r="AN1511" i="330"/>
  <c r="AM1511" i="330"/>
  <c r="AL1511" i="330"/>
  <c r="AK1511" i="330"/>
  <c r="AJ1511" i="330"/>
  <c r="AI1511" i="330"/>
  <c r="AH1511" i="330"/>
  <c r="AG1511" i="330"/>
  <c r="AF1511" i="330"/>
  <c r="AE1511" i="330"/>
  <c r="AD1511" i="330"/>
  <c r="AC1511" i="330"/>
  <c r="AB1511" i="330"/>
  <c r="AA1511" i="330"/>
  <c r="Z1511" i="330"/>
  <c r="Y1511" i="330"/>
  <c r="X1511" i="330"/>
  <c r="W1511" i="330"/>
  <c r="V1511" i="330"/>
  <c r="U1511" i="330"/>
  <c r="T1511" i="330"/>
  <c r="S1511" i="330"/>
  <c r="R1511" i="330"/>
  <c r="Q1511" i="330"/>
  <c r="P1511" i="330"/>
  <c r="O1511" i="330"/>
  <c r="N1511" i="330"/>
  <c r="M1511" i="330"/>
  <c r="L1511" i="330"/>
  <c r="K1511" i="330"/>
  <c r="J1511" i="330"/>
  <c r="I1511" i="330"/>
  <c r="H1511" i="330"/>
  <c r="G1511" i="330"/>
  <c r="F1510" i="330"/>
  <c r="D1510" i="330" s="1"/>
  <c r="F1509" i="330"/>
  <c r="D1509" i="330" s="1"/>
  <c r="F1508" i="330"/>
  <c r="D1508" i="330" s="1"/>
  <c r="AX1507" i="330"/>
  <c r="AW1507" i="330"/>
  <c r="AV1507" i="330"/>
  <c r="AU1507" i="330"/>
  <c r="AT1507" i="330"/>
  <c r="AS1507" i="330"/>
  <c r="AR1507" i="330"/>
  <c r="AQ1507" i="330"/>
  <c r="AP1507" i="330"/>
  <c r="AO1507" i="330"/>
  <c r="AN1507" i="330"/>
  <c r="AM1507" i="330"/>
  <c r="AL1507" i="330"/>
  <c r="AK1507" i="330"/>
  <c r="AJ1507" i="330"/>
  <c r="AI1507" i="330"/>
  <c r="AH1507" i="330"/>
  <c r="AG1507" i="330"/>
  <c r="AF1507" i="330"/>
  <c r="AE1507" i="330"/>
  <c r="AD1507" i="330"/>
  <c r="AC1507" i="330"/>
  <c r="AB1507" i="330"/>
  <c r="AA1507" i="330"/>
  <c r="Z1507" i="330"/>
  <c r="Y1507" i="330"/>
  <c r="X1507" i="330"/>
  <c r="W1507" i="330"/>
  <c r="V1507" i="330"/>
  <c r="U1507" i="330"/>
  <c r="T1507" i="330"/>
  <c r="S1507" i="330"/>
  <c r="R1507" i="330"/>
  <c r="Q1507" i="330"/>
  <c r="P1507" i="330"/>
  <c r="O1507" i="330"/>
  <c r="N1507" i="330"/>
  <c r="M1507" i="330"/>
  <c r="L1507" i="330"/>
  <c r="K1507" i="330"/>
  <c r="J1507" i="330"/>
  <c r="I1507" i="330"/>
  <c r="H1507" i="330"/>
  <c r="G1507" i="330"/>
  <c r="F1506" i="330"/>
  <c r="D1506" i="330" s="1"/>
  <c r="F1505" i="330"/>
  <c r="D1505" i="330" s="1"/>
  <c r="F1504" i="330"/>
  <c r="D1504" i="330" s="1"/>
  <c r="AX1503" i="330"/>
  <c r="AW1503" i="330"/>
  <c r="AV1503" i="330"/>
  <c r="AU1503" i="330"/>
  <c r="AT1503" i="330"/>
  <c r="AS1503" i="330"/>
  <c r="AR1503" i="330"/>
  <c r="AQ1503" i="330"/>
  <c r="AP1503" i="330"/>
  <c r="AO1503" i="330"/>
  <c r="AN1503" i="330"/>
  <c r="AM1503" i="330"/>
  <c r="AL1503" i="330"/>
  <c r="AK1503" i="330"/>
  <c r="AJ1503" i="330"/>
  <c r="AI1503" i="330"/>
  <c r="AH1503" i="330"/>
  <c r="AG1503" i="330"/>
  <c r="AF1503" i="330"/>
  <c r="AE1503" i="330"/>
  <c r="AD1503" i="330"/>
  <c r="AC1503" i="330"/>
  <c r="AB1503" i="330"/>
  <c r="AA1503" i="330"/>
  <c r="Z1503" i="330"/>
  <c r="Y1503" i="330"/>
  <c r="X1503" i="330"/>
  <c r="W1503" i="330"/>
  <c r="V1503" i="330"/>
  <c r="U1503" i="330"/>
  <c r="T1503" i="330"/>
  <c r="S1503" i="330"/>
  <c r="R1503" i="330"/>
  <c r="Q1503" i="330"/>
  <c r="P1503" i="330"/>
  <c r="O1503" i="330"/>
  <c r="N1503" i="330"/>
  <c r="L1503" i="330"/>
  <c r="K1503" i="330"/>
  <c r="J1503" i="330"/>
  <c r="I1503" i="330"/>
  <c r="H1503" i="330"/>
  <c r="G1503" i="330"/>
  <c r="E1503" i="330"/>
  <c r="F1502" i="330"/>
  <c r="D1502" i="330" s="1"/>
  <c r="AX1501" i="330"/>
  <c r="AW1501" i="330"/>
  <c r="AV1501" i="330"/>
  <c r="AU1501" i="330"/>
  <c r="AT1501" i="330"/>
  <c r="AS1501" i="330"/>
  <c r="AR1501" i="330"/>
  <c r="AQ1501" i="330"/>
  <c r="AP1501" i="330"/>
  <c r="AO1501" i="330"/>
  <c r="AN1501" i="330"/>
  <c r="AM1501" i="330"/>
  <c r="AL1501" i="330"/>
  <c r="AK1501" i="330"/>
  <c r="AJ1501" i="330"/>
  <c r="AI1501" i="330"/>
  <c r="AH1501" i="330"/>
  <c r="AG1501" i="330"/>
  <c r="AF1501" i="330"/>
  <c r="AE1501" i="330"/>
  <c r="AD1501" i="330"/>
  <c r="AC1501" i="330"/>
  <c r="AB1501" i="330"/>
  <c r="AA1501" i="330"/>
  <c r="Z1501" i="330"/>
  <c r="Y1501" i="330"/>
  <c r="X1501" i="330"/>
  <c r="W1501" i="330"/>
  <c r="V1501" i="330"/>
  <c r="U1501" i="330"/>
  <c r="T1501" i="330"/>
  <c r="S1501" i="330"/>
  <c r="R1501" i="330"/>
  <c r="Q1501" i="330"/>
  <c r="P1501" i="330"/>
  <c r="O1501" i="330"/>
  <c r="N1501" i="330"/>
  <c r="M1501" i="330"/>
  <c r="L1501" i="330"/>
  <c r="K1501" i="330"/>
  <c r="J1501" i="330"/>
  <c r="I1501" i="330"/>
  <c r="H1501" i="330"/>
  <c r="G1501" i="330"/>
  <c r="F1500" i="330"/>
  <c r="D1500" i="330" s="1"/>
  <c r="F1499" i="330"/>
  <c r="D1499" i="330" s="1"/>
  <c r="F1498" i="330"/>
  <c r="D1498" i="330" s="1"/>
  <c r="AX1497" i="330"/>
  <c r="AW1497" i="330"/>
  <c r="AV1497" i="330"/>
  <c r="AU1497" i="330"/>
  <c r="AT1497" i="330"/>
  <c r="AS1497" i="330"/>
  <c r="AR1497" i="330"/>
  <c r="AQ1497" i="330"/>
  <c r="AP1497" i="330"/>
  <c r="AO1497" i="330"/>
  <c r="AN1497" i="330"/>
  <c r="AM1497" i="330"/>
  <c r="AL1497" i="330"/>
  <c r="AK1497" i="330"/>
  <c r="AJ1497" i="330"/>
  <c r="AI1497" i="330"/>
  <c r="AH1497" i="330"/>
  <c r="AG1497" i="330"/>
  <c r="AF1497" i="330"/>
  <c r="AE1497" i="330"/>
  <c r="AD1497" i="330"/>
  <c r="AC1497" i="330"/>
  <c r="AB1497" i="330"/>
  <c r="AA1497" i="330"/>
  <c r="Z1497" i="330"/>
  <c r="Y1497" i="330"/>
  <c r="X1497" i="330"/>
  <c r="W1497" i="330"/>
  <c r="V1497" i="330"/>
  <c r="U1497" i="330"/>
  <c r="T1497" i="330"/>
  <c r="S1497" i="330"/>
  <c r="R1497" i="330"/>
  <c r="Q1497" i="330"/>
  <c r="P1497" i="330"/>
  <c r="O1497" i="330"/>
  <c r="N1497" i="330"/>
  <c r="M1497" i="330"/>
  <c r="L1497" i="330"/>
  <c r="K1497" i="330"/>
  <c r="J1497" i="330"/>
  <c r="I1497" i="330"/>
  <c r="H1497" i="330"/>
  <c r="G1497" i="330"/>
  <c r="F1496" i="330"/>
  <c r="D1496" i="330" s="1"/>
  <c r="F1495" i="330"/>
  <c r="D1495" i="330" s="1"/>
  <c r="F1494" i="330"/>
  <c r="D1494" i="330" s="1"/>
  <c r="F1493" i="330"/>
  <c r="D1493" i="330" s="1"/>
  <c r="F1492" i="330"/>
  <c r="D1492" i="330" s="1"/>
  <c r="F1491" i="330"/>
  <c r="D1491" i="330" s="1"/>
  <c r="F1490" i="330"/>
  <c r="D1490" i="330" s="1"/>
  <c r="F1489" i="330"/>
  <c r="D1489" i="330" s="1"/>
  <c r="F1488" i="330"/>
  <c r="D1488" i="330" s="1"/>
  <c r="AX1487" i="330"/>
  <c r="AW1487" i="330"/>
  <c r="AV1487" i="330"/>
  <c r="AU1487" i="330"/>
  <c r="AT1487" i="330"/>
  <c r="AS1487" i="330"/>
  <c r="AR1487" i="330"/>
  <c r="AQ1487" i="330"/>
  <c r="AP1487" i="330"/>
  <c r="AO1487" i="330"/>
  <c r="AN1487" i="330"/>
  <c r="AM1487" i="330"/>
  <c r="AL1487" i="330"/>
  <c r="AK1487" i="330"/>
  <c r="AJ1487" i="330"/>
  <c r="AI1487" i="330"/>
  <c r="AH1487" i="330"/>
  <c r="AG1487" i="330"/>
  <c r="AF1487" i="330"/>
  <c r="AE1487" i="330"/>
  <c r="AD1487" i="330"/>
  <c r="AC1487" i="330"/>
  <c r="AB1487" i="330"/>
  <c r="AA1487" i="330"/>
  <c r="Z1487" i="330"/>
  <c r="Y1487" i="330"/>
  <c r="X1487" i="330"/>
  <c r="W1487" i="330"/>
  <c r="V1487" i="330"/>
  <c r="U1487" i="330"/>
  <c r="T1487" i="330"/>
  <c r="S1487" i="330"/>
  <c r="R1487" i="330"/>
  <c r="Q1487" i="330"/>
  <c r="P1487" i="330"/>
  <c r="O1487" i="330"/>
  <c r="N1487" i="330"/>
  <c r="M1487" i="330"/>
  <c r="L1487" i="330"/>
  <c r="K1487" i="330"/>
  <c r="J1487" i="330"/>
  <c r="I1487" i="330"/>
  <c r="H1487" i="330"/>
  <c r="G1487" i="330"/>
  <c r="F1486" i="330"/>
  <c r="D1486" i="330" s="1"/>
  <c r="F1485" i="330"/>
  <c r="D1485" i="330" s="1"/>
  <c r="F1484" i="330"/>
  <c r="D1484" i="330" s="1"/>
  <c r="F1483" i="330"/>
  <c r="D1483" i="330" s="1"/>
  <c r="F1482" i="330"/>
  <c r="F1481" i="330"/>
  <c r="D1481" i="330" s="1"/>
  <c r="F1480" i="330"/>
  <c r="D1480" i="330" s="1"/>
  <c r="F1479" i="330"/>
  <c r="D1479" i="330" s="1"/>
  <c r="AX1478" i="330"/>
  <c r="AW1478" i="330"/>
  <c r="AV1478" i="330"/>
  <c r="AU1478" i="330"/>
  <c r="AT1478" i="330"/>
  <c r="AS1478" i="330"/>
  <c r="AR1478" i="330"/>
  <c r="AQ1478" i="330"/>
  <c r="AP1478" i="330"/>
  <c r="AO1478" i="330"/>
  <c r="AN1478" i="330"/>
  <c r="AM1478" i="330"/>
  <c r="AL1478" i="330"/>
  <c r="AK1478" i="330"/>
  <c r="AJ1478" i="330"/>
  <c r="AI1478" i="330"/>
  <c r="AH1478" i="330"/>
  <c r="AG1478" i="330"/>
  <c r="AF1478" i="330"/>
  <c r="AE1478" i="330"/>
  <c r="AD1478" i="330"/>
  <c r="AC1478" i="330"/>
  <c r="AB1478" i="330"/>
  <c r="AA1478" i="330"/>
  <c r="Z1478" i="330"/>
  <c r="Y1478" i="330"/>
  <c r="X1478" i="330"/>
  <c r="W1478" i="330"/>
  <c r="V1478" i="330"/>
  <c r="U1478" i="330"/>
  <c r="T1478" i="330"/>
  <c r="S1478" i="330"/>
  <c r="R1478" i="330"/>
  <c r="Q1478" i="330"/>
  <c r="P1478" i="330"/>
  <c r="O1478" i="330"/>
  <c r="N1478" i="330"/>
  <c r="M1478" i="330"/>
  <c r="L1478" i="330"/>
  <c r="K1478" i="330"/>
  <c r="J1478" i="330"/>
  <c r="I1478" i="330"/>
  <c r="H1478" i="330"/>
  <c r="G1478" i="330"/>
  <c r="F1477" i="330"/>
  <c r="D1477" i="330" s="1"/>
  <c r="F1476" i="330"/>
  <c r="D1476" i="330" s="1"/>
  <c r="F1475" i="330"/>
  <c r="D1475" i="330" s="1"/>
  <c r="F1474" i="330"/>
  <c r="D1474" i="330" s="1"/>
  <c r="F1473" i="330"/>
  <c r="D1473" i="330" s="1"/>
  <c r="F1472" i="330"/>
  <c r="D1472" i="330" s="1"/>
  <c r="F1471" i="330"/>
  <c r="D1471" i="330" s="1"/>
  <c r="AX1470" i="330"/>
  <c r="AW1470" i="330"/>
  <c r="AV1470" i="330"/>
  <c r="AU1470" i="330"/>
  <c r="AT1470" i="330"/>
  <c r="AS1470" i="330"/>
  <c r="AR1470" i="330"/>
  <c r="AQ1470" i="330"/>
  <c r="AP1470" i="330"/>
  <c r="AO1470" i="330"/>
  <c r="AN1470" i="330"/>
  <c r="AM1470" i="330"/>
  <c r="AL1470" i="330"/>
  <c r="AK1470" i="330"/>
  <c r="AJ1470" i="330"/>
  <c r="AI1470" i="330"/>
  <c r="AH1470" i="330"/>
  <c r="AG1470" i="330"/>
  <c r="AF1470" i="330"/>
  <c r="AE1470" i="330"/>
  <c r="AD1470" i="330"/>
  <c r="AC1470" i="330"/>
  <c r="AB1470" i="330"/>
  <c r="AA1470" i="330"/>
  <c r="Z1470" i="330"/>
  <c r="Y1470" i="330"/>
  <c r="X1470" i="330"/>
  <c r="W1470" i="330"/>
  <c r="V1470" i="330"/>
  <c r="U1470" i="330"/>
  <c r="T1470" i="330"/>
  <c r="S1470" i="330"/>
  <c r="R1470" i="330"/>
  <c r="Q1470" i="330"/>
  <c r="P1470" i="330"/>
  <c r="O1470" i="330"/>
  <c r="N1470" i="330"/>
  <c r="M1470" i="330"/>
  <c r="L1470" i="330"/>
  <c r="K1470" i="330"/>
  <c r="J1470" i="330"/>
  <c r="I1470" i="330"/>
  <c r="H1470" i="330"/>
  <c r="G1470" i="330"/>
  <c r="F1469" i="330"/>
  <c r="D1469" i="330" s="1"/>
  <c r="F1468" i="330"/>
  <c r="D1468" i="330" s="1"/>
  <c r="F1467" i="330"/>
  <c r="D1467" i="330" s="1"/>
  <c r="AX1466" i="330"/>
  <c r="AW1466" i="330"/>
  <c r="AV1466" i="330"/>
  <c r="AU1466" i="330"/>
  <c r="AT1466" i="330"/>
  <c r="AS1466" i="330"/>
  <c r="AR1466" i="330"/>
  <c r="AQ1466" i="330"/>
  <c r="AP1466" i="330"/>
  <c r="AO1466" i="330"/>
  <c r="AN1466" i="330"/>
  <c r="AM1466" i="330"/>
  <c r="AL1466" i="330"/>
  <c r="AK1466" i="330"/>
  <c r="AJ1466" i="330"/>
  <c r="AI1466" i="330"/>
  <c r="AH1466" i="330"/>
  <c r="AG1466" i="330"/>
  <c r="AF1466" i="330"/>
  <c r="AE1466" i="330"/>
  <c r="AD1466" i="330"/>
  <c r="AC1466" i="330"/>
  <c r="AB1466" i="330"/>
  <c r="AA1466" i="330"/>
  <c r="Z1466" i="330"/>
  <c r="Y1466" i="330"/>
  <c r="X1466" i="330"/>
  <c r="W1466" i="330"/>
  <c r="V1466" i="330"/>
  <c r="U1466" i="330"/>
  <c r="T1466" i="330"/>
  <c r="S1466" i="330"/>
  <c r="R1466" i="330"/>
  <c r="Q1466" i="330"/>
  <c r="P1466" i="330"/>
  <c r="O1466" i="330"/>
  <c r="N1466" i="330"/>
  <c r="M1466" i="330"/>
  <c r="L1466" i="330"/>
  <c r="K1466" i="330"/>
  <c r="J1466" i="330"/>
  <c r="I1466" i="330"/>
  <c r="H1466" i="330"/>
  <c r="G1466" i="330"/>
  <c r="F1465" i="330"/>
  <c r="D1465" i="330" s="1"/>
  <c r="F1464" i="330"/>
  <c r="D1464" i="330" s="1"/>
  <c r="F1463" i="330"/>
  <c r="AX1462" i="330"/>
  <c r="AW1462" i="330"/>
  <c r="AV1462" i="330"/>
  <c r="AU1462" i="330"/>
  <c r="AT1462" i="330"/>
  <c r="AS1462" i="330"/>
  <c r="AR1462" i="330"/>
  <c r="AQ1462" i="330"/>
  <c r="AP1462" i="330"/>
  <c r="AO1462" i="330"/>
  <c r="AN1462" i="330"/>
  <c r="AM1462" i="330"/>
  <c r="AL1462" i="330"/>
  <c r="AK1462" i="330"/>
  <c r="AJ1462" i="330"/>
  <c r="AI1462" i="330"/>
  <c r="AH1462" i="330"/>
  <c r="AG1462" i="330"/>
  <c r="AF1462" i="330"/>
  <c r="AE1462" i="330"/>
  <c r="AD1462" i="330"/>
  <c r="AC1462" i="330"/>
  <c r="AB1462" i="330"/>
  <c r="AA1462" i="330"/>
  <c r="Z1462" i="330"/>
  <c r="Y1462" i="330"/>
  <c r="X1462" i="330"/>
  <c r="W1462" i="330"/>
  <c r="V1462" i="330"/>
  <c r="U1462" i="330"/>
  <c r="T1462" i="330"/>
  <c r="S1462" i="330"/>
  <c r="R1462" i="330"/>
  <c r="Q1462" i="330"/>
  <c r="P1462" i="330"/>
  <c r="O1462" i="330"/>
  <c r="N1462" i="330"/>
  <c r="M1462" i="330"/>
  <c r="L1462" i="330"/>
  <c r="K1462" i="330"/>
  <c r="J1462" i="330"/>
  <c r="I1462" i="330"/>
  <c r="H1462" i="330"/>
  <c r="G1462" i="330"/>
  <c r="E1462" i="330"/>
  <c r="F1461" i="330"/>
  <c r="D1461" i="330" s="1"/>
  <c r="AX1460" i="330"/>
  <c r="AW1460" i="330"/>
  <c r="AV1460" i="330"/>
  <c r="AU1460" i="330"/>
  <c r="AT1460" i="330"/>
  <c r="AS1460" i="330"/>
  <c r="AR1460" i="330"/>
  <c r="AQ1460" i="330"/>
  <c r="AP1460" i="330"/>
  <c r="AO1460" i="330"/>
  <c r="AN1460" i="330"/>
  <c r="AM1460" i="330"/>
  <c r="AL1460" i="330"/>
  <c r="AK1460" i="330"/>
  <c r="AJ1460" i="330"/>
  <c r="AI1460" i="330"/>
  <c r="AH1460" i="330"/>
  <c r="AG1460" i="330"/>
  <c r="AF1460" i="330"/>
  <c r="AE1460" i="330"/>
  <c r="AD1460" i="330"/>
  <c r="AC1460" i="330"/>
  <c r="AB1460" i="330"/>
  <c r="AA1460" i="330"/>
  <c r="Z1460" i="330"/>
  <c r="Y1460" i="330"/>
  <c r="X1460" i="330"/>
  <c r="W1460" i="330"/>
  <c r="V1460" i="330"/>
  <c r="U1460" i="330"/>
  <c r="T1460" i="330"/>
  <c r="S1460" i="330"/>
  <c r="R1460" i="330"/>
  <c r="Q1460" i="330"/>
  <c r="P1460" i="330"/>
  <c r="O1460" i="330"/>
  <c r="N1460" i="330"/>
  <c r="M1460" i="330"/>
  <c r="L1460" i="330"/>
  <c r="K1460" i="330"/>
  <c r="J1460" i="330"/>
  <c r="I1460" i="330"/>
  <c r="H1460" i="330"/>
  <c r="G1460" i="330"/>
  <c r="F1459" i="330"/>
  <c r="D1459" i="330" s="1"/>
  <c r="F1458" i="330"/>
  <c r="D1458" i="330" s="1"/>
  <c r="F1457" i="330"/>
  <c r="D1457" i="330" s="1"/>
  <c r="AX1456" i="330"/>
  <c r="AW1456" i="330"/>
  <c r="AV1456" i="330"/>
  <c r="AU1456" i="330"/>
  <c r="AT1456" i="330"/>
  <c r="AS1456" i="330"/>
  <c r="AR1456" i="330"/>
  <c r="AQ1456" i="330"/>
  <c r="AP1456" i="330"/>
  <c r="AO1456" i="330"/>
  <c r="AN1456" i="330"/>
  <c r="AM1456" i="330"/>
  <c r="AL1456" i="330"/>
  <c r="AK1456" i="330"/>
  <c r="AJ1456" i="330"/>
  <c r="AI1456" i="330"/>
  <c r="AH1456" i="330"/>
  <c r="AG1456" i="330"/>
  <c r="AF1456" i="330"/>
  <c r="AE1456" i="330"/>
  <c r="AD1456" i="330"/>
  <c r="AC1456" i="330"/>
  <c r="AB1456" i="330"/>
  <c r="AA1456" i="330"/>
  <c r="Z1456" i="330"/>
  <c r="Y1456" i="330"/>
  <c r="X1456" i="330"/>
  <c r="W1456" i="330"/>
  <c r="V1456" i="330"/>
  <c r="U1456" i="330"/>
  <c r="T1456" i="330"/>
  <c r="S1456" i="330"/>
  <c r="R1456" i="330"/>
  <c r="Q1456" i="330"/>
  <c r="P1456" i="330"/>
  <c r="O1456" i="330"/>
  <c r="N1456" i="330"/>
  <c r="M1456" i="330"/>
  <c r="L1456" i="330"/>
  <c r="K1456" i="330"/>
  <c r="J1456" i="330"/>
  <c r="I1456" i="330"/>
  <c r="H1456" i="330"/>
  <c r="G1456" i="330"/>
  <c r="F1455" i="330"/>
  <c r="D1455" i="330" s="1"/>
  <c r="F1454" i="330"/>
  <c r="D1454" i="330" s="1"/>
  <c r="F1453" i="330"/>
  <c r="D1453" i="330" s="1"/>
  <c r="F1452" i="330"/>
  <c r="D1452" i="330" s="1"/>
  <c r="AX1451" i="330"/>
  <c r="AW1451" i="330"/>
  <c r="AV1451" i="330"/>
  <c r="AU1451" i="330"/>
  <c r="AT1451" i="330"/>
  <c r="AS1451" i="330"/>
  <c r="AR1451" i="330"/>
  <c r="AQ1451" i="330"/>
  <c r="AP1451" i="330"/>
  <c r="AO1451" i="330"/>
  <c r="AN1451" i="330"/>
  <c r="AM1451" i="330"/>
  <c r="AL1451" i="330"/>
  <c r="AK1451" i="330"/>
  <c r="AJ1451" i="330"/>
  <c r="AI1451" i="330"/>
  <c r="AH1451" i="330"/>
  <c r="AG1451" i="330"/>
  <c r="AF1451" i="330"/>
  <c r="AE1451" i="330"/>
  <c r="AD1451" i="330"/>
  <c r="AC1451" i="330"/>
  <c r="AB1451" i="330"/>
  <c r="AA1451" i="330"/>
  <c r="Z1451" i="330"/>
  <c r="Y1451" i="330"/>
  <c r="X1451" i="330"/>
  <c r="W1451" i="330"/>
  <c r="V1451" i="330"/>
  <c r="U1451" i="330"/>
  <c r="T1451" i="330"/>
  <c r="S1451" i="330"/>
  <c r="R1451" i="330"/>
  <c r="Q1451" i="330"/>
  <c r="P1451" i="330"/>
  <c r="O1451" i="330"/>
  <c r="N1451" i="330"/>
  <c r="M1451" i="330"/>
  <c r="L1451" i="330"/>
  <c r="K1451" i="330"/>
  <c r="J1451" i="330"/>
  <c r="I1451" i="330"/>
  <c r="H1451" i="330"/>
  <c r="G1451" i="330"/>
  <c r="F1450" i="330"/>
  <c r="D1450" i="330" s="1"/>
  <c r="F1449" i="330"/>
  <c r="D1449" i="330" s="1"/>
  <c r="F1448" i="330"/>
  <c r="D1448" i="330" s="1"/>
  <c r="AX1447" i="330"/>
  <c r="AW1447" i="330"/>
  <c r="AV1447" i="330"/>
  <c r="AU1447" i="330"/>
  <c r="AT1447" i="330"/>
  <c r="AS1447" i="330"/>
  <c r="AR1447" i="330"/>
  <c r="AQ1447" i="330"/>
  <c r="AP1447" i="330"/>
  <c r="AO1447" i="330"/>
  <c r="AN1447" i="330"/>
  <c r="AM1447" i="330"/>
  <c r="AL1447" i="330"/>
  <c r="AK1447" i="330"/>
  <c r="AJ1447" i="330"/>
  <c r="AI1447" i="330"/>
  <c r="AH1447" i="330"/>
  <c r="AG1447" i="330"/>
  <c r="AF1447" i="330"/>
  <c r="AE1447" i="330"/>
  <c r="AD1447" i="330"/>
  <c r="AC1447" i="330"/>
  <c r="AB1447" i="330"/>
  <c r="AA1447" i="330"/>
  <c r="Z1447" i="330"/>
  <c r="Y1447" i="330"/>
  <c r="X1447" i="330"/>
  <c r="W1447" i="330"/>
  <c r="V1447" i="330"/>
  <c r="U1447" i="330"/>
  <c r="T1447" i="330"/>
  <c r="S1447" i="330"/>
  <c r="R1447" i="330"/>
  <c r="Q1447" i="330"/>
  <c r="P1447" i="330"/>
  <c r="O1447" i="330"/>
  <c r="N1447" i="330"/>
  <c r="M1447" i="330"/>
  <c r="L1447" i="330"/>
  <c r="K1447" i="330"/>
  <c r="J1447" i="330"/>
  <c r="I1447" i="330"/>
  <c r="H1447" i="330"/>
  <c r="G1447" i="330"/>
  <c r="F1446" i="330"/>
  <c r="D1446" i="330" s="1"/>
  <c r="F1445" i="330"/>
  <c r="D1445" i="330" s="1"/>
  <c r="F1444" i="330"/>
  <c r="D1444" i="330" s="1"/>
  <c r="F1443" i="330"/>
  <c r="D1443" i="330" s="1"/>
  <c r="AX1442" i="330"/>
  <c r="AW1442" i="330"/>
  <c r="AV1442" i="330"/>
  <c r="AU1442" i="330"/>
  <c r="AT1442" i="330"/>
  <c r="AS1442" i="330"/>
  <c r="AR1442" i="330"/>
  <c r="AQ1442" i="330"/>
  <c r="AP1442" i="330"/>
  <c r="AO1442" i="330"/>
  <c r="AN1442" i="330"/>
  <c r="AM1442" i="330"/>
  <c r="AL1442" i="330"/>
  <c r="AK1442" i="330"/>
  <c r="AJ1442" i="330"/>
  <c r="AI1442" i="330"/>
  <c r="AH1442" i="330"/>
  <c r="AG1442" i="330"/>
  <c r="AF1442" i="330"/>
  <c r="AE1442" i="330"/>
  <c r="AD1442" i="330"/>
  <c r="AC1442" i="330"/>
  <c r="AB1442" i="330"/>
  <c r="AA1442" i="330"/>
  <c r="Z1442" i="330"/>
  <c r="Y1442" i="330"/>
  <c r="X1442" i="330"/>
  <c r="W1442" i="330"/>
  <c r="V1442" i="330"/>
  <c r="U1442" i="330"/>
  <c r="T1442" i="330"/>
  <c r="S1442" i="330"/>
  <c r="R1442" i="330"/>
  <c r="Q1442" i="330"/>
  <c r="P1442" i="330"/>
  <c r="O1442" i="330"/>
  <c r="N1442" i="330"/>
  <c r="M1442" i="330"/>
  <c r="L1442" i="330"/>
  <c r="K1442" i="330"/>
  <c r="J1442" i="330"/>
  <c r="I1442" i="330"/>
  <c r="H1442" i="330"/>
  <c r="G1442" i="330"/>
  <c r="F1441" i="330"/>
  <c r="D1441" i="330" s="1"/>
  <c r="F1440" i="330"/>
  <c r="D1440" i="330" s="1"/>
  <c r="F1439" i="330"/>
  <c r="D1439" i="330" s="1"/>
  <c r="AX1438" i="330"/>
  <c r="AW1438" i="330"/>
  <c r="AV1438" i="330"/>
  <c r="AU1438" i="330"/>
  <c r="AT1438" i="330"/>
  <c r="AS1438" i="330"/>
  <c r="AR1438" i="330"/>
  <c r="AQ1438" i="330"/>
  <c r="AP1438" i="330"/>
  <c r="AO1438" i="330"/>
  <c r="AN1438" i="330"/>
  <c r="AM1438" i="330"/>
  <c r="AL1438" i="330"/>
  <c r="AK1438" i="330"/>
  <c r="AJ1438" i="330"/>
  <c r="AI1438" i="330"/>
  <c r="AH1438" i="330"/>
  <c r="AG1438" i="330"/>
  <c r="AF1438" i="330"/>
  <c r="AE1438" i="330"/>
  <c r="AD1438" i="330"/>
  <c r="AC1438" i="330"/>
  <c r="AB1438" i="330"/>
  <c r="AA1438" i="330"/>
  <c r="Z1438" i="330"/>
  <c r="Y1438" i="330"/>
  <c r="X1438" i="330"/>
  <c r="W1438" i="330"/>
  <c r="V1438" i="330"/>
  <c r="U1438" i="330"/>
  <c r="T1438" i="330"/>
  <c r="S1438" i="330"/>
  <c r="R1438" i="330"/>
  <c r="Q1438" i="330"/>
  <c r="P1438" i="330"/>
  <c r="O1438" i="330"/>
  <c r="N1438" i="330"/>
  <c r="M1438" i="330"/>
  <c r="L1438" i="330"/>
  <c r="K1438" i="330"/>
  <c r="J1438" i="330"/>
  <c r="I1438" i="330"/>
  <c r="H1438" i="330"/>
  <c r="G1438" i="330"/>
  <c r="F1437" i="330"/>
  <c r="D1437" i="330" s="1"/>
  <c r="F1436" i="330"/>
  <c r="D1436" i="330" s="1"/>
  <c r="F1435" i="330"/>
  <c r="D1435" i="330" s="1"/>
  <c r="AX1434" i="330"/>
  <c r="AW1434" i="330"/>
  <c r="AV1434" i="330"/>
  <c r="AU1434" i="330"/>
  <c r="AT1434" i="330"/>
  <c r="AS1434" i="330"/>
  <c r="AR1434" i="330"/>
  <c r="AQ1434" i="330"/>
  <c r="AP1434" i="330"/>
  <c r="AO1434" i="330"/>
  <c r="AN1434" i="330"/>
  <c r="AM1434" i="330"/>
  <c r="AL1434" i="330"/>
  <c r="AK1434" i="330"/>
  <c r="AJ1434" i="330"/>
  <c r="AI1434" i="330"/>
  <c r="AH1434" i="330"/>
  <c r="AG1434" i="330"/>
  <c r="AF1434" i="330"/>
  <c r="AE1434" i="330"/>
  <c r="AD1434" i="330"/>
  <c r="AC1434" i="330"/>
  <c r="AB1434" i="330"/>
  <c r="AA1434" i="330"/>
  <c r="Z1434" i="330"/>
  <c r="Y1434" i="330"/>
  <c r="X1434" i="330"/>
  <c r="W1434" i="330"/>
  <c r="V1434" i="330"/>
  <c r="U1434" i="330"/>
  <c r="T1434" i="330"/>
  <c r="S1434" i="330"/>
  <c r="R1434" i="330"/>
  <c r="Q1434" i="330"/>
  <c r="P1434" i="330"/>
  <c r="O1434" i="330"/>
  <c r="N1434" i="330"/>
  <c r="M1434" i="330"/>
  <c r="L1434" i="330"/>
  <c r="K1434" i="330"/>
  <c r="J1434" i="330"/>
  <c r="I1434" i="330"/>
  <c r="H1434" i="330"/>
  <c r="G1434" i="330"/>
  <c r="F1433" i="330"/>
  <c r="D1433" i="330" s="1"/>
  <c r="F1432" i="330"/>
  <c r="D1432" i="330" s="1"/>
  <c r="F1431" i="330"/>
  <c r="D1431" i="330" s="1"/>
  <c r="F1430" i="330"/>
  <c r="D1430" i="330" s="1"/>
  <c r="AX1429" i="330"/>
  <c r="AW1429" i="330"/>
  <c r="AV1429" i="330"/>
  <c r="AU1429" i="330"/>
  <c r="AT1429" i="330"/>
  <c r="AS1429" i="330"/>
  <c r="AR1429" i="330"/>
  <c r="AQ1429" i="330"/>
  <c r="AP1429" i="330"/>
  <c r="AO1429" i="330"/>
  <c r="AN1429" i="330"/>
  <c r="AM1429" i="330"/>
  <c r="AL1429" i="330"/>
  <c r="AK1429" i="330"/>
  <c r="AJ1429" i="330"/>
  <c r="AI1429" i="330"/>
  <c r="AH1429" i="330"/>
  <c r="AG1429" i="330"/>
  <c r="AF1429" i="330"/>
  <c r="AE1429" i="330"/>
  <c r="AD1429" i="330"/>
  <c r="AC1429" i="330"/>
  <c r="AB1429" i="330"/>
  <c r="AA1429" i="330"/>
  <c r="Z1429" i="330"/>
  <c r="Y1429" i="330"/>
  <c r="X1429" i="330"/>
  <c r="W1429" i="330"/>
  <c r="V1429" i="330"/>
  <c r="U1429" i="330"/>
  <c r="T1429" i="330"/>
  <c r="S1429" i="330"/>
  <c r="R1429" i="330"/>
  <c r="Q1429" i="330"/>
  <c r="P1429" i="330"/>
  <c r="O1429" i="330"/>
  <c r="N1429" i="330"/>
  <c r="M1429" i="330"/>
  <c r="L1429" i="330"/>
  <c r="K1429" i="330"/>
  <c r="J1429" i="330"/>
  <c r="I1429" i="330"/>
  <c r="H1429" i="330"/>
  <c r="G1429" i="330"/>
  <c r="F1428" i="330"/>
  <c r="D1428" i="330" s="1"/>
  <c r="F1427" i="330"/>
  <c r="D1427" i="330" s="1"/>
  <c r="F1426" i="330"/>
  <c r="D1426" i="330" s="1"/>
  <c r="F1425" i="330"/>
  <c r="D1425" i="330" s="1"/>
  <c r="AX1424" i="330"/>
  <c r="AW1424" i="330"/>
  <c r="AV1424" i="330"/>
  <c r="AU1424" i="330"/>
  <c r="AT1424" i="330"/>
  <c r="AS1424" i="330"/>
  <c r="AR1424" i="330"/>
  <c r="AQ1424" i="330"/>
  <c r="AP1424" i="330"/>
  <c r="AO1424" i="330"/>
  <c r="AN1424" i="330"/>
  <c r="AM1424" i="330"/>
  <c r="AL1424" i="330"/>
  <c r="AK1424" i="330"/>
  <c r="AJ1424" i="330"/>
  <c r="AI1424" i="330"/>
  <c r="AH1424" i="330"/>
  <c r="AG1424" i="330"/>
  <c r="AF1424" i="330"/>
  <c r="AE1424" i="330"/>
  <c r="AD1424" i="330"/>
  <c r="AC1424" i="330"/>
  <c r="AB1424" i="330"/>
  <c r="AA1424" i="330"/>
  <c r="Z1424" i="330"/>
  <c r="Y1424" i="330"/>
  <c r="X1424" i="330"/>
  <c r="W1424" i="330"/>
  <c r="V1424" i="330"/>
  <c r="U1424" i="330"/>
  <c r="T1424" i="330"/>
  <c r="S1424" i="330"/>
  <c r="R1424" i="330"/>
  <c r="Q1424" i="330"/>
  <c r="P1424" i="330"/>
  <c r="O1424" i="330"/>
  <c r="N1424" i="330"/>
  <c r="L1424" i="330"/>
  <c r="K1424" i="330"/>
  <c r="I1424" i="330"/>
  <c r="H1424" i="330"/>
  <c r="F1423" i="330"/>
  <c r="D1423" i="330" s="1"/>
  <c r="F1422" i="330"/>
  <c r="D1422" i="330" s="1"/>
  <c r="F1421" i="330"/>
  <c r="D1421" i="330" s="1"/>
  <c r="F1420" i="330"/>
  <c r="D1420" i="330" s="1"/>
  <c r="F1419" i="330"/>
  <c r="D1419" i="330" s="1"/>
  <c r="F1418" i="330"/>
  <c r="D1418" i="330" s="1"/>
  <c r="M1417" i="330"/>
  <c r="M1424" i="330" s="1"/>
  <c r="J1417" i="330"/>
  <c r="J1424" i="330" s="1"/>
  <c r="G1417" i="330"/>
  <c r="G1416" i="330" s="1"/>
  <c r="AX1416" i="330"/>
  <c r="AW1416" i="330"/>
  <c r="AV1416" i="330"/>
  <c r="AU1416" i="330"/>
  <c r="AT1416" i="330"/>
  <c r="AS1416" i="330"/>
  <c r="AR1416" i="330"/>
  <c r="AQ1416" i="330"/>
  <c r="AP1416" i="330"/>
  <c r="AO1416" i="330"/>
  <c r="AN1416" i="330"/>
  <c r="AM1416" i="330"/>
  <c r="AL1416" i="330"/>
  <c r="AK1416" i="330"/>
  <c r="AJ1416" i="330"/>
  <c r="AI1416" i="330"/>
  <c r="AH1416" i="330"/>
  <c r="AG1416" i="330"/>
  <c r="AF1416" i="330"/>
  <c r="AE1416" i="330"/>
  <c r="AD1416" i="330"/>
  <c r="AC1416" i="330"/>
  <c r="AB1416" i="330"/>
  <c r="AA1416" i="330"/>
  <c r="Z1416" i="330"/>
  <c r="Y1416" i="330"/>
  <c r="X1416" i="330"/>
  <c r="W1416" i="330"/>
  <c r="V1416" i="330"/>
  <c r="U1416" i="330"/>
  <c r="T1416" i="330"/>
  <c r="S1416" i="330"/>
  <c r="R1416" i="330"/>
  <c r="Q1416" i="330"/>
  <c r="P1416" i="330"/>
  <c r="O1416" i="330"/>
  <c r="N1416" i="330"/>
  <c r="L1416" i="330"/>
  <c r="K1416" i="330"/>
  <c r="I1416" i="330"/>
  <c r="H1416" i="330"/>
  <c r="E1416" i="330"/>
  <c r="F1415" i="330"/>
  <c r="D1415" i="330" s="1"/>
  <c r="F1414" i="330"/>
  <c r="D1414" i="330" s="1"/>
  <c r="AX1413" i="330"/>
  <c r="AW1413" i="330"/>
  <c r="AV1413" i="330"/>
  <c r="AU1413" i="330"/>
  <c r="AT1413" i="330"/>
  <c r="AS1413" i="330"/>
  <c r="AR1413" i="330"/>
  <c r="AQ1413" i="330"/>
  <c r="AP1413" i="330"/>
  <c r="AO1413" i="330"/>
  <c r="AN1413" i="330"/>
  <c r="AM1413" i="330"/>
  <c r="AL1413" i="330"/>
  <c r="AK1413" i="330"/>
  <c r="AJ1413" i="330"/>
  <c r="AI1413" i="330"/>
  <c r="AH1413" i="330"/>
  <c r="AG1413" i="330"/>
  <c r="AF1413" i="330"/>
  <c r="AE1413" i="330"/>
  <c r="AD1413" i="330"/>
  <c r="AC1413" i="330"/>
  <c r="AB1413" i="330"/>
  <c r="AA1413" i="330"/>
  <c r="Z1413" i="330"/>
  <c r="Y1413" i="330"/>
  <c r="X1413" i="330"/>
  <c r="W1413" i="330"/>
  <c r="V1413" i="330"/>
  <c r="U1413" i="330"/>
  <c r="T1413" i="330"/>
  <c r="S1413" i="330"/>
  <c r="R1413" i="330"/>
  <c r="Q1413" i="330"/>
  <c r="P1413" i="330"/>
  <c r="O1413" i="330"/>
  <c r="N1413" i="330"/>
  <c r="M1413" i="330"/>
  <c r="L1413" i="330"/>
  <c r="K1413" i="330"/>
  <c r="J1413" i="330"/>
  <c r="F1413" i="330" s="1"/>
  <c r="D1413" i="330" s="1"/>
  <c r="I1413" i="330"/>
  <c r="H1413" i="330"/>
  <c r="G1413" i="330"/>
  <c r="F1412" i="330"/>
  <c r="D1412" i="330" s="1"/>
  <c r="F1411" i="330"/>
  <c r="D1411" i="330" s="1"/>
  <c r="F1410" i="330"/>
  <c r="D1410" i="330" s="1"/>
  <c r="AX1409" i="330"/>
  <c r="AW1409" i="330"/>
  <c r="AV1409" i="330"/>
  <c r="AU1409" i="330"/>
  <c r="AT1409" i="330"/>
  <c r="AS1409" i="330"/>
  <c r="AR1409" i="330"/>
  <c r="AQ1409" i="330"/>
  <c r="AP1409" i="330"/>
  <c r="AO1409" i="330"/>
  <c r="AN1409" i="330"/>
  <c r="AM1409" i="330"/>
  <c r="AL1409" i="330"/>
  <c r="AK1409" i="330"/>
  <c r="AJ1409" i="330"/>
  <c r="AI1409" i="330"/>
  <c r="AH1409" i="330"/>
  <c r="AG1409" i="330"/>
  <c r="AF1409" i="330"/>
  <c r="AE1409" i="330"/>
  <c r="AD1409" i="330"/>
  <c r="AC1409" i="330"/>
  <c r="AB1409" i="330"/>
  <c r="AA1409" i="330"/>
  <c r="Z1409" i="330"/>
  <c r="Y1409" i="330"/>
  <c r="X1409" i="330"/>
  <c r="W1409" i="330"/>
  <c r="V1409" i="330"/>
  <c r="U1409" i="330"/>
  <c r="T1409" i="330"/>
  <c r="S1409" i="330"/>
  <c r="R1409" i="330"/>
  <c r="Q1409" i="330"/>
  <c r="P1409" i="330"/>
  <c r="O1409" i="330"/>
  <c r="N1409" i="330"/>
  <c r="M1409" i="330"/>
  <c r="L1409" i="330"/>
  <c r="K1409" i="330"/>
  <c r="J1409" i="330"/>
  <c r="I1409" i="330"/>
  <c r="H1409" i="330"/>
  <c r="G1409" i="330"/>
  <c r="F1408" i="330"/>
  <c r="D1408" i="330" s="1"/>
  <c r="F1407" i="330"/>
  <c r="D1407" i="330" s="1"/>
  <c r="F1406" i="330"/>
  <c r="D1406" i="330" s="1"/>
  <c r="AX1405" i="330"/>
  <c r="AW1405" i="330"/>
  <c r="AV1405" i="330"/>
  <c r="AU1405" i="330"/>
  <c r="AT1405" i="330"/>
  <c r="AS1405" i="330"/>
  <c r="AR1405" i="330"/>
  <c r="AQ1405" i="330"/>
  <c r="AP1405" i="330"/>
  <c r="AO1405" i="330"/>
  <c r="AN1405" i="330"/>
  <c r="AM1405" i="330"/>
  <c r="AL1405" i="330"/>
  <c r="AK1405" i="330"/>
  <c r="AJ1405" i="330"/>
  <c r="AI1405" i="330"/>
  <c r="AH1405" i="330"/>
  <c r="AG1405" i="330"/>
  <c r="AF1405" i="330"/>
  <c r="AE1405" i="330"/>
  <c r="AD1405" i="330"/>
  <c r="AC1405" i="330"/>
  <c r="AB1405" i="330"/>
  <c r="AA1405" i="330"/>
  <c r="Z1405" i="330"/>
  <c r="Y1405" i="330"/>
  <c r="X1405" i="330"/>
  <c r="W1405" i="330"/>
  <c r="V1405" i="330"/>
  <c r="U1405" i="330"/>
  <c r="T1405" i="330"/>
  <c r="S1405" i="330"/>
  <c r="R1405" i="330"/>
  <c r="Q1405" i="330"/>
  <c r="P1405" i="330"/>
  <c r="O1405" i="330"/>
  <c r="N1405" i="330"/>
  <c r="M1405" i="330"/>
  <c r="L1405" i="330"/>
  <c r="K1405" i="330"/>
  <c r="J1405" i="330"/>
  <c r="I1405" i="330"/>
  <c r="H1405" i="330"/>
  <c r="F1405" i="330" s="1"/>
  <c r="D1405" i="330" s="1"/>
  <c r="G1405" i="330"/>
  <c r="F1404" i="330"/>
  <c r="D1404" i="330" s="1"/>
  <c r="F1403" i="330"/>
  <c r="D1403" i="330" s="1"/>
  <c r="F1402" i="330"/>
  <c r="D1402" i="330" s="1"/>
  <c r="F1401" i="330"/>
  <c r="D1401" i="330" s="1"/>
  <c r="AX1400" i="330"/>
  <c r="AW1400" i="330"/>
  <c r="AV1400" i="330"/>
  <c r="AU1400" i="330"/>
  <c r="AT1400" i="330"/>
  <c r="AS1400" i="330"/>
  <c r="AR1400" i="330"/>
  <c r="AQ1400" i="330"/>
  <c r="AP1400" i="330"/>
  <c r="AO1400" i="330"/>
  <c r="AN1400" i="330"/>
  <c r="AM1400" i="330"/>
  <c r="AL1400" i="330"/>
  <c r="AK1400" i="330"/>
  <c r="AJ1400" i="330"/>
  <c r="AI1400" i="330"/>
  <c r="AH1400" i="330"/>
  <c r="AG1400" i="330"/>
  <c r="AF1400" i="330"/>
  <c r="AE1400" i="330"/>
  <c r="AD1400" i="330"/>
  <c r="AC1400" i="330"/>
  <c r="AB1400" i="330"/>
  <c r="AA1400" i="330"/>
  <c r="Z1400" i="330"/>
  <c r="Y1400" i="330"/>
  <c r="X1400" i="330"/>
  <c r="W1400" i="330"/>
  <c r="V1400" i="330"/>
  <c r="U1400" i="330"/>
  <c r="T1400" i="330"/>
  <c r="S1400" i="330"/>
  <c r="R1400" i="330"/>
  <c r="Q1400" i="330"/>
  <c r="P1400" i="330"/>
  <c r="O1400" i="330"/>
  <c r="N1400" i="330"/>
  <c r="M1400" i="330"/>
  <c r="L1400" i="330"/>
  <c r="K1400" i="330"/>
  <c r="J1400" i="330"/>
  <c r="I1400" i="330"/>
  <c r="H1400" i="330"/>
  <c r="F1400" i="330" s="1"/>
  <c r="D1400" i="330" s="1"/>
  <c r="G1400" i="330"/>
  <c r="F1399" i="330"/>
  <c r="D1399" i="330" s="1"/>
  <c r="F1398" i="330"/>
  <c r="D1398" i="330" s="1"/>
  <c r="F1397" i="330"/>
  <c r="D1397" i="330" s="1"/>
  <c r="AX1396" i="330"/>
  <c r="AW1396" i="330"/>
  <c r="AV1396" i="330"/>
  <c r="AU1396" i="330"/>
  <c r="AT1396" i="330"/>
  <c r="AS1396" i="330"/>
  <c r="AR1396" i="330"/>
  <c r="AQ1396" i="330"/>
  <c r="AP1396" i="330"/>
  <c r="AO1396" i="330"/>
  <c r="AN1396" i="330"/>
  <c r="AM1396" i="330"/>
  <c r="AL1396" i="330"/>
  <c r="AK1396" i="330"/>
  <c r="AJ1396" i="330"/>
  <c r="AI1396" i="330"/>
  <c r="AH1396" i="330"/>
  <c r="AG1396" i="330"/>
  <c r="AF1396" i="330"/>
  <c r="AE1396" i="330"/>
  <c r="AD1396" i="330"/>
  <c r="AC1396" i="330"/>
  <c r="AB1396" i="330"/>
  <c r="AA1396" i="330"/>
  <c r="Z1396" i="330"/>
  <c r="Y1396" i="330"/>
  <c r="X1396" i="330"/>
  <c r="W1396" i="330"/>
  <c r="V1396" i="330"/>
  <c r="U1396" i="330"/>
  <c r="T1396" i="330"/>
  <c r="S1396" i="330"/>
  <c r="R1396" i="330"/>
  <c r="Q1396" i="330"/>
  <c r="P1396" i="330"/>
  <c r="O1396" i="330"/>
  <c r="N1396" i="330"/>
  <c r="M1396" i="330"/>
  <c r="L1396" i="330"/>
  <c r="K1396" i="330"/>
  <c r="J1396" i="330"/>
  <c r="I1396" i="330"/>
  <c r="H1396" i="330"/>
  <c r="G1396" i="330"/>
  <c r="F1396" i="330" s="1"/>
  <c r="D1396" i="330" s="1"/>
  <c r="F1395" i="330"/>
  <c r="D1395" i="330" s="1"/>
  <c r="F1394" i="330"/>
  <c r="D1394" i="330" s="1"/>
  <c r="F1393" i="330"/>
  <c r="D1393" i="330" s="1"/>
  <c r="F1392" i="330"/>
  <c r="D1392" i="330" s="1"/>
  <c r="F1391" i="330"/>
  <c r="D1391" i="330" s="1"/>
  <c r="AX1390" i="330"/>
  <c r="AW1390" i="330"/>
  <c r="AV1390" i="330"/>
  <c r="AU1390" i="330"/>
  <c r="AT1390" i="330"/>
  <c r="AS1390" i="330"/>
  <c r="AR1390" i="330"/>
  <c r="AQ1390" i="330"/>
  <c r="AP1390" i="330"/>
  <c r="AO1390" i="330"/>
  <c r="AN1390" i="330"/>
  <c r="AM1390" i="330"/>
  <c r="AL1390" i="330"/>
  <c r="AK1390" i="330"/>
  <c r="AJ1390" i="330"/>
  <c r="AI1390" i="330"/>
  <c r="AH1390" i="330"/>
  <c r="AG1390" i="330"/>
  <c r="AF1390" i="330"/>
  <c r="AE1390" i="330"/>
  <c r="AD1390" i="330"/>
  <c r="AC1390" i="330"/>
  <c r="AB1390" i="330"/>
  <c r="AA1390" i="330"/>
  <c r="Z1390" i="330"/>
  <c r="Y1390" i="330"/>
  <c r="X1390" i="330"/>
  <c r="W1390" i="330"/>
  <c r="V1390" i="330"/>
  <c r="U1390" i="330"/>
  <c r="T1390" i="330"/>
  <c r="S1390" i="330"/>
  <c r="R1390" i="330"/>
  <c r="Q1390" i="330"/>
  <c r="P1390" i="330"/>
  <c r="O1390" i="330"/>
  <c r="N1390" i="330"/>
  <c r="M1390" i="330"/>
  <c r="L1390" i="330"/>
  <c r="K1390" i="330"/>
  <c r="J1390" i="330"/>
  <c r="I1390" i="330"/>
  <c r="H1390" i="330"/>
  <c r="G1390" i="330"/>
  <c r="F1389" i="330"/>
  <c r="D1389" i="330" s="1"/>
  <c r="F1388" i="330"/>
  <c r="D1388" i="330" s="1"/>
  <c r="F1387" i="330"/>
  <c r="D1387" i="330" s="1"/>
  <c r="AX1386" i="330"/>
  <c r="AW1386" i="330"/>
  <c r="AV1386" i="330"/>
  <c r="AU1386" i="330"/>
  <c r="AT1386" i="330"/>
  <c r="AS1386" i="330"/>
  <c r="AR1386" i="330"/>
  <c r="AQ1386" i="330"/>
  <c r="AP1386" i="330"/>
  <c r="AO1386" i="330"/>
  <c r="AN1386" i="330"/>
  <c r="AM1386" i="330"/>
  <c r="AL1386" i="330"/>
  <c r="AK1386" i="330"/>
  <c r="AJ1386" i="330"/>
  <c r="AI1386" i="330"/>
  <c r="AH1386" i="330"/>
  <c r="AG1386" i="330"/>
  <c r="AF1386" i="330"/>
  <c r="AE1386" i="330"/>
  <c r="AD1386" i="330"/>
  <c r="AC1386" i="330"/>
  <c r="AB1386" i="330"/>
  <c r="AA1386" i="330"/>
  <c r="Z1386" i="330"/>
  <c r="Y1386" i="330"/>
  <c r="X1386" i="330"/>
  <c r="W1386" i="330"/>
  <c r="V1386" i="330"/>
  <c r="U1386" i="330"/>
  <c r="T1386" i="330"/>
  <c r="S1386" i="330"/>
  <c r="R1386" i="330"/>
  <c r="Q1386" i="330"/>
  <c r="P1386" i="330"/>
  <c r="O1386" i="330"/>
  <c r="N1386" i="330"/>
  <c r="M1386" i="330"/>
  <c r="L1386" i="330"/>
  <c r="K1386" i="330"/>
  <c r="J1386" i="330"/>
  <c r="I1386" i="330"/>
  <c r="H1386" i="330"/>
  <c r="G1386" i="330"/>
  <c r="F1385" i="330"/>
  <c r="D1385" i="330" s="1"/>
  <c r="F1384" i="330"/>
  <c r="D1384" i="330" s="1"/>
  <c r="F1383" i="330"/>
  <c r="D1383" i="330" s="1"/>
  <c r="F1382" i="330"/>
  <c r="D1382" i="330" s="1"/>
  <c r="AX1381" i="330"/>
  <c r="AW1381" i="330"/>
  <c r="AV1381" i="330"/>
  <c r="AU1381" i="330"/>
  <c r="AT1381" i="330"/>
  <c r="AS1381" i="330"/>
  <c r="AR1381" i="330"/>
  <c r="AQ1381" i="330"/>
  <c r="AP1381" i="330"/>
  <c r="AO1381" i="330"/>
  <c r="AN1381" i="330"/>
  <c r="AM1381" i="330"/>
  <c r="AL1381" i="330"/>
  <c r="AK1381" i="330"/>
  <c r="AJ1381" i="330"/>
  <c r="AI1381" i="330"/>
  <c r="AH1381" i="330"/>
  <c r="AG1381" i="330"/>
  <c r="AF1381" i="330"/>
  <c r="AE1381" i="330"/>
  <c r="AD1381" i="330"/>
  <c r="AC1381" i="330"/>
  <c r="AB1381" i="330"/>
  <c r="AA1381" i="330"/>
  <c r="Y1381" i="330"/>
  <c r="X1381" i="330"/>
  <c r="W1381" i="330"/>
  <c r="V1381" i="330"/>
  <c r="U1381" i="330"/>
  <c r="T1381" i="330"/>
  <c r="S1381" i="330"/>
  <c r="R1381" i="330"/>
  <c r="Q1381" i="330"/>
  <c r="P1381" i="330"/>
  <c r="O1381" i="330"/>
  <c r="N1381" i="330"/>
  <c r="M1381" i="330"/>
  <c r="L1381" i="330"/>
  <c r="K1381" i="330"/>
  <c r="J1381" i="330"/>
  <c r="I1381" i="330"/>
  <c r="H1381" i="330"/>
  <c r="G1381" i="330"/>
  <c r="F1380" i="330"/>
  <c r="D1380" i="330" s="1"/>
  <c r="F1379" i="330"/>
  <c r="D1379" i="330" s="1"/>
  <c r="Z1378" i="330"/>
  <c r="Z1381" i="330" s="1"/>
  <c r="F1377" i="330"/>
  <c r="D1377" i="330" s="1"/>
  <c r="F1376" i="330"/>
  <c r="D1376" i="330" s="1"/>
  <c r="F1375" i="330"/>
  <c r="D1375" i="330" s="1"/>
  <c r="F1374" i="330"/>
  <c r="D1374" i="330" s="1"/>
  <c r="F1373" i="330"/>
  <c r="D1373" i="330" s="1"/>
  <c r="AX1372" i="330"/>
  <c r="AW1372" i="330"/>
  <c r="AV1372" i="330"/>
  <c r="AU1372" i="330"/>
  <c r="AT1372" i="330"/>
  <c r="AS1372" i="330"/>
  <c r="AR1372" i="330"/>
  <c r="AQ1372" i="330"/>
  <c r="AP1372" i="330"/>
  <c r="AO1372" i="330"/>
  <c r="AN1372" i="330"/>
  <c r="AM1372" i="330"/>
  <c r="AL1372" i="330"/>
  <c r="AK1372" i="330"/>
  <c r="AJ1372" i="330"/>
  <c r="AI1372" i="330"/>
  <c r="AH1372" i="330"/>
  <c r="AG1372" i="330"/>
  <c r="AF1372" i="330"/>
  <c r="AE1372" i="330"/>
  <c r="AD1372" i="330"/>
  <c r="AC1372" i="330"/>
  <c r="AB1372" i="330"/>
  <c r="AA1372" i="330"/>
  <c r="Z1372" i="330"/>
  <c r="Y1372" i="330"/>
  <c r="X1372" i="330"/>
  <c r="W1372" i="330"/>
  <c r="V1372" i="330"/>
  <c r="U1372" i="330"/>
  <c r="T1372" i="330"/>
  <c r="S1372" i="330"/>
  <c r="R1372" i="330"/>
  <c r="Q1372" i="330"/>
  <c r="P1372" i="330"/>
  <c r="O1372" i="330"/>
  <c r="N1372" i="330"/>
  <c r="M1372" i="330"/>
  <c r="L1372" i="330"/>
  <c r="K1372" i="330"/>
  <c r="J1372" i="330"/>
  <c r="I1372" i="330"/>
  <c r="H1372" i="330"/>
  <c r="G1372" i="330"/>
  <c r="F1371" i="330"/>
  <c r="D1371" i="330" s="1"/>
  <c r="F1370" i="330"/>
  <c r="D1370" i="330" s="1"/>
  <c r="F1369" i="330"/>
  <c r="D1369" i="330" s="1"/>
  <c r="F1368" i="330"/>
  <c r="D1368" i="330" s="1"/>
  <c r="F1367" i="330"/>
  <c r="D1367" i="330" s="1"/>
  <c r="F1366" i="330"/>
  <c r="F1365" i="330"/>
  <c r="D1365" i="330" s="1"/>
  <c r="F1364" i="330"/>
  <c r="D1364" i="330" s="1"/>
  <c r="F1363" i="330"/>
  <c r="D1363" i="330" s="1"/>
  <c r="AX1362" i="330"/>
  <c r="AW1362" i="330"/>
  <c r="AV1362" i="330"/>
  <c r="AU1362" i="330"/>
  <c r="AT1362" i="330"/>
  <c r="AS1362" i="330"/>
  <c r="AR1362" i="330"/>
  <c r="AQ1362" i="330"/>
  <c r="AP1362" i="330"/>
  <c r="AO1362" i="330"/>
  <c r="AN1362" i="330"/>
  <c r="AM1362" i="330"/>
  <c r="AL1362" i="330"/>
  <c r="AK1362" i="330"/>
  <c r="AJ1362" i="330"/>
  <c r="AI1362" i="330"/>
  <c r="AH1362" i="330"/>
  <c r="AG1362" i="330"/>
  <c r="AF1362" i="330"/>
  <c r="AE1362" i="330"/>
  <c r="AD1362" i="330"/>
  <c r="AC1362" i="330"/>
  <c r="AB1362" i="330"/>
  <c r="AA1362" i="330"/>
  <c r="Z1362" i="330"/>
  <c r="Y1362" i="330"/>
  <c r="X1362" i="330"/>
  <c r="W1362" i="330"/>
  <c r="V1362" i="330"/>
  <c r="U1362" i="330"/>
  <c r="T1362" i="330"/>
  <c r="S1362" i="330"/>
  <c r="R1362" i="330"/>
  <c r="Q1362" i="330"/>
  <c r="P1362" i="330"/>
  <c r="O1362" i="330"/>
  <c r="N1362" i="330"/>
  <c r="M1362" i="330"/>
  <c r="L1362" i="330"/>
  <c r="K1362" i="330"/>
  <c r="J1362" i="330"/>
  <c r="I1362" i="330"/>
  <c r="H1362" i="330"/>
  <c r="G1362" i="330"/>
  <c r="F1361" i="330"/>
  <c r="D1361" i="330" s="1"/>
  <c r="F1360" i="330"/>
  <c r="D1360" i="330" s="1"/>
  <c r="F1359" i="330"/>
  <c r="D1359" i="330" s="1"/>
  <c r="AX1358" i="330"/>
  <c r="AW1358" i="330"/>
  <c r="AV1358" i="330"/>
  <c r="AU1358" i="330"/>
  <c r="AT1358" i="330"/>
  <c r="AS1358" i="330"/>
  <c r="AR1358" i="330"/>
  <c r="AQ1358" i="330"/>
  <c r="AP1358" i="330"/>
  <c r="AO1358" i="330"/>
  <c r="AN1358" i="330"/>
  <c r="AM1358" i="330"/>
  <c r="AL1358" i="330"/>
  <c r="AK1358" i="330"/>
  <c r="AJ1358" i="330"/>
  <c r="AI1358" i="330"/>
  <c r="AH1358" i="330"/>
  <c r="AG1358" i="330"/>
  <c r="AF1358" i="330"/>
  <c r="AE1358" i="330"/>
  <c r="AD1358" i="330"/>
  <c r="AC1358" i="330"/>
  <c r="AB1358" i="330"/>
  <c r="AA1358" i="330"/>
  <c r="Y1358" i="330"/>
  <c r="X1358" i="330"/>
  <c r="W1358" i="330"/>
  <c r="V1358" i="330"/>
  <c r="U1358" i="330"/>
  <c r="T1358" i="330"/>
  <c r="S1358" i="330"/>
  <c r="R1358" i="330"/>
  <c r="Q1358" i="330"/>
  <c r="P1358" i="330"/>
  <c r="O1358" i="330"/>
  <c r="N1358" i="330"/>
  <c r="M1358" i="330"/>
  <c r="L1358" i="330"/>
  <c r="K1358" i="330"/>
  <c r="J1358" i="330"/>
  <c r="I1358" i="330"/>
  <c r="H1358" i="330"/>
  <c r="G1358" i="330"/>
  <c r="E1358" i="330"/>
  <c r="F1357" i="330"/>
  <c r="D1357" i="330" s="1"/>
  <c r="F1356" i="330"/>
  <c r="D1356" i="330" s="1"/>
  <c r="AX1355" i="330"/>
  <c r="AW1355" i="330"/>
  <c r="AV1355" i="330"/>
  <c r="AU1355" i="330"/>
  <c r="AT1355" i="330"/>
  <c r="AS1355" i="330"/>
  <c r="AR1355" i="330"/>
  <c r="AQ1355" i="330"/>
  <c r="AP1355" i="330"/>
  <c r="AO1355" i="330"/>
  <c r="AN1355" i="330"/>
  <c r="AM1355" i="330"/>
  <c r="AL1355" i="330"/>
  <c r="AK1355" i="330"/>
  <c r="AJ1355" i="330"/>
  <c r="AI1355" i="330"/>
  <c r="AH1355" i="330"/>
  <c r="AG1355" i="330"/>
  <c r="AF1355" i="330"/>
  <c r="AE1355" i="330"/>
  <c r="AD1355" i="330"/>
  <c r="AC1355" i="330"/>
  <c r="AB1355" i="330"/>
  <c r="AA1355" i="330"/>
  <c r="Z1355" i="330"/>
  <c r="Y1355" i="330"/>
  <c r="X1355" i="330"/>
  <c r="W1355" i="330"/>
  <c r="V1355" i="330"/>
  <c r="U1355" i="330"/>
  <c r="T1355" i="330"/>
  <c r="S1355" i="330"/>
  <c r="R1355" i="330"/>
  <c r="Q1355" i="330"/>
  <c r="P1355" i="330"/>
  <c r="O1355" i="330"/>
  <c r="N1355" i="330"/>
  <c r="M1355" i="330"/>
  <c r="L1355" i="330"/>
  <c r="K1355" i="330"/>
  <c r="J1355" i="330"/>
  <c r="I1355" i="330"/>
  <c r="H1355" i="330"/>
  <c r="G1355" i="330"/>
  <c r="F1354" i="330"/>
  <c r="D1354" i="330" s="1"/>
  <c r="F1353" i="330"/>
  <c r="D1353" i="330" s="1"/>
  <c r="F1352" i="330"/>
  <c r="D1352" i="330" s="1"/>
  <c r="AX1351" i="330"/>
  <c r="AW1351" i="330"/>
  <c r="AV1351" i="330"/>
  <c r="AU1351" i="330"/>
  <c r="AT1351" i="330"/>
  <c r="AS1351" i="330"/>
  <c r="AR1351" i="330"/>
  <c r="AQ1351" i="330"/>
  <c r="AP1351" i="330"/>
  <c r="AO1351" i="330"/>
  <c r="AN1351" i="330"/>
  <c r="AM1351" i="330"/>
  <c r="AL1351" i="330"/>
  <c r="AK1351" i="330"/>
  <c r="AJ1351" i="330"/>
  <c r="AI1351" i="330"/>
  <c r="AH1351" i="330"/>
  <c r="AG1351" i="330"/>
  <c r="AF1351" i="330"/>
  <c r="AE1351" i="330"/>
  <c r="AD1351" i="330"/>
  <c r="AC1351" i="330"/>
  <c r="AB1351" i="330"/>
  <c r="AA1351" i="330"/>
  <c r="Z1351" i="330"/>
  <c r="Y1351" i="330"/>
  <c r="X1351" i="330"/>
  <c r="W1351" i="330"/>
  <c r="V1351" i="330"/>
  <c r="U1351" i="330"/>
  <c r="T1351" i="330"/>
  <c r="S1351" i="330"/>
  <c r="R1351" i="330"/>
  <c r="Q1351" i="330"/>
  <c r="P1351" i="330"/>
  <c r="O1351" i="330"/>
  <c r="N1351" i="330"/>
  <c r="M1351" i="330"/>
  <c r="L1351" i="330"/>
  <c r="K1351" i="330"/>
  <c r="J1351" i="330"/>
  <c r="I1351" i="330"/>
  <c r="H1351" i="330"/>
  <c r="G1351" i="330"/>
  <c r="F1350" i="330"/>
  <c r="D1350" i="330" s="1"/>
  <c r="F1349" i="330"/>
  <c r="D1349" i="330" s="1"/>
  <c r="F1348" i="330"/>
  <c r="D1348" i="330" s="1"/>
  <c r="AX1347" i="330"/>
  <c r="AW1347" i="330"/>
  <c r="AV1347" i="330"/>
  <c r="AU1347" i="330"/>
  <c r="AT1347" i="330"/>
  <c r="AS1347" i="330"/>
  <c r="AR1347" i="330"/>
  <c r="AQ1347" i="330"/>
  <c r="AP1347" i="330"/>
  <c r="AO1347" i="330"/>
  <c r="AN1347" i="330"/>
  <c r="AM1347" i="330"/>
  <c r="AL1347" i="330"/>
  <c r="AK1347" i="330"/>
  <c r="AJ1347" i="330"/>
  <c r="AI1347" i="330"/>
  <c r="AH1347" i="330"/>
  <c r="AG1347" i="330"/>
  <c r="AF1347" i="330"/>
  <c r="AE1347" i="330"/>
  <c r="AD1347" i="330"/>
  <c r="AC1347" i="330"/>
  <c r="AB1347" i="330"/>
  <c r="AA1347" i="330"/>
  <c r="Z1347" i="330"/>
  <c r="Y1347" i="330"/>
  <c r="X1347" i="330"/>
  <c r="W1347" i="330"/>
  <c r="V1347" i="330"/>
  <c r="U1347" i="330"/>
  <c r="T1347" i="330"/>
  <c r="S1347" i="330"/>
  <c r="R1347" i="330"/>
  <c r="Q1347" i="330"/>
  <c r="P1347" i="330"/>
  <c r="O1347" i="330"/>
  <c r="N1347" i="330"/>
  <c r="M1347" i="330"/>
  <c r="L1347" i="330"/>
  <c r="K1347" i="330"/>
  <c r="J1347" i="330"/>
  <c r="I1347" i="330"/>
  <c r="H1347" i="330"/>
  <c r="G1347" i="330"/>
  <c r="F1346" i="330"/>
  <c r="D1346" i="330" s="1"/>
  <c r="F1345" i="330"/>
  <c r="D1345" i="330" s="1"/>
  <c r="F1344" i="330"/>
  <c r="D1344" i="330" s="1"/>
  <c r="F1343" i="330"/>
  <c r="D1343" i="330" s="1"/>
  <c r="AX1342" i="330"/>
  <c r="AW1342" i="330"/>
  <c r="AV1342" i="330"/>
  <c r="AU1342" i="330"/>
  <c r="AT1342" i="330"/>
  <c r="AS1342" i="330"/>
  <c r="AR1342" i="330"/>
  <c r="AQ1342" i="330"/>
  <c r="AP1342" i="330"/>
  <c r="AO1342" i="330"/>
  <c r="AN1342" i="330"/>
  <c r="AM1342" i="330"/>
  <c r="AL1342" i="330"/>
  <c r="AK1342" i="330"/>
  <c r="AJ1342" i="330"/>
  <c r="AI1342" i="330"/>
  <c r="AH1342" i="330"/>
  <c r="AG1342" i="330"/>
  <c r="AF1342" i="330"/>
  <c r="AE1342" i="330"/>
  <c r="AD1342" i="330"/>
  <c r="AC1342" i="330"/>
  <c r="AB1342" i="330"/>
  <c r="AA1342" i="330"/>
  <c r="Z1342" i="330"/>
  <c r="Y1342" i="330"/>
  <c r="X1342" i="330"/>
  <c r="W1342" i="330"/>
  <c r="V1342" i="330"/>
  <c r="U1342" i="330"/>
  <c r="T1342" i="330"/>
  <c r="S1342" i="330"/>
  <c r="R1342" i="330"/>
  <c r="Q1342" i="330"/>
  <c r="P1342" i="330"/>
  <c r="O1342" i="330"/>
  <c r="N1342" i="330"/>
  <c r="M1342" i="330"/>
  <c r="L1342" i="330"/>
  <c r="K1342" i="330"/>
  <c r="J1342" i="330"/>
  <c r="I1342" i="330"/>
  <c r="H1342" i="330"/>
  <c r="G1342" i="330"/>
  <c r="F1341" i="330"/>
  <c r="D1341" i="330" s="1"/>
  <c r="F1340" i="330"/>
  <c r="D1340" i="330" s="1"/>
  <c r="F1339" i="330"/>
  <c r="F1338" i="330"/>
  <c r="D1338" i="330" s="1"/>
  <c r="F1337" i="330"/>
  <c r="D1337" i="330" s="1"/>
  <c r="F1336" i="330"/>
  <c r="D1336" i="330" s="1"/>
  <c r="F1335" i="330"/>
  <c r="D1335" i="330" s="1"/>
  <c r="F1334" i="330"/>
  <c r="D1334" i="330" s="1"/>
  <c r="AX1333" i="330"/>
  <c r="AW1333" i="330"/>
  <c r="AV1333" i="330"/>
  <c r="AU1333" i="330"/>
  <c r="AT1333" i="330"/>
  <c r="AS1333" i="330"/>
  <c r="AR1333" i="330"/>
  <c r="AQ1333" i="330"/>
  <c r="AP1333" i="330"/>
  <c r="AO1333" i="330"/>
  <c r="AN1333" i="330"/>
  <c r="AM1333" i="330"/>
  <c r="AL1333" i="330"/>
  <c r="AK1333" i="330"/>
  <c r="AJ1333" i="330"/>
  <c r="AI1333" i="330"/>
  <c r="AH1333" i="330"/>
  <c r="AG1333" i="330"/>
  <c r="AF1333" i="330"/>
  <c r="AE1333" i="330"/>
  <c r="AD1333" i="330"/>
  <c r="AC1333" i="330"/>
  <c r="AB1333" i="330"/>
  <c r="AA1333" i="330"/>
  <c r="Z1333" i="330"/>
  <c r="Y1333" i="330"/>
  <c r="X1333" i="330"/>
  <c r="W1333" i="330"/>
  <c r="V1333" i="330"/>
  <c r="U1333" i="330"/>
  <c r="T1333" i="330"/>
  <c r="S1333" i="330"/>
  <c r="R1333" i="330"/>
  <c r="Q1333" i="330"/>
  <c r="P1333" i="330"/>
  <c r="O1333" i="330"/>
  <c r="N1333" i="330"/>
  <c r="M1333" i="330"/>
  <c r="L1333" i="330"/>
  <c r="K1333" i="330"/>
  <c r="J1333" i="330"/>
  <c r="I1333" i="330"/>
  <c r="H1333" i="330"/>
  <c r="G1333" i="330"/>
  <c r="F1332" i="330"/>
  <c r="D1332" i="330" s="1"/>
  <c r="F1331" i="330"/>
  <c r="D1331" i="330" s="1"/>
  <c r="F1330" i="330"/>
  <c r="D1330" i="330" s="1"/>
  <c r="F1329" i="330"/>
  <c r="D1329" i="330" s="1"/>
  <c r="AX1328" i="330"/>
  <c r="AW1328" i="330"/>
  <c r="AV1328" i="330"/>
  <c r="AU1328" i="330"/>
  <c r="AT1328" i="330"/>
  <c r="AS1328" i="330"/>
  <c r="AR1328" i="330"/>
  <c r="AQ1328" i="330"/>
  <c r="AP1328" i="330"/>
  <c r="AO1328" i="330"/>
  <c r="AN1328" i="330"/>
  <c r="AM1328" i="330"/>
  <c r="AL1328" i="330"/>
  <c r="AK1328" i="330"/>
  <c r="AJ1328" i="330"/>
  <c r="AI1328" i="330"/>
  <c r="AH1328" i="330"/>
  <c r="AG1328" i="330"/>
  <c r="AF1328" i="330"/>
  <c r="AE1328" i="330"/>
  <c r="AD1328" i="330"/>
  <c r="AC1328" i="330"/>
  <c r="AB1328" i="330"/>
  <c r="AA1328" i="330"/>
  <c r="Z1328" i="330"/>
  <c r="Y1328" i="330"/>
  <c r="X1328" i="330"/>
  <c r="W1328" i="330"/>
  <c r="V1328" i="330"/>
  <c r="U1328" i="330"/>
  <c r="T1328" i="330"/>
  <c r="S1328" i="330"/>
  <c r="R1328" i="330"/>
  <c r="Q1328" i="330"/>
  <c r="P1328" i="330"/>
  <c r="O1328" i="330"/>
  <c r="N1328" i="330"/>
  <c r="M1328" i="330"/>
  <c r="L1328" i="330"/>
  <c r="K1328" i="330"/>
  <c r="J1328" i="330"/>
  <c r="I1328" i="330"/>
  <c r="H1328" i="330"/>
  <c r="G1328" i="330"/>
  <c r="E1328" i="330"/>
  <c r="F1327" i="330"/>
  <c r="D1327" i="330" s="1"/>
  <c r="AX1326" i="330"/>
  <c r="AW1326" i="330"/>
  <c r="AV1326" i="330"/>
  <c r="AU1326" i="330"/>
  <c r="AT1326" i="330"/>
  <c r="AS1326" i="330"/>
  <c r="AR1326" i="330"/>
  <c r="AQ1326" i="330"/>
  <c r="AP1326" i="330"/>
  <c r="AO1326" i="330"/>
  <c r="AN1326" i="330"/>
  <c r="AM1326" i="330"/>
  <c r="AL1326" i="330"/>
  <c r="AK1326" i="330"/>
  <c r="AJ1326" i="330"/>
  <c r="AI1326" i="330"/>
  <c r="AH1326" i="330"/>
  <c r="AG1326" i="330"/>
  <c r="AF1326" i="330"/>
  <c r="AE1326" i="330"/>
  <c r="AD1326" i="330"/>
  <c r="AC1326" i="330"/>
  <c r="AB1326" i="330"/>
  <c r="AA1326" i="330"/>
  <c r="Z1326" i="330"/>
  <c r="Y1326" i="330"/>
  <c r="X1326" i="330"/>
  <c r="W1326" i="330"/>
  <c r="V1326" i="330"/>
  <c r="U1326" i="330"/>
  <c r="T1326" i="330"/>
  <c r="S1326" i="330"/>
  <c r="R1326" i="330"/>
  <c r="Q1326" i="330"/>
  <c r="P1326" i="330"/>
  <c r="O1326" i="330"/>
  <c r="N1326" i="330"/>
  <c r="M1326" i="330"/>
  <c r="L1326" i="330"/>
  <c r="K1326" i="330"/>
  <c r="J1326" i="330"/>
  <c r="I1326" i="330"/>
  <c r="H1326" i="330"/>
  <c r="G1326" i="330"/>
  <c r="F1325" i="330"/>
  <c r="D1325" i="330" s="1"/>
  <c r="F1324" i="330"/>
  <c r="D1324" i="330" s="1"/>
  <c r="F1323" i="330"/>
  <c r="D1323" i="330" s="1"/>
  <c r="AX1322" i="330"/>
  <c r="AW1322" i="330"/>
  <c r="AV1322" i="330"/>
  <c r="AU1322" i="330"/>
  <c r="AT1322" i="330"/>
  <c r="AS1322" i="330"/>
  <c r="AR1322" i="330"/>
  <c r="AQ1322" i="330"/>
  <c r="AP1322" i="330"/>
  <c r="AO1322" i="330"/>
  <c r="AN1322" i="330"/>
  <c r="AM1322" i="330"/>
  <c r="AL1322" i="330"/>
  <c r="AK1322" i="330"/>
  <c r="AJ1322" i="330"/>
  <c r="AI1322" i="330"/>
  <c r="AH1322" i="330"/>
  <c r="AG1322" i="330"/>
  <c r="AF1322" i="330"/>
  <c r="AE1322" i="330"/>
  <c r="AD1322" i="330"/>
  <c r="AC1322" i="330"/>
  <c r="AB1322" i="330"/>
  <c r="AA1322" i="330"/>
  <c r="Z1322" i="330"/>
  <c r="Y1322" i="330"/>
  <c r="X1322" i="330"/>
  <c r="W1322" i="330"/>
  <c r="V1322" i="330"/>
  <c r="U1322" i="330"/>
  <c r="T1322" i="330"/>
  <c r="S1322" i="330"/>
  <c r="R1322" i="330"/>
  <c r="Q1322" i="330"/>
  <c r="P1322" i="330"/>
  <c r="O1322" i="330"/>
  <c r="N1322" i="330"/>
  <c r="M1322" i="330"/>
  <c r="L1322" i="330"/>
  <c r="K1322" i="330"/>
  <c r="J1322" i="330"/>
  <c r="I1322" i="330"/>
  <c r="H1322" i="330"/>
  <c r="G1322" i="330"/>
  <c r="F1321" i="330"/>
  <c r="D1321" i="330" s="1"/>
  <c r="F1320" i="330"/>
  <c r="D1320" i="330" s="1"/>
  <c r="F1319" i="330"/>
  <c r="D1319" i="330" s="1"/>
  <c r="F1318" i="330"/>
  <c r="AX1317" i="330"/>
  <c r="AW1317" i="330"/>
  <c r="AV1317" i="330"/>
  <c r="AU1317" i="330"/>
  <c r="AT1317" i="330"/>
  <c r="AS1317" i="330"/>
  <c r="AR1317" i="330"/>
  <c r="AQ1317" i="330"/>
  <c r="AP1317" i="330"/>
  <c r="AO1317" i="330"/>
  <c r="AN1317" i="330"/>
  <c r="AM1317" i="330"/>
  <c r="AL1317" i="330"/>
  <c r="AK1317" i="330"/>
  <c r="AJ1317" i="330"/>
  <c r="AI1317" i="330"/>
  <c r="AH1317" i="330"/>
  <c r="AG1317" i="330"/>
  <c r="AF1317" i="330"/>
  <c r="AE1317" i="330"/>
  <c r="AD1317" i="330"/>
  <c r="AC1317" i="330"/>
  <c r="AB1317" i="330"/>
  <c r="AA1317" i="330"/>
  <c r="Z1317" i="330"/>
  <c r="Y1317" i="330"/>
  <c r="X1317" i="330"/>
  <c r="W1317" i="330"/>
  <c r="V1317" i="330"/>
  <c r="U1317" i="330"/>
  <c r="T1317" i="330"/>
  <c r="S1317" i="330"/>
  <c r="R1317" i="330"/>
  <c r="Q1317" i="330"/>
  <c r="P1317" i="330"/>
  <c r="O1317" i="330"/>
  <c r="N1317" i="330"/>
  <c r="M1317" i="330"/>
  <c r="L1317" i="330"/>
  <c r="K1317" i="330"/>
  <c r="J1317" i="330"/>
  <c r="I1317" i="330"/>
  <c r="H1317" i="330"/>
  <c r="G1317" i="330"/>
  <c r="F1316" i="330"/>
  <c r="D1316" i="330" s="1"/>
  <c r="F1315" i="330"/>
  <c r="D1315" i="330" s="1"/>
  <c r="F1314" i="330"/>
  <c r="D1314" i="330" s="1"/>
  <c r="F1313" i="330"/>
  <c r="D1313" i="330" s="1"/>
  <c r="AX1312" i="330"/>
  <c r="AW1312" i="330"/>
  <c r="AV1312" i="330"/>
  <c r="AU1312" i="330"/>
  <c r="AT1312" i="330"/>
  <c r="AS1312" i="330"/>
  <c r="AR1312" i="330"/>
  <c r="AQ1312" i="330"/>
  <c r="AP1312" i="330"/>
  <c r="AO1312" i="330"/>
  <c r="AN1312" i="330"/>
  <c r="AM1312" i="330"/>
  <c r="AL1312" i="330"/>
  <c r="AK1312" i="330"/>
  <c r="AJ1312" i="330"/>
  <c r="AI1312" i="330"/>
  <c r="AH1312" i="330"/>
  <c r="AG1312" i="330"/>
  <c r="AF1312" i="330"/>
  <c r="AE1312" i="330"/>
  <c r="AD1312" i="330"/>
  <c r="AC1312" i="330"/>
  <c r="AB1312" i="330"/>
  <c r="AA1312" i="330"/>
  <c r="Z1312" i="330"/>
  <c r="Y1312" i="330"/>
  <c r="X1312" i="330"/>
  <c r="W1312" i="330"/>
  <c r="V1312" i="330"/>
  <c r="U1312" i="330"/>
  <c r="T1312" i="330"/>
  <c r="S1312" i="330"/>
  <c r="R1312" i="330"/>
  <c r="Q1312" i="330"/>
  <c r="P1312" i="330"/>
  <c r="O1312" i="330"/>
  <c r="N1312" i="330"/>
  <c r="M1312" i="330"/>
  <c r="L1312" i="330"/>
  <c r="K1312" i="330"/>
  <c r="J1312" i="330"/>
  <c r="I1312" i="330"/>
  <c r="H1312" i="330"/>
  <c r="G1312" i="330"/>
  <c r="F1311" i="330"/>
  <c r="D1311" i="330" s="1"/>
  <c r="F1310" i="330"/>
  <c r="D1310" i="330" s="1"/>
  <c r="F1309" i="330"/>
  <c r="D1309" i="330" s="1"/>
  <c r="F1308" i="330"/>
  <c r="D1308" i="330" s="1"/>
  <c r="AX1307" i="330"/>
  <c r="AW1307" i="330"/>
  <c r="AV1307" i="330"/>
  <c r="AU1307" i="330"/>
  <c r="AT1307" i="330"/>
  <c r="AS1307" i="330"/>
  <c r="AR1307" i="330"/>
  <c r="AQ1307" i="330"/>
  <c r="AP1307" i="330"/>
  <c r="AO1307" i="330"/>
  <c r="AN1307" i="330"/>
  <c r="AM1307" i="330"/>
  <c r="AL1307" i="330"/>
  <c r="AK1307" i="330"/>
  <c r="AJ1307" i="330"/>
  <c r="AI1307" i="330"/>
  <c r="AH1307" i="330"/>
  <c r="AG1307" i="330"/>
  <c r="AF1307" i="330"/>
  <c r="AE1307" i="330"/>
  <c r="AD1307" i="330"/>
  <c r="AC1307" i="330"/>
  <c r="AB1307" i="330"/>
  <c r="AA1307" i="330"/>
  <c r="Z1307" i="330"/>
  <c r="Y1307" i="330"/>
  <c r="X1307" i="330"/>
  <c r="W1307" i="330"/>
  <c r="V1307" i="330"/>
  <c r="U1307" i="330"/>
  <c r="T1307" i="330"/>
  <c r="S1307" i="330"/>
  <c r="R1307" i="330"/>
  <c r="Q1307" i="330"/>
  <c r="P1307" i="330"/>
  <c r="O1307" i="330"/>
  <c r="N1307" i="330"/>
  <c r="M1307" i="330"/>
  <c r="L1307" i="330"/>
  <c r="K1307" i="330"/>
  <c r="J1307" i="330"/>
  <c r="I1307" i="330"/>
  <c r="H1307" i="330"/>
  <c r="G1307" i="330"/>
  <c r="F1306" i="330"/>
  <c r="D1306" i="330" s="1"/>
  <c r="F1305" i="330"/>
  <c r="D1305" i="330" s="1"/>
  <c r="F1304" i="330"/>
  <c r="D1304" i="330" s="1"/>
  <c r="F1303" i="330"/>
  <c r="D1303" i="330" s="1"/>
  <c r="AX1302" i="330"/>
  <c r="AW1302" i="330"/>
  <c r="AV1302" i="330"/>
  <c r="AU1302" i="330"/>
  <c r="AT1302" i="330"/>
  <c r="AS1302" i="330"/>
  <c r="AR1302" i="330"/>
  <c r="AQ1302" i="330"/>
  <c r="AP1302" i="330"/>
  <c r="AO1302" i="330"/>
  <c r="AN1302" i="330"/>
  <c r="AM1302" i="330"/>
  <c r="AL1302" i="330"/>
  <c r="AK1302" i="330"/>
  <c r="AJ1302" i="330"/>
  <c r="AI1302" i="330"/>
  <c r="AH1302" i="330"/>
  <c r="AG1302" i="330"/>
  <c r="AF1302" i="330"/>
  <c r="AE1302" i="330"/>
  <c r="AD1302" i="330"/>
  <c r="AC1302" i="330"/>
  <c r="AB1302" i="330"/>
  <c r="AA1302" i="330"/>
  <c r="Z1302" i="330"/>
  <c r="Y1302" i="330"/>
  <c r="X1302" i="330"/>
  <c r="W1302" i="330"/>
  <c r="V1302" i="330"/>
  <c r="U1302" i="330"/>
  <c r="T1302" i="330"/>
  <c r="S1302" i="330"/>
  <c r="R1302" i="330"/>
  <c r="Q1302" i="330"/>
  <c r="P1302" i="330"/>
  <c r="O1302" i="330"/>
  <c r="N1302" i="330"/>
  <c r="M1302" i="330"/>
  <c r="L1302" i="330"/>
  <c r="K1302" i="330"/>
  <c r="J1302" i="330"/>
  <c r="I1302" i="330"/>
  <c r="H1302" i="330"/>
  <c r="G1302" i="330"/>
  <c r="E1302" i="330"/>
  <c r="F1301" i="330"/>
  <c r="D1301" i="330" s="1"/>
  <c r="AX1300" i="330"/>
  <c r="AW1300" i="330"/>
  <c r="AV1300" i="330"/>
  <c r="AU1300" i="330"/>
  <c r="AT1300" i="330"/>
  <c r="AS1300" i="330"/>
  <c r="AR1300" i="330"/>
  <c r="AQ1300" i="330"/>
  <c r="AP1300" i="330"/>
  <c r="AO1300" i="330"/>
  <c r="AN1300" i="330"/>
  <c r="AM1300" i="330"/>
  <c r="AL1300" i="330"/>
  <c r="AK1300" i="330"/>
  <c r="AJ1300" i="330"/>
  <c r="AI1300" i="330"/>
  <c r="AH1300" i="330"/>
  <c r="AG1300" i="330"/>
  <c r="AF1300" i="330"/>
  <c r="AE1300" i="330"/>
  <c r="AD1300" i="330"/>
  <c r="AC1300" i="330"/>
  <c r="AB1300" i="330"/>
  <c r="AA1300" i="330"/>
  <c r="Z1300" i="330"/>
  <c r="Y1300" i="330"/>
  <c r="X1300" i="330"/>
  <c r="W1300" i="330"/>
  <c r="V1300" i="330"/>
  <c r="U1300" i="330"/>
  <c r="T1300" i="330"/>
  <c r="S1300" i="330"/>
  <c r="R1300" i="330"/>
  <c r="Q1300" i="330"/>
  <c r="P1300" i="330"/>
  <c r="O1300" i="330"/>
  <c r="N1300" i="330"/>
  <c r="M1300" i="330"/>
  <c r="L1300" i="330"/>
  <c r="K1300" i="330"/>
  <c r="J1300" i="330"/>
  <c r="I1300" i="330"/>
  <c r="H1300" i="330"/>
  <c r="G1300" i="330"/>
  <c r="F1299" i="330"/>
  <c r="D1299" i="330" s="1"/>
  <c r="F1298" i="330"/>
  <c r="D1298" i="330" s="1"/>
  <c r="F1297" i="330"/>
  <c r="D1297" i="330" s="1"/>
  <c r="F1296" i="330"/>
  <c r="D1296" i="330" s="1"/>
  <c r="F1295" i="330"/>
  <c r="D1295" i="330" s="1"/>
  <c r="F1294" i="330"/>
  <c r="D1294" i="330" s="1"/>
  <c r="F1293" i="330"/>
  <c r="D1293" i="330" s="1"/>
  <c r="F1292" i="330"/>
  <c r="D1292" i="330" s="1"/>
  <c r="F1291" i="330"/>
  <c r="D1291" i="330" s="1"/>
  <c r="F1290" i="330"/>
  <c r="D1290" i="330" s="1"/>
  <c r="AX1289" i="330"/>
  <c r="AW1289" i="330"/>
  <c r="AV1289" i="330"/>
  <c r="AU1289" i="330"/>
  <c r="AT1289" i="330"/>
  <c r="AS1289" i="330"/>
  <c r="AR1289" i="330"/>
  <c r="AQ1289" i="330"/>
  <c r="AP1289" i="330"/>
  <c r="AO1289" i="330"/>
  <c r="AN1289" i="330"/>
  <c r="AM1289" i="330"/>
  <c r="AL1289" i="330"/>
  <c r="AK1289" i="330"/>
  <c r="AJ1289" i="330"/>
  <c r="AI1289" i="330"/>
  <c r="AH1289" i="330"/>
  <c r="AG1289" i="330"/>
  <c r="AF1289" i="330"/>
  <c r="AE1289" i="330"/>
  <c r="AD1289" i="330"/>
  <c r="AC1289" i="330"/>
  <c r="AB1289" i="330"/>
  <c r="AA1289" i="330"/>
  <c r="Z1289" i="330"/>
  <c r="Y1289" i="330"/>
  <c r="X1289" i="330"/>
  <c r="W1289" i="330"/>
  <c r="V1289" i="330"/>
  <c r="U1289" i="330"/>
  <c r="T1289" i="330"/>
  <c r="S1289" i="330"/>
  <c r="R1289" i="330"/>
  <c r="Q1289" i="330"/>
  <c r="P1289" i="330"/>
  <c r="O1289" i="330"/>
  <c r="N1289" i="330"/>
  <c r="M1289" i="330"/>
  <c r="L1289" i="330"/>
  <c r="K1289" i="330"/>
  <c r="J1289" i="330"/>
  <c r="I1289" i="330"/>
  <c r="H1289" i="330"/>
  <c r="G1289" i="330"/>
  <c r="F1288" i="330"/>
  <c r="D1288" i="330" s="1"/>
  <c r="F1287" i="330"/>
  <c r="D1287" i="330" s="1"/>
  <c r="F1286" i="330"/>
  <c r="D1286" i="330" s="1"/>
  <c r="AX1285" i="330"/>
  <c r="AW1285" i="330"/>
  <c r="AV1285" i="330"/>
  <c r="AU1285" i="330"/>
  <c r="AT1285" i="330"/>
  <c r="AS1285" i="330"/>
  <c r="AR1285" i="330"/>
  <c r="AQ1285" i="330"/>
  <c r="AP1285" i="330"/>
  <c r="AO1285" i="330"/>
  <c r="AN1285" i="330"/>
  <c r="AM1285" i="330"/>
  <c r="AL1285" i="330"/>
  <c r="AK1285" i="330"/>
  <c r="AJ1285" i="330"/>
  <c r="AI1285" i="330"/>
  <c r="AH1285" i="330"/>
  <c r="AG1285" i="330"/>
  <c r="AF1285" i="330"/>
  <c r="AE1285" i="330"/>
  <c r="AD1285" i="330"/>
  <c r="AC1285" i="330"/>
  <c r="AB1285" i="330"/>
  <c r="AA1285" i="330"/>
  <c r="Z1285" i="330"/>
  <c r="Y1285" i="330"/>
  <c r="X1285" i="330"/>
  <c r="W1285" i="330"/>
  <c r="V1285" i="330"/>
  <c r="U1285" i="330"/>
  <c r="T1285" i="330"/>
  <c r="S1285" i="330"/>
  <c r="R1285" i="330"/>
  <c r="Q1285" i="330"/>
  <c r="P1285" i="330"/>
  <c r="O1285" i="330"/>
  <c r="N1285" i="330"/>
  <c r="M1285" i="330"/>
  <c r="L1285" i="330"/>
  <c r="K1285" i="330"/>
  <c r="J1285" i="330"/>
  <c r="I1285" i="330"/>
  <c r="H1285" i="330"/>
  <c r="G1285" i="330"/>
  <c r="F1284" i="330"/>
  <c r="D1284" i="330" s="1"/>
  <c r="F1283" i="330"/>
  <c r="D1283" i="330" s="1"/>
  <c r="F1282" i="330"/>
  <c r="D1282" i="330" s="1"/>
  <c r="AX1281" i="330"/>
  <c r="AW1281" i="330"/>
  <c r="AV1281" i="330"/>
  <c r="AU1281" i="330"/>
  <c r="AT1281" i="330"/>
  <c r="AS1281" i="330"/>
  <c r="AR1281" i="330"/>
  <c r="AQ1281" i="330"/>
  <c r="AP1281" i="330"/>
  <c r="AO1281" i="330"/>
  <c r="AN1281" i="330"/>
  <c r="AM1281" i="330"/>
  <c r="AL1281" i="330"/>
  <c r="AK1281" i="330"/>
  <c r="AJ1281" i="330"/>
  <c r="AI1281" i="330"/>
  <c r="AH1281" i="330"/>
  <c r="AG1281" i="330"/>
  <c r="AF1281" i="330"/>
  <c r="AE1281" i="330"/>
  <c r="AD1281" i="330"/>
  <c r="AC1281" i="330"/>
  <c r="AB1281" i="330"/>
  <c r="AA1281" i="330"/>
  <c r="Z1281" i="330"/>
  <c r="Y1281" i="330"/>
  <c r="X1281" i="330"/>
  <c r="W1281" i="330"/>
  <c r="V1281" i="330"/>
  <c r="U1281" i="330"/>
  <c r="T1281" i="330"/>
  <c r="S1281" i="330"/>
  <c r="R1281" i="330"/>
  <c r="Q1281" i="330"/>
  <c r="P1281" i="330"/>
  <c r="O1281" i="330"/>
  <c r="N1281" i="330"/>
  <c r="M1281" i="330"/>
  <c r="L1281" i="330"/>
  <c r="K1281" i="330"/>
  <c r="J1281" i="330"/>
  <c r="I1281" i="330"/>
  <c r="H1281" i="330"/>
  <c r="G1281" i="330"/>
  <c r="F1280" i="330"/>
  <c r="D1280" i="330" s="1"/>
  <c r="F1279" i="330"/>
  <c r="D1279" i="330" s="1"/>
  <c r="F1278" i="330"/>
  <c r="D1278" i="330" s="1"/>
  <c r="AX1277" i="330"/>
  <c r="AW1277" i="330"/>
  <c r="AV1277" i="330"/>
  <c r="AU1277" i="330"/>
  <c r="AT1277" i="330"/>
  <c r="AS1277" i="330"/>
  <c r="AR1277" i="330"/>
  <c r="AQ1277" i="330"/>
  <c r="AP1277" i="330"/>
  <c r="AO1277" i="330"/>
  <c r="AN1277" i="330"/>
  <c r="AM1277" i="330"/>
  <c r="AL1277" i="330"/>
  <c r="AK1277" i="330"/>
  <c r="AJ1277" i="330"/>
  <c r="AI1277" i="330"/>
  <c r="AH1277" i="330"/>
  <c r="AG1277" i="330"/>
  <c r="AF1277" i="330"/>
  <c r="AE1277" i="330"/>
  <c r="AD1277" i="330"/>
  <c r="AC1277" i="330"/>
  <c r="AB1277" i="330"/>
  <c r="AA1277" i="330"/>
  <c r="Z1277" i="330"/>
  <c r="Y1277" i="330"/>
  <c r="X1277" i="330"/>
  <c r="W1277" i="330"/>
  <c r="V1277" i="330"/>
  <c r="U1277" i="330"/>
  <c r="T1277" i="330"/>
  <c r="S1277" i="330"/>
  <c r="R1277" i="330"/>
  <c r="Q1277" i="330"/>
  <c r="P1277" i="330"/>
  <c r="O1277" i="330"/>
  <c r="N1277" i="330"/>
  <c r="M1277" i="330"/>
  <c r="L1277" i="330"/>
  <c r="K1277" i="330"/>
  <c r="J1277" i="330"/>
  <c r="I1277" i="330"/>
  <c r="H1277" i="330"/>
  <c r="G1277" i="330"/>
  <c r="F1276" i="330"/>
  <c r="D1276" i="330" s="1"/>
  <c r="F1275" i="330"/>
  <c r="D1275" i="330" s="1"/>
  <c r="F1274" i="330"/>
  <c r="D1274" i="330" s="1"/>
  <c r="AX1273" i="330"/>
  <c r="AW1273" i="330"/>
  <c r="AV1273" i="330"/>
  <c r="AU1273" i="330"/>
  <c r="AT1273" i="330"/>
  <c r="AS1273" i="330"/>
  <c r="AR1273" i="330"/>
  <c r="AQ1273" i="330"/>
  <c r="AP1273" i="330"/>
  <c r="AO1273" i="330"/>
  <c r="AN1273" i="330"/>
  <c r="AM1273" i="330"/>
  <c r="AL1273" i="330"/>
  <c r="AK1273" i="330"/>
  <c r="AJ1273" i="330"/>
  <c r="AI1273" i="330"/>
  <c r="AH1273" i="330"/>
  <c r="AG1273" i="330"/>
  <c r="AF1273" i="330"/>
  <c r="AE1273" i="330"/>
  <c r="AD1273" i="330"/>
  <c r="AC1273" i="330"/>
  <c r="AB1273" i="330"/>
  <c r="AA1273" i="330"/>
  <c r="Z1273" i="330"/>
  <c r="Y1273" i="330"/>
  <c r="X1273" i="330"/>
  <c r="W1273" i="330"/>
  <c r="V1273" i="330"/>
  <c r="U1273" i="330"/>
  <c r="T1273" i="330"/>
  <c r="S1273" i="330"/>
  <c r="R1273" i="330"/>
  <c r="Q1273" i="330"/>
  <c r="P1273" i="330"/>
  <c r="O1273" i="330"/>
  <c r="N1273" i="330"/>
  <c r="M1273" i="330"/>
  <c r="L1273" i="330"/>
  <c r="K1273" i="330"/>
  <c r="J1273" i="330"/>
  <c r="I1273" i="330"/>
  <c r="H1273" i="330"/>
  <c r="G1273" i="330"/>
  <c r="F1272" i="330"/>
  <c r="D1272" i="330" s="1"/>
  <c r="F1271" i="330"/>
  <c r="D1271" i="330" s="1"/>
  <c r="F1270" i="330"/>
  <c r="D1270" i="330" s="1"/>
  <c r="AX1269" i="330"/>
  <c r="AW1269" i="330"/>
  <c r="AV1269" i="330"/>
  <c r="AU1269" i="330"/>
  <c r="AT1269" i="330"/>
  <c r="AS1269" i="330"/>
  <c r="AR1269" i="330"/>
  <c r="AQ1269" i="330"/>
  <c r="AP1269" i="330"/>
  <c r="AO1269" i="330"/>
  <c r="AN1269" i="330"/>
  <c r="AM1269" i="330"/>
  <c r="AL1269" i="330"/>
  <c r="AK1269" i="330"/>
  <c r="AJ1269" i="330"/>
  <c r="AI1269" i="330"/>
  <c r="AH1269" i="330"/>
  <c r="AG1269" i="330"/>
  <c r="AF1269" i="330"/>
  <c r="AE1269" i="330"/>
  <c r="AD1269" i="330"/>
  <c r="AC1269" i="330"/>
  <c r="AB1269" i="330"/>
  <c r="AA1269" i="330"/>
  <c r="Z1269" i="330"/>
  <c r="Y1269" i="330"/>
  <c r="X1269" i="330"/>
  <c r="W1269" i="330"/>
  <c r="V1269" i="330"/>
  <c r="U1269" i="330"/>
  <c r="T1269" i="330"/>
  <c r="S1269" i="330"/>
  <c r="R1269" i="330"/>
  <c r="Q1269" i="330"/>
  <c r="P1269" i="330"/>
  <c r="O1269" i="330"/>
  <c r="N1269" i="330"/>
  <c r="M1269" i="330"/>
  <c r="L1269" i="330"/>
  <c r="K1269" i="330"/>
  <c r="J1269" i="330"/>
  <c r="I1269" i="330"/>
  <c r="H1269" i="330"/>
  <c r="G1269" i="330"/>
  <c r="F1268" i="330"/>
  <c r="D1268" i="330" s="1"/>
  <c r="F1267" i="330"/>
  <c r="D1267" i="330" s="1"/>
  <c r="F1266" i="330"/>
  <c r="D1266" i="330" s="1"/>
  <c r="F1265" i="330"/>
  <c r="D1265" i="330" s="1"/>
  <c r="AX1264" i="330"/>
  <c r="AW1264" i="330"/>
  <c r="AV1264" i="330"/>
  <c r="AU1264" i="330"/>
  <c r="AT1264" i="330"/>
  <c r="AS1264" i="330"/>
  <c r="AR1264" i="330"/>
  <c r="AQ1264" i="330"/>
  <c r="AP1264" i="330"/>
  <c r="AO1264" i="330"/>
  <c r="AN1264" i="330"/>
  <c r="AM1264" i="330"/>
  <c r="AL1264" i="330"/>
  <c r="AK1264" i="330"/>
  <c r="AJ1264" i="330"/>
  <c r="AI1264" i="330"/>
  <c r="AH1264" i="330"/>
  <c r="AG1264" i="330"/>
  <c r="AF1264" i="330"/>
  <c r="AE1264" i="330"/>
  <c r="AD1264" i="330"/>
  <c r="AC1264" i="330"/>
  <c r="AB1264" i="330"/>
  <c r="AA1264" i="330"/>
  <c r="Z1264" i="330"/>
  <c r="Y1264" i="330"/>
  <c r="X1264" i="330"/>
  <c r="W1264" i="330"/>
  <c r="V1264" i="330"/>
  <c r="U1264" i="330"/>
  <c r="T1264" i="330"/>
  <c r="S1264" i="330"/>
  <c r="R1264" i="330"/>
  <c r="Q1264" i="330"/>
  <c r="P1264" i="330"/>
  <c r="O1264" i="330"/>
  <c r="N1264" i="330"/>
  <c r="M1264" i="330"/>
  <c r="L1264" i="330"/>
  <c r="K1264" i="330"/>
  <c r="J1264" i="330"/>
  <c r="I1264" i="330"/>
  <c r="H1264" i="330"/>
  <c r="G1264" i="330"/>
  <c r="F1263" i="330"/>
  <c r="D1263" i="330" s="1"/>
  <c r="F1262" i="330"/>
  <c r="D1262" i="330" s="1"/>
  <c r="F1261" i="330"/>
  <c r="D1261" i="330" s="1"/>
  <c r="F1260" i="330"/>
  <c r="D1260" i="330" s="1"/>
  <c r="AX1259" i="330"/>
  <c r="AW1259" i="330"/>
  <c r="AV1259" i="330"/>
  <c r="AU1259" i="330"/>
  <c r="AT1259" i="330"/>
  <c r="AS1259" i="330"/>
  <c r="AR1259" i="330"/>
  <c r="AQ1259" i="330"/>
  <c r="AP1259" i="330"/>
  <c r="AO1259" i="330"/>
  <c r="AN1259" i="330"/>
  <c r="AM1259" i="330"/>
  <c r="AL1259" i="330"/>
  <c r="AK1259" i="330"/>
  <c r="AJ1259" i="330"/>
  <c r="AI1259" i="330"/>
  <c r="AH1259" i="330"/>
  <c r="AG1259" i="330"/>
  <c r="AF1259" i="330"/>
  <c r="AE1259" i="330"/>
  <c r="AD1259" i="330"/>
  <c r="AC1259" i="330"/>
  <c r="AB1259" i="330"/>
  <c r="AA1259" i="330"/>
  <c r="Z1259" i="330"/>
  <c r="Y1259" i="330"/>
  <c r="X1259" i="330"/>
  <c r="W1259" i="330"/>
  <c r="V1259" i="330"/>
  <c r="U1259" i="330"/>
  <c r="T1259" i="330"/>
  <c r="S1259" i="330"/>
  <c r="R1259" i="330"/>
  <c r="Q1259" i="330"/>
  <c r="P1259" i="330"/>
  <c r="O1259" i="330"/>
  <c r="N1259" i="330"/>
  <c r="M1259" i="330"/>
  <c r="L1259" i="330"/>
  <c r="K1259" i="330"/>
  <c r="J1259" i="330"/>
  <c r="I1259" i="330"/>
  <c r="H1259" i="330"/>
  <c r="G1259" i="330"/>
  <c r="F1258" i="330"/>
  <c r="D1258" i="330" s="1"/>
  <c r="F1257" i="330"/>
  <c r="D1257" i="330" s="1"/>
  <c r="F1256" i="330"/>
  <c r="D1256" i="330" s="1"/>
  <c r="AX1255" i="330"/>
  <c r="AW1255" i="330"/>
  <c r="AV1255" i="330"/>
  <c r="AU1255" i="330"/>
  <c r="AT1255" i="330"/>
  <c r="AS1255" i="330"/>
  <c r="AR1255" i="330"/>
  <c r="AQ1255" i="330"/>
  <c r="AP1255" i="330"/>
  <c r="AO1255" i="330"/>
  <c r="AN1255" i="330"/>
  <c r="AM1255" i="330"/>
  <c r="AL1255" i="330"/>
  <c r="AK1255" i="330"/>
  <c r="AJ1255" i="330"/>
  <c r="AI1255" i="330"/>
  <c r="AH1255" i="330"/>
  <c r="AG1255" i="330"/>
  <c r="AF1255" i="330"/>
  <c r="AE1255" i="330"/>
  <c r="AD1255" i="330"/>
  <c r="AC1255" i="330"/>
  <c r="AB1255" i="330"/>
  <c r="AA1255" i="330"/>
  <c r="Z1255" i="330"/>
  <c r="Y1255" i="330"/>
  <c r="X1255" i="330"/>
  <c r="W1255" i="330"/>
  <c r="V1255" i="330"/>
  <c r="U1255" i="330"/>
  <c r="T1255" i="330"/>
  <c r="S1255" i="330"/>
  <c r="R1255" i="330"/>
  <c r="Q1255" i="330"/>
  <c r="P1255" i="330"/>
  <c r="O1255" i="330"/>
  <c r="N1255" i="330"/>
  <c r="M1255" i="330"/>
  <c r="L1255" i="330"/>
  <c r="K1255" i="330"/>
  <c r="J1255" i="330"/>
  <c r="I1255" i="330"/>
  <c r="H1255" i="330"/>
  <c r="G1255" i="330"/>
  <c r="F1254" i="330"/>
  <c r="D1254" i="330" s="1"/>
  <c r="F1253" i="330"/>
  <c r="D1253" i="330" s="1"/>
  <c r="F1252" i="330"/>
  <c r="D1252" i="330" s="1"/>
  <c r="AX1251" i="330"/>
  <c r="AW1251" i="330"/>
  <c r="AV1251" i="330"/>
  <c r="AU1251" i="330"/>
  <c r="AT1251" i="330"/>
  <c r="AS1251" i="330"/>
  <c r="AR1251" i="330"/>
  <c r="AQ1251" i="330"/>
  <c r="AP1251" i="330"/>
  <c r="AO1251" i="330"/>
  <c r="AN1251" i="330"/>
  <c r="AM1251" i="330"/>
  <c r="AL1251" i="330"/>
  <c r="AK1251" i="330"/>
  <c r="AJ1251" i="330"/>
  <c r="AI1251" i="330"/>
  <c r="AH1251" i="330"/>
  <c r="AG1251" i="330"/>
  <c r="AF1251" i="330"/>
  <c r="AE1251" i="330"/>
  <c r="AD1251" i="330"/>
  <c r="AC1251" i="330"/>
  <c r="AB1251" i="330"/>
  <c r="AA1251" i="330"/>
  <c r="Z1251" i="330"/>
  <c r="Y1251" i="330"/>
  <c r="X1251" i="330"/>
  <c r="W1251" i="330"/>
  <c r="V1251" i="330"/>
  <c r="U1251" i="330"/>
  <c r="T1251" i="330"/>
  <c r="S1251" i="330"/>
  <c r="R1251" i="330"/>
  <c r="Q1251" i="330"/>
  <c r="P1251" i="330"/>
  <c r="O1251" i="330"/>
  <c r="N1251" i="330"/>
  <c r="M1251" i="330"/>
  <c r="L1251" i="330"/>
  <c r="K1251" i="330"/>
  <c r="J1251" i="330"/>
  <c r="I1251" i="330"/>
  <c r="H1251" i="330"/>
  <c r="G1251" i="330"/>
  <c r="F1250" i="330"/>
  <c r="D1250" i="330" s="1"/>
  <c r="F1249" i="330"/>
  <c r="D1249" i="330" s="1"/>
  <c r="F1248" i="330"/>
  <c r="D1248" i="330" s="1"/>
  <c r="AX1247" i="330"/>
  <c r="AW1247" i="330"/>
  <c r="AV1247" i="330"/>
  <c r="AU1247" i="330"/>
  <c r="AT1247" i="330"/>
  <c r="AS1247" i="330"/>
  <c r="AR1247" i="330"/>
  <c r="AQ1247" i="330"/>
  <c r="AP1247" i="330"/>
  <c r="AO1247" i="330"/>
  <c r="AN1247" i="330"/>
  <c r="AM1247" i="330"/>
  <c r="AL1247" i="330"/>
  <c r="AK1247" i="330"/>
  <c r="AJ1247" i="330"/>
  <c r="AI1247" i="330"/>
  <c r="AH1247" i="330"/>
  <c r="AG1247" i="330"/>
  <c r="AF1247" i="330"/>
  <c r="AE1247" i="330"/>
  <c r="AC1247" i="330"/>
  <c r="AB1247" i="330"/>
  <c r="AA1247" i="330"/>
  <c r="Z1247" i="330"/>
  <c r="Y1247" i="330"/>
  <c r="X1247" i="330"/>
  <c r="W1247" i="330"/>
  <c r="V1247" i="330"/>
  <c r="U1247" i="330"/>
  <c r="T1247" i="330"/>
  <c r="S1247" i="330"/>
  <c r="R1247" i="330"/>
  <c r="Q1247" i="330"/>
  <c r="P1247" i="330"/>
  <c r="O1247" i="330"/>
  <c r="N1247" i="330"/>
  <c r="M1247" i="330"/>
  <c r="L1247" i="330"/>
  <c r="K1247" i="330"/>
  <c r="J1247" i="330"/>
  <c r="I1247" i="330"/>
  <c r="H1247" i="330"/>
  <c r="G1247" i="330"/>
  <c r="F1246" i="330"/>
  <c r="D1246" i="330" s="1"/>
  <c r="F1245" i="330"/>
  <c r="D1245" i="330" s="1"/>
  <c r="F1244" i="330"/>
  <c r="D1244" i="330" s="1"/>
  <c r="F1243" i="330"/>
  <c r="D1243" i="330" s="1"/>
  <c r="F1242" i="330"/>
  <c r="D1242" i="330" s="1"/>
  <c r="F1241" i="330"/>
  <c r="D1241" i="330" s="1"/>
  <c r="F1240" i="330"/>
  <c r="D1240" i="330" s="1"/>
  <c r="F1239" i="330"/>
  <c r="D1239" i="330" s="1"/>
  <c r="F1238" i="330"/>
  <c r="D1238" i="330" s="1"/>
  <c r="AD1237" i="330"/>
  <c r="AD1247" i="330" s="1"/>
  <c r="AX1236" i="330"/>
  <c r="AW1236" i="330"/>
  <c r="AV1236" i="330"/>
  <c r="AU1236" i="330"/>
  <c r="AT1236" i="330"/>
  <c r="AS1236" i="330"/>
  <c r="AR1236" i="330"/>
  <c r="AQ1236" i="330"/>
  <c r="AP1236" i="330"/>
  <c r="AO1236" i="330"/>
  <c r="AN1236" i="330"/>
  <c r="AM1236" i="330"/>
  <c r="AL1236" i="330"/>
  <c r="AK1236" i="330"/>
  <c r="AJ1236" i="330"/>
  <c r="AI1236" i="330"/>
  <c r="AH1236" i="330"/>
  <c r="AG1236" i="330"/>
  <c r="AF1236" i="330"/>
  <c r="AE1236" i="330"/>
  <c r="AD1236" i="330"/>
  <c r="AC1236" i="330"/>
  <c r="AB1236" i="330"/>
  <c r="AA1236" i="330"/>
  <c r="Z1236" i="330"/>
  <c r="Y1236" i="330"/>
  <c r="X1236" i="330"/>
  <c r="W1236" i="330"/>
  <c r="V1236" i="330"/>
  <c r="U1236" i="330"/>
  <c r="T1236" i="330"/>
  <c r="S1236" i="330"/>
  <c r="R1236" i="330"/>
  <c r="Q1236" i="330"/>
  <c r="P1236" i="330"/>
  <c r="O1236" i="330"/>
  <c r="N1236" i="330"/>
  <c r="M1236" i="330"/>
  <c r="L1236" i="330"/>
  <c r="K1236" i="330"/>
  <c r="J1236" i="330"/>
  <c r="I1236" i="330"/>
  <c r="H1236" i="330"/>
  <c r="G1236" i="330"/>
  <c r="F1235" i="330"/>
  <c r="D1235" i="330" s="1"/>
  <c r="F1234" i="330"/>
  <c r="D1234" i="330" s="1"/>
  <c r="F1233" i="330"/>
  <c r="D1233" i="330" s="1"/>
  <c r="AX1232" i="330"/>
  <c r="AW1232" i="330"/>
  <c r="AV1232" i="330"/>
  <c r="AU1232" i="330"/>
  <c r="AT1232" i="330"/>
  <c r="AS1232" i="330"/>
  <c r="AR1232" i="330"/>
  <c r="AQ1232" i="330"/>
  <c r="AP1232" i="330"/>
  <c r="AO1232" i="330"/>
  <c r="AN1232" i="330"/>
  <c r="AM1232" i="330"/>
  <c r="AL1232" i="330"/>
  <c r="AK1232" i="330"/>
  <c r="AJ1232" i="330"/>
  <c r="AI1232" i="330"/>
  <c r="AH1232" i="330"/>
  <c r="AG1232" i="330"/>
  <c r="AF1232" i="330"/>
  <c r="AE1232" i="330"/>
  <c r="AD1232" i="330"/>
  <c r="AC1232" i="330"/>
  <c r="AB1232" i="330"/>
  <c r="AA1232" i="330"/>
  <c r="Z1232" i="330"/>
  <c r="Y1232" i="330"/>
  <c r="X1232" i="330"/>
  <c r="W1232" i="330"/>
  <c r="V1232" i="330"/>
  <c r="U1232" i="330"/>
  <c r="T1232" i="330"/>
  <c r="S1232" i="330"/>
  <c r="R1232" i="330"/>
  <c r="Q1232" i="330"/>
  <c r="P1232" i="330"/>
  <c r="O1232" i="330"/>
  <c r="N1232" i="330"/>
  <c r="M1232" i="330"/>
  <c r="L1232" i="330"/>
  <c r="K1232" i="330"/>
  <c r="J1232" i="330"/>
  <c r="I1232" i="330"/>
  <c r="H1232" i="330"/>
  <c r="G1232" i="330"/>
  <c r="F1231" i="330"/>
  <c r="D1231" i="330" s="1"/>
  <c r="F1230" i="330"/>
  <c r="D1230" i="330" s="1"/>
  <c r="F1229" i="330"/>
  <c r="D1229" i="330" s="1"/>
  <c r="F1228" i="330"/>
  <c r="D1228" i="330" s="1"/>
  <c r="AX1227" i="330"/>
  <c r="AW1227" i="330"/>
  <c r="AV1227" i="330"/>
  <c r="AU1227" i="330"/>
  <c r="AT1227" i="330"/>
  <c r="AS1227" i="330"/>
  <c r="AR1227" i="330"/>
  <c r="AQ1227" i="330"/>
  <c r="AP1227" i="330"/>
  <c r="AO1227" i="330"/>
  <c r="AN1227" i="330"/>
  <c r="AM1227" i="330"/>
  <c r="AL1227" i="330"/>
  <c r="AK1227" i="330"/>
  <c r="AJ1227" i="330"/>
  <c r="AI1227" i="330"/>
  <c r="AH1227" i="330"/>
  <c r="AG1227" i="330"/>
  <c r="AF1227" i="330"/>
  <c r="AE1227" i="330"/>
  <c r="AD1227" i="330"/>
  <c r="AC1227" i="330"/>
  <c r="AB1227" i="330"/>
  <c r="AA1227" i="330"/>
  <c r="Z1227" i="330"/>
  <c r="Y1227" i="330"/>
  <c r="X1227" i="330"/>
  <c r="W1227" i="330"/>
  <c r="V1227" i="330"/>
  <c r="U1227" i="330"/>
  <c r="T1227" i="330"/>
  <c r="S1227" i="330"/>
  <c r="R1227" i="330"/>
  <c r="Q1227" i="330"/>
  <c r="P1227" i="330"/>
  <c r="O1227" i="330"/>
  <c r="N1227" i="330"/>
  <c r="M1227" i="330"/>
  <c r="L1227" i="330"/>
  <c r="K1227" i="330"/>
  <c r="J1227" i="330"/>
  <c r="I1227" i="330"/>
  <c r="H1227" i="330"/>
  <c r="G1227" i="330"/>
  <c r="F1226" i="330"/>
  <c r="D1226" i="330" s="1"/>
  <c r="F1225" i="330"/>
  <c r="D1225" i="330" s="1"/>
  <c r="F1224" i="330"/>
  <c r="D1224" i="330" s="1"/>
  <c r="AX1223" i="330"/>
  <c r="AW1223" i="330"/>
  <c r="AV1223" i="330"/>
  <c r="AU1223" i="330"/>
  <c r="AT1223" i="330"/>
  <c r="AS1223" i="330"/>
  <c r="AR1223" i="330"/>
  <c r="AQ1223" i="330"/>
  <c r="AP1223" i="330"/>
  <c r="AO1223" i="330"/>
  <c r="AN1223" i="330"/>
  <c r="AM1223" i="330"/>
  <c r="AL1223" i="330"/>
  <c r="AK1223" i="330"/>
  <c r="AJ1223" i="330"/>
  <c r="AI1223" i="330"/>
  <c r="AH1223" i="330"/>
  <c r="AG1223" i="330"/>
  <c r="AF1223" i="330"/>
  <c r="AE1223" i="330"/>
  <c r="AD1223" i="330"/>
  <c r="AC1223" i="330"/>
  <c r="AB1223" i="330"/>
  <c r="AA1223" i="330"/>
  <c r="Z1223" i="330"/>
  <c r="Y1223" i="330"/>
  <c r="X1223" i="330"/>
  <c r="W1223" i="330"/>
  <c r="V1223" i="330"/>
  <c r="U1223" i="330"/>
  <c r="T1223" i="330"/>
  <c r="S1223" i="330"/>
  <c r="R1223" i="330"/>
  <c r="Q1223" i="330"/>
  <c r="P1223" i="330"/>
  <c r="O1223" i="330"/>
  <c r="N1223" i="330"/>
  <c r="M1223" i="330"/>
  <c r="L1223" i="330"/>
  <c r="K1223" i="330"/>
  <c r="J1223" i="330"/>
  <c r="I1223" i="330"/>
  <c r="H1223" i="330"/>
  <c r="G1223" i="330"/>
  <c r="F1222" i="330"/>
  <c r="D1222" i="330" s="1"/>
  <c r="F1221" i="330"/>
  <c r="D1221" i="330" s="1"/>
  <c r="F1220" i="330"/>
  <c r="D1220" i="330" s="1"/>
  <c r="F1219" i="330"/>
  <c r="D1219" i="330" s="1"/>
  <c r="AX1218" i="330"/>
  <c r="AW1218" i="330"/>
  <c r="AV1218" i="330"/>
  <c r="AU1218" i="330"/>
  <c r="AT1218" i="330"/>
  <c r="AS1218" i="330"/>
  <c r="AR1218" i="330"/>
  <c r="AQ1218" i="330"/>
  <c r="AP1218" i="330"/>
  <c r="AO1218" i="330"/>
  <c r="AN1218" i="330"/>
  <c r="AM1218" i="330"/>
  <c r="AL1218" i="330"/>
  <c r="AK1218" i="330"/>
  <c r="AJ1218" i="330"/>
  <c r="AI1218" i="330"/>
  <c r="AH1218" i="330"/>
  <c r="AG1218" i="330"/>
  <c r="AF1218" i="330"/>
  <c r="AE1218" i="330"/>
  <c r="AD1218" i="330"/>
  <c r="AC1218" i="330"/>
  <c r="AB1218" i="330"/>
  <c r="AA1218" i="330"/>
  <c r="Z1218" i="330"/>
  <c r="Y1218" i="330"/>
  <c r="X1218" i="330"/>
  <c r="W1218" i="330"/>
  <c r="V1218" i="330"/>
  <c r="U1218" i="330"/>
  <c r="T1218" i="330"/>
  <c r="S1218" i="330"/>
  <c r="R1218" i="330"/>
  <c r="Q1218" i="330"/>
  <c r="P1218" i="330"/>
  <c r="O1218" i="330"/>
  <c r="N1218" i="330"/>
  <c r="M1218" i="330"/>
  <c r="L1218" i="330"/>
  <c r="K1218" i="330"/>
  <c r="J1218" i="330"/>
  <c r="I1218" i="330"/>
  <c r="H1218" i="330"/>
  <c r="G1218" i="330"/>
  <c r="F1217" i="330"/>
  <c r="D1217" i="330" s="1"/>
  <c r="F1216" i="330"/>
  <c r="D1216" i="330" s="1"/>
  <c r="F1215" i="330"/>
  <c r="D1215" i="330" s="1"/>
  <c r="F1214" i="330"/>
  <c r="D1214" i="330" s="1"/>
  <c r="AX1213" i="330"/>
  <c r="AW1213" i="330"/>
  <c r="AV1213" i="330"/>
  <c r="AU1213" i="330"/>
  <c r="AT1213" i="330"/>
  <c r="AS1213" i="330"/>
  <c r="AR1213" i="330"/>
  <c r="AQ1213" i="330"/>
  <c r="AP1213" i="330"/>
  <c r="AO1213" i="330"/>
  <c r="AN1213" i="330"/>
  <c r="AM1213" i="330"/>
  <c r="AL1213" i="330"/>
  <c r="AK1213" i="330"/>
  <c r="AJ1213" i="330"/>
  <c r="AI1213" i="330"/>
  <c r="AH1213" i="330"/>
  <c r="AG1213" i="330"/>
  <c r="AF1213" i="330"/>
  <c r="AE1213" i="330"/>
  <c r="AD1213" i="330"/>
  <c r="AC1213" i="330"/>
  <c r="AB1213" i="330"/>
  <c r="AA1213" i="330"/>
  <c r="Z1213" i="330"/>
  <c r="Y1213" i="330"/>
  <c r="X1213" i="330"/>
  <c r="W1213" i="330"/>
  <c r="V1213" i="330"/>
  <c r="U1213" i="330"/>
  <c r="T1213" i="330"/>
  <c r="S1213" i="330"/>
  <c r="R1213" i="330"/>
  <c r="Q1213" i="330"/>
  <c r="P1213" i="330"/>
  <c r="O1213" i="330"/>
  <c r="N1213" i="330"/>
  <c r="M1213" i="330"/>
  <c r="L1213" i="330"/>
  <c r="K1213" i="330"/>
  <c r="I1213" i="330"/>
  <c r="H1213" i="330"/>
  <c r="G1213" i="330"/>
  <c r="F1212" i="330"/>
  <c r="D1212" i="330" s="1"/>
  <c r="F1211" i="330"/>
  <c r="D1211" i="330" s="1"/>
  <c r="F1210" i="330"/>
  <c r="D1210" i="330" s="1"/>
  <c r="J1209" i="330"/>
  <c r="F1209" i="330" s="1"/>
  <c r="AX1208" i="330"/>
  <c r="AW1208" i="330"/>
  <c r="AV1208" i="330"/>
  <c r="AU1208" i="330"/>
  <c r="AT1208" i="330"/>
  <c r="AS1208" i="330"/>
  <c r="AR1208" i="330"/>
  <c r="AQ1208" i="330"/>
  <c r="AP1208" i="330"/>
  <c r="AO1208" i="330"/>
  <c r="AN1208" i="330"/>
  <c r="AM1208" i="330"/>
  <c r="AL1208" i="330"/>
  <c r="AK1208" i="330"/>
  <c r="AJ1208" i="330"/>
  <c r="AI1208" i="330"/>
  <c r="AH1208" i="330"/>
  <c r="AG1208" i="330"/>
  <c r="AF1208" i="330"/>
  <c r="AE1208" i="330"/>
  <c r="AD1208" i="330"/>
  <c r="AC1208" i="330"/>
  <c r="AB1208" i="330"/>
  <c r="AA1208" i="330"/>
  <c r="Z1208" i="330"/>
  <c r="Y1208" i="330"/>
  <c r="X1208" i="330"/>
  <c r="W1208" i="330"/>
  <c r="V1208" i="330"/>
  <c r="U1208" i="330"/>
  <c r="T1208" i="330"/>
  <c r="S1208" i="330"/>
  <c r="R1208" i="330"/>
  <c r="Q1208" i="330"/>
  <c r="P1208" i="330"/>
  <c r="O1208" i="330"/>
  <c r="N1208" i="330"/>
  <c r="M1208" i="330"/>
  <c r="L1208" i="330"/>
  <c r="K1208" i="330"/>
  <c r="J1208" i="330"/>
  <c r="I1208" i="330"/>
  <c r="H1208" i="330"/>
  <c r="G1208" i="330"/>
  <c r="F1207" i="330"/>
  <c r="D1207" i="330" s="1"/>
  <c r="F1206" i="330"/>
  <c r="D1206" i="330" s="1"/>
  <c r="F1205" i="330"/>
  <c r="D1205" i="330" s="1"/>
  <c r="F1204" i="330"/>
  <c r="D1204" i="330" s="1"/>
  <c r="AX1203" i="330"/>
  <c r="AW1203" i="330"/>
  <c r="AV1203" i="330"/>
  <c r="AU1203" i="330"/>
  <c r="AT1203" i="330"/>
  <c r="AS1203" i="330"/>
  <c r="AR1203" i="330"/>
  <c r="AQ1203" i="330"/>
  <c r="AP1203" i="330"/>
  <c r="AO1203" i="330"/>
  <c r="AN1203" i="330"/>
  <c r="AM1203" i="330"/>
  <c r="AL1203" i="330"/>
  <c r="AK1203" i="330"/>
  <c r="AJ1203" i="330"/>
  <c r="AI1203" i="330"/>
  <c r="AH1203" i="330"/>
  <c r="AG1203" i="330"/>
  <c r="AF1203" i="330"/>
  <c r="AE1203" i="330"/>
  <c r="AC1203" i="330"/>
  <c r="AB1203" i="330"/>
  <c r="AA1203" i="330"/>
  <c r="Z1203" i="330"/>
  <c r="Y1203" i="330"/>
  <c r="X1203" i="330"/>
  <c r="W1203" i="330"/>
  <c r="V1203" i="330"/>
  <c r="U1203" i="330"/>
  <c r="T1203" i="330"/>
  <c r="S1203" i="330"/>
  <c r="R1203" i="330"/>
  <c r="Q1203" i="330"/>
  <c r="P1203" i="330"/>
  <c r="O1203" i="330"/>
  <c r="N1203" i="330"/>
  <c r="M1203" i="330"/>
  <c r="L1203" i="330"/>
  <c r="K1203" i="330"/>
  <c r="I1203" i="330"/>
  <c r="H1203" i="330"/>
  <c r="G1203" i="330"/>
  <c r="E1203" i="330"/>
  <c r="F1202" i="330"/>
  <c r="D1202" i="330" s="1"/>
  <c r="AX1201" i="330"/>
  <c r="AW1201" i="330"/>
  <c r="AV1201" i="330"/>
  <c r="AU1201" i="330"/>
  <c r="AT1201" i="330"/>
  <c r="AS1201" i="330"/>
  <c r="AR1201" i="330"/>
  <c r="AQ1201" i="330"/>
  <c r="AP1201" i="330"/>
  <c r="AO1201" i="330"/>
  <c r="AN1201" i="330"/>
  <c r="AM1201" i="330"/>
  <c r="AL1201" i="330"/>
  <c r="AK1201" i="330"/>
  <c r="AJ1201" i="330"/>
  <c r="AI1201" i="330"/>
  <c r="AH1201" i="330"/>
  <c r="AG1201" i="330"/>
  <c r="AF1201" i="330"/>
  <c r="AE1201" i="330"/>
  <c r="AD1201" i="330"/>
  <c r="AC1201" i="330"/>
  <c r="AB1201" i="330"/>
  <c r="AA1201" i="330"/>
  <c r="Z1201" i="330"/>
  <c r="Y1201" i="330"/>
  <c r="X1201" i="330"/>
  <c r="W1201" i="330"/>
  <c r="V1201" i="330"/>
  <c r="U1201" i="330"/>
  <c r="T1201" i="330"/>
  <c r="S1201" i="330"/>
  <c r="R1201" i="330"/>
  <c r="Q1201" i="330"/>
  <c r="P1201" i="330"/>
  <c r="O1201" i="330"/>
  <c r="N1201" i="330"/>
  <c r="M1201" i="330"/>
  <c r="L1201" i="330"/>
  <c r="K1201" i="330"/>
  <c r="J1201" i="330"/>
  <c r="I1201" i="330"/>
  <c r="H1201" i="330"/>
  <c r="G1201" i="330"/>
  <c r="F1200" i="330"/>
  <c r="D1200" i="330" s="1"/>
  <c r="F1199" i="330"/>
  <c r="D1199" i="330" s="1"/>
  <c r="F1198" i="330"/>
  <c r="D1198" i="330" s="1"/>
  <c r="F1197" i="330"/>
  <c r="D1197" i="330" s="1"/>
  <c r="AX1196" i="330"/>
  <c r="AW1196" i="330"/>
  <c r="AV1196" i="330"/>
  <c r="AU1196" i="330"/>
  <c r="AT1196" i="330"/>
  <c r="AS1196" i="330"/>
  <c r="AR1196" i="330"/>
  <c r="AQ1196" i="330"/>
  <c r="AP1196" i="330"/>
  <c r="AO1196" i="330"/>
  <c r="AN1196" i="330"/>
  <c r="AM1196" i="330"/>
  <c r="AL1196" i="330"/>
  <c r="AK1196" i="330"/>
  <c r="AJ1196" i="330"/>
  <c r="AI1196" i="330"/>
  <c r="AH1196" i="330"/>
  <c r="AG1196" i="330"/>
  <c r="AF1196" i="330"/>
  <c r="AE1196" i="330"/>
  <c r="AD1196" i="330"/>
  <c r="AC1196" i="330"/>
  <c r="AB1196" i="330"/>
  <c r="AA1196" i="330"/>
  <c r="Z1196" i="330"/>
  <c r="Y1196" i="330"/>
  <c r="X1196" i="330"/>
  <c r="W1196" i="330"/>
  <c r="V1196" i="330"/>
  <c r="U1196" i="330"/>
  <c r="T1196" i="330"/>
  <c r="S1196" i="330"/>
  <c r="R1196" i="330"/>
  <c r="Q1196" i="330"/>
  <c r="P1196" i="330"/>
  <c r="O1196" i="330"/>
  <c r="N1196" i="330"/>
  <c r="M1196" i="330"/>
  <c r="L1196" i="330"/>
  <c r="K1196" i="330"/>
  <c r="J1196" i="330"/>
  <c r="I1196" i="330"/>
  <c r="H1196" i="330"/>
  <c r="G1196" i="330"/>
  <c r="F1195" i="330"/>
  <c r="D1195" i="330" s="1"/>
  <c r="F1194" i="330"/>
  <c r="D1194" i="330" s="1"/>
  <c r="F1193" i="330"/>
  <c r="D1193" i="330" s="1"/>
  <c r="AX1192" i="330"/>
  <c r="AW1192" i="330"/>
  <c r="AV1192" i="330"/>
  <c r="AU1192" i="330"/>
  <c r="AT1192" i="330"/>
  <c r="AS1192" i="330"/>
  <c r="AR1192" i="330"/>
  <c r="AQ1192" i="330"/>
  <c r="AP1192" i="330"/>
  <c r="AO1192" i="330"/>
  <c r="AN1192" i="330"/>
  <c r="AM1192" i="330"/>
  <c r="AL1192" i="330"/>
  <c r="AK1192" i="330"/>
  <c r="AJ1192" i="330"/>
  <c r="AI1192" i="330"/>
  <c r="AH1192" i="330"/>
  <c r="AG1192" i="330"/>
  <c r="AF1192" i="330"/>
  <c r="AE1192" i="330"/>
  <c r="AD1192" i="330"/>
  <c r="AC1192" i="330"/>
  <c r="AB1192" i="330"/>
  <c r="AA1192" i="330"/>
  <c r="Z1192" i="330"/>
  <c r="Y1192" i="330"/>
  <c r="X1192" i="330"/>
  <c r="W1192" i="330"/>
  <c r="V1192" i="330"/>
  <c r="U1192" i="330"/>
  <c r="T1192" i="330"/>
  <c r="S1192" i="330"/>
  <c r="R1192" i="330"/>
  <c r="Q1192" i="330"/>
  <c r="P1192" i="330"/>
  <c r="O1192" i="330"/>
  <c r="N1192" i="330"/>
  <c r="M1192" i="330"/>
  <c r="L1192" i="330"/>
  <c r="K1192" i="330"/>
  <c r="J1192" i="330"/>
  <c r="I1192" i="330"/>
  <c r="H1192" i="330"/>
  <c r="G1192" i="330"/>
  <c r="F1191" i="330"/>
  <c r="D1191" i="330" s="1"/>
  <c r="F1190" i="330"/>
  <c r="D1190" i="330" s="1"/>
  <c r="F1189" i="330"/>
  <c r="D1189" i="330" s="1"/>
  <c r="F1188" i="330"/>
  <c r="D1188" i="330" s="1"/>
  <c r="AX1187" i="330"/>
  <c r="AW1187" i="330"/>
  <c r="AV1187" i="330"/>
  <c r="AU1187" i="330"/>
  <c r="AT1187" i="330"/>
  <c r="AS1187" i="330"/>
  <c r="AR1187" i="330"/>
  <c r="AQ1187" i="330"/>
  <c r="AP1187" i="330"/>
  <c r="AO1187" i="330"/>
  <c r="AN1187" i="330"/>
  <c r="AM1187" i="330"/>
  <c r="AL1187" i="330"/>
  <c r="AK1187" i="330"/>
  <c r="AJ1187" i="330"/>
  <c r="AI1187" i="330"/>
  <c r="AH1187" i="330"/>
  <c r="AG1187" i="330"/>
  <c r="AF1187" i="330"/>
  <c r="AE1187" i="330"/>
  <c r="AD1187" i="330"/>
  <c r="AC1187" i="330"/>
  <c r="AB1187" i="330"/>
  <c r="AA1187" i="330"/>
  <c r="Z1187" i="330"/>
  <c r="Y1187" i="330"/>
  <c r="X1187" i="330"/>
  <c r="W1187" i="330"/>
  <c r="V1187" i="330"/>
  <c r="U1187" i="330"/>
  <c r="T1187" i="330"/>
  <c r="S1187" i="330"/>
  <c r="R1187" i="330"/>
  <c r="Q1187" i="330"/>
  <c r="P1187" i="330"/>
  <c r="O1187" i="330"/>
  <c r="N1187" i="330"/>
  <c r="M1187" i="330"/>
  <c r="L1187" i="330"/>
  <c r="K1187" i="330"/>
  <c r="J1187" i="330"/>
  <c r="I1187" i="330"/>
  <c r="H1187" i="330"/>
  <c r="G1187" i="330"/>
  <c r="F1186" i="330"/>
  <c r="D1186" i="330" s="1"/>
  <c r="F1185" i="330"/>
  <c r="D1185" i="330" s="1"/>
  <c r="F1184" i="330"/>
  <c r="D1184" i="330" s="1"/>
  <c r="F1183" i="330"/>
  <c r="AX1182" i="330"/>
  <c r="AW1182" i="330"/>
  <c r="AV1182" i="330"/>
  <c r="AU1182" i="330"/>
  <c r="AT1182" i="330"/>
  <c r="AS1182" i="330"/>
  <c r="AR1182" i="330"/>
  <c r="AQ1182" i="330"/>
  <c r="AP1182" i="330"/>
  <c r="AO1182" i="330"/>
  <c r="AN1182" i="330"/>
  <c r="AM1182" i="330"/>
  <c r="AL1182" i="330"/>
  <c r="AK1182" i="330"/>
  <c r="AJ1182" i="330"/>
  <c r="AI1182" i="330"/>
  <c r="AH1182" i="330"/>
  <c r="AG1182" i="330"/>
  <c r="AF1182" i="330"/>
  <c r="AE1182" i="330"/>
  <c r="AD1182" i="330"/>
  <c r="AC1182" i="330"/>
  <c r="AB1182" i="330"/>
  <c r="AA1182" i="330"/>
  <c r="Z1182" i="330"/>
  <c r="Y1182" i="330"/>
  <c r="X1182" i="330"/>
  <c r="W1182" i="330"/>
  <c r="V1182" i="330"/>
  <c r="U1182" i="330"/>
  <c r="T1182" i="330"/>
  <c r="S1182" i="330"/>
  <c r="R1182" i="330"/>
  <c r="Q1182" i="330"/>
  <c r="P1182" i="330"/>
  <c r="O1182" i="330"/>
  <c r="N1182" i="330"/>
  <c r="M1182" i="330"/>
  <c r="L1182" i="330"/>
  <c r="K1182" i="330"/>
  <c r="J1182" i="330"/>
  <c r="I1182" i="330"/>
  <c r="H1182" i="330"/>
  <c r="G1182" i="330"/>
  <c r="E1182" i="330"/>
  <c r="F1181" i="330"/>
  <c r="D1181" i="330" s="1"/>
  <c r="AX1180" i="330"/>
  <c r="AW1180" i="330"/>
  <c r="AV1180" i="330"/>
  <c r="AU1180" i="330"/>
  <c r="AT1180" i="330"/>
  <c r="AS1180" i="330"/>
  <c r="AR1180" i="330"/>
  <c r="AQ1180" i="330"/>
  <c r="AP1180" i="330"/>
  <c r="AO1180" i="330"/>
  <c r="AN1180" i="330"/>
  <c r="AM1180" i="330"/>
  <c r="AL1180" i="330"/>
  <c r="AK1180" i="330"/>
  <c r="AJ1180" i="330"/>
  <c r="AI1180" i="330"/>
  <c r="AH1180" i="330"/>
  <c r="AG1180" i="330"/>
  <c r="AF1180" i="330"/>
  <c r="AE1180" i="330"/>
  <c r="AD1180" i="330"/>
  <c r="AC1180" i="330"/>
  <c r="AB1180" i="330"/>
  <c r="AA1180" i="330"/>
  <c r="Z1180" i="330"/>
  <c r="Y1180" i="330"/>
  <c r="X1180" i="330"/>
  <c r="W1180" i="330"/>
  <c r="V1180" i="330"/>
  <c r="U1180" i="330"/>
  <c r="T1180" i="330"/>
  <c r="S1180" i="330"/>
  <c r="R1180" i="330"/>
  <c r="Q1180" i="330"/>
  <c r="P1180" i="330"/>
  <c r="O1180" i="330"/>
  <c r="N1180" i="330"/>
  <c r="M1180" i="330"/>
  <c r="L1180" i="330"/>
  <c r="K1180" i="330"/>
  <c r="J1180" i="330"/>
  <c r="I1180" i="330"/>
  <c r="H1180" i="330"/>
  <c r="G1180" i="330"/>
  <c r="F1179" i="330"/>
  <c r="D1179" i="330" s="1"/>
  <c r="F1178" i="330"/>
  <c r="D1178" i="330" s="1"/>
  <c r="AY1177" i="330"/>
  <c r="F1177" i="330"/>
  <c r="D1177" i="330" s="1"/>
  <c r="AX1176" i="330"/>
  <c r="AW1176" i="330"/>
  <c r="AV1176" i="330"/>
  <c r="AU1176" i="330"/>
  <c r="AT1176" i="330"/>
  <c r="AS1176" i="330"/>
  <c r="AR1176" i="330"/>
  <c r="AQ1176" i="330"/>
  <c r="AP1176" i="330"/>
  <c r="AO1176" i="330"/>
  <c r="AN1176" i="330"/>
  <c r="AM1176" i="330"/>
  <c r="AL1176" i="330"/>
  <c r="AK1176" i="330"/>
  <c r="AJ1176" i="330"/>
  <c r="AI1176" i="330"/>
  <c r="AH1176" i="330"/>
  <c r="AG1176" i="330"/>
  <c r="AF1176" i="330"/>
  <c r="AE1176" i="330"/>
  <c r="AD1176" i="330"/>
  <c r="AC1176" i="330"/>
  <c r="AB1176" i="330"/>
  <c r="AA1176" i="330"/>
  <c r="Z1176" i="330"/>
  <c r="Y1176" i="330"/>
  <c r="X1176" i="330"/>
  <c r="W1176" i="330"/>
  <c r="V1176" i="330"/>
  <c r="U1176" i="330"/>
  <c r="T1176" i="330"/>
  <c r="S1176" i="330"/>
  <c r="R1176" i="330"/>
  <c r="Q1176" i="330"/>
  <c r="P1176" i="330"/>
  <c r="O1176" i="330"/>
  <c r="N1176" i="330"/>
  <c r="M1176" i="330"/>
  <c r="L1176" i="330"/>
  <c r="K1176" i="330"/>
  <c r="J1176" i="330"/>
  <c r="I1176" i="330"/>
  <c r="H1176" i="330"/>
  <c r="G1176" i="330"/>
  <c r="F1175" i="330"/>
  <c r="D1175" i="330" s="1"/>
  <c r="F1174" i="330"/>
  <c r="D1174" i="330" s="1"/>
  <c r="F1173" i="330"/>
  <c r="D1173" i="330" s="1"/>
  <c r="AY1172" i="330"/>
  <c r="F1172" i="330"/>
  <c r="D1172" i="330" s="1"/>
  <c r="AY1171" i="330"/>
  <c r="F1171" i="330"/>
  <c r="F1170" i="330"/>
  <c r="D1170" i="330" s="1"/>
  <c r="AX1169" i="330"/>
  <c r="AW1169" i="330"/>
  <c r="AV1169" i="330"/>
  <c r="AU1169" i="330"/>
  <c r="AT1169" i="330"/>
  <c r="AS1169" i="330"/>
  <c r="AR1169" i="330"/>
  <c r="AQ1169" i="330"/>
  <c r="AP1169" i="330"/>
  <c r="AO1169" i="330"/>
  <c r="AN1169" i="330"/>
  <c r="AM1169" i="330"/>
  <c r="AL1169" i="330"/>
  <c r="AK1169" i="330"/>
  <c r="AJ1169" i="330"/>
  <c r="AI1169" i="330"/>
  <c r="AH1169" i="330"/>
  <c r="AG1169" i="330"/>
  <c r="AF1169" i="330"/>
  <c r="AE1169" i="330"/>
  <c r="AD1169" i="330"/>
  <c r="AC1169" i="330"/>
  <c r="AB1169" i="330"/>
  <c r="AA1169" i="330"/>
  <c r="Z1169" i="330"/>
  <c r="Y1169" i="330"/>
  <c r="X1169" i="330"/>
  <c r="W1169" i="330"/>
  <c r="V1169" i="330"/>
  <c r="U1169" i="330"/>
  <c r="T1169" i="330"/>
  <c r="S1169" i="330"/>
  <c r="R1169" i="330"/>
  <c r="Q1169" i="330"/>
  <c r="P1169" i="330"/>
  <c r="O1169" i="330"/>
  <c r="N1169" i="330"/>
  <c r="M1169" i="330"/>
  <c r="L1169" i="330"/>
  <c r="K1169" i="330"/>
  <c r="J1169" i="330"/>
  <c r="I1169" i="330"/>
  <c r="H1169" i="330"/>
  <c r="G1169" i="330"/>
  <c r="F1168" i="330"/>
  <c r="D1168" i="330" s="1"/>
  <c r="F1167" i="330"/>
  <c r="D1167" i="330" s="1"/>
  <c r="F1166" i="330"/>
  <c r="D1166" i="330" s="1"/>
  <c r="AX1165" i="330"/>
  <c r="AW1165" i="330"/>
  <c r="AV1165" i="330"/>
  <c r="AU1165" i="330"/>
  <c r="AT1165" i="330"/>
  <c r="AS1165" i="330"/>
  <c r="AR1165" i="330"/>
  <c r="AQ1165" i="330"/>
  <c r="AP1165" i="330"/>
  <c r="AO1165" i="330"/>
  <c r="AN1165" i="330"/>
  <c r="AM1165" i="330"/>
  <c r="AL1165" i="330"/>
  <c r="AK1165" i="330"/>
  <c r="AJ1165" i="330"/>
  <c r="AI1165" i="330"/>
  <c r="AH1165" i="330"/>
  <c r="AG1165" i="330"/>
  <c r="AF1165" i="330"/>
  <c r="AE1165" i="330"/>
  <c r="AD1165" i="330"/>
  <c r="AC1165" i="330"/>
  <c r="AB1165" i="330"/>
  <c r="AA1165" i="330"/>
  <c r="Z1165" i="330"/>
  <c r="Y1165" i="330"/>
  <c r="X1165" i="330"/>
  <c r="W1165" i="330"/>
  <c r="V1165" i="330"/>
  <c r="U1165" i="330"/>
  <c r="T1165" i="330"/>
  <c r="S1165" i="330"/>
  <c r="R1165" i="330"/>
  <c r="Q1165" i="330"/>
  <c r="P1165" i="330"/>
  <c r="O1165" i="330"/>
  <c r="N1165" i="330"/>
  <c r="M1165" i="330"/>
  <c r="L1165" i="330"/>
  <c r="K1165" i="330"/>
  <c r="J1165" i="330"/>
  <c r="I1165" i="330"/>
  <c r="H1165" i="330"/>
  <c r="G1165" i="330"/>
  <c r="F1164" i="330"/>
  <c r="D1164" i="330" s="1"/>
  <c r="F1163" i="330"/>
  <c r="D1163" i="330" s="1"/>
  <c r="F1162" i="330"/>
  <c r="D1162" i="330" s="1"/>
  <c r="AX1161" i="330"/>
  <c r="AW1161" i="330"/>
  <c r="AV1161" i="330"/>
  <c r="AU1161" i="330"/>
  <c r="AT1161" i="330"/>
  <c r="AS1161" i="330"/>
  <c r="AR1161" i="330"/>
  <c r="AQ1161" i="330"/>
  <c r="AP1161" i="330"/>
  <c r="AO1161" i="330"/>
  <c r="AN1161" i="330"/>
  <c r="AM1161" i="330"/>
  <c r="AL1161" i="330"/>
  <c r="AK1161" i="330"/>
  <c r="AJ1161" i="330"/>
  <c r="AI1161" i="330"/>
  <c r="AH1161" i="330"/>
  <c r="AG1161" i="330"/>
  <c r="AF1161" i="330"/>
  <c r="AE1161" i="330"/>
  <c r="AD1161" i="330"/>
  <c r="AC1161" i="330"/>
  <c r="AB1161" i="330"/>
  <c r="AA1161" i="330"/>
  <c r="Z1161" i="330"/>
  <c r="Y1161" i="330"/>
  <c r="X1161" i="330"/>
  <c r="W1161" i="330"/>
  <c r="V1161" i="330"/>
  <c r="U1161" i="330"/>
  <c r="T1161" i="330"/>
  <c r="S1161" i="330"/>
  <c r="R1161" i="330"/>
  <c r="Q1161" i="330"/>
  <c r="P1161" i="330"/>
  <c r="O1161" i="330"/>
  <c r="N1161" i="330"/>
  <c r="M1161" i="330"/>
  <c r="L1161" i="330"/>
  <c r="K1161" i="330"/>
  <c r="J1161" i="330"/>
  <c r="I1161" i="330"/>
  <c r="H1161" i="330"/>
  <c r="G1161" i="330"/>
  <c r="F1160" i="330"/>
  <c r="D1160" i="330" s="1"/>
  <c r="F1159" i="330"/>
  <c r="D1159" i="330" s="1"/>
  <c r="F1158" i="330"/>
  <c r="D1158" i="330" s="1"/>
  <c r="AX1157" i="330"/>
  <c r="AW1157" i="330"/>
  <c r="AV1157" i="330"/>
  <c r="AU1157" i="330"/>
  <c r="AT1157" i="330"/>
  <c r="AS1157" i="330"/>
  <c r="AR1157" i="330"/>
  <c r="AQ1157" i="330"/>
  <c r="AP1157" i="330"/>
  <c r="AO1157" i="330"/>
  <c r="AN1157" i="330"/>
  <c r="AM1157" i="330"/>
  <c r="AL1157" i="330"/>
  <c r="AK1157" i="330"/>
  <c r="AJ1157" i="330"/>
  <c r="AI1157" i="330"/>
  <c r="AH1157" i="330"/>
  <c r="AG1157" i="330"/>
  <c r="AF1157" i="330"/>
  <c r="AE1157" i="330"/>
  <c r="AD1157" i="330"/>
  <c r="AC1157" i="330"/>
  <c r="AB1157" i="330"/>
  <c r="AA1157" i="330"/>
  <c r="Z1157" i="330"/>
  <c r="Y1157" i="330"/>
  <c r="X1157" i="330"/>
  <c r="W1157" i="330"/>
  <c r="V1157" i="330"/>
  <c r="U1157" i="330"/>
  <c r="T1157" i="330"/>
  <c r="S1157" i="330"/>
  <c r="R1157" i="330"/>
  <c r="Q1157" i="330"/>
  <c r="P1157" i="330"/>
  <c r="O1157" i="330"/>
  <c r="N1157" i="330"/>
  <c r="M1157" i="330"/>
  <c r="L1157" i="330"/>
  <c r="K1157" i="330"/>
  <c r="J1157" i="330"/>
  <c r="I1157" i="330"/>
  <c r="H1157" i="330"/>
  <c r="G1157" i="330"/>
  <c r="F1156" i="330"/>
  <c r="D1156" i="330" s="1"/>
  <c r="F1155" i="330"/>
  <c r="D1155" i="330" s="1"/>
  <c r="F1154" i="330"/>
  <c r="D1154" i="330" s="1"/>
  <c r="AX1153" i="330"/>
  <c r="AW1153" i="330"/>
  <c r="AV1153" i="330"/>
  <c r="AU1153" i="330"/>
  <c r="AT1153" i="330"/>
  <c r="AS1153" i="330"/>
  <c r="AR1153" i="330"/>
  <c r="AQ1153" i="330"/>
  <c r="AP1153" i="330"/>
  <c r="AO1153" i="330"/>
  <c r="AN1153" i="330"/>
  <c r="AM1153" i="330"/>
  <c r="AL1153" i="330"/>
  <c r="AK1153" i="330"/>
  <c r="AJ1153" i="330"/>
  <c r="AI1153" i="330"/>
  <c r="AH1153" i="330"/>
  <c r="AG1153" i="330"/>
  <c r="AF1153" i="330"/>
  <c r="AE1153" i="330"/>
  <c r="AD1153" i="330"/>
  <c r="AC1153" i="330"/>
  <c r="AB1153" i="330"/>
  <c r="AA1153" i="330"/>
  <c r="Z1153" i="330"/>
  <c r="Y1153" i="330"/>
  <c r="X1153" i="330"/>
  <c r="W1153" i="330"/>
  <c r="V1153" i="330"/>
  <c r="U1153" i="330"/>
  <c r="T1153" i="330"/>
  <c r="S1153" i="330"/>
  <c r="R1153" i="330"/>
  <c r="Q1153" i="330"/>
  <c r="P1153" i="330"/>
  <c r="O1153" i="330"/>
  <c r="N1153" i="330"/>
  <c r="M1153" i="330"/>
  <c r="L1153" i="330"/>
  <c r="K1153" i="330"/>
  <c r="J1153" i="330"/>
  <c r="I1153" i="330"/>
  <c r="H1153" i="330"/>
  <c r="G1153" i="330"/>
  <c r="F1152" i="330"/>
  <c r="D1152" i="330" s="1"/>
  <c r="F1151" i="330"/>
  <c r="D1151" i="330" s="1"/>
  <c r="F1150" i="330"/>
  <c r="D1150" i="330" s="1"/>
  <c r="F1149" i="330"/>
  <c r="D1149" i="330" s="1"/>
  <c r="AX1148" i="330"/>
  <c r="AW1148" i="330"/>
  <c r="AV1148" i="330"/>
  <c r="AU1148" i="330"/>
  <c r="AT1148" i="330"/>
  <c r="AS1148" i="330"/>
  <c r="AR1148" i="330"/>
  <c r="AQ1148" i="330"/>
  <c r="AP1148" i="330"/>
  <c r="AO1148" i="330"/>
  <c r="AN1148" i="330"/>
  <c r="AM1148" i="330"/>
  <c r="AL1148" i="330"/>
  <c r="AK1148" i="330"/>
  <c r="AJ1148" i="330"/>
  <c r="AI1148" i="330"/>
  <c r="AH1148" i="330"/>
  <c r="AG1148" i="330"/>
  <c r="AF1148" i="330"/>
  <c r="AE1148" i="330"/>
  <c r="AD1148" i="330"/>
  <c r="AC1148" i="330"/>
  <c r="AB1148" i="330"/>
  <c r="AA1148" i="330"/>
  <c r="Z1148" i="330"/>
  <c r="Y1148" i="330"/>
  <c r="X1148" i="330"/>
  <c r="W1148" i="330"/>
  <c r="V1148" i="330"/>
  <c r="U1148" i="330"/>
  <c r="T1148" i="330"/>
  <c r="S1148" i="330"/>
  <c r="R1148" i="330"/>
  <c r="Q1148" i="330"/>
  <c r="P1148" i="330"/>
  <c r="O1148" i="330"/>
  <c r="N1148" i="330"/>
  <c r="M1148" i="330"/>
  <c r="L1148" i="330"/>
  <c r="K1148" i="330"/>
  <c r="J1148" i="330"/>
  <c r="I1148" i="330"/>
  <c r="H1148" i="330"/>
  <c r="G1148" i="330"/>
  <c r="F1147" i="330"/>
  <c r="D1147" i="330" s="1"/>
  <c r="F1146" i="330"/>
  <c r="D1146" i="330" s="1"/>
  <c r="F1145" i="330"/>
  <c r="D1145" i="330" s="1"/>
  <c r="AX1144" i="330"/>
  <c r="AW1144" i="330"/>
  <c r="AV1144" i="330"/>
  <c r="AU1144" i="330"/>
  <c r="AT1144" i="330"/>
  <c r="AS1144" i="330"/>
  <c r="AR1144" i="330"/>
  <c r="AQ1144" i="330"/>
  <c r="AP1144" i="330"/>
  <c r="AO1144" i="330"/>
  <c r="AN1144" i="330"/>
  <c r="AM1144" i="330"/>
  <c r="AL1144" i="330"/>
  <c r="AK1144" i="330"/>
  <c r="AJ1144" i="330"/>
  <c r="AI1144" i="330"/>
  <c r="AH1144" i="330"/>
  <c r="AG1144" i="330"/>
  <c r="AF1144" i="330"/>
  <c r="AE1144" i="330"/>
  <c r="AD1144" i="330"/>
  <c r="AC1144" i="330"/>
  <c r="AB1144" i="330"/>
  <c r="AA1144" i="330"/>
  <c r="Z1144" i="330"/>
  <c r="Y1144" i="330"/>
  <c r="X1144" i="330"/>
  <c r="W1144" i="330"/>
  <c r="V1144" i="330"/>
  <c r="U1144" i="330"/>
  <c r="T1144" i="330"/>
  <c r="S1144" i="330"/>
  <c r="R1144" i="330"/>
  <c r="Q1144" i="330"/>
  <c r="P1144" i="330"/>
  <c r="O1144" i="330"/>
  <c r="N1144" i="330"/>
  <c r="M1144" i="330"/>
  <c r="L1144" i="330"/>
  <c r="F1144" i="330" s="1"/>
  <c r="D1144" i="330" s="1"/>
  <c r="K1144" i="330"/>
  <c r="J1144" i="330"/>
  <c r="I1144" i="330"/>
  <c r="H1144" i="330"/>
  <c r="G1144" i="330"/>
  <c r="F1143" i="330"/>
  <c r="D1143" i="330" s="1"/>
  <c r="F1142" i="330"/>
  <c r="D1142" i="330" s="1"/>
  <c r="F1141" i="330"/>
  <c r="D1141" i="330" s="1"/>
  <c r="AX1140" i="330"/>
  <c r="AW1140" i="330"/>
  <c r="AV1140" i="330"/>
  <c r="AU1140" i="330"/>
  <c r="AT1140" i="330"/>
  <c r="AS1140" i="330"/>
  <c r="AR1140" i="330"/>
  <c r="AQ1140" i="330"/>
  <c r="AP1140" i="330"/>
  <c r="AO1140" i="330"/>
  <c r="AN1140" i="330"/>
  <c r="AM1140" i="330"/>
  <c r="AL1140" i="330"/>
  <c r="AK1140" i="330"/>
  <c r="AJ1140" i="330"/>
  <c r="AI1140" i="330"/>
  <c r="AH1140" i="330"/>
  <c r="AG1140" i="330"/>
  <c r="AF1140" i="330"/>
  <c r="AE1140" i="330"/>
  <c r="AD1140" i="330"/>
  <c r="AC1140" i="330"/>
  <c r="AB1140" i="330"/>
  <c r="AA1140" i="330"/>
  <c r="Z1140" i="330"/>
  <c r="Y1140" i="330"/>
  <c r="X1140" i="330"/>
  <c r="W1140" i="330"/>
  <c r="V1140" i="330"/>
  <c r="U1140" i="330"/>
  <c r="T1140" i="330"/>
  <c r="S1140" i="330"/>
  <c r="R1140" i="330"/>
  <c r="Q1140" i="330"/>
  <c r="P1140" i="330"/>
  <c r="O1140" i="330"/>
  <c r="N1140" i="330"/>
  <c r="M1140" i="330"/>
  <c r="L1140" i="330"/>
  <c r="K1140" i="330"/>
  <c r="J1140" i="330"/>
  <c r="I1140" i="330"/>
  <c r="H1140" i="330"/>
  <c r="G1140" i="330"/>
  <c r="F1139" i="330"/>
  <c r="D1139" i="330" s="1"/>
  <c r="F1138" i="330"/>
  <c r="D1138" i="330" s="1"/>
  <c r="F1137" i="330"/>
  <c r="D1137" i="330" s="1"/>
  <c r="AX1136" i="330"/>
  <c r="AW1136" i="330"/>
  <c r="AV1136" i="330"/>
  <c r="AU1136" i="330"/>
  <c r="AT1136" i="330"/>
  <c r="AS1136" i="330"/>
  <c r="AR1136" i="330"/>
  <c r="AQ1136" i="330"/>
  <c r="AP1136" i="330"/>
  <c r="AO1136" i="330"/>
  <c r="AN1136" i="330"/>
  <c r="AM1136" i="330"/>
  <c r="AL1136" i="330"/>
  <c r="AK1136" i="330"/>
  <c r="AJ1136" i="330"/>
  <c r="AI1136" i="330"/>
  <c r="AH1136" i="330"/>
  <c r="AG1136" i="330"/>
  <c r="AF1136" i="330"/>
  <c r="AE1136" i="330"/>
  <c r="AD1136" i="330"/>
  <c r="AC1136" i="330"/>
  <c r="AB1136" i="330"/>
  <c r="AA1136" i="330"/>
  <c r="Z1136" i="330"/>
  <c r="Y1136" i="330"/>
  <c r="X1136" i="330"/>
  <c r="W1136" i="330"/>
  <c r="V1136" i="330"/>
  <c r="U1136" i="330"/>
  <c r="T1136" i="330"/>
  <c r="S1136" i="330"/>
  <c r="R1136" i="330"/>
  <c r="Q1136" i="330"/>
  <c r="P1136" i="330"/>
  <c r="O1136" i="330"/>
  <c r="N1136" i="330"/>
  <c r="M1136" i="330"/>
  <c r="L1136" i="330"/>
  <c r="K1136" i="330"/>
  <c r="J1136" i="330"/>
  <c r="H1136" i="330"/>
  <c r="G1136" i="330"/>
  <c r="F1135" i="330"/>
  <c r="D1135" i="330" s="1"/>
  <c r="F1134" i="330"/>
  <c r="D1134" i="330" s="1"/>
  <c r="F1133" i="330"/>
  <c r="D1133" i="330" s="1"/>
  <c r="I1132" i="330"/>
  <c r="I1136" i="330" s="1"/>
  <c r="F1131" i="330"/>
  <c r="D1131" i="330" s="1"/>
  <c r="AX1130" i="330"/>
  <c r="AW1130" i="330"/>
  <c r="AV1130" i="330"/>
  <c r="AU1130" i="330"/>
  <c r="AT1130" i="330"/>
  <c r="AS1130" i="330"/>
  <c r="AR1130" i="330"/>
  <c r="AQ1130" i="330"/>
  <c r="AP1130" i="330"/>
  <c r="AO1130" i="330"/>
  <c r="AN1130" i="330"/>
  <c r="AM1130" i="330"/>
  <c r="AL1130" i="330"/>
  <c r="AK1130" i="330"/>
  <c r="AJ1130" i="330"/>
  <c r="AI1130" i="330"/>
  <c r="AH1130" i="330"/>
  <c r="AG1130" i="330"/>
  <c r="AF1130" i="330"/>
  <c r="AE1130" i="330"/>
  <c r="AD1130" i="330"/>
  <c r="AC1130" i="330"/>
  <c r="AB1130" i="330"/>
  <c r="AA1130" i="330"/>
  <c r="Z1130" i="330"/>
  <c r="Y1130" i="330"/>
  <c r="X1130" i="330"/>
  <c r="W1130" i="330"/>
  <c r="V1130" i="330"/>
  <c r="U1130" i="330"/>
  <c r="T1130" i="330"/>
  <c r="S1130" i="330"/>
  <c r="R1130" i="330"/>
  <c r="Q1130" i="330"/>
  <c r="P1130" i="330"/>
  <c r="O1130" i="330"/>
  <c r="N1130" i="330"/>
  <c r="M1130" i="330"/>
  <c r="L1130" i="330"/>
  <c r="K1130" i="330"/>
  <c r="J1130" i="330"/>
  <c r="I1130" i="330"/>
  <c r="H1130" i="330"/>
  <c r="F1129" i="330"/>
  <c r="D1129" i="330" s="1"/>
  <c r="F1128" i="330"/>
  <c r="D1128" i="330" s="1"/>
  <c r="F1127" i="330"/>
  <c r="D1127" i="330" s="1"/>
  <c r="G1126" i="330"/>
  <c r="G1130" i="330" s="1"/>
  <c r="AX1125" i="330"/>
  <c r="AW1125" i="330"/>
  <c r="AV1125" i="330"/>
  <c r="AU1125" i="330"/>
  <c r="AT1125" i="330"/>
  <c r="AS1125" i="330"/>
  <c r="AR1125" i="330"/>
  <c r="AQ1125" i="330"/>
  <c r="AP1125" i="330"/>
  <c r="AO1125" i="330"/>
  <c r="AN1125" i="330"/>
  <c r="AM1125" i="330"/>
  <c r="AL1125" i="330"/>
  <c r="AK1125" i="330"/>
  <c r="AJ1125" i="330"/>
  <c r="AI1125" i="330"/>
  <c r="AH1125" i="330"/>
  <c r="AG1125" i="330"/>
  <c r="AF1125" i="330"/>
  <c r="AE1125" i="330"/>
  <c r="AD1125" i="330"/>
  <c r="AC1125" i="330"/>
  <c r="AB1125" i="330"/>
  <c r="AA1125" i="330"/>
  <c r="Z1125" i="330"/>
  <c r="Y1125" i="330"/>
  <c r="X1125" i="330"/>
  <c r="W1125" i="330"/>
  <c r="V1125" i="330"/>
  <c r="U1125" i="330"/>
  <c r="T1125" i="330"/>
  <c r="S1125" i="330"/>
  <c r="R1125" i="330"/>
  <c r="Q1125" i="330"/>
  <c r="P1125" i="330"/>
  <c r="O1125" i="330"/>
  <c r="N1125" i="330"/>
  <c r="M1125" i="330"/>
  <c r="L1125" i="330"/>
  <c r="K1125" i="330"/>
  <c r="J1125" i="330"/>
  <c r="I1125" i="330"/>
  <c r="F1125" i="330" s="1"/>
  <c r="D1125" i="330" s="1"/>
  <c r="H1125" i="330"/>
  <c r="G1125" i="330"/>
  <c r="F1124" i="330"/>
  <c r="D1124" i="330" s="1"/>
  <c r="F1123" i="330"/>
  <c r="D1123" i="330" s="1"/>
  <c r="F1122" i="330"/>
  <c r="D1122" i="330" s="1"/>
  <c r="AX1121" i="330"/>
  <c r="AW1121" i="330"/>
  <c r="AV1121" i="330"/>
  <c r="AU1121" i="330"/>
  <c r="AT1121" i="330"/>
  <c r="AS1121" i="330"/>
  <c r="AR1121" i="330"/>
  <c r="AQ1121" i="330"/>
  <c r="AP1121" i="330"/>
  <c r="AO1121" i="330"/>
  <c r="AN1121" i="330"/>
  <c r="AM1121" i="330"/>
  <c r="AL1121" i="330"/>
  <c r="AK1121" i="330"/>
  <c r="AJ1121" i="330"/>
  <c r="AI1121" i="330"/>
  <c r="AH1121" i="330"/>
  <c r="AG1121" i="330"/>
  <c r="AF1121" i="330"/>
  <c r="AE1121" i="330"/>
  <c r="AD1121" i="330"/>
  <c r="AC1121" i="330"/>
  <c r="AB1121" i="330"/>
  <c r="AA1121" i="330"/>
  <c r="Z1121" i="330"/>
  <c r="Y1121" i="330"/>
  <c r="X1121" i="330"/>
  <c r="W1121" i="330"/>
  <c r="V1121" i="330"/>
  <c r="U1121" i="330"/>
  <c r="T1121" i="330"/>
  <c r="S1121" i="330"/>
  <c r="R1121" i="330"/>
  <c r="Q1121" i="330"/>
  <c r="P1121" i="330"/>
  <c r="O1121" i="330"/>
  <c r="N1121" i="330"/>
  <c r="M1121" i="330"/>
  <c r="L1121" i="330"/>
  <c r="K1121" i="330"/>
  <c r="J1121" i="330"/>
  <c r="H1121" i="330"/>
  <c r="E1121" i="330"/>
  <c r="F1120" i="330"/>
  <c r="D1120" i="330" s="1"/>
  <c r="AX1119" i="330"/>
  <c r="AW1119" i="330"/>
  <c r="AV1119" i="330"/>
  <c r="AU1119" i="330"/>
  <c r="AT1119" i="330"/>
  <c r="AS1119" i="330"/>
  <c r="AR1119" i="330"/>
  <c r="AQ1119" i="330"/>
  <c r="AP1119" i="330"/>
  <c r="AO1119" i="330"/>
  <c r="AN1119" i="330"/>
  <c r="AM1119" i="330"/>
  <c r="AL1119" i="330"/>
  <c r="AK1119" i="330"/>
  <c r="AJ1119" i="330"/>
  <c r="AI1119" i="330"/>
  <c r="AH1119" i="330"/>
  <c r="AG1119" i="330"/>
  <c r="AF1119" i="330"/>
  <c r="AE1119" i="330"/>
  <c r="AD1119" i="330"/>
  <c r="AC1119" i="330"/>
  <c r="AB1119" i="330"/>
  <c r="AA1119" i="330"/>
  <c r="Z1119" i="330"/>
  <c r="Y1119" i="330"/>
  <c r="X1119" i="330"/>
  <c r="W1119" i="330"/>
  <c r="V1119" i="330"/>
  <c r="U1119" i="330"/>
  <c r="T1119" i="330"/>
  <c r="S1119" i="330"/>
  <c r="R1119" i="330"/>
  <c r="Q1119" i="330"/>
  <c r="P1119" i="330"/>
  <c r="O1119" i="330"/>
  <c r="N1119" i="330"/>
  <c r="M1119" i="330"/>
  <c r="L1119" i="330"/>
  <c r="K1119" i="330"/>
  <c r="J1119" i="330"/>
  <c r="I1119" i="330"/>
  <c r="H1119" i="330"/>
  <c r="G1119" i="330"/>
  <c r="F1118" i="330"/>
  <c r="D1118" i="330"/>
  <c r="F1117" i="330"/>
  <c r="D1117" i="330" s="1"/>
  <c r="F1116" i="330"/>
  <c r="D1116" i="330" s="1"/>
  <c r="F1115" i="330"/>
  <c r="D1115" i="330" s="1"/>
  <c r="AX1114" i="330"/>
  <c r="AW1114" i="330"/>
  <c r="AV1114" i="330"/>
  <c r="AU1114" i="330"/>
  <c r="AT1114" i="330"/>
  <c r="AS1114" i="330"/>
  <c r="AR1114" i="330"/>
  <c r="AQ1114" i="330"/>
  <c r="AP1114" i="330"/>
  <c r="AO1114" i="330"/>
  <c r="AN1114" i="330"/>
  <c r="AM1114" i="330"/>
  <c r="AL1114" i="330"/>
  <c r="AK1114" i="330"/>
  <c r="AJ1114" i="330"/>
  <c r="AI1114" i="330"/>
  <c r="AH1114" i="330"/>
  <c r="AG1114" i="330"/>
  <c r="AF1114" i="330"/>
  <c r="AE1114" i="330"/>
  <c r="AD1114" i="330"/>
  <c r="AC1114" i="330"/>
  <c r="AB1114" i="330"/>
  <c r="AA1114" i="330"/>
  <c r="Z1114" i="330"/>
  <c r="Y1114" i="330"/>
  <c r="X1114" i="330"/>
  <c r="W1114" i="330"/>
  <c r="V1114" i="330"/>
  <c r="U1114" i="330"/>
  <c r="T1114" i="330"/>
  <c r="S1114" i="330"/>
  <c r="R1114" i="330"/>
  <c r="Q1114" i="330"/>
  <c r="P1114" i="330"/>
  <c r="O1114" i="330"/>
  <c r="N1114" i="330"/>
  <c r="M1114" i="330"/>
  <c r="L1114" i="330"/>
  <c r="K1114" i="330"/>
  <c r="J1114" i="330"/>
  <c r="I1114" i="330"/>
  <c r="H1114" i="330"/>
  <c r="G1114" i="330"/>
  <c r="F1113" i="330"/>
  <c r="D1113" i="330" s="1"/>
  <c r="F1112" i="330"/>
  <c r="D1112" i="330" s="1"/>
  <c r="F1111" i="330"/>
  <c r="D1111" i="330" s="1"/>
  <c r="F1110" i="330"/>
  <c r="D1110" i="330" s="1"/>
  <c r="F1109" i="330"/>
  <c r="D1109" i="330" s="1"/>
  <c r="F1108" i="330"/>
  <c r="D1108" i="330" s="1"/>
  <c r="F1107" i="330"/>
  <c r="D1107" i="330" s="1"/>
  <c r="AX1106" i="330"/>
  <c r="AW1106" i="330"/>
  <c r="AV1106" i="330"/>
  <c r="AU1106" i="330"/>
  <c r="AT1106" i="330"/>
  <c r="AS1106" i="330"/>
  <c r="AR1106" i="330"/>
  <c r="AQ1106" i="330"/>
  <c r="AP1106" i="330"/>
  <c r="AO1106" i="330"/>
  <c r="AN1106" i="330"/>
  <c r="AM1106" i="330"/>
  <c r="AL1106" i="330"/>
  <c r="AK1106" i="330"/>
  <c r="AJ1106" i="330"/>
  <c r="AI1106" i="330"/>
  <c r="AH1106" i="330"/>
  <c r="AG1106" i="330"/>
  <c r="AF1106" i="330"/>
  <c r="AE1106" i="330"/>
  <c r="AD1106" i="330"/>
  <c r="AC1106" i="330"/>
  <c r="AB1106" i="330"/>
  <c r="AA1106" i="330"/>
  <c r="Z1106" i="330"/>
  <c r="Y1106" i="330"/>
  <c r="X1106" i="330"/>
  <c r="W1106" i="330"/>
  <c r="V1106" i="330"/>
  <c r="U1106" i="330"/>
  <c r="T1106" i="330"/>
  <c r="S1106" i="330"/>
  <c r="R1106" i="330"/>
  <c r="Q1106" i="330"/>
  <c r="P1106" i="330"/>
  <c r="O1106" i="330"/>
  <c r="N1106" i="330"/>
  <c r="M1106" i="330"/>
  <c r="L1106" i="330"/>
  <c r="K1106" i="330"/>
  <c r="J1106" i="330"/>
  <c r="I1106" i="330"/>
  <c r="H1106" i="330"/>
  <c r="G1106" i="330"/>
  <c r="F1105" i="330"/>
  <c r="D1105" i="330" s="1"/>
  <c r="F1104" i="330"/>
  <c r="D1104" i="330" s="1"/>
  <c r="F1103" i="330"/>
  <c r="D1103" i="330" s="1"/>
  <c r="F1102" i="330"/>
  <c r="D1102" i="330" s="1"/>
  <c r="AX1101" i="330"/>
  <c r="AW1101" i="330"/>
  <c r="AV1101" i="330"/>
  <c r="AU1101" i="330"/>
  <c r="AT1101" i="330"/>
  <c r="AS1101" i="330"/>
  <c r="AR1101" i="330"/>
  <c r="AQ1101" i="330"/>
  <c r="AP1101" i="330"/>
  <c r="AO1101" i="330"/>
  <c r="AN1101" i="330"/>
  <c r="AM1101" i="330"/>
  <c r="AL1101" i="330"/>
  <c r="AK1101" i="330"/>
  <c r="AJ1101" i="330"/>
  <c r="AI1101" i="330"/>
  <c r="AH1101" i="330"/>
  <c r="AG1101" i="330"/>
  <c r="AF1101" i="330"/>
  <c r="AE1101" i="330"/>
  <c r="AD1101" i="330"/>
  <c r="AC1101" i="330"/>
  <c r="AB1101" i="330"/>
  <c r="AA1101" i="330"/>
  <c r="Z1101" i="330"/>
  <c r="Y1101" i="330"/>
  <c r="X1101" i="330"/>
  <c r="W1101" i="330"/>
  <c r="V1101" i="330"/>
  <c r="U1101" i="330"/>
  <c r="T1101" i="330"/>
  <c r="S1101" i="330"/>
  <c r="R1101" i="330"/>
  <c r="Q1101" i="330"/>
  <c r="P1101" i="330"/>
  <c r="O1101" i="330"/>
  <c r="N1101" i="330"/>
  <c r="M1101" i="330"/>
  <c r="L1101" i="330"/>
  <c r="K1101" i="330"/>
  <c r="J1101" i="330"/>
  <c r="I1101" i="330"/>
  <c r="H1101" i="330"/>
  <c r="F1101" i="330" s="1"/>
  <c r="D1101" i="330" s="1"/>
  <c r="G1101" i="330"/>
  <c r="F1100" i="330"/>
  <c r="D1100" i="330" s="1"/>
  <c r="F1099" i="330"/>
  <c r="D1099" i="330" s="1"/>
  <c r="F1098" i="330"/>
  <c r="D1098" i="330" s="1"/>
  <c r="AX1097" i="330"/>
  <c r="AW1097" i="330"/>
  <c r="AV1097" i="330"/>
  <c r="AU1097" i="330"/>
  <c r="AT1097" i="330"/>
  <c r="AS1097" i="330"/>
  <c r="AR1097" i="330"/>
  <c r="AQ1097" i="330"/>
  <c r="AP1097" i="330"/>
  <c r="AO1097" i="330"/>
  <c r="AN1097" i="330"/>
  <c r="AM1097" i="330"/>
  <c r="AL1097" i="330"/>
  <c r="AK1097" i="330"/>
  <c r="AJ1097" i="330"/>
  <c r="AI1097" i="330"/>
  <c r="AH1097" i="330"/>
  <c r="AG1097" i="330"/>
  <c r="AF1097" i="330"/>
  <c r="AE1097" i="330"/>
  <c r="AD1097" i="330"/>
  <c r="AC1097" i="330"/>
  <c r="AB1097" i="330"/>
  <c r="AA1097" i="330"/>
  <c r="Z1097" i="330"/>
  <c r="Y1097" i="330"/>
  <c r="X1097" i="330"/>
  <c r="W1097" i="330"/>
  <c r="V1097" i="330"/>
  <c r="U1097" i="330"/>
  <c r="T1097" i="330"/>
  <c r="S1097" i="330"/>
  <c r="R1097" i="330"/>
  <c r="Q1097" i="330"/>
  <c r="P1097" i="330"/>
  <c r="O1097" i="330"/>
  <c r="N1097" i="330"/>
  <c r="M1097" i="330"/>
  <c r="L1097" i="330"/>
  <c r="K1097" i="330"/>
  <c r="J1097" i="330"/>
  <c r="I1097" i="330"/>
  <c r="H1097" i="330"/>
  <c r="G1097" i="330"/>
  <c r="F1096" i="330"/>
  <c r="D1096" i="330" s="1"/>
  <c r="F1095" i="330"/>
  <c r="D1095" i="330" s="1"/>
  <c r="F1094" i="330"/>
  <c r="D1094" i="330" s="1"/>
  <c r="AX1093" i="330"/>
  <c r="AW1093" i="330"/>
  <c r="AV1093" i="330"/>
  <c r="AU1093" i="330"/>
  <c r="AT1093" i="330"/>
  <c r="AS1093" i="330"/>
  <c r="AR1093" i="330"/>
  <c r="AQ1093" i="330"/>
  <c r="AP1093" i="330"/>
  <c r="AO1093" i="330"/>
  <c r="AN1093" i="330"/>
  <c r="AM1093" i="330"/>
  <c r="AL1093" i="330"/>
  <c r="AK1093" i="330"/>
  <c r="AJ1093" i="330"/>
  <c r="AI1093" i="330"/>
  <c r="AH1093" i="330"/>
  <c r="AG1093" i="330"/>
  <c r="AF1093" i="330"/>
  <c r="AE1093" i="330"/>
  <c r="AD1093" i="330"/>
  <c r="AC1093" i="330"/>
  <c r="AB1093" i="330"/>
  <c r="AA1093" i="330"/>
  <c r="Z1093" i="330"/>
  <c r="Y1093" i="330"/>
  <c r="X1093" i="330"/>
  <c r="W1093" i="330"/>
  <c r="V1093" i="330"/>
  <c r="U1093" i="330"/>
  <c r="T1093" i="330"/>
  <c r="S1093" i="330"/>
  <c r="R1093" i="330"/>
  <c r="Q1093" i="330"/>
  <c r="P1093" i="330"/>
  <c r="O1093" i="330"/>
  <c r="N1093" i="330"/>
  <c r="M1093" i="330"/>
  <c r="L1093" i="330"/>
  <c r="K1093" i="330"/>
  <c r="J1093" i="330"/>
  <c r="I1093" i="330"/>
  <c r="H1093" i="330"/>
  <c r="F1092" i="330"/>
  <c r="D1092" i="330" s="1"/>
  <c r="F1091" i="330"/>
  <c r="D1091" i="330" s="1"/>
  <c r="F1090" i="330"/>
  <c r="D1090" i="330" s="1"/>
  <c r="G1089" i="330"/>
  <c r="G1083" i="330" s="1"/>
  <c r="AX1088" i="330"/>
  <c r="AW1088" i="330"/>
  <c r="AV1088" i="330"/>
  <c r="AU1088" i="330"/>
  <c r="AT1088" i="330"/>
  <c r="AS1088" i="330"/>
  <c r="AR1088" i="330"/>
  <c r="AQ1088" i="330"/>
  <c r="AP1088" i="330"/>
  <c r="AO1088" i="330"/>
  <c r="AN1088" i="330"/>
  <c r="AM1088" i="330"/>
  <c r="AL1088" i="330"/>
  <c r="AK1088" i="330"/>
  <c r="AJ1088" i="330"/>
  <c r="AI1088" i="330"/>
  <c r="AH1088" i="330"/>
  <c r="AG1088" i="330"/>
  <c r="AF1088" i="330"/>
  <c r="AE1088" i="330"/>
  <c r="AD1088" i="330"/>
  <c r="AC1088" i="330"/>
  <c r="AB1088" i="330"/>
  <c r="AA1088" i="330"/>
  <c r="Z1088" i="330"/>
  <c r="Y1088" i="330"/>
  <c r="X1088" i="330"/>
  <c r="W1088" i="330"/>
  <c r="V1088" i="330"/>
  <c r="U1088" i="330"/>
  <c r="T1088" i="330"/>
  <c r="S1088" i="330"/>
  <c r="R1088" i="330"/>
  <c r="Q1088" i="330"/>
  <c r="P1088" i="330"/>
  <c r="O1088" i="330"/>
  <c r="N1088" i="330"/>
  <c r="M1088" i="330"/>
  <c r="L1088" i="330"/>
  <c r="K1088" i="330"/>
  <c r="J1088" i="330"/>
  <c r="I1088" i="330"/>
  <c r="H1088" i="330"/>
  <c r="G1088" i="330"/>
  <c r="F1087" i="330"/>
  <c r="D1087" i="330" s="1"/>
  <c r="F1086" i="330"/>
  <c r="D1086" i="330" s="1"/>
  <c r="F1085" i="330"/>
  <c r="D1085" i="330" s="1"/>
  <c r="F1084" i="330"/>
  <c r="AX1083" i="330"/>
  <c r="AW1083" i="330"/>
  <c r="AV1083" i="330"/>
  <c r="AU1083" i="330"/>
  <c r="AT1083" i="330"/>
  <c r="AS1083" i="330"/>
  <c r="AR1083" i="330"/>
  <c r="AQ1083" i="330"/>
  <c r="AP1083" i="330"/>
  <c r="AO1083" i="330"/>
  <c r="AN1083" i="330"/>
  <c r="AM1083" i="330"/>
  <c r="AL1083" i="330"/>
  <c r="AK1083" i="330"/>
  <c r="AJ1083" i="330"/>
  <c r="AI1083" i="330"/>
  <c r="AH1083" i="330"/>
  <c r="AG1083" i="330"/>
  <c r="AF1083" i="330"/>
  <c r="AE1083" i="330"/>
  <c r="AD1083" i="330"/>
  <c r="AC1083" i="330"/>
  <c r="AB1083" i="330"/>
  <c r="AA1083" i="330"/>
  <c r="Z1083" i="330"/>
  <c r="Y1083" i="330"/>
  <c r="X1083" i="330"/>
  <c r="W1083" i="330"/>
  <c r="V1083" i="330"/>
  <c r="U1083" i="330"/>
  <c r="T1083" i="330"/>
  <c r="S1083" i="330"/>
  <c r="R1083" i="330"/>
  <c r="Q1083" i="330"/>
  <c r="P1083" i="330"/>
  <c r="O1083" i="330"/>
  <c r="N1083" i="330"/>
  <c r="M1083" i="330"/>
  <c r="L1083" i="330"/>
  <c r="K1083" i="330"/>
  <c r="J1083" i="330"/>
  <c r="I1083" i="330"/>
  <c r="H1083" i="330"/>
  <c r="E1083" i="330"/>
  <c r="F1082" i="330"/>
  <c r="D1082" i="330" s="1"/>
  <c r="F1081" i="330"/>
  <c r="D1081" i="330" s="1"/>
  <c r="F1080" i="330"/>
  <c r="D1080" i="330" s="1"/>
  <c r="AX1079" i="330"/>
  <c r="AW1079" i="330"/>
  <c r="AV1079" i="330"/>
  <c r="AU1079" i="330"/>
  <c r="AT1079" i="330"/>
  <c r="AS1079" i="330"/>
  <c r="AR1079" i="330"/>
  <c r="AQ1079" i="330"/>
  <c r="AP1079" i="330"/>
  <c r="AO1079" i="330"/>
  <c r="AN1079" i="330"/>
  <c r="AM1079" i="330"/>
  <c r="AL1079" i="330"/>
  <c r="AK1079" i="330"/>
  <c r="AJ1079" i="330"/>
  <c r="AI1079" i="330"/>
  <c r="AH1079" i="330"/>
  <c r="AG1079" i="330"/>
  <c r="AF1079" i="330"/>
  <c r="AE1079" i="330"/>
  <c r="AD1079" i="330"/>
  <c r="AC1079" i="330"/>
  <c r="AB1079" i="330"/>
  <c r="AA1079" i="330"/>
  <c r="Z1079" i="330"/>
  <c r="Y1079" i="330"/>
  <c r="X1079" i="330"/>
  <c r="W1079" i="330"/>
  <c r="V1079" i="330"/>
  <c r="U1079" i="330"/>
  <c r="T1079" i="330"/>
  <c r="S1079" i="330"/>
  <c r="R1079" i="330"/>
  <c r="Q1079" i="330"/>
  <c r="P1079" i="330"/>
  <c r="O1079" i="330"/>
  <c r="N1079" i="330"/>
  <c r="M1079" i="330"/>
  <c r="L1079" i="330"/>
  <c r="K1079" i="330"/>
  <c r="J1079" i="330"/>
  <c r="I1079" i="330"/>
  <c r="H1079" i="330"/>
  <c r="G1079" i="330"/>
  <c r="F1078" i="330"/>
  <c r="D1078" i="330" s="1"/>
  <c r="F1077" i="330"/>
  <c r="D1077" i="330" s="1"/>
  <c r="F1076" i="330"/>
  <c r="D1076" i="330" s="1"/>
  <c r="F1075" i="330"/>
  <c r="D1075" i="330" s="1"/>
  <c r="AX1074" i="330"/>
  <c r="AW1074" i="330"/>
  <c r="AV1074" i="330"/>
  <c r="AU1074" i="330"/>
  <c r="AT1074" i="330"/>
  <c r="AS1074" i="330"/>
  <c r="AR1074" i="330"/>
  <c r="AQ1074" i="330"/>
  <c r="AP1074" i="330"/>
  <c r="AO1074" i="330"/>
  <c r="AN1074" i="330"/>
  <c r="AM1074" i="330"/>
  <c r="AL1074" i="330"/>
  <c r="AK1074" i="330"/>
  <c r="AJ1074" i="330"/>
  <c r="AI1074" i="330"/>
  <c r="AH1074" i="330"/>
  <c r="AG1074" i="330"/>
  <c r="AF1074" i="330"/>
  <c r="AE1074" i="330"/>
  <c r="AD1074" i="330"/>
  <c r="AC1074" i="330"/>
  <c r="AB1074" i="330"/>
  <c r="AA1074" i="330"/>
  <c r="Z1074" i="330"/>
  <c r="Y1074" i="330"/>
  <c r="X1074" i="330"/>
  <c r="W1074" i="330"/>
  <c r="V1074" i="330"/>
  <c r="U1074" i="330"/>
  <c r="F1074" i="330" s="1"/>
  <c r="D1074" i="330" s="1"/>
  <c r="T1074" i="330"/>
  <c r="S1074" i="330"/>
  <c r="R1074" i="330"/>
  <c r="Q1074" i="330"/>
  <c r="P1074" i="330"/>
  <c r="O1074" i="330"/>
  <c r="N1074" i="330"/>
  <c r="M1074" i="330"/>
  <c r="L1074" i="330"/>
  <c r="K1074" i="330"/>
  <c r="J1074" i="330"/>
  <c r="I1074" i="330"/>
  <c r="H1074" i="330"/>
  <c r="G1074" i="330"/>
  <c r="F1073" i="330"/>
  <c r="D1073" i="330" s="1"/>
  <c r="F1072" i="330"/>
  <c r="D1072" i="330" s="1"/>
  <c r="F1071" i="330"/>
  <c r="D1071" i="330" s="1"/>
  <c r="F1070" i="330"/>
  <c r="D1070" i="330" s="1"/>
  <c r="F1069" i="330"/>
  <c r="D1069" i="330" s="1"/>
  <c r="AX1068" i="330"/>
  <c r="AW1068" i="330"/>
  <c r="AV1068" i="330"/>
  <c r="AU1068" i="330"/>
  <c r="AT1068" i="330"/>
  <c r="AS1068" i="330"/>
  <c r="AR1068" i="330"/>
  <c r="AQ1068" i="330"/>
  <c r="AP1068" i="330"/>
  <c r="AO1068" i="330"/>
  <c r="AN1068" i="330"/>
  <c r="AM1068" i="330"/>
  <c r="AL1068" i="330"/>
  <c r="AK1068" i="330"/>
  <c r="AJ1068" i="330"/>
  <c r="AI1068" i="330"/>
  <c r="AH1068" i="330"/>
  <c r="AG1068" i="330"/>
  <c r="AF1068" i="330"/>
  <c r="AE1068" i="330"/>
  <c r="AD1068" i="330"/>
  <c r="AC1068" i="330"/>
  <c r="AB1068" i="330"/>
  <c r="AA1068" i="330"/>
  <c r="Z1068" i="330"/>
  <c r="Y1068" i="330"/>
  <c r="X1068" i="330"/>
  <c r="W1068" i="330"/>
  <c r="V1068" i="330"/>
  <c r="U1068" i="330"/>
  <c r="T1068" i="330"/>
  <c r="S1068" i="330"/>
  <c r="R1068" i="330"/>
  <c r="Q1068" i="330"/>
  <c r="P1068" i="330"/>
  <c r="O1068" i="330"/>
  <c r="N1068" i="330"/>
  <c r="M1068" i="330"/>
  <c r="L1068" i="330"/>
  <c r="K1068" i="330"/>
  <c r="J1068" i="330"/>
  <c r="I1068" i="330"/>
  <c r="H1068" i="330"/>
  <c r="G1068" i="330"/>
  <c r="F1067" i="330"/>
  <c r="D1067" i="330" s="1"/>
  <c r="F1066" i="330"/>
  <c r="D1066" i="330" s="1"/>
  <c r="F1065" i="330"/>
  <c r="D1065" i="330" s="1"/>
  <c r="AX1064" i="330"/>
  <c r="AW1064" i="330"/>
  <c r="AV1064" i="330"/>
  <c r="AU1064" i="330"/>
  <c r="AT1064" i="330"/>
  <c r="AS1064" i="330"/>
  <c r="AR1064" i="330"/>
  <c r="AQ1064" i="330"/>
  <c r="AP1064" i="330"/>
  <c r="AO1064" i="330"/>
  <c r="AN1064" i="330"/>
  <c r="AM1064" i="330"/>
  <c r="AL1064" i="330"/>
  <c r="AK1064" i="330"/>
  <c r="AJ1064" i="330"/>
  <c r="AI1064" i="330"/>
  <c r="AH1064" i="330"/>
  <c r="AG1064" i="330"/>
  <c r="AF1064" i="330"/>
  <c r="AE1064" i="330"/>
  <c r="AD1064" i="330"/>
  <c r="AC1064" i="330"/>
  <c r="AB1064" i="330"/>
  <c r="AA1064" i="330"/>
  <c r="Z1064" i="330"/>
  <c r="Y1064" i="330"/>
  <c r="X1064" i="330"/>
  <c r="W1064" i="330"/>
  <c r="V1064" i="330"/>
  <c r="U1064" i="330"/>
  <c r="T1064" i="330"/>
  <c r="S1064" i="330"/>
  <c r="R1064" i="330"/>
  <c r="Q1064" i="330"/>
  <c r="P1064" i="330"/>
  <c r="O1064" i="330"/>
  <c r="N1064" i="330"/>
  <c r="M1064" i="330"/>
  <c r="L1064" i="330"/>
  <c r="K1064" i="330"/>
  <c r="J1064" i="330"/>
  <c r="I1064" i="330"/>
  <c r="H1064" i="330"/>
  <c r="G1064" i="330"/>
  <c r="F1063" i="330"/>
  <c r="D1063" i="330" s="1"/>
  <c r="F1062" i="330"/>
  <c r="D1062" i="330" s="1"/>
  <c r="F1061" i="330"/>
  <c r="D1061" i="330" s="1"/>
  <c r="F1060" i="330"/>
  <c r="AX1059" i="330"/>
  <c r="AW1059" i="330"/>
  <c r="AV1059" i="330"/>
  <c r="AU1059" i="330"/>
  <c r="AT1059" i="330"/>
  <c r="AS1059" i="330"/>
  <c r="AR1059" i="330"/>
  <c r="AQ1059" i="330"/>
  <c r="AP1059" i="330"/>
  <c r="AO1059" i="330"/>
  <c r="AN1059" i="330"/>
  <c r="AM1059" i="330"/>
  <c r="AL1059" i="330"/>
  <c r="AK1059" i="330"/>
  <c r="AJ1059" i="330"/>
  <c r="AI1059" i="330"/>
  <c r="AH1059" i="330"/>
  <c r="AG1059" i="330"/>
  <c r="AF1059" i="330"/>
  <c r="AE1059" i="330"/>
  <c r="AD1059" i="330"/>
  <c r="AC1059" i="330"/>
  <c r="AB1059" i="330"/>
  <c r="AA1059" i="330"/>
  <c r="Z1059" i="330"/>
  <c r="Y1059" i="330"/>
  <c r="X1059" i="330"/>
  <c r="W1059" i="330"/>
  <c r="V1059" i="330"/>
  <c r="U1059" i="330"/>
  <c r="T1059" i="330"/>
  <c r="S1059" i="330"/>
  <c r="R1059" i="330"/>
  <c r="Q1059" i="330"/>
  <c r="P1059" i="330"/>
  <c r="O1059" i="330"/>
  <c r="N1059" i="330"/>
  <c r="M1059" i="330"/>
  <c r="L1059" i="330"/>
  <c r="K1059" i="330"/>
  <c r="J1059" i="330"/>
  <c r="I1059" i="330"/>
  <c r="H1059" i="330"/>
  <c r="G1059" i="330"/>
  <c r="E1059" i="330"/>
  <c r="F1058" i="330"/>
  <c r="D1058" i="330" s="1"/>
  <c r="F1057" i="330"/>
  <c r="D1057" i="330" s="1"/>
  <c r="AX1056" i="330"/>
  <c r="AW1056" i="330"/>
  <c r="AV1056" i="330"/>
  <c r="AU1056" i="330"/>
  <c r="AT1056" i="330"/>
  <c r="AS1056" i="330"/>
  <c r="AR1056" i="330"/>
  <c r="AQ1056" i="330"/>
  <c r="AP1056" i="330"/>
  <c r="AO1056" i="330"/>
  <c r="AN1056" i="330"/>
  <c r="AM1056" i="330"/>
  <c r="AL1056" i="330"/>
  <c r="AK1056" i="330"/>
  <c r="AJ1056" i="330"/>
  <c r="AI1056" i="330"/>
  <c r="AH1056" i="330"/>
  <c r="AG1056" i="330"/>
  <c r="AF1056" i="330"/>
  <c r="AE1056" i="330"/>
  <c r="AD1056" i="330"/>
  <c r="AC1056" i="330"/>
  <c r="AB1056" i="330"/>
  <c r="AA1056" i="330"/>
  <c r="Z1056" i="330"/>
  <c r="Y1056" i="330"/>
  <c r="X1056" i="330"/>
  <c r="W1056" i="330"/>
  <c r="V1056" i="330"/>
  <c r="U1056" i="330"/>
  <c r="T1056" i="330"/>
  <c r="S1056" i="330"/>
  <c r="R1056" i="330"/>
  <c r="Q1056" i="330"/>
  <c r="P1056" i="330"/>
  <c r="O1056" i="330"/>
  <c r="N1056" i="330"/>
  <c r="M1056" i="330"/>
  <c r="L1056" i="330"/>
  <c r="K1056" i="330"/>
  <c r="J1056" i="330"/>
  <c r="I1056" i="330"/>
  <c r="H1056" i="330"/>
  <c r="G1056" i="330"/>
  <c r="F1055" i="330"/>
  <c r="D1055" i="330" s="1"/>
  <c r="F1054" i="330"/>
  <c r="D1054" i="330" s="1"/>
  <c r="F1053" i="330"/>
  <c r="D1053" i="330" s="1"/>
  <c r="AX1052" i="330"/>
  <c r="AW1052" i="330"/>
  <c r="AV1052" i="330"/>
  <c r="AU1052" i="330"/>
  <c r="AT1052" i="330"/>
  <c r="AS1052" i="330"/>
  <c r="AR1052" i="330"/>
  <c r="AQ1052" i="330"/>
  <c r="AP1052" i="330"/>
  <c r="AO1052" i="330"/>
  <c r="AN1052" i="330"/>
  <c r="AM1052" i="330"/>
  <c r="AL1052" i="330"/>
  <c r="AK1052" i="330"/>
  <c r="AJ1052" i="330"/>
  <c r="AI1052" i="330"/>
  <c r="AH1052" i="330"/>
  <c r="AG1052" i="330"/>
  <c r="AF1052" i="330"/>
  <c r="AE1052" i="330"/>
  <c r="AD1052" i="330"/>
  <c r="AC1052" i="330"/>
  <c r="AB1052" i="330"/>
  <c r="AA1052" i="330"/>
  <c r="Z1052" i="330"/>
  <c r="Y1052" i="330"/>
  <c r="X1052" i="330"/>
  <c r="W1052" i="330"/>
  <c r="V1052" i="330"/>
  <c r="U1052" i="330"/>
  <c r="T1052" i="330"/>
  <c r="S1052" i="330"/>
  <c r="R1052" i="330"/>
  <c r="Q1052" i="330"/>
  <c r="P1052" i="330"/>
  <c r="O1052" i="330"/>
  <c r="N1052" i="330"/>
  <c r="M1052" i="330"/>
  <c r="L1052" i="330"/>
  <c r="K1052" i="330"/>
  <c r="J1052" i="330"/>
  <c r="I1052" i="330"/>
  <c r="H1052" i="330"/>
  <c r="G1052" i="330"/>
  <c r="F1051" i="330"/>
  <c r="D1051" i="330" s="1"/>
  <c r="F1050" i="330"/>
  <c r="D1050" i="330" s="1"/>
  <c r="F1049" i="330"/>
  <c r="D1049" i="330" s="1"/>
  <c r="F1048" i="330"/>
  <c r="D1048" i="330" s="1"/>
  <c r="AX1047" i="330"/>
  <c r="AW1047" i="330"/>
  <c r="AV1047" i="330"/>
  <c r="AU1047" i="330"/>
  <c r="AT1047" i="330"/>
  <c r="AS1047" i="330"/>
  <c r="AR1047" i="330"/>
  <c r="AQ1047" i="330"/>
  <c r="AP1047" i="330"/>
  <c r="AO1047" i="330"/>
  <c r="AN1047" i="330"/>
  <c r="AM1047" i="330"/>
  <c r="AL1047" i="330"/>
  <c r="AK1047" i="330"/>
  <c r="AJ1047" i="330"/>
  <c r="AI1047" i="330"/>
  <c r="AH1047" i="330"/>
  <c r="AG1047" i="330"/>
  <c r="AF1047" i="330"/>
  <c r="AE1047" i="330"/>
  <c r="AD1047" i="330"/>
  <c r="AC1047" i="330"/>
  <c r="AB1047" i="330"/>
  <c r="AA1047" i="330"/>
  <c r="Z1047" i="330"/>
  <c r="Y1047" i="330"/>
  <c r="X1047" i="330"/>
  <c r="W1047" i="330"/>
  <c r="V1047" i="330"/>
  <c r="U1047" i="330"/>
  <c r="T1047" i="330"/>
  <c r="S1047" i="330"/>
  <c r="R1047" i="330"/>
  <c r="Q1047" i="330"/>
  <c r="P1047" i="330"/>
  <c r="O1047" i="330"/>
  <c r="N1047" i="330"/>
  <c r="M1047" i="330"/>
  <c r="L1047" i="330"/>
  <c r="K1047" i="330"/>
  <c r="J1047" i="330"/>
  <c r="I1047" i="330"/>
  <c r="H1047" i="330"/>
  <c r="G1047" i="330"/>
  <c r="F1046" i="330"/>
  <c r="D1046" i="330"/>
  <c r="F1045" i="330"/>
  <c r="D1045" i="330" s="1"/>
  <c r="F1044" i="330"/>
  <c r="D1044" i="330" s="1"/>
  <c r="AX1043" i="330"/>
  <c r="AW1043" i="330"/>
  <c r="AV1043" i="330"/>
  <c r="AU1043" i="330"/>
  <c r="AT1043" i="330"/>
  <c r="AS1043" i="330"/>
  <c r="AR1043" i="330"/>
  <c r="AQ1043" i="330"/>
  <c r="AP1043" i="330"/>
  <c r="AO1043" i="330"/>
  <c r="AN1043" i="330"/>
  <c r="AM1043" i="330"/>
  <c r="AL1043" i="330"/>
  <c r="AK1043" i="330"/>
  <c r="AJ1043" i="330"/>
  <c r="AI1043" i="330"/>
  <c r="AH1043" i="330"/>
  <c r="AG1043" i="330"/>
  <c r="AF1043" i="330"/>
  <c r="AE1043" i="330"/>
  <c r="AD1043" i="330"/>
  <c r="AC1043" i="330"/>
  <c r="AB1043" i="330"/>
  <c r="AA1043" i="330"/>
  <c r="Z1043" i="330"/>
  <c r="Y1043" i="330"/>
  <c r="X1043" i="330"/>
  <c r="W1043" i="330"/>
  <c r="V1043" i="330"/>
  <c r="U1043" i="330"/>
  <c r="T1043" i="330"/>
  <c r="S1043" i="330"/>
  <c r="R1043" i="330"/>
  <c r="Q1043" i="330"/>
  <c r="P1043" i="330"/>
  <c r="O1043" i="330"/>
  <c r="N1043" i="330"/>
  <c r="M1043" i="330"/>
  <c r="L1043" i="330"/>
  <c r="K1043" i="330"/>
  <c r="J1043" i="330"/>
  <c r="I1043" i="330"/>
  <c r="H1043" i="330"/>
  <c r="G1043" i="330"/>
  <c r="F1042" i="330"/>
  <c r="D1042" i="330" s="1"/>
  <c r="F1041" i="330"/>
  <c r="D1041" i="330" s="1"/>
  <c r="F1040" i="330"/>
  <c r="D1040" i="330" s="1"/>
  <c r="F1039" i="330"/>
  <c r="D1039" i="330" s="1"/>
  <c r="F1038" i="330"/>
  <c r="D1038" i="330" s="1"/>
  <c r="F1037" i="330"/>
  <c r="D1037" i="330" s="1"/>
  <c r="F1036" i="330"/>
  <c r="D1036" i="330" s="1"/>
  <c r="AX1035" i="330"/>
  <c r="AW1035" i="330"/>
  <c r="AV1035" i="330"/>
  <c r="AU1035" i="330"/>
  <c r="AT1035" i="330"/>
  <c r="AS1035" i="330"/>
  <c r="AR1035" i="330"/>
  <c r="AQ1035" i="330"/>
  <c r="AP1035" i="330"/>
  <c r="AO1035" i="330"/>
  <c r="AN1035" i="330"/>
  <c r="AM1035" i="330"/>
  <c r="AL1035" i="330"/>
  <c r="AK1035" i="330"/>
  <c r="AJ1035" i="330"/>
  <c r="AI1035" i="330"/>
  <c r="AH1035" i="330"/>
  <c r="AG1035" i="330"/>
  <c r="AF1035" i="330"/>
  <c r="AE1035" i="330"/>
  <c r="AD1035" i="330"/>
  <c r="AC1035" i="330"/>
  <c r="AB1035" i="330"/>
  <c r="AA1035" i="330"/>
  <c r="Z1035" i="330"/>
  <c r="Y1035" i="330"/>
  <c r="X1035" i="330"/>
  <c r="W1035" i="330"/>
  <c r="V1035" i="330"/>
  <c r="U1035" i="330"/>
  <c r="T1035" i="330"/>
  <c r="S1035" i="330"/>
  <c r="R1035" i="330"/>
  <c r="Q1035" i="330"/>
  <c r="P1035" i="330"/>
  <c r="O1035" i="330"/>
  <c r="N1035" i="330"/>
  <c r="M1035" i="330"/>
  <c r="L1035" i="330"/>
  <c r="K1035" i="330"/>
  <c r="J1035" i="330"/>
  <c r="I1035" i="330"/>
  <c r="H1035" i="330"/>
  <c r="G1035" i="330"/>
  <c r="F1034" i="330"/>
  <c r="D1034" i="330" s="1"/>
  <c r="F1033" i="330"/>
  <c r="D1033" i="330" s="1"/>
  <c r="F1032" i="330"/>
  <c r="D1032" i="330" s="1"/>
  <c r="F1031" i="330"/>
  <c r="D1031" i="330" s="1"/>
  <c r="AX1030" i="330"/>
  <c r="AW1030" i="330"/>
  <c r="AV1030" i="330"/>
  <c r="AU1030" i="330"/>
  <c r="AT1030" i="330"/>
  <c r="AS1030" i="330"/>
  <c r="AR1030" i="330"/>
  <c r="AQ1030" i="330"/>
  <c r="AP1030" i="330"/>
  <c r="AO1030" i="330"/>
  <c r="AN1030" i="330"/>
  <c r="AM1030" i="330"/>
  <c r="AL1030" i="330"/>
  <c r="AK1030" i="330"/>
  <c r="AJ1030" i="330"/>
  <c r="AI1030" i="330"/>
  <c r="AH1030" i="330"/>
  <c r="AG1030" i="330"/>
  <c r="AF1030" i="330"/>
  <c r="AE1030" i="330"/>
  <c r="AD1030" i="330"/>
  <c r="AC1030" i="330"/>
  <c r="AB1030" i="330"/>
  <c r="AA1030" i="330"/>
  <c r="Z1030" i="330"/>
  <c r="Y1030" i="330"/>
  <c r="X1030" i="330"/>
  <c r="W1030" i="330"/>
  <c r="V1030" i="330"/>
  <c r="U1030" i="330"/>
  <c r="T1030" i="330"/>
  <c r="S1030" i="330"/>
  <c r="R1030" i="330"/>
  <c r="Q1030" i="330"/>
  <c r="P1030" i="330"/>
  <c r="O1030" i="330"/>
  <c r="N1030" i="330"/>
  <c r="M1030" i="330"/>
  <c r="L1030" i="330"/>
  <c r="K1030" i="330"/>
  <c r="J1030" i="330"/>
  <c r="I1030" i="330"/>
  <c r="H1030" i="330"/>
  <c r="G1030" i="330"/>
  <c r="F1029" i="330"/>
  <c r="D1029" i="330" s="1"/>
  <c r="F1028" i="330"/>
  <c r="D1028" i="330" s="1"/>
  <c r="F1027" i="330"/>
  <c r="D1027" i="330" s="1"/>
  <c r="AX1026" i="330"/>
  <c r="AW1026" i="330"/>
  <c r="AV1026" i="330"/>
  <c r="AU1026" i="330"/>
  <c r="AT1026" i="330"/>
  <c r="AS1026" i="330"/>
  <c r="AR1026" i="330"/>
  <c r="AQ1026" i="330"/>
  <c r="AP1026" i="330"/>
  <c r="AO1026" i="330"/>
  <c r="AN1026" i="330"/>
  <c r="AM1026" i="330"/>
  <c r="AL1026" i="330"/>
  <c r="AK1026" i="330"/>
  <c r="AJ1026" i="330"/>
  <c r="AI1026" i="330"/>
  <c r="AH1026" i="330"/>
  <c r="AG1026" i="330"/>
  <c r="AF1026" i="330"/>
  <c r="AE1026" i="330"/>
  <c r="AD1026" i="330"/>
  <c r="AC1026" i="330"/>
  <c r="AB1026" i="330"/>
  <c r="AA1026" i="330"/>
  <c r="Z1026" i="330"/>
  <c r="Y1026" i="330"/>
  <c r="X1026" i="330"/>
  <c r="W1026" i="330"/>
  <c r="V1026" i="330"/>
  <c r="U1026" i="330"/>
  <c r="T1026" i="330"/>
  <c r="S1026" i="330"/>
  <c r="R1026" i="330"/>
  <c r="Q1026" i="330"/>
  <c r="P1026" i="330"/>
  <c r="O1026" i="330"/>
  <c r="N1026" i="330"/>
  <c r="M1026" i="330"/>
  <c r="L1026" i="330"/>
  <c r="K1026" i="330"/>
  <c r="J1026" i="330"/>
  <c r="I1026" i="330"/>
  <c r="H1026" i="330"/>
  <c r="G1026" i="330"/>
  <c r="F1025" i="330"/>
  <c r="D1025" i="330" s="1"/>
  <c r="F1024" i="330"/>
  <c r="D1024" i="330" s="1"/>
  <c r="F1023" i="330"/>
  <c r="AX1022" i="330"/>
  <c r="AW1022" i="330"/>
  <c r="AV1022" i="330"/>
  <c r="AU1022" i="330"/>
  <c r="AT1022" i="330"/>
  <c r="AS1022" i="330"/>
  <c r="AR1022" i="330"/>
  <c r="AQ1022" i="330"/>
  <c r="AP1022" i="330"/>
  <c r="AO1022" i="330"/>
  <c r="AN1022" i="330"/>
  <c r="AM1022" i="330"/>
  <c r="AL1022" i="330"/>
  <c r="AK1022" i="330"/>
  <c r="AJ1022" i="330"/>
  <c r="AI1022" i="330"/>
  <c r="AH1022" i="330"/>
  <c r="AG1022" i="330"/>
  <c r="AF1022" i="330"/>
  <c r="AE1022" i="330"/>
  <c r="AD1022" i="330"/>
  <c r="AC1022" i="330"/>
  <c r="AB1022" i="330"/>
  <c r="AA1022" i="330"/>
  <c r="Z1022" i="330"/>
  <c r="Y1022" i="330"/>
  <c r="X1022" i="330"/>
  <c r="W1022" i="330"/>
  <c r="V1022" i="330"/>
  <c r="U1022" i="330"/>
  <c r="T1022" i="330"/>
  <c r="S1022" i="330"/>
  <c r="R1022" i="330"/>
  <c r="Q1022" i="330"/>
  <c r="P1022" i="330"/>
  <c r="O1022" i="330"/>
  <c r="N1022" i="330"/>
  <c r="M1022" i="330"/>
  <c r="L1022" i="330"/>
  <c r="K1022" i="330"/>
  <c r="J1022" i="330"/>
  <c r="I1022" i="330"/>
  <c r="H1022" i="330"/>
  <c r="G1022" i="330"/>
  <c r="F1021" i="330"/>
  <c r="D1021" i="330" s="1"/>
  <c r="F1020" i="330"/>
  <c r="D1020" i="330" s="1"/>
  <c r="F1019" i="330"/>
  <c r="D1019" i="330" s="1"/>
  <c r="AX1018" i="330"/>
  <c r="AW1018" i="330"/>
  <c r="AV1018" i="330"/>
  <c r="AU1018" i="330"/>
  <c r="AT1018" i="330"/>
  <c r="AS1018" i="330"/>
  <c r="AR1018" i="330"/>
  <c r="AQ1018" i="330"/>
  <c r="AP1018" i="330"/>
  <c r="AO1018" i="330"/>
  <c r="AN1018" i="330"/>
  <c r="AM1018" i="330"/>
  <c r="AL1018" i="330"/>
  <c r="AK1018" i="330"/>
  <c r="AJ1018" i="330"/>
  <c r="AI1018" i="330"/>
  <c r="AH1018" i="330"/>
  <c r="AG1018" i="330"/>
  <c r="AF1018" i="330"/>
  <c r="AE1018" i="330"/>
  <c r="AD1018" i="330"/>
  <c r="AC1018" i="330"/>
  <c r="AB1018" i="330"/>
  <c r="AA1018" i="330"/>
  <c r="Z1018" i="330"/>
  <c r="Y1018" i="330"/>
  <c r="X1018" i="330"/>
  <c r="W1018" i="330"/>
  <c r="V1018" i="330"/>
  <c r="U1018" i="330"/>
  <c r="T1018" i="330"/>
  <c r="S1018" i="330"/>
  <c r="R1018" i="330"/>
  <c r="Q1018" i="330"/>
  <c r="P1018" i="330"/>
  <c r="O1018" i="330"/>
  <c r="N1018" i="330"/>
  <c r="M1018" i="330"/>
  <c r="L1018" i="330"/>
  <c r="K1018" i="330"/>
  <c r="J1018" i="330"/>
  <c r="I1018" i="330"/>
  <c r="H1018" i="330"/>
  <c r="G1018" i="330"/>
  <c r="F1017" i="330"/>
  <c r="D1017" i="330" s="1"/>
  <c r="F1016" i="330"/>
  <c r="D1016" i="330" s="1"/>
  <c r="F1015" i="330"/>
  <c r="D1015" i="330" s="1"/>
  <c r="AX1014" i="330"/>
  <c r="AW1014" i="330"/>
  <c r="AV1014" i="330"/>
  <c r="AU1014" i="330"/>
  <c r="AT1014" i="330"/>
  <c r="AS1014" i="330"/>
  <c r="AR1014" i="330"/>
  <c r="AQ1014" i="330"/>
  <c r="AP1014" i="330"/>
  <c r="AO1014" i="330"/>
  <c r="AN1014" i="330"/>
  <c r="AM1014" i="330"/>
  <c r="AL1014" i="330"/>
  <c r="AK1014" i="330"/>
  <c r="AJ1014" i="330"/>
  <c r="AI1014" i="330"/>
  <c r="AH1014" i="330"/>
  <c r="AG1014" i="330"/>
  <c r="AF1014" i="330"/>
  <c r="AE1014" i="330"/>
  <c r="AD1014" i="330"/>
  <c r="AC1014" i="330"/>
  <c r="AB1014" i="330"/>
  <c r="AA1014" i="330"/>
  <c r="Z1014" i="330"/>
  <c r="Y1014" i="330"/>
  <c r="X1014" i="330"/>
  <c r="W1014" i="330"/>
  <c r="V1014" i="330"/>
  <c r="U1014" i="330"/>
  <c r="T1014" i="330"/>
  <c r="S1014" i="330"/>
  <c r="R1014" i="330"/>
  <c r="Q1014" i="330"/>
  <c r="P1014" i="330"/>
  <c r="O1014" i="330"/>
  <c r="N1014" i="330"/>
  <c r="M1014" i="330"/>
  <c r="L1014" i="330"/>
  <c r="K1014" i="330"/>
  <c r="J1014" i="330"/>
  <c r="I1014" i="330"/>
  <c r="H1014" i="330"/>
  <c r="G1014" i="330"/>
  <c r="F1013" i="330"/>
  <c r="D1013" i="330" s="1"/>
  <c r="F1012" i="330"/>
  <c r="D1012" i="330" s="1"/>
  <c r="F1011" i="330"/>
  <c r="D1011" i="330" s="1"/>
  <c r="AX1010" i="330"/>
  <c r="AW1010" i="330"/>
  <c r="AV1010" i="330"/>
  <c r="AU1010" i="330"/>
  <c r="AT1010" i="330"/>
  <c r="AS1010" i="330"/>
  <c r="AR1010" i="330"/>
  <c r="AQ1010" i="330"/>
  <c r="AP1010" i="330"/>
  <c r="AO1010" i="330"/>
  <c r="AN1010" i="330"/>
  <c r="AM1010" i="330"/>
  <c r="AL1010" i="330"/>
  <c r="AK1010" i="330"/>
  <c r="AJ1010" i="330"/>
  <c r="AI1010" i="330"/>
  <c r="AH1010" i="330"/>
  <c r="AG1010" i="330"/>
  <c r="AF1010" i="330"/>
  <c r="AE1010" i="330"/>
  <c r="AD1010" i="330"/>
  <c r="AC1010" i="330"/>
  <c r="AB1010" i="330"/>
  <c r="AA1010" i="330"/>
  <c r="Z1010" i="330"/>
  <c r="Y1010" i="330"/>
  <c r="X1010" i="330"/>
  <c r="W1010" i="330"/>
  <c r="V1010" i="330"/>
  <c r="U1010" i="330"/>
  <c r="T1010" i="330"/>
  <c r="S1010" i="330"/>
  <c r="R1010" i="330"/>
  <c r="Q1010" i="330"/>
  <c r="P1010" i="330"/>
  <c r="O1010" i="330"/>
  <c r="N1010" i="330"/>
  <c r="M1010" i="330"/>
  <c r="L1010" i="330"/>
  <c r="K1010" i="330"/>
  <c r="J1010" i="330"/>
  <c r="I1010" i="330"/>
  <c r="H1010" i="330"/>
  <c r="G1010" i="330"/>
  <c r="F1009" i="330"/>
  <c r="D1009" i="330" s="1"/>
  <c r="F1008" i="330"/>
  <c r="D1008" i="330" s="1"/>
  <c r="F1007" i="330"/>
  <c r="D1007" i="330" s="1"/>
  <c r="AX1006" i="330"/>
  <c r="AW1006" i="330"/>
  <c r="AV1006" i="330"/>
  <c r="AU1006" i="330"/>
  <c r="AT1006" i="330"/>
  <c r="AS1006" i="330"/>
  <c r="AR1006" i="330"/>
  <c r="AQ1006" i="330"/>
  <c r="AP1006" i="330"/>
  <c r="AO1006" i="330"/>
  <c r="AN1006" i="330"/>
  <c r="AM1006" i="330"/>
  <c r="AL1006" i="330"/>
  <c r="AK1006" i="330"/>
  <c r="AJ1006" i="330"/>
  <c r="AI1006" i="330"/>
  <c r="AH1006" i="330"/>
  <c r="AG1006" i="330"/>
  <c r="AF1006" i="330"/>
  <c r="AE1006" i="330"/>
  <c r="AD1006" i="330"/>
  <c r="AC1006" i="330"/>
  <c r="AB1006" i="330"/>
  <c r="AA1006" i="330"/>
  <c r="Z1006" i="330"/>
  <c r="Y1006" i="330"/>
  <c r="X1006" i="330"/>
  <c r="W1006" i="330"/>
  <c r="V1006" i="330"/>
  <c r="U1006" i="330"/>
  <c r="T1006" i="330"/>
  <c r="S1006" i="330"/>
  <c r="R1006" i="330"/>
  <c r="Q1006" i="330"/>
  <c r="P1006" i="330"/>
  <c r="O1006" i="330"/>
  <c r="N1006" i="330"/>
  <c r="M1006" i="330"/>
  <c r="L1006" i="330"/>
  <c r="K1006" i="330"/>
  <c r="J1006" i="330"/>
  <c r="I1006" i="330"/>
  <c r="H1006" i="330"/>
  <c r="G1006" i="330"/>
  <c r="F1005" i="330"/>
  <c r="D1005" i="330" s="1"/>
  <c r="F1004" i="330"/>
  <c r="D1004" i="330" s="1"/>
  <c r="F1003" i="330"/>
  <c r="D1003" i="330" s="1"/>
  <c r="F1002" i="330"/>
  <c r="D1002" i="330" s="1"/>
  <c r="AX1001" i="330"/>
  <c r="AW1001" i="330"/>
  <c r="AV1001" i="330"/>
  <c r="AU1001" i="330"/>
  <c r="AT1001" i="330"/>
  <c r="AS1001" i="330"/>
  <c r="AR1001" i="330"/>
  <c r="AQ1001" i="330"/>
  <c r="AP1001" i="330"/>
  <c r="AO1001" i="330"/>
  <c r="AN1001" i="330"/>
  <c r="AM1001" i="330"/>
  <c r="AL1001" i="330"/>
  <c r="AK1001" i="330"/>
  <c r="AJ1001" i="330"/>
  <c r="AI1001" i="330"/>
  <c r="AH1001" i="330"/>
  <c r="AG1001" i="330"/>
  <c r="AF1001" i="330"/>
  <c r="AE1001" i="330"/>
  <c r="AD1001" i="330"/>
  <c r="AC1001" i="330"/>
  <c r="AB1001" i="330"/>
  <c r="AA1001" i="330"/>
  <c r="Z1001" i="330"/>
  <c r="Y1001" i="330"/>
  <c r="X1001" i="330"/>
  <c r="W1001" i="330"/>
  <c r="V1001" i="330"/>
  <c r="U1001" i="330"/>
  <c r="T1001" i="330"/>
  <c r="S1001" i="330"/>
  <c r="R1001" i="330"/>
  <c r="Q1001" i="330"/>
  <c r="P1001" i="330"/>
  <c r="O1001" i="330"/>
  <c r="N1001" i="330"/>
  <c r="M1001" i="330"/>
  <c r="L1001" i="330"/>
  <c r="K1001" i="330"/>
  <c r="J1001" i="330"/>
  <c r="I1001" i="330"/>
  <c r="H1001" i="330"/>
  <c r="G1001" i="330"/>
  <c r="E1001" i="330"/>
  <c r="F1000" i="330"/>
  <c r="D1000" i="330" s="1"/>
  <c r="F999" i="330"/>
  <c r="D999" i="330" s="1"/>
  <c r="AX998" i="330"/>
  <c r="AW998" i="330"/>
  <c r="AV998" i="330"/>
  <c r="AU998" i="330"/>
  <c r="AT998" i="330"/>
  <c r="AS998" i="330"/>
  <c r="AR998" i="330"/>
  <c r="AQ998" i="330"/>
  <c r="AP998" i="330"/>
  <c r="AO998" i="330"/>
  <c r="AN998" i="330"/>
  <c r="AM998" i="330"/>
  <c r="AL998" i="330"/>
  <c r="AK998" i="330"/>
  <c r="AJ998" i="330"/>
  <c r="AI998" i="330"/>
  <c r="AH998" i="330"/>
  <c r="AG998" i="330"/>
  <c r="AF998" i="330"/>
  <c r="AE998" i="330"/>
  <c r="AD998" i="330"/>
  <c r="AC998" i="330"/>
  <c r="AB998" i="330"/>
  <c r="AA998" i="330"/>
  <c r="Z998" i="330"/>
  <c r="Y998" i="330"/>
  <c r="X998" i="330"/>
  <c r="W998" i="330"/>
  <c r="V998" i="330"/>
  <c r="U998" i="330"/>
  <c r="T998" i="330"/>
  <c r="S998" i="330"/>
  <c r="R998" i="330"/>
  <c r="Q998" i="330"/>
  <c r="P998" i="330"/>
  <c r="O998" i="330"/>
  <c r="N998" i="330"/>
  <c r="M998" i="330"/>
  <c r="L998" i="330"/>
  <c r="K998" i="330"/>
  <c r="J998" i="330"/>
  <c r="I998" i="330"/>
  <c r="H998" i="330"/>
  <c r="G998" i="330"/>
  <c r="F997" i="330"/>
  <c r="D997" i="330" s="1"/>
  <c r="F996" i="330"/>
  <c r="D996" i="330" s="1"/>
  <c r="F995" i="330"/>
  <c r="D995" i="330" s="1"/>
  <c r="AX994" i="330"/>
  <c r="AW994" i="330"/>
  <c r="AV994" i="330"/>
  <c r="AU994" i="330"/>
  <c r="AT994" i="330"/>
  <c r="AS994" i="330"/>
  <c r="AR994" i="330"/>
  <c r="AQ994" i="330"/>
  <c r="AP994" i="330"/>
  <c r="AO994" i="330"/>
  <c r="AN994" i="330"/>
  <c r="AM994" i="330"/>
  <c r="AL994" i="330"/>
  <c r="AK994" i="330"/>
  <c r="AJ994" i="330"/>
  <c r="AI994" i="330"/>
  <c r="AH994" i="330"/>
  <c r="AG994" i="330"/>
  <c r="AF994" i="330"/>
  <c r="AE994" i="330"/>
  <c r="AD994" i="330"/>
  <c r="AC994" i="330"/>
  <c r="AB994" i="330"/>
  <c r="AA994" i="330"/>
  <c r="Z994" i="330"/>
  <c r="Y994" i="330"/>
  <c r="X994" i="330"/>
  <c r="W994" i="330"/>
  <c r="V994" i="330"/>
  <c r="U994" i="330"/>
  <c r="T994" i="330"/>
  <c r="S994" i="330"/>
  <c r="R994" i="330"/>
  <c r="Q994" i="330"/>
  <c r="P994" i="330"/>
  <c r="O994" i="330"/>
  <c r="N994" i="330"/>
  <c r="M994" i="330"/>
  <c r="L994" i="330"/>
  <c r="K994" i="330"/>
  <c r="J994" i="330"/>
  <c r="I994" i="330"/>
  <c r="H994" i="330"/>
  <c r="G994" i="330"/>
  <c r="F993" i="330"/>
  <c r="D993" i="330" s="1"/>
  <c r="F992" i="330"/>
  <c r="D992" i="330" s="1"/>
  <c r="F991" i="330"/>
  <c r="D991" i="330" s="1"/>
  <c r="AX990" i="330"/>
  <c r="AW990" i="330"/>
  <c r="AV990" i="330"/>
  <c r="AU990" i="330"/>
  <c r="AT990" i="330"/>
  <c r="AS990" i="330"/>
  <c r="AR990" i="330"/>
  <c r="AQ990" i="330"/>
  <c r="AP990" i="330"/>
  <c r="AO990" i="330"/>
  <c r="AN990" i="330"/>
  <c r="AM990" i="330"/>
  <c r="AL990" i="330"/>
  <c r="AK990" i="330"/>
  <c r="AJ990" i="330"/>
  <c r="AI990" i="330"/>
  <c r="AH990" i="330"/>
  <c r="AG990" i="330"/>
  <c r="AF990" i="330"/>
  <c r="AE990" i="330"/>
  <c r="AD990" i="330"/>
  <c r="AC990" i="330"/>
  <c r="AB990" i="330"/>
  <c r="AA990" i="330"/>
  <c r="Z990" i="330"/>
  <c r="Y990" i="330"/>
  <c r="X990" i="330"/>
  <c r="W990" i="330"/>
  <c r="V990" i="330"/>
  <c r="U990" i="330"/>
  <c r="T990" i="330"/>
  <c r="S990" i="330"/>
  <c r="R990" i="330"/>
  <c r="Q990" i="330"/>
  <c r="P990" i="330"/>
  <c r="O990" i="330"/>
  <c r="N990" i="330"/>
  <c r="M990" i="330"/>
  <c r="L990" i="330"/>
  <c r="K990" i="330"/>
  <c r="J990" i="330"/>
  <c r="I990" i="330"/>
  <c r="H990" i="330"/>
  <c r="G990" i="330"/>
  <c r="F989" i="330"/>
  <c r="D989" i="330" s="1"/>
  <c r="F988" i="330"/>
  <c r="D988" i="330" s="1"/>
  <c r="F987" i="330"/>
  <c r="D987" i="330" s="1"/>
  <c r="AX986" i="330"/>
  <c r="AW986" i="330"/>
  <c r="AV986" i="330"/>
  <c r="AU986" i="330"/>
  <c r="AT986" i="330"/>
  <c r="AS986" i="330"/>
  <c r="AR986" i="330"/>
  <c r="AQ986" i="330"/>
  <c r="AP986" i="330"/>
  <c r="AO986" i="330"/>
  <c r="AN986" i="330"/>
  <c r="AM986" i="330"/>
  <c r="AL986" i="330"/>
  <c r="AK986" i="330"/>
  <c r="AJ986" i="330"/>
  <c r="AI986" i="330"/>
  <c r="AH986" i="330"/>
  <c r="AG986" i="330"/>
  <c r="AF986" i="330"/>
  <c r="AE986" i="330"/>
  <c r="AD986" i="330"/>
  <c r="AC986" i="330"/>
  <c r="AB986" i="330"/>
  <c r="AA986" i="330"/>
  <c r="Z986" i="330"/>
  <c r="Y986" i="330"/>
  <c r="X986" i="330"/>
  <c r="W986" i="330"/>
  <c r="V986" i="330"/>
  <c r="U986" i="330"/>
  <c r="T986" i="330"/>
  <c r="S986" i="330"/>
  <c r="R986" i="330"/>
  <c r="Q986" i="330"/>
  <c r="P986" i="330"/>
  <c r="O986" i="330"/>
  <c r="N986" i="330"/>
  <c r="M986" i="330"/>
  <c r="L986" i="330"/>
  <c r="K986" i="330"/>
  <c r="J986" i="330"/>
  <c r="I986" i="330"/>
  <c r="H986" i="330"/>
  <c r="G986" i="330"/>
  <c r="F985" i="330"/>
  <c r="D985" i="330" s="1"/>
  <c r="F984" i="330"/>
  <c r="D984" i="330" s="1"/>
  <c r="F983" i="330"/>
  <c r="D983" i="330" s="1"/>
  <c r="F982" i="330"/>
  <c r="D982" i="330" s="1"/>
  <c r="F981" i="330"/>
  <c r="D981" i="330" s="1"/>
  <c r="AX980" i="330"/>
  <c r="AW980" i="330"/>
  <c r="AV980" i="330"/>
  <c r="AU980" i="330"/>
  <c r="AT980" i="330"/>
  <c r="AS980" i="330"/>
  <c r="AR980" i="330"/>
  <c r="AQ980" i="330"/>
  <c r="AP980" i="330"/>
  <c r="AO980" i="330"/>
  <c r="AN980" i="330"/>
  <c r="AM980" i="330"/>
  <c r="AL980" i="330"/>
  <c r="AK980" i="330"/>
  <c r="AJ980" i="330"/>
  <c r="AI980" i="330"/>
  <c r="AH980" i="330"/>
  <c r="AG980" i="330"/>
  <c r="AF980" i="330"/>
  <c r="AE980" i="330"/>
  <c r="AD980" i="330"/>
  <c r="AC980" i="330"/>
  <c r="AB980" i="330"/>
  <c r="AA980" i="330"/>
  <c r="Z980" i="330"/>
  <c r="Y980" i="330"/>
  <c r="X980" i="330"/>
  <c r="W980" i="330"/>
  <c r="V980" i="330"/>
  <c r="U980" i="330"/>
  <c r="T980" i="330"/>
  <c r="S980" i="330"/>
  <c r="R980" i="330"/>
  <c r="Q980" i="330"/>
  <c r="P980" i="330"/>
  <c r="O980" i="330"/>
  <c r="N980" i="330"/>
  <c r="M980" i="330"/>
  <c r="L980" i="330"/>
  <c r="K980" i="330"/>
  <c r="J980" i="330"/>
  <c r="I980" i="330"/>
  <c r="H980" i="330"/>
  <c r="G980" i="330"/>
  <c r="F979" i="330"/>
  <c r="D979" i="330" s="1"/>
  <c r="F978" i="330"/>
  <c r="D978" i="330" s="1"/>
  <c r="F977" i="330"/>
  <c r="D977" i="330" s="1"/>
  <c r="AX976" i="330"/>
  <c r="AW976" i="330"/>
  <c r="AV976" i="330"/>
  <c r="AU976" i="330"/>
  <c r="AT976" i="330"/>
  <c r="AS976" i="330"/>
  <c r="AR976" i="330"/>
  <c r="AQ976" i="330"/>
  <c r="AP976" i="330"/>
  <c r="AO976" i="330"/>
  <c r="AN976" i="330"/>
  <c r="AM976" i="330"/>
  <c r="AL976" i="330"/>
  <c r="AK976" i="330"/>
  <c r="AJ976" i="330"/>
  <c r="AI976" i="330"/>
  <c r="AH976" i="330"/>
  <c r="AG976" i="330"/>
  <c r="AF976" i="330"/>
  <c r="AE976" i="330"/>
  <c r="AD976" i="330"/>
  <c r="AC976" i="330"/>
  <c r="AB976" i="330"/>
  <c r="AA976" i="330"/>
  <c r="Z976" i="330"/>
  <c r="Y976" i="330"/>
  <c r="X976" i="330"/>
  <c r="W976" i="330"/>
  <c r="V976" i="330"/>
  <c r="U976" i="330"/>
  <c r="T976" i="330"/>
  <c r="S976" i="330"/>
  <c r="R976" i="330"/>
  <c r="Q976" i="330"/>
  <c r="P976" i="330"/>
  <c r="O976" i="330"/>
  <c r="N976" i="330"/>
  <c r="M976" i="330"/>
  <c r="L976" i="330"/>
  <c r="K976" i="330"/>
  <c r="J976" i="330"/>
  <c r="I976" i="330"/>
  <c r="H976" i="330"/>
  <c r="G976" i="330"/>
  <c r="F975" i="330"/>
  <c r="D975" i="330" s="1"/>
  <c r="F974" i="330"/>
  <c r="D974" i="330" s="1"/>
  <c r="F973" i="330"/>
  <c r="D973" i="330" s="1"/>
  <c r="AX972" i="330"/>
  <c r="AW972" i="330"/>
  <c r="AV972" i="330"/>
  <c r="AU972" i="330"/>
  <c r="AT972" i="330"/>
  <c r="AS972" i="330"/>
  <c r="AR972" i="330"/>
  <c r="AQ972" i="330"/>
  <c r="AP972" i="330"/>
  <c r="AO972" i="330"/>
  <c r="AN972" i="330"/>
  <c r="AM972" i="330"/>
  <c r="AL972" i="330"/>
  <c r="AK972" i="330"/>
  <c r="AJ972" i="330"/>
  <c r="AI972" i="330"/>
  <c r="AH972" i="330"/>
  <c r="AG972" i="330"/>
  <c r="AF972" i="330"/>
  <c r="AE972" i="330"/>
  <c r="AD972" i="330"/>
  <c r="AC972" i="330"/>
  <c r="AB972" i="330"/>
  <c r="AA972" i="330"/>
  <c r="Z972" i="330"/>
  <c r="Y972" i="330"/>
  <c r="X972" i="330"/>
  <c r="W972" i="330"/>
  <c r="V972" i="330"/>
  <c r="U972" i="330"/>
  <c r="T972" i="330"/>
  <c r="S972" i="330"/>
  <c r="R972" i="330"/>
  <c r="Q972" i="330"/>
  <c r="P972" i="330"/>
  <c r="O972" i="330"/>
  <c r="F972" i="330" s="1"/>
  <c r="D972" i="330" s="1"/>
  <c r="N972" i="330"/>
  <c r="M972" i="330"/>
  <c r="L972" i="330"/>
  <c r="K972" i="330"/>
  <c r="J972" i="330"/>
  <c r="I972" i="330"/>
  <c r="H972" i="330"/>
  <c r="G972" i="330"/>
  <c r="F971" i="330"/>
  <c r="D971" i="330" s="1"/>
  <c r="F970" i="330"/>
  <c r="D970" i="330" s="1"/>
  <c r="F969" i="330"/>
  <c r="D969" i="330" s="1"/>
  <c r="AX968" i="330"/>
  <c r="AW968" i="330"/>
  <c r="AV968" i="330"/>
  <c r="AU968" i="330"/>
  <c r="AT968" i="330"/>
  <c r="AS968" i="330"/>
  <c r="AR968" i="330"/>
  <c r="AQ968" i="330"/>
  <c r="AP968" i="330"/>
  <c r="AO968" i="330"/>
  <c r="AN968" i="330"/>
  <c r="AM968" i="330"/>
  <c r="AL968" i="330"/>
  <c r="AK968" i="330"/>
  <c r="AJ968" i="330"/>
  <c r="AI968" i="330"/>
  <c r="AH968" i="330"/>
  <c r="AG968" i="330"/>
  <c r="AF968" i="330"/>
  <c r="AE968" i="330"/>
  <c r="AD968" i="330"/>
  <c r="AC968" i="330"/>
  <c r="AB968" i="330"/>
  <c r="AA968" i="330"/>
  <c r="Z968" i="330"/>
  <c r="Y968" i="330"/>
  <c r="X968" i="330"/>
  <c r="W968" i="330"/>
  <c r="V968" i="330"/>
  <c r="U968" i="330"/>
  <c r="T968" i="330"/>
  <c r="S968" i="330"/>
  <c r="R968" i="330"/>
  <c r="Q968" i="330"/>
  <c r="P968" i="330"/>
  <c r="O968" i="330"/>
  <c r="N968" i="330"/>
  <c r="M968" i="330"/>
  <c r="L968" i="330"/>
  <c r="K968" i="330"/>
  <c r="J968" i="330"/>
  <c r="I968" i="330"/>
  <c r="H968" i="330"/>
  <c r="G968" i="330"/>
  <c r="E968" i="330"/>
  <c r="F967" i="330"/>
  <c r="D967" i="330" s="1"/>
  <c r="F966" i="330"/>
  <c r="D966" i="330" s="1"/>
  <c r="F965" i="330"/>
  <c r="D965" i="330" s="1"/>
  <c r="F964" i="330"/>
  <c r="D964" i="330" s="1"/>
  <c r="AX963" i="330"/>
  <c r="AW963" i="330"/>
  <c r="AV963" i="330"/>
  <c r="AU963" i="330"/>
  <c r="AT963" i="330"/>
  <c r="AS963" i="330"/>
  <c r="AR963" i="330"/>
  <c r="AQ963" i="330"/>
  <c r="AP963" i="330"/>
  <c r="AO963" i="330"/>
  <c r="AN963" i="330"/>
  <c r="AM963" i="330"/>
  <c r="AL963" i="330"/>
  <c r="AK963" i="330"/>
  <c r="AJ963" i="330"/>
  <c r="AI963" i="330"/>
  <c r="AH963" i="330"/>
  <c r="AG963" i="330"/>
  <c r="AF963" i="330"/>
  <c r="AE963" i="330"/>
  <c r="AD963" i="330"/>
  <c r="AC963" i="330"/>
  <c r="AB963" i="330"/>
  <c r="AA963" i="330"/>
  <c r="Z963" i="330"/>
  <c r="Y963" i="330"/>
  <c r="X963" i="330"/>
  <c r="W963" i="330"/>
  <c r="V963" i="330"/>
  <c r="U963" i="330"/>
  <c r="T963" i="330"/>
  <c r="S963" i="330"/>
  <c r="R963" i="330"/>
  <c r="Q963" i="330"/>
  <c r="P963" i="330"/>
  <c r="O963" i="330"/>
  <c r="N963" i="330"/>
  <c r="M963" i="330"/>
  <c r="L963" i="330"/>
  <c r="K963" i="330"/>
  <c r="J963" i="330"/>
  <c r="I963" i="330"/>
  <c r="H963" i="330"/>
  <c r="G963" i="330"/>
  <c r="F962" i="330"/>
  <c r="D962" i="330" s="1"/>
  <c r="F961" i="330"/>
  <c r="D961" i="330" s="1"/>
  <c r="F960" i="330"/>
  <c r="D960" i="330" s="1"/>
  <c r="AX959" i="330"/>
  <c r="AW959" i="330"/>
  <c r="AV959" i="330"/>
  <c r="AU959" i="330"/>
  <c r="AT959" i="330"/>
  <c r="AS959" i="330"/>
  <c r="AR959" i="330"/>
  <c r="AQ959" i="330"/>
  <c r="AP959" i="330"/>
  <c r="AO959" i="330"/>
  <c r="AN959" i="330"/>
  <c r="AM959" i="330"/>
  <c r="AL959" i="330"/>
  <c r="AK959" i="330"/>
  <c r="AJ959" i="330"/>
  <c r="AI959" i="330"/>
  <c r="AH959" i="330"/>
  <c r="AG959" i="330"/>
  <c r="AF959" i="330"/>
  <c r="AE959" i="330"/>
  <c r="AD959" i="330"/>
  <c r="AC959" i="330"/>
  <c r="AB959" i="330"/>
  <c r="AA959" i="330"/>
  <c r="Z959" i="330"/>
  <c r="Y959" i="330"/>
  <c r="X959" i="330"/>
  <c r="W959" i="330"/>
  <c r="V959" i="330"/>
  <c r="U959" i="330"/>
  <c r="T959" i="330"/>
  <c r="S959" i="330"/>
  <c r="R959" i="330"/>
  <c r="Q959" i="330"/>
  <c r="P959" i="330"/>
  <c r="O959" i="330"/>
  <c r="N959" i="330"/>
  <c r="M959" i="330"/>
  <c r="L959" i="330"/>
  <c r="K959" i="330"/>
  <c r="J959" i="330"/>
  <c r="I959" i="330"/>
  <c r="H959" i="330"/>
  <c r="G959" i="330"/>
  <c r="F958" i="330"/>
  <c r="D958" i="330" s="1"/>
  <c r="F957" i="330"/>
  <c r="D957" i="330" s="1"/>
  <c r="F956" i="330"/>
  <c r="D956" i="330" s="1"/>
  <c r="AX955" i="330"/>
  <c r="AW955" i="330"/>
  <c r="AV955" i="330"/>
  <c r="AU955" i="330"/>
  <c r="AT955" i="330"/>
  <c r="AS955" i="330"/>
  <c r="AR955" i="330"/>
  <c r="AQ955" i="330"/>
  <c r="AP955" i="330"/>
  <c r="AO955" i="330"/>
  <c r="AN955" i="330"/>
  <c r="AM955" i="330"/>
  <c r="AL955" i="330"/>
  <c r="AK955" i="330"/>
  <c r="AJ955" i="330"/>
  <c r="AI955" i="330"/>
  <c r="AH955" i="330"/>
  <c r="AG955" i="330"/>
  <c r="AF955" i="330"/>
  <c r="AE955" i="330"/>
  <c r="AD955" i="330"/>
  <c r="AC955" i="330"/>
  <c r="AB955" i="330"/>
  <c r="AA955" i="330"/>
  <c r="Z955" i="330"/>
  <c r="Y955" i="330"/>
  <c r="X955" i="330"/>
  <c r="W955" i="330"/>
  <c r="V955" i="330"/>
  <c r="U955" i="330"/>
  <c r="T955" i="330"/>
  <c r="S955" i="330"/>
  <c r="R955" i="330"/>
  <c r="Q955" i="330"/>
  <c r="P955" i="330"/>
  <c r="O955" i="330"/>
  <c r="N955" i="330"/>
  <c r="M955" i="330"/>
  <c r="L955" i="330"/>
  <c r="K955" i="330"/>
  <c r="J955" i="330"/>
  <c r="I955" i="330"/>
  <c r="H955" i="330"/>
  <c r="G955" i="330"/>
  <c r="F954" i="330"/>
  <c r="D954" i="330" s="1"/>
  <c r="F953" i="330"/>
  <c r="D953" i="330" s="1"/>
  <c r="F952" i="330"/>
  <c r="D952" i="330" s="1"/>
  <c r="F951" i="330"/>
  <c r="D951" i="330" s="1"/>
  <c r="F950" i="330"/>
  <c r="D950" i="330" s="1"/>
  <c r="AX949" i="330"/>
  <c r="AW949" i="330"/>
  <c r="AV949" i="330"/>
  <c r="AU949" i="330"/>
  <c r="AT949" i="330"/>
  <c r="AS949" i="330"/>
  <c r="AR949" i="330"/>
  <c r="AQ949" i="330"/>
  <c r="AP949" i="330"/>
  <c r="AO949" i="330"/>
  <c r="AN949" i="330"/>
  <c r="AM949" i="330"/>
  <c r="AL949" i="330"/>
  <c r="AK949" i="330"/>
  <c r="AJ949" i="330"/>
  <c r="AI949" i="330"/>
  <c r="AH949" i="330"/>
  <c r="AG949" i="330"/>
  <c r="AF949" i="330"/>
  <c r="AE949" i="330"/>
  <c r="AD949" i="330"/>
  <c r="AC949" i="330"/>
  <c r="AB949" i="330"/>
  <c r="AA949" i="330"/>
  <c r="Z949" i="330"/>
  <c r="Y949" i="330"/>
  <c r="X949" i="330"/>
  <c r="W949" i="330"/>
  <c r="V949" i="330"/>
  <c r="U949" i="330"/>
  <c r="T949" i="330"/>
  <c r="S949" i="330"/>
  <c r="R949" i="330"/>
  <c r="Q949" i="330"/>
  <c r="P949" i="330"/>
  <c r="O949" i="330"/>
  <c r="N949" i="330"/>
  <c r="M949" i="330"/>
  <c r="L949" i="330"/>
  <c r="K949" i="330"/>
  <c r="J949" i="330"/>
  <c r="I949" i="330"/>
  <c r="H949" i="330"/>
  <c r="G949" i="330"/>
  <c r="F948" i="330"/>
  <c r="D948" i="330" s="1"/>
  <c r="F947" i="330"/>
  <c r="D947" i="330" s="1"/>
  <c r="F946" i="330"/>
  <c r="D946" i="330" s="1"/>
  <c r="AX945" i="330"/>
  <c r="AW945" i="330"/>
  <c r="AV945" i="330"/>
  <c r="AU945" i="330"/>
  <c r="AT945" i="330"/>
  <c r="AS945" i="330"/>
  <c r="AR945" i="330"/>
  <c r="AQ945" i="330"/>
  <c r="AP945" i="330"/>
  <c r="AO945" i="330"/>
  <c r="AN945" i="330"/>
  <c r="AM945" i="330"/>
  <c r="AL945" i="330"/>
  <c r="AK945" i="330"/>
  <c r="AJ945" i="330"/>
  <c r="AI945" i="330"/>
  <c r="AH945" i="330"/>
  <c r="AG945" i="330"/>
  <c r="AF945" i="330"/>
  <c r="AE945" i="330"/>
  <c r="AD945" i="330"/>
  <c r="AC945" i="330"/>
  <c r="AB945" i="330"/>
  <c r="AA945" i="330"/>
  <c r="Z945" i="330"/>
  <c r="Y945" i="330"/>
  <c r="X945" i="330"/>
  <c r="W945" i="330"/>
  <c r="V945" i="330"/>
  <c r="U945" i="330"/>
  <c r="T945" i="330"/>
  <c r="S945" i="330"/>
  <c r="R945" i="330"/>
  <c r="Q945" i="330"/>
  <c r="P945" i="330"/>
  <c r="O945" i="330"/>
  <c r="N945" i="330"/>
  <c r="M945" i="330"/>
  <c r="L945" i="330"/>
  <c r="K945" i="330"/>
  <c r="J945" i="330"/>
  <c r="I945" i="330"/>
  <c r="H945" i="330"/>
  <c r="G945" i="330"/>
  <c r="F944" i="330"/>
  <c r="D944" i="330" s="1"/>
  <c r="F943" i="330"/>
  <c r="D943" i="330" s="1"/>
  <c r="F942" i="330"/>
  <c r="D942" i="330" s="1"/>
  <c r="F941" i="330"/>
  <c r="D941" i="330" s="1"/>
  <c r="F940" i="330"/>
  <c r="D940" i="330" s="1"/>
  <c r="AX939" i="330"/>
  <c r="AW939" i="330"/>
  <c r="AV939" i="330"/>
  <c r="AU939" i="330"/>
  <c r="AT939" i="330"/>
  <c r="AS939" i="330"/>
  <c r="AR939" i="330"/>
  <c r="AQ939" i="330"/>
  <c r="AP939" i="330"/>
  <c r="AO939" i="330"/>
  <c r="AN939" i="330"/>
  <c r="AM939" i="330"/>
  <c r="AL939" i="330"/>
  <c r="AK939" i="330"/>
  <c r="AJ939" i="330"/>
  <c r="AI939" i="330"/>
  <c r="AH939" i="330"/>
  <c r="AG939" i="330"/>
  <c r="AF939" i="330"/>
  <c r="AE939" i="330"/>
  <c r="AD939" i="330"/>
  <c r="AC939" i="330"/>
  <c r="AB939" i="330"/>
  <c r="AA939" i="330"/>
  <c r="Z939" i="330"/>
  <c r="Y939" i="330"/>
  <c r="X939" i="330"/>
  <c r="W939" i="330"/>
  <c r="V939" i="330"/>
  <c r="U939" i="330"/>
  <c r="T939" i="330"/>
  <c r="S939" i="330"/>
  <c r="R939" i="330"/>
  <c r="Q939" i="330"/>
  <c r="P939" i="330"/>
  <c r="O939" i="330"/>
  <c r="N939" i="330"/>
  <c r="M939" i="330"/>
  <c r="L939" i="330"/>
  <c r="K939" i="330"/>
  <c r="J939" i="330"/>
  <c r="I939" i="330"/>
  <c r="H939" i="330"/>
  <c r="G939" i="330"/>
  <c r="F938" i="330"/>
  <c r="D938" i="330" s="1"/>
  <c r="F937" i="330"/>
  <c r="D937" i="330" s="1"/>
  <c r="F936" i="330"/>
  <c r="D936" i="330" s="1"/>
  <c r="F935" i="330"/>
  <c r="D935" i="330" s="1"/>
  <c r="AX934" i="330"/>
  <c r="AW934" i="330"/>
  <c r="AV934" i="330"/>
  <c r="AU934" i="330"/>
  <c r="AT934" i="330"/>
  <c r="AS934" i="330"/>
  <c r="AR934" i="330"/>
  <c r="AQ934" i="330"/>
  <c r="AP934" i="330"/>
  <c r="AO934" i="330"/>
  <c r="AN934" i="330"/>
  <c r="AM934" i="330"/>
  <c r="AL934" i="330"/>
  <c r="AK934" i="330"/>
  <c r="AJ934" i="330"/>
  <c r="AI934" i="330"/>
  <c r="AH934" i="330"/>
  <c r="AG934" i="330"/>
  <c r="AF934" i="330"/>
  <c r="AE934" i="330"/>
  <c r="AD934" i="330"/>
  <c r="AC934" i="330"/>
  <c r="AB934" i="330"/>
  <c r="AA934" i="330"/>
  <c r="Z934" i="330"/>
  <c r="Y934" i="330"/>
  <c r="X934" i="330"/>
  <c r="W934" i="330"/>
  <c r="V934" i="330"/>
  <c r="U934" i="330"/>
  <c r="T934" i="330"/>
  <c r="S934" i="330"/>
  <c r="R934" i="330"/>
  <c r="Q934" i="330"/>
  <c r="P934" i="330"/>
  <c r="O934" i="330"/>
  <c r="N934" i="330"/>
  <c r="M934" i="330"/>
  <c r="L934" i="330"/>
  <c r="K934" i="330"/>
  <c r="J934" i="330"/>
  <c r="I934" i="330"/>
  <c r="H934" i="330"/>
  <c r="G934" i="330"/>
  <c r="F933" i="330"/>
  <c r="D933" i="330" s="1"/>
  <c r="F932" i="330"/>
  <c r="D932" i="330" s="1"/>
  <c r="F931" i="330"/>
  <c r="D931" i="330" s="1"/>
  <c r="F930" i="330"/>
  <c r="D930" i="330" s="1"/>
  <c r="AX929" i="330"/>
  <c r="AW929" i="330"/>
  <c r="AV929" i="330"/>
  <c r="AU929" i="330"/>
  <c r="AT929" i="330"/>
  <c r="AS929" i="330"/>
  <c r="AR929" i="330"/>
  <c r="AQ929" i="330"/>
  <c r="AP929" i="330"/>
  <c r="AO929" i="330"/>
  <c r="AN929" i="330"/>
  <c r="AM929" i="330"/>
  <c r="AL929" i="330"/>
  <c r="AK929" i="330"/>
  <c r="AJ929" i="330"/>
  <c r="AI929" i="330"/>
  <c r="AH929" i="330"/>
  <c r="AG929" i="330"/>
  <c r="AF929" i="330"/>
  <c r="AE929" i="330"/>
  <c r="AD929" i="330"/>
  <c r="AC929" i="330"/>
  <c r="AB929" i="330"/>
  <c r="AA929" i="330"/>
  <c r="Z929" i="330"/>
  <c r="Y929" i="330"/>
  <c r="X929" i="330"/>
  <c r="W929" i="330"/>
  <c r="V929" i="330"/>
  <c r="U929" i="330"/>
  <c r="T929" i="330"/>
  <c r="S929" i="330"/>
  <c r="R929" i="330"/>
  <c r="Q929" i="330"/>
  <c r="P929" i="330"/>
  <c r="O929" i="330"/>
  <c r="N929" i="330"/>
  <c r="M929" i="330"/>
  <c r="L929" i="330"/>
  <c r="K929" i="330"/>
  <c r="J929" i="330"/>
  <c r="H929" i="330"/>
  <c r="G929" i="330"/>
  <c r="F928" i="330"/>
  <c r="D928" i="330" s="1"/>
  <c r="F927" i="330"/>
  <c r="D927" i="330" s="1"/>
  <c r="I926" i="330"/>
  <c r="F925" i="330"/>
  <c r="D925" i="330" s="1"/>
  <c r="F924" i="330"/>
  <c r="D924" i="330" s="1"/>
  <c r="F923" i="330"/>
  <c r="D923" i="330" s="1"/>
  <c r="AX922" i="330"/>
  <c r="AW922" i="330"/>
  <c r="AV922" i="330"/>
  <c r="AU922" i="330"/>
  <c r="AT922" i="330"/>
  <c r="AS922" i="330"/>
  <c r="AR922" i="330"/>
  <c r="AQ922" i="330"/>
  <c r="AP922" i="330"/>
  <c r="AO922" i="330"/>
  <c r="AN922" i="330"/>
  <c r="AM922" i="330"/>
  <c r="AL922" i="330"/>
  <c r="AK922" i="330"/>
  <c r="AJ922" i="330"/>
  <c r="AI922" i="330"/>
  <c r="AH922" i="330"/>
  <c r="AG922" i="330"/>
  <c r="AF922" i="330"/>
  <c r="AE922" i="330"/>
  <c r="AD922" i="330"/>
  <c r="AC922" i="330"/>
  <c r="AB922" i="330"/>
  <c r="AA922" i="330"/>
  <c r="Z922" i="330"/>
  <c r="Y922" i="330"/>
  <c r="X922" i="330"/>
  <c r="W922" i="330"/>
  <c r="V922" i="330"/>
  <c r="U922" i="330"/>
  <c r="T922" i="330"/>
  <c r="S922" i="330"/>
  <c r="R922" i="330"/>
  <c r="Q922" i="330"/>
  <c r="P922" i="330"/>
  <c r="O922" i="330"/>
  <c r="N922" i="330"/>
  <c r="M922" i="330"/>
  <c r="L922" i="330"/>
  <c r="K922" i="330"/>
  <c r="J922" i="330"/>
  <c r="I922" i="330"/>
  <c r="H922" i="330"/>
  <c r="G922" i="330"/>
  <c r="F921" i="330"/>
  <c r="D921" i="330" s="1"/>
  <c r="F920" i="330"/>
  <c r="D920" i="330" s="1"/>
  <c r="F919" i="330"/>
  <c r="D919" i="330" s="1"/>
  <c r="F918" i="330"/>
  <c r="D918" i="330" s="1"/>
  <c r="AX917" i="330"/>
  <c r="AW917" i="330"/>
  <c r="AV917" i="330"/>
  <c r="AU917" i="330"/>
  <c r="AT917" i="330"/>
  <c r="AS917" i="330"/>
  <c r="AR917" i="330"/>
  <c r="AQ917" i="330"/>
  <c r="AP917" i="330"/>
  <c r="AO917" i="330"/>
  <c r="AN917" i="330"/>
  <c r="AM917" i="330"/>
  <c r="AL917" i="330"/>
  <c r="AK917" i="330"/>
  <c r="AJ917" i="330"/>
  <c r="AI917" i="330"/>
  <c r="AH917" i="330"/>
  <c r="AG917" i="330"/>
  <c r="AF917" i="330"/>
  <c r="AE917" i="330"/>
  <c r="AD917" i="330"/>
  <c r="AC917" i="330"/>
  <c r="AB917" i="330"/>
  <c r="AA917" i="330"/>
  <c r="Z917" i="330"/>
  <c r="Y917" i="330"/>
  <c r="X917" i="330"/>
  <c r="W917" i="330"/>
  <c r="V917" i="330"/>
  <c r="U917" i="330"/>
  <c r="T917" i="330"/>
  <c r="S917" i="330"/>
  <c r="R917" i="330"/>
  <c r="Q917" i="330"/>
  <c r="P917" i="330"/>
  <c r="O917" i="330"/>
  <c r="N917" i="330"/>
  <c r="M917" i="330"/>
  <c r="L917" i="330"/>
  <c r="K917" i="330"/>
  <c r="J917" i="330"/>
  <c r="I917" i="330"/>
  <c r="H917" i="330"/>
  <c r="G917" i="330"/>
  <c r="F916" i="330"/>
  <c r="D916" i="330" s="1"/>
  <c r="F915" i="330"/>
  <c r="D915" i="330" s="1"/>
  <c r="F914" i="330"/>
  <c r="D914" i="330" s="1"/>
  <c r="F913" i="330"/>
  <c r="D913" i="330" s="1"/>
  <c r="F912" i="330"/>
  <c r="D912" i="330" s="1"/>
  <c r="F911" i="330"/>
  <c r="D911" i="330" s="1"/>
  <c r="AX910" i="330"/>
  <c r="AW910" i="330"/>
  <c r="AV910" i="330"/>
  <c r="AU910" i="330"/>
  <c r="AT910" i="330"/>
  <c r="AS910" i="330"/>
  <c r="AR910" i="330"/>
  <c r="AQ910" i="330"/>
  <c r="AP910" i="330"/>
  <c r="AO910" i="330"/>
  <c r="AN910" i="330"/>
  <c r="AM910" i="330"/>
  <c r="AL910" i="330"/>
  <c r="AK910" i="330"/>
  <c r="AJ910" i="330"/>
  <c r="AI910" i="330"/>
  <c r="AH910" i="330"/>
  <c r="AG910" i="330"/>
  <c r="AF910" i="330"/>
  <c r="AE910" i="330"/>
  <c r="AD910" i="330"/>
  <c r="AC910" i="330"/>
  <c r="AB910" i="330"/>
  <c r="AA910" i="330"/>
  <c r="Z910" i="330"/>
  <c r="Y910" i="330"/>
  <c r="X910" i="330"/>
  <c r="W910" i="330"/>
  <c r="V910" i="330"/>
  <c r="U910" i="330"/>
  <c r="T910" i="330"/>
  <c r="S910" i="330"/>
  <c r="R910" i="330"/>
  <c r="Q910" i="330"/>
  <c r="P910" i="330"/>
  <c r="O910" i="330"/>
  <c r="N910" i="330"/>
  <c r="M910" i="330"/>
  <c r="L910" i="330"/>
  <c r="K910" i="330"/>
  <c r="J910" i="330"/>
  <c r="I910" i="330"/>
  <c r="H910" i="330"/>
  <c r="G910" i="330"/>
  <c r="F909" i="330"/>
  <c r="D909" i="330" s="1"/>
  <c r="F908" i="330"/>
  <c r="D908" i="330" s="1"/>
  <c r="F907" i="330"/>
  <c r="D907" i="330" s="1"/>
  <c r="F906" i="330"/>
  <c r="D906" i="330" s="1"/>
  <c r="AX905" i="330"/>
  <c r="AW905" i="330"/>
  <c r="AV905" i="330"/>
  <c r="AU905" i="330"/>
  <c r="AT905" i="330"/>
  <c r="AS905" i="330"/>
  <c r="AR905" i="330"/>
  <c r="AQ905" i="330"/>
  <c r="AP905" i="330"/>
  <c r="AO905" i="330"/>
  <c r="AN905" i="330"/>
  <c r="AM905" i="330"/>
  <c r="AL905" i="330"/>
  <c r="AK905" i="330"/>
  <c r="AJ905" i="330"/>
  <c r="AI905" i="330"/>
  <c r="AH905" i="330"/>
  <c r="AG905" i="330"/>
  <c r="AF905" i="330"/>
  <c r="AE905" i="330"/>
  <c r="AD905" i="330"/>
  <c r="AC905" i="330"/>
  <c r="AB905" i="330"/>
  <c r="AA905" i="330"/>
  <c r="Z905" i="330"/>
  <c r="Y905" i="330"/>
  <c r="X905" i="330"/>
  <c r="W905" i="330"/>
  <c r="V905" i="330"/>
  <c r="U905" i="330"/>
  <c r="T905" i="330"/>
  <c r="S905" i="330"/>
  <c r="R905" i="330"/>
  <c r="Q905" i="330"/>
  <c r="P905" i="330"/>
  <c r="O905" i="330"/>
  <c r="N905" i="330"/>
  <c r="M905" i="330"/>
  <c r="L905" i="330"/>
  <c r="K905" i="330"/>
  <c r="J905" i="330"/>
  <c r="H905" i="330"/>
  <c r="G905" i="330"/>
  <c r="E905" i="330"/>
  <c r="F904" i="330"/>
  <c r="D904" i="330" s="1"/>
  <c r="AX903" i="330"/>
  <c r="AW903" i="330"/>
  <c r="AV903" i="330"/>
  <c r="AU903" i="330"/>
  <c r="AT903" i="330"/>
  <c r="AS903" i="330"/>
  <c r="AR903" i="330"/>
  <c r="AQ903" i="330"/>
  <c r="AP903" i="330"/>
  <c r="AO903" i="330"/>
  <c r="AN903" i="330"/>
  <c r="AM903" i="330"/>
  <c r="AL903" i="330"/>
  <c r="AK903" i="330"/>
  <c r="AJ903" i="330"/>
  <c r="AI903" i="330"/>
  <c r="AH903" i="330"/>
  <c r="AG903" i="330"/>
  <c r="AF903" i="330"/>
  <c r="AE903" i="330"/>
  <c r="AD903" i="330"/>
  <c r="AC903" i="330"/>
  <c r="AB903" i="330"/>
  <c r="AA903" i="330"/>
  <c r="Z903" i="330"/>
  <c r="Y903" i="330"/>
  <c r="X903" i="330"/>
  <c r="W903" i="330"/>
  <c r="V903" i="330"/>
  <c r="U903" i="330"/>
  <c r="T903" i="330"/>
  <c r="S903" i="330"/>
  <c r="R903" i="330"/>
  <c r="Q903" i="330"/>
  <c r="P903" i="330"/>
  <c r="O903" i="330"/>
  <c r="N903" i="330"/>
  <c r="M903" i="330"/>
  <c r="L903" i="330"/>
  <c r="K903" i="330"/>
  <c r="J903" i="330"/>
  <c r="I903" i="330"/>
  <c r="H903" i="330"/>
  <c r="G903" i="330"/>
  <c r="F902" i="330"/>
  <c r="D902" i="330" s="1"/>
  <c r="F901" i="330"/>
  <c r="D901" i="330" s="1"/>
  <c r="F900" i="330"/>
  <c r="D900" i="330" s="1"/>
  <c r="F899" i="330"/>
  <c r="D899" i="330" s="1"/>
  <c r="AX898" i="330"/>
  <c r="AW898" i="330"/>
  <c r="AV898" i="330"/>
  <c r="AU898" i="330"/>
  <c r="AT898" i="330"/>
  <c r="AS898" i="330"/>
  <c r="AR898" i="330"/>
  <c r="AQ898" i="330"/>
  <c r="AP898" i="330"/>
  <c r="AO898" i="330"/>
  <c r="AN898" i="330"/>
  <c r="AM898" i="330"/>
  <c r="AL898" i="330"/>
  <c r="AK898" i="330"/>
  <c r="AJ898" i="330"/>
  <c r="AI898" i="330"/>
  <c r="AH898" i="330"/>
  <c r="AG898" i="330"/>
  <c r="AF898" i="330"/>
  <c r="AE898" i="330"/>
  <c r="AD898" i="330"/>
  <c r="AC898" i="330"/>
  <c r="AB898" i="330"/>
  <c r="AA898" i="330"/>
  <c r="Z898" i="330"/>
  <c r="Y898" i="330"/>
  <c r="X898" i="330"/>
  <c r="W898" i="330"/>
  <c r="V898" i="330"/>
  <c r="U898" i="330"/>
  <c r="T898" i="330"/>
  <c r="S898" i="330"/>
  <c r="R898" i="330"/>
  <c r="Q898" i="330"/>
  <c r="P898" i="330"/>
  <c r="O898" i="330"/>
  <c r="N898" i="330"/>
  <c r="M898" i="330"/>
  <c r="L898" i="330"/>
  <c r="K898" i="330"/>
  <c r="J898" i="330"/>
  <c r="I898" i="330"/>
  <c r="H898" i="330"/>
  <c r="G898" i="330"/>
  <c r="F897" i="330"/>
  <c r="D897" i="330" s="1"/>
  <c r="F896" i="330"/>
  <c r="D896" i="330" s="1"/>
  <c r="F895" i="330"/>
  <c r="D895" i="330" s="1"/>
  <c r="AX894" i="330"/>
  <c r="AW894" i="330"/>
  <c r="AV894" i="330"/>
  <c r="AU894" i="330"/>
  <c r="AT894" i="330"/>
  <c r="AS894" i="330"/>
  <c r="AR894" i="330"/>
  <c r="AQ894" i="330"/>
  <c r="AP894" i="330"/>
  <c r="AO894" i="330"/>
  <c r="AN894" i="330"/>
  <c r="AM894" i="330"/>
  <c r="AL894" i="330"/>
  <c r="AK894" i="330"/>
  <c r="AJ894" i="330"/>
  <c r="AI894" i="330"/>
  <c r="AH894" i="330"/>
  <c r="AG894" i="330"/>
  <c r="AF894" i="330"/>
  <c r="AE894" i="330"/>
  <c r="AD894" i="330"/>
  <c r="AC894" i="330"/>
  <c r="AB894" i="330"/>
  <c r="AA894" i="330"/>
  <c r="Z894" i="330"/>
  <c r="Y894" i="330"/>
  <c r="X894" i="330"/>
  <c r="W894" i="330"/>
  <c r="V894" i="330"/>
  <c r="U894" i="330"/>
  <c r="T894" i="330"/>
  <c r="S894" i="330"/>
  <c r="R894" i="330"/>
  <c r="Q894" i="330"/>
  <c r="P894" i="330"/>
  <c r="O894" i="330"/>
  <c r="N894" i="330"/>
  <c r="M894" i="330"/>
  <c r="L894" i="330"/>
  <c r="K894" i="330"/>
  <c r="J894" i="330"/>
  <c r="I894" i="330"/>
  <c r="H894" i="330"/>
  <c r="G894" i="330"/>
  <c r="F893" i="330"/>
  <c r="D893" i="330" s="1"/>
  <c r="F892" i="330"/>
  <c r="D892" i="330" s="1"/>
  <c r="F891" i="330"/>
  <c r="D891" i="330" s="1"/>
  <c r="F890" i="330"/>
  <c r="D890" i="330" s="1"/>
  <c r="AX889" i="330"/>
  <c r="AW889" i="330"/>
  <c r="AV889" i="330"/>
  <c r="AU889" i="330"/>
  <c r="AT889" i="330"/>
  <c r="AS889" i="330"/>
  <c r="AR889" i="330"/>
  <c r="AQ889" i="330"/>
  <c r="AP889" i="330"/>
  <c r="AO889" i="330"/>
  <c r="AN889" i="330"/>
  <c r="AM889" i="330"/>
  <c r="AL889" i="330"/>
  <c r="AK889" i="330"/>
  <c r="AJ889" i="330"/>
  <c r="AI889" i="330"/>
  <c r="AH889" i="330"/>
  <c r="AG889" i="330"/>
  <c r="AF889" i="330"/>
  <c r="AE889" i="330"/>
  <c r="AD889" i="330"/>
  <c r="AC889" i="330"/>
  <c r="AB889" i="330"/>
  <c r="AA889" i="330"/>
  <c r="Z889" i="330"/>
  <c r="Y889" i="330"/>
  <c r="X889" i="330"/>
  <c r="W889" i="330"/>
  <c r="V889" i="330"/>
  <c r="U889" i="330"/>
  <c r="T889" i="330"/>
  <c r="S889" i="330"/>
  <c r="R889" i="330"/>
  <c r="Q889" i="330"/>
  <c r="P889" i="330"/>
  <c r="O889" i="330"/>
  <c r="N889" i="330"/>
  <c r="M889" i="330"/>
  <c r="L889" i="330"/>
  <c r="K889" i="330"/>
  <c r="J889" i="330"/>
  <c r="I889" i="330"/>
  <c r="H889" i="330"/>
  <c r="G889" i="330"/>
  <c r="F888" i="330"/>
  <c r="D888" i="330" s="1"/>
  <c r="F887" i="330"/>
  <c r="D887" i="330" s="1"/>
  <c r="F886" i="330"/>
  <c r="D886" i="330" s="1"/>
  <c r="F885" i="330"/>
  <c r="D885" i="330" s="1"/>
  <c r="AX884" i="330"/>
  <c r="AW884" i="330"/>
  <c r="AV884" i="330"/>
  <c r="AU884" i="330"/>
  <c r="AT884" i="330"/>
  <c r="AS884" i="330"/>
  <c r="AR884" i="330"/>
  <c r="AQ884" i="330"/>
  <c r="AP884" i="330"/>
  <c r="AO884" i="330"/>
  <c r="AN884" i="330"/>
  <c r="AM884" i="330"/>
  <c r="AL884" i="330"/>
  <c r="AK884" i="330"/>
  <c r="AJ884" i="330"/>
  <c r="AI884" i="330"/>
  <c r="AH884" i="330"/>
  <c r="AG884" i="330"/>
  <c r="AF884" i="330"/>
  <c r="AE884" i="330"/>
  <c r="AD884" i="330"/>
  <c r="AC884" i="330"/>
  <c r="AB884" i="330"/>
  <c r="AA884" i="330"/>
  <c r="Z884" i="330"/>
  <c r="Y884" i="330"/>
  <c r="X884" i="330"/>
  <c r="W884" i="330"/>
  <c r="V884" i="330"/>
  <c r="U884" i="330"/>
  <c r="T884" i="330"/>
  <c r="S884" i="330"/>
  <c r="R884" i="330"/>
  <c r="Q884" i="330"/>
  <c r="P884" i="330"/>
  <c r="O884" i="330"/>
  <c r="N884" i="330"/>
  <c r="M884" i="330"/>
  <c r="L884" i="330"/>
  <c r="K884" i="330"/>
  <c r="J884" i="330"/>
  <c r="I884" i="330"/>
  <c r="H884" i="330"/>
  <c r="G884" i="330"/>
  <c r="F883" i="330"/>
  <c r="D883" i="330" s="1"/>
  <c r="F882" i="330"/>
  <c r="D882" i="330" s="1"/>
  <c r="F881" i="330"/>
  <c r="D881" i="330" s="1"/>
  <c r="F880" i="330"/>
  <c r="D880" i="330" s="1"/>
  <c r="AX879" i="330"/>
  <c r="AW879" i="330"/>
  <c r="AV879" i="330"/>
  <c r="AU879" i="330"/>
  <c r="AT879" i="330"/>
  <c r="AS879" i="330"/>
  <c r="AR879" i="330"/>
  <c r="AQ879" i="330"/>
  <c r="AP879" i="330"/>
  <c r="AO879" i="330"/>
  <c r="AN879" i="330"/>
  <c r="AM879" i="330"/>
  <c r="AL879" i="330"/>
  <c r="AK879" i="330"/>
  <c r="AJ879" i="330"/>
  <c r="AI879" i="330"/>
  <c r="AH879" i="330"/>
  <c r="AG879" i="330"/>
  <c r="AF879" i="330"/>
  <c r="AE879" i="330"/>
  <c r="AD879" i="330"/>
  <c r="AC879" i="330"/>
  <c r="AB879" i="330"/>
  <c r="AA879" i="330"/>
  <c r="Z879" i="330"/>
  <c r="Y879" i="330"/>
  <c r="X879" i="330"/>
  <c r="W879" i="330"/>
  <c r="V879" i="330"/>
  <c r="U879" i="330"/>
  <c r="T879" i="330"/>
  <c r="S879" i="330"/>
  <c r="R879" i="330"/>
  <c r="Q879" i="330"/>
  <c r="P879" i="330"/>
  <c r="O879" i="330"/>
  <c r="N879" i="330"/>
  <c r="M879" i="330"/>
  <c r="L879" i="330"/>
  <c r="K879" i="330"/>
  <c r="J879" i="330"/>
  <c r="I879" i="330"/>
  <c r="H879" i="330"/>
  <c r="G879" i="330"/>
  <c r="E879" i="330"/>
  <c r="F878" i="330"/>
  <c r="D878" i="330" s="1"/>
  <c r="F877" i="330"/>
  <c r="D877" i="330" s="1"/>
  <c r="F876" i="330"/>
  <c r="D876" i="330" s="1"/>
  <c r="AX875" i="330"/>
  <c r="AW875" i="330"/>
  <c r="AV875" i="330"/>
  <c r="AU875" i="330"/>
  <c r="AT875" i="330"/>
  <c r="AS875" i="330"/>
  <c r="AR875" i="330"/>
  <c r="AQ875" i="330"/>
  <c r="AP875" i="330"/>
  <c r="AO875" i="330"/>
  <c r="AN875" i="330"/>
  <c r="AM875" i="330"/>
  <c r="AL875" i="330"/>
  <c r="AK875" i="330"/>
  <c r="AJ875" i="330"/>
  <c r="AI875" i="330"/>
  <c r="AH875" i="330"/>
  <c r="AG875" i="330"/>
  <c r="AF875" i="330"/>
  <c r="AE875" i="330"/>
  <c r="AD875" i="330"/>
  <c r="AC875" i="330"/>
  <c r="AB875" i="330"/>
  <c r="AA875" i="330"/>
  <c r="Z875" i="330"/>
  <c r="Y875" i="330"/>
  <c r="X875" i="330"/>
  <c r="W875" i="330"/>
  <c r="V875" i="330"/>
  <c r="U875" i="330"/>
  <c r="T875" i="330"/>
  <c r="S875" i="330"/>
  <c r="R875" i="330"/>
  <c r="Q875" i="330"/>
  <c r="P875" i="330"/>
  <c r="O875" i="330"/>
  <c r="N875" i="330"/>
  <c r="M875" i="330"/>
  <c r="L875" i="330"/>
  <c r="K875" i="330"/>
  <c r="J875" i="330"/>
  <c r="I875" i="330"/>
  <c r="H875" i="330"/>
  <c r="G875" i="330"/>
  <c r="F874" i="330"/>
  <c r="D874" i="330" s="1"/>
  <c r="F873" i="330"/>
  <c r="D873" i="330" s="1"/>
  <c r="F872" i="330"/>
  <c r="D872" i="330" s="1"/>
  <c r="F871" i="330"/>
  <c r="D871" i="330" s="1"/>
  <c r="F870" i="330"/>
  <c r="D870" i="330" s="1"/>
  <c r="F869" i="330"/>
  <c r="D869" i="330" s="1"/>
  <c r="F868" i="330"/>
  <c r="D868" i="330" s="1"/>
  <c r="AX867" i="330"/>
  <c r="AW867" i="330"/>
  <c r="AV867" i="330"/>
  <c r="AU867" i="330"/>
  <c r="AT867" i="330"/>
  <c r="AS867" i="330"/>
  <c r="AR867" i="330"/>
  <c r="AQ867" i="330"/>
  <c r="AP867" i="330"/>
  <c r="AO867" i="330"/>
  <c r="AN867" i="330"/>
  <c r="AM867" i="330"/>
  <c r="AL867" i="330"/>
  <c r="AK867" i="330"/>
  <c r="AJ867" i="330"/>
  <c r="AI867" i="330"/>
  <c r="AH867" i="330"/>
  <c r="AG867" i="330"/>
  <c r="AF867" i="330"/>
  <c r="AE867" i="330"/>
  <c r="AD867" i="330"/>
  <c r="AC867" i="330"/>
  <c r="AB867" i="330"/>
  <c r="AA867" i="330"/>
  <c r="Z867" i="330"/>
  <c r="Y867" i="330"/>
  <c r="X867" i="330"/>
  <c r="W867" i="330"/>
  <c r="V867" i="330"/>
  <c r="U867" i="330"/>
  <c r="T867" i="330"/>
  <c r="S867" i="330"/>
  <c r="R867" i="330"/>
  <c r="Q867" i="330"/>
  <c r="P867" i="330"/>
  <c r="O867" i="330"/>
  <c r="N867" i="330"/>
  <c r="M867" i="330"/>
  <c r="L867" i="330"/>
  <c r="K867" i="330"/>
  <c r="J867" i="330"/>
  <c r="I867" i="330"/>
  <c r="H867" i="330"/>
  <c r="G867" i="330"/>
  <c r="F866" i="330"/>
  <c r="D866" i="330" s="1"/>
  <c r="F865" i="330"/>
  <c r="D865" i="330" s="1"/>
  <c r="F864" i="330"/>
  <c r="D864" i="330" s="1"/>
  <c r="AX863" i="330"/>
  <c r="AW863" i="330"/>
  <c r="AV863" i="330"/>
  <c r="AU863" i="330"/>
  <c r="AT863" i="330"/>
  <c r="AS863" i="330"/>
  <c r="AR863" i="330"/>
  <c r="AQ863" i="330"/>
  <c r="AP863" i="330"/>
  <c r="AO863" i="330"/>
  <c r="AN863" i="330"/>
  <c r="AM863" i="330"/>
  <c r="AL863" i="330"/>
  <c r="AK863" i="330"/>
  <c r="AJ863" i="330"/>
  <c r="AI863" i="330"/>
  <c r="AH863" i="330"/>
  <c r="AG863" i="330"/>
  <c r="AF863" i="330"/>
  <c r="AE863" i="330"/>
  <c r="AD863" i="330"/>
  <c r="AC863" i="330"/>
  <c r="AB863" i="330"/>
  <c r="AA863" i="330"/>
  <c r="Z863" i="330"/>
  <c r="Y863" i="330"/>
  <c r="X863" i="330"/>
  <c r="W863" i="330"/>
  <c r="V863" i="330"/>
  <c r="U863" i="330"/>
  <c r="T863" i="330"/>
  <c r="S863" i="330"/>
  <c r="R863" i="330"/>
  <c r="Q863" i="330"/>
  <c r="P863" i="330"/>
  <c r="O863" i="330"/>
  <c r="N863" i="330"/>
  <c r="M863" i="330"/>
  <c r="L863" i="330"/>
  <c r="K863" i="330"/>
  <c r="J863" i="330"/>
  <c r="I863" i="330"/>
  <c r="H863" i="330"/>
  <c r="G863" i="330"/>
  <c r="F862" i="330"/>
  <c r="D862" i="330" s="1"/>
  <c r="F861" i="330"/>
  <c r="D861" i="330" s="1"/>
  <c r="F860" i="330"/>
  <c r="D860" i="330" s="1"/>
  <c r="AX859" i="330"/>
  <c r="AW859" i="330"/>
  <c r="AV859" i="330"/>
  <c r="AU859" i="330"/>
  <c r="AT859" i="330"/>
  <c r="AS859" i="330"/>
  <c r="AR859" i="330"/>
  <c r="AQ859" i="330"/>
  <c r="AP859" i="330"/>
  <c r="AO859" i="330"/>
  <c r="AN859" i="330"/>
  <c r="AM859" i="330"/>
  <c r="AL859" i="330"/>
  <c r="AK859" i="330"/>
  <c r="AJ859" i="330"/>
  <c r="AI859" i="330"/>
  <c r="AH859" i="330"/>
  <c r="AG859" i="330"/>
  <c r="AF859" i="330"/>
  <c r="AE859" i="330"/>
  <c r="AD859" i="330"/>
  <c r="AC859" i="330"/>
  <c r="AB859" i="330"/>
  <c r="AA859" i="330"/>
  <c r="Z859" i="330"/>
  <c r="Y859" i="330"/>
  <c r="X859" i="330"/>
  <c r="W859" i="330"/>
  <c r="V859" i="330"/>
  <c r="U859" i="330"/>
  <c r="T859" i="330"/>
  <c r="S859" i="330"/>
  <c r="R859" i="330"/>
  <c r="Q859" i="330"/>
  <c r="P859" i="330"/>
  <c r="O859" i="330"/>
  <c r="N859" i="330"/>
  <c r="M859" i="330"/>
  <c r="L859" i="330"/>
  <c r="K859" i="330"/>
  <c r="J859" i="330"/>
  <c r="I859" i="330"/>
  <c r="H859" i="330"/>
  <c r="G859" i="330"/>
  <c r="F858" i="330"/>
  <c r="D858" i="330" s="1"/>
  <c r="F857" i="330"/>
  <c r="D857" i="330" s="1"/>
  <c r="F856" i="330"/>
  <c r="D856" i="330" s="1"/>
  <c r="F855" i="330"/>
  <c r="D855" i="330" s="1"/>
  <c r="F854" i="330"/>
  <c r="D854" i="330" s="1"/>
  <c r="F853" i="330"/>
  <c r="D853" i="330" s="1"/>
  <c r="F852" i="330"/>
  <c r="D852" i="330" s="1"/>
  <c r="F851" i="330"/>
  <c r="D851" i="330" s="1"/>
  <c r="F850" i="330"/>
  <c r="D850" i="330" s="1"/>
  <c r="F849" i="330"/>
  <c r="D849" i="330" s="1"/>
  <c r="F848" i="330"/>
  <c r="D848" i="330" s="1"/>
  <c r="F847" i="330"/>
  <c r="D847" i="330" s="1"/>
  <c r="AX846" i="330"/>
  <c r="AW846" i="330"/>
  <c r="AV846" i="330"/>
  <c r="AU846" i="330"/>
  <c r="AT846" i="330"/>
  <c r="AS846" i="330"/>
  <c r="AR846" i="330"/>
  <c r="AQ846" i="330"/>
  <c r="AP846" i="330"/>
  <c r="AO846" i="330"/>
  <c r="AN846" i="330"/>
  <c r="AM846" i="330"/>
  <c r="AL846" i="330"/>
  <c r="AK846" i="330"/>
  <c r="AJ846" i="330"/>
  <c r="AI846" i="330"/>
  <c r="AH846" i="330"/>
  <c r="AG846" i="330"/>
  <c r="AF846" i="330"/>
  <c r="AE846" i="330"/>
  <c r="AD846" i="330"/>
  <c r="AC846" i="330"/>
  <c r="AB846" i="330"/>
  <c r="AA846" i="330"/>
  <c r="Z846" i="330"/>
  <c r="Y846" i="330"/>
  <c r="X846" i="330"/>
  <c r="W846" i="330"/>
  <c r="V846" i="330"/>
  <c r="U846" i="330"/>
  <c r="T846" i="330"/>
  <c r="S846" i="330"/>
  <c r="R846" i="330"/>
  <c r="Q846" i="330"/>
  <c r="P846" i="330"/>
  <c r="O846" i="330"/>
  <c r="N846" i="330"/>
  <c r="M846" i="330"/>
  <c r="L846" i="330"/>
  <c r="K846" i="330"/>
  <c r="J846" i="330"/>
  <c r="I846" i="330"/>
  <c r="H846" i="330"/>
  <c r="F845" i="330"/>
  <c r="D845" i="330" s="1"/>
  <c r="F844" i="330"/>
  <c r="D844" i="330" s="1"/>
  <c r="F843" i="330"/>
  <c r="D843" i="330" s="1"/>
  <c r="G842" i="330"/>
  <c r="F842" i="330" s="1"/>
  <c r="D842" i="330" s="1"/>
  <c r="AX841" i="330"/>
  <c r="AW841" i="330"/>
  <c r="AV841" i="330"/>
  <c r="AU841" i="330"/>
  <c r="AT841" i="330"/>
  <c r="AS841" i="330"/>
  <c r="AR841" i="330"/>
  <c r="AQ841" i="330"/>
  <c r="AP841" i="330"/>
  <c r="AO841" i="330"/>
  <c r="AN841" i="330"/>
  <c r="AM841" i="330"/>
  <c r="AL841" i="330"/>
  <c r="AK841" i="330"/>
  <c r="AJ841" i="330"/>
  <c r="AI841" i="330"/>
  <c r="AH841" i="330"/>
  <c r="AG841" i="330"/>
  <c r="AF841" i="330"/>
  <c r="AE841" i="330"/>
  <c r="AD841" i="330"/>
  <c r="AC841" i="330"/>
  <c r="AB841" i="330"/>
  <c r="AA841" i="330"/>
  <c r="Z841" i="330"/>
  <c r="Y841" i="330"/>
  <c r="X841" i="330"/>
  <c r="W841" i="330"/>
  <c r="V841" i="330"/>
  <c r="U841" i="330"/>
  <c r="T841" i="330"/>
  <c r="S841" i="330"/>
  <c r="R841" i="330"/>
  <c r="Q841" i="330"/>
  <c r="P841" i="330"/>
  <c r="O841" i="330"/>
  <c r="N841" i="330"/>
  <c r="M841" i="330"/>
  <c r="L841" i="330"/>
  <c r="K841" i="330"/>
  <c r="J841" i="330"/>
  <c r="I841" i="330"/>
  <c r="G841" i="330"/>
  <c r="F840" i="330"/>
  <c r="D840" i="330" s="1"/>
  <c r="F839" i="330"/>
  <c r="D839" i="330" s="1"/>
  <c r="H838" i="330"/>
  <c r="AX837" i="330"/>
  <c r="AW837" i="330"/>
  <c r="AV837" i="330"/>
  <c r="AU837" i="330"/>
  <c r="AT837" i="330"/>
  <c r="AS837" i="330"/>
  <c r="AR837" i="330"/>
  <c r="AQ837" i="330"/>
  <c r="AP837" i="330"/>
  <c r="AO837" i="330"/>
  <c r="AN837" i="330"/>
  <c r="AM837" i="330"/>
  <c r="AL837" i="330"/>
  <c r="AK837" i="330"/>
  <c r="AJ837" i="330"/>
  <c r="AI837" i="330"/>
  <c r="AH837" i="330"/>
  <c r="AG837" i="330"/>
  <c r="AF837" i="330"/>
  <c r="AE837" i="330"/>
  <c r="AD837" i="330"/>
  <c r="AC837" i="330"/>
  <c r="AB837" i="330"/>
  <c r="AA837" i="330"/>
  <c r="Z837" i="330"/>
  <c r="Y837" i="330"/>
  <c r="X837" i="330"/>
  <c r="W837" i="330"/>
  <c r="V837" i="330"/>
  <c r="U837" i="330"/>
  <c r="T837" i="330"/>
  <c r="S837" i="330"/>
  <c r="R837" i="330"/>
  <c r="Q837" i="330"/>
  <c r="P837" i="330"/>
  <c r="O837" i="330"/>
  <c r="N837" i="330"/>
  <c r="M837" i="330"/>
  <c r="L837" i="330"/>
  <c r="K837" i="330"/>
  <c r="J837" i="330"/>
  <c r="I837" i="330"/>
  <c r="H837" i="330"/>
  <c r="G837" i="330"/>
  <c r="F836" i="330"/>
  <c r="D836" i="330" s="1"/>
  <c r="F835" i="330"/>
  <c r="D835" i="330" s="1"/>
  <c r="F834" i="330"/>
  <c r="D834" i="330" s="1"/>
  <c r="F833" i="330"/>
  <c r="D833" i="330" s="1"/>
  <c r="AX832" i="330"/>
  <c r="AW832" i="330"/>
  <c r="AV832" i="330"/>
  <c r="AU832" i="330"/>
  <c r="AT832" i="330"/>
  <c r="AS832" i="330"/>
  <c r="AR832" i="330"/>
  <c r="AQ832" i="330"/>
  <c r="AP832" i="330"/>
  <c r="AO832" i="330"/>
  <c r="AN832" i="330"/>
  <c r="AM832" i="330"/>
  <c r="AL832" i="330"/>
  <c r="AK832" i="330"/>
  <c r="AJ832" i="330"/>
  <c r="AI832" i="330"/>
  <c r="AH832" i="330"/>
  <c r="AG832" i="330"/>
  <c r="AF832" i="330"/>
  <c r="AE832" i="330"/>
  <c r="AD832" i="330"/>
  <c r="AC832" i="330"/>
  <c r="AB832" i="330"/>
  <c r="AA832" i="330"/>
  <c r="Z832" i="330"/>
  <c r="Y832" i="330"/>
  <c r="X832" i="330"/>
  <c r="W832" i="330"/>
  <c r="V832" i="330"/>
  <c r="U832" i="330"/>
  <c r="T832" i="330"/>
  <c r="S832" i="330"/>
  <c r="R832" i="330"/>
  <c r="Q832" i="330"/>
  <c r="P832" i="330"/>
  <c r="O832" i="330"/>
  <c r="N832" i="330"/>
  <c r="M832" i="330"/>
  <c r="L832" i="330"/>
  <c r="K832" i="330"/>
  <c r="J832" i="330"/>
  <c r="I832" i="330"/>
  <c r="H832" i="330"/>
  <c r="G832" i="330"/>
  <c r="F831" i="330"/>
  <c r="D831" i="330" s="1"/>
  <c r="F830" i="330"/>
  <c r="D830" i="330" s="1"/>
  <c r="F829" i="330"/>
  <c r="D829" i="330" s="1"/>
  <c r="AX828" i="330"/>
  <c r="AW828" i="330"/>
  <c r="AV828" i="330"/>
  <c r="AU828" i="330"/>
  <c r="AT828" i="330"/>
  <c r="AS828" i="330"/>
  <c r="AR828" i="330"/>
  <c r="AQ828" i="330"/>
  <c r="AO828" i="330"/>
  <c r="AN828" i="330"/>
  <c r="AM828" i="330"/>
  <c r="AL828" i="330"/>
  <c r="AK828" i="330"/>
  <c r="AJ828" i="330"/>
  <c r="AI828" i="330"/>
  <c r="AH828" i="330"/>
  <c r="AG828" i="330"/>
  <c r="AF828" i="330"/>
  <c r="AE828" i="330"/>
  <c r="AD828" i="330"/>
  <c r="AC828" i="330"/>
  <c r="AB828" i="330"/>
  <c r="AA828" i="330"/>
  <c r="Z828" i="330"/>
  <c r="Y828" i="330"/>
  <c r="X828" i="330"/>
  <c r="W828" i="330"/>
  <c r="V828" i="330"/>
  <c r="U828" i="330"/>
  <c r="T828" i="330"/>
  <c r="S828" i="330"/>
  <c r="R828" i="330"/>
  <c r="Q828" i="330"/>
  <c r="P828" i="330"/>
  <c r="O828" i="330"/>
  <c r="N828" i="330"/>
  <c r="L828" i="330"/>
  <c r="K828" i="330"/>
  <c r="J828" i="330"/>
  <c r="I828" i="330"/>
  <c r="H828" i="330"/>
  <c r="G828" i="330"/>
  <c r="F827" i="330"/>
  <c r="D827" i="330" s="1"/>
  <c r="F826" i="330"/>
  <c r="D826" i="330" s="1"/>
  <c r="F825" i="330"/>
  <c r="D825" i="330" s="1"/>
  <c r="F824" i="330"/>
  <c r="D824" i="330" s="1"/>
  <c r="F823" i="330"/>
  <c r="D823" i="330" s="1"/>
  <c r="F822" i="330"/>
  <c r="D822" i="330" s="1"/>
  <c r="AP821" i="330"/>
  <c r="AP828" i="330" s="1"/>
  <c r="M821" i="330"/>
  <c r="F821" i="330" s="1"/>
  <c r="D821" i="330" s="1"/>
  <c r="AX820" i="330"/>
  <c r="AW820" i="330"/>
  <c r="AV820" i="330"/>
  <c r="AU820" i="330"/>
  <c r="AT820" i="330"/>
  <c r="AS820" i="330"/>
  <c r="AR820" i="330"/>
  <c r="AQ820" i="330"/>
  <c r="AO820" i="330"/>
  <c r="AN820" i="330"/>
  <c r="AM820" i="330"/>
  <c r="AL820" i="330"/>
  <c r="AK820" i="330"/>
  <c r="AJ820" i="330"/>
  <c r="AI820" i="330"/>
  <c r="AH820" i="330"/>
  <c r="AG820" i="330"/>
  <c r="AF820" i="330"/>
  <c r="AE820" i="330"/>
  <c r="AD820" i="330"/>
  <c r="AC820" i="330"/>
  <c r="AB820" i="330"/>
  <c r="AA820" i="330"/>
  <c r="Z820" i="330"/>
  <c r="Y820" i="330"/>
  <c r="X820" i="330"/>
  <c r="W820" i="330"/>
  <c r="V820" i="330"/>
  <c r="U820" i="330"/>
  <c r="T820" i="330"/>
  <c r="S820" i="330"/>
  <c r="R820" i="330"/>
  <c r="Q820" i="330"/>
  <c r="P820" i="330"/>
  <c r="O820" i="330"/>
  <c r="N820" i="330"/>
  <c r="L820" i="330"/>
  <c r="K820" i="330"/>
  <c r="J820" i="330"/>
  <c r="I820" i="330"/>
  <c r="E820" i="330"/>
  <c r="F819" i="330"/>
  <c r="D819" i="330" s="1"/>
  <c r="F818" i="330"/>
  <c r="D818" i="330"/>
  <c r="AX817" i="330"/>
  <c r="AW817" i="330"/>
  <c r="AV817" i="330"/>
  <c r="AU817" i="330"/>
  <c r="AT817" i="330"/>
  <c r="AS817" i="330"/>
  <c r="AR817" i="330"/>
  <c r="AQ817" i="330"/>
  <c r="AP817" i="330"/>
  <c r="AO817" i="330"/>
  <c r="AN817" i="330"/>
  <c r="AM817" i="330"/>
  <c r="AL817" i="330"/>
  <c r="AK817" i="330"/>
  <c r="AJ817" i="330"/>
  <c r="AI817" i="330"/>
  <c r="AH817" i="330"/>
  <c r="AG817" i="330"/>
  <c r="AF817" i="330"/>
  <c r="AE817" i="330"/>
  <c r="AD817" i="330"/>
  <c r="AC817" i="330"/>
  <c r="AB817" i="330"/>
  <c r="AA817" i="330"/>
  <c r="Z817" i="330"/>
  <c r="Y817" i="330"/>
  <c r="X817" i="330"/>
  <c r="W817" i="330"/>
  <c r="V817" i="330"/>
  <c r="U817" i="330"/>
  <c r="T817" i="330"/>
  <c r="S817" i="330"/>
  <c r="R817" i="330"/>
  <c r="Q817" i="330"/>
  <c r="P817" i="330"/>
  <c r="O817" i="330"/>
  <c r="N817" i="330"/>
  <c r="M817" i="330"/>
  <c r="L817" i="330"/>
  <c r="K817" i="330"/>
  <c r="J817" i="330"/>
  <c r="I817" i="330"/>
  <c r="H817" i="330"/>
  <c r="G817" i="330"/>
  <c r="F816" i="330"/>
  <c r="D816" i="330" s="1"/>
  <c r="F815" i="330"/>
  <c r="D815" i="330" s="1"/>
  <c r="F814" i="330"/>
  <c r="D814" i="330" s="1"/>
  <c r="AX813" i="330"/>
  <c r="AW813" i="330"/>
  <c r="AV813" i="330"/>
  <c r="AU813" i="330"/>
  <c r="AT813" i="330"/>
  <c r="AS813" i="330"/>
  <c r="AR813" i="330"/>
  <c r="AQ813" i="330"/>
  <c r="AP813" i="330"/>
  <c r="AO813" i="330"/>
  <c r="AN813" i="330"/>
  <c r="AM813" i="330"/>
  <c r="AL813" i="330"/>
  <c r="AK813" i="330"/>
  <c r="AJ813" i="330"/>
  <c r="AI813" i="330"/>
  <c r="AH813" i="330"/>
  <c r="AG813" i="330"/>
  <c r="AF813" i="330"/>
  <c r="AE813" i="330"/>
  <c r="AD813" i="330"/>
  <c r="AC813" i="330"/>
  <c r="AB813" i="330"/>
  <c r="AA813" i="330"/>
  <c r="Z813" i="330"/>
  <c r="Y813" i="330"/>
  <c r="X813" i="330"/>
  <c r="W813" i="330"/>
  <c r="V813" i="330"/>
  <c r="U813" i="330"/>
  <c r="T813" i="330"/>
  <c r="S813" i="330"/>
  <c r="R813" i="330"/>
  <c r="Q813" i="330"/>
  <c r="P813" i="330"/>
  <c r="O813" i="330"/>
  <c r="N813" i="330"/>
  <c r="M813" i="330"/>
  <c r="L813" i="330"/>
  <c r="K813" i="330"/>
  <c r="J813" i="330"/>
  <c r="I813" i="330"/>
  <c r="H813" i="330"/>
  <c r="G813" i="330"/>
  <c r="F812" i="330"/>
  <c r="D812" i="330" s="1"/>
  <c r="F811" i="330"/>
  <c r="D811" i="330" s="1"/>
  <c r="F810" i="330"/>
  <c r="D810" i="330" s="1"/>
  <c r="F809" i="330"/>
  <c r="D809" i="330" s="1"/>
  <c r="AX808" i="330"/>
  <c r="AW808" i="330"/>
  <c r="AV808" i="330"/>
  <c r="AU808" i="330"/>
  <c r="AT808" i="330"/>
  <c r="AS808" i="330"/>
  <c r="AR808" i="330"/>
  <c r="AQ808" i="330"/>
  <c r="AP808" i="330"/>
  <c r="AO808" i="330"/>
  <c r="AN808" i="330"/>
  <c r="AM808" i="330"/>
  <c r="AL808" i="330"/>
  <c r="AK808" i="330"/>
  <c r="AJ808" i="330"/>
  <c r="AI808" i="330"/>
  <c r="AH808" i="330"/>
  <c r="AG808" i="330"/>
  <c r="AF808" i="330"/>
  <c r="AE808" i="330"/>
  <c r="AD808" i="330"/>
  <c r="AC808" i="330"/>
  <c r="AB808" i="330"/>
  <c r="AA808" i="330"/>
  <c r="Z808" i="330"/>
  <c r="Y808" i="330"/>
  <c r="X808" i="330"/>
  <c r="W808" i="330"/>
  <c r="V808" i="330"/>
  <c r="U808" i="330"/>
  <c r="T808" i="330"/>
  <c r="S808" i="330"/>
  <c r="R808" i="330"/>
  <c r="Q808" i="330"/>
  <c r="P808" i="330"/>
  <c r="O808" i="330"/>
  <c r="N808" i="330"/>
  <c r="M808" i="330"/>
  <c r="L808" i="330"/>
  <c r="K808" i="330"/>
  <c r="J808" i="330"/>
  <c r="I808" i="330"/>
  <c r="H808" i="330"/>
  <c r="G808" i="330"/>
  <c r="F807" i="330"/>
  <c r="D807" i="330" s="1"/>
  <c r="F806" i="330"/>
  <c r="D806" i="330" s="1"/>
  <c r="F805" i="330"/>
  <c r="D805" i="330" s="1"/>
  <c r="AX804" i="330"/>
  <c r="AW804" i="330"/>
  <c r="AV804" i="330"/>
  <c r="AU804" i="330"/>
  <c r="AT804" i="330"/>
  <c r="AS804" i="330"/>
  <c r="AR804" i="330"/>
  <c r="AQ804" i="330"/>
  <c r="AP804" i="330"/>
  <c r="AO804" i="330"/>
  <c r="AN804" i="330"/>
  <c r="AM804" i="330"/>
  <c r="AL804" i="330"/>
  <c r="AK804" i="330"/>
  <c r="AJ804" i="330"/>
  <c r="AI804" i="330"/>
  <c r="AH804" i="330"/>
  <c r="AG804" i="330"/>
  <c r="AF804" i="330"/>
  <c r="AE804" i="330"/>
  <c r="AD804" i="330"/>
  <c r="AC804" i="330"/>
  <c r="AB804" i="330"/>
  <c r="AA804" i="330"/>
  <c r="Z804" i="330"/>
  <c r="Y804" i="330"/>
  <c r="X804" i="330"/>
  <c r="W804" i="330"/>
  <c r="V804" i="330"/>
  <c r="U804" i="330"/>
  <c r="T804" i="330"/>
  <c r="S804" i="330"/>
  <c r="R804" i="330"/>
  <c r="Q804" i="330"/>
  <c r="P804" i="330"/>
  <c r="O804" i="330"/>
  <c r="N804" i="330"/>
  <c r="M804" i="330"/>
  <c r="L804" i="330"/>
  <c r="K804" i="330"/>
  <c r="J804" i="330"/>
  <c r="I804" i="330"/>
  <c r="H804" i="330"/>
  <c r="G804" i="330"/>
  <c r="F803" i="330"/>
  <c r="D803" i="330" s="1"/>
  <c r="F802" i="330"/>
  <c r="D802" i="330" s="1"/>
  <c r="F801" i="330"/>
  <c r="D801" i="330" s="1"/>
  <c r="AX800" i="330"/>
  <c r="AW800" i="330"/>
  <c r="AV800" i="330"/>
  <c r="AU800" i="330"/>
  <c r="AT800" i="330"/>
  <c r="AS800" i="330"/>
  <c r="AR800" i="330"/>
  <c r="AQ800" i="330"/>
  <c r="AP800" i="330"/>
  <c r="AO800" i="330"/>
  <c r="AN800" i="330"/>
  <c r="AM800" i="330"/>
  <c r="AL800" i="330"/>
  <c r="AK800" i="330"/>
  <c r="AJ800" i="330"/>
  <c r="AI800" i="330"/>
  <c r="AH800" i="330"/>
  <c r="AG800" i="330"/>
  <c r="AF800" i="330"/>
  <c r="AE800" i="330"/>
  <c r="AD800" i="330"/>
  <c r="AC800" i="330"/>
  <c r="AB800" i="330"/>
  <c r="AA800" i="330"/>
  <c r="Z800" i="330"/>
  <c r="Y800" i="330"/>
  <c r="X800" i="330"/>
  <c r="W800" i="330"/>
  <c r="V800" i="330"/>
  <c r="U800" i="330"/>
  <c r="T800" i="330"/>
  <c r="S800" i="330"/>
  <c r="R800" i="330"/>
  <c r="Q800" i="330"/>
  <c r="P800" i="330"/>
  <c r="O800" i="330"/>
  <c r="N800" i="330"/>
  <c r="M800" i="330"/>
  <c r="L800" i="330"/>
  <c r="K800" i="330"/>
  <c r="J800" i="330"/>
  <c r="I800" i="330"/>
  <c r="H800" i="330"/>
  <c r="G800" i="330"/>
  <c r="F799" i="330"/>
  <c r="D799" i="330" s="1"/>
  <c r="F798" i="330"/>
  <c r="D798" i="330" s="1"/>
  <c r="F797" i="330"/>
  <c r="D797" i="330" s="1"/>
  <c r="AX796" i="330"/>
  <c r="AW796" i="330"/>
  <c r="AV796" i="330"/>
  <c r="AU796" i="330"/>
  <c r="AT796" i="330"/>
  <c r="AS796" i="330"/>
  <c r="AR796" i="330"/>
  <c r="AQ796" i="330"/>
  <c r="AP796" i="330"/>
  <c r="AO796" i="330"/>
  <c r="AN796" i="330"/>
  <c r="AM796" i="330"/>
  <c r="AL796" i="330"/>
  <c r="AK796" i="330"/>
  <c r="AJ796" i="330"/>
  <c r="AI796" i="330"/>
  <c r="AH796" i="330"/>
  <c r="AG796" i="330"/>
  <c r="AF796" i="330"/>
  <c r="AE796" i="330"/>
  <c r="AD796" i="330"/>
  <c r="AC796" i="330"/>
  <c r="AB796" i="330"/>
  <c r="AA796" i="330"/>
  <c r="Z796" i="330"/>
  <c r="Y796" i="330"/>
  <c r="X796" i="330"/>
  <c r="W796" i="330"/>
  <c r="V796" i="330"/>
  <c r="U796" i="330"/>
  <c r="T796" i="330"/>
  <c r="S796" i="330"/>
  <c r="R796" i="330"/>
  <c r="Q796" i="330"/>
  <c r="P796" i="330"/>
  <c r="O796" i="330"/>
  <c r="N796" i="330"/>
  <c r="M796" i="330"/>
  <c r="L796" i="330"/>
  <c r="K796" i="330"/>
  <c r="J796" i="330"/>
  <c r="I796" i="330"/>
  <c r="H796" i="330"/>
  <c r="G796" i="330"/>
  <c r="F795" i="330"/>
  <c r="D795" i="330" s="1"/>
  <c r="F794" i="330"/>
  <c r="D794" i="330" s="1"/>
  <c r="F793" i="330"/>
  <c r="D793" i="330" s="1"/>
  <c r="AX792" i="330"/>
  <c r="AW792" i="330"/>
  <c r="AV792" i="330"/>
  <c r="AU792" i="330"/>
  <c r="AT792" i="330"/>
  <c r="AS792" i="330"/>
  <c r="AR792" i="330"/>
  <c r="AQ792" i="330"/>
  <c r="AP792" i="330"/>
  <c r="AO792" i="330"/>
  <c r="AN792" i="330"/>
  <c r="AM792" i="330"/>
  <c r="AL792" i="330"/>
  <c r="AK792" i="330"/>
  <c r="AJ792" i="330"/>
  <c r="AI792" i="330"/>
  <c r="AH792" i="330"/>
  <c r="AG792" i="330"/>
  <c r="AF792" i="330"/>
  <c r="AE792" i="330"/>
  <c r="AD792" i="330"/>
  <c r="AC792" i="330"/>
  <c r="AB792" i="330"/>
  <c r="AA792" i="330"/>
  <c r="Z792" i="330"/>
  <c r="Y792" i="330"/>
  <c r="X792" i="330"/>
  <c r="W792" i="330"/>
  <c r="V792" i="330"/>
  <c r="U792" i="330"/>
  <c r="T792" i="330"/>
  <c r="S792" i="330"/>
  <c r="R792" i="330"/>
  <c r="Q792" i="330"/>
  <c r="P792" i="330"/>
  <c r="O792" i="330"/>
  <c r="N792" i="330"/>
  <c r="M792" i="330"/>
  <c r="L792" i="330"/>
  <c r="K792" i="330"/>
  <c r="J792" i="330"/>
  <c r="I792" i="330"/>
  <c r="H792" i="330"/>
  <c r="G792" i="330"/>
  <c r="F791" i="330"/>
  <c r="D791" i="330" s="1"/>
  <c r="F790" i="330"/>
  <c r="D790" i="330" s="1"/>
  <c r="F789" i="330"/>
  <c r="D789" i="330" s="1"/>
  <c r="F788" i="330"/>
  <c r="D788" i="330" s="1"/>
  <c r="AX787" i="330"/>
  <c r="AW787" i="330"/>
  <c r="AV787" i="330"/>
  <c r="AU787" i="330"/>
  <c r="AT787" i="330"/>
  <c r="AS787" i="330"/>
  <c r="AR787" i="330"/>
  <c r="AQ787" i="330"/>
  <c r="AP787" i="330"/>
  <c r="AO787" i="330"/>
  <c r="AN787" i="330"/>
  <c r="AM787" i="330"/>
  <c r="AL787" i="330"/>
  <c r="AK787" i="330"/>
  <c r="AJ787" i="330"/>
  <c r="AI787" i="330"/>
  <c r="AH787" i="330"/>
  <c r="AG787" i="330"/>
  <c r="AF787" i="330"/>
  <c r="AE787" i="330"/>
  <c r="AD787" i="330"/>
  <c r="AC787" i="330"/>
  <c r="AB787" i="330"/>
  <c r="AA787" i="330"/>
  <c r="Z787" i="330"/>
  <c r="Y787" i="330"/>
  <c r="X787" i="330"/>
  <c r="W787" i="330"/>
  <c r="V787" i="330"/>
  <c r="U787" i="330"/>
  <c r="T787" i="330"/>
  <c r="S787" i="330"/>
  <c r="R787" i="330"/>
  <c r="Q787" i="330"/>
  <c r="P787" i="330"/>
  <c r="O787" i="330"/>
  <c r="N787" i="330"/>
  <c r="M787" i="330"/>
  <c r="L787" i="330"/>
  <c r="K787" i="330"/>
  <c r="J787" i="330"/>
  <c r="I787" i="330"/>
  <c r="H787" i="330"/>
  <c r="G787" i="330"/>
  <c r="F786" i="330"/>
  <c r="D786" i="330" s="1"/>
  <c r="F785" i="330"/>
  <c r="D785" i="330" s="1"/>
  <c r="F784" i="330"/>
  <c r="D784" i="330" s="1"/>
  <c r="AX783" i="330"/>
  <c r="AW783" i="330"/>
  <c r="AV783" i="330"/>
  <c r="AU783" i="330"/>
  <c r="AT783" i="330"/>
  <c r="AS783" i="330"/>
  <c r="AR783" i="330"/>
  <c r="AQ783" i="330"/>
  <c r="AP783" i="330"/>
  <c r="AO783" i="330"/>
  <c r="AN783" i="330"/>
  <c r="AM783" i="330"/>
  <c r="AL783" i="330"/>
  <c r="AK783" i="330"/>
  <c r="AJ783" i="330"/>
  <c r="AI783" i="330"/>
  <c r="AH783" i="330"/>
  <c r="AG783" i="330"/>
  <c r="AF783" i="330"/>
  <c r="AE783" i="330"/>
  <c r="AD783" i="330"/>
  <c r="AC783" i="330"/>
  <c r="AB783" i="330"/>
  <c r="AA783" i="330"/>
  <c r="Z783" i="330"/>
  <c r="Y783" i="330"/>
  <c r="X783" i="330"/>
  <c r="W783" i="330"/>
  <c r="V783" i="330"/>
  <c r="U783" i="330"/>
  <c r="T783" i="330"/>
  <c r="S783" i="330"/>
  <c r="R783" i="330"/>
  <c r="Q783" i="330"/>
  <c r="P783" i="330"/>
  <c r="O783" i="330"/>
  <c r="N783" i="330"/>
  <c r="M783" i="330"/>
  <c r="L783" i="330"/>
  <c r="K783" i="330"/>
  <c r="J783" i="330"/>
  <c r="I783" i="330"/>
  <c r="H783" i="330"/>
  <c r="G783" i="330"/>
  <c r="F782" i="330"/>
  <c r="D782" i="330" s="1"/>
  <c r="F781" i="330"/>
  <c r="D781" i="330" s="1"/>
  <c r="F780" i="330"/>
  <c r="D780" i="330" s="1"/>
  <c r="AX779" i="330"/>
  <c r="AW779" i="330"/>
  <c r="AV779" i="330"/>
  <c r="AU779" i="330"/>
  <c r="AT779" i="330"/>
  <c r="AS779" i="330"/>
  <c r="AR779" i="330"/>
  <c r="AQ779" i="330"/>
  <c r="AP779" i="330"/>
  <c r="AO779" i="330"/>
  <c r="AN779" i="330"/>
  <c r="AM779" i="330"/>
  <c r="AL779" i="330"/>
  <c r="AK779" i="330"/>
  <c r="AJ779" i="330"/>
  <c r="AI779" i="330"/>
  <c r="AH779" i="330"/>
  <c r="AG779" i="330"/>
  <c r="AF779" i="330"/>
  <c r="AE779" i="330"/>
  <c r="AD779" i="330"/>
  <c r="AC779" i="330"/>
  <c r="AB779" i="330"/>
  <c r="AA779" i="330"/>
  <c r="Z779" i="330"/>
  <c r="Y779" i="330"/>
  <c r="X779" i="330"/>
  <c r="W779" i="330"/>
  <c r="V779" i="330"/>
  <c r="U779" i="330"/>
  <c r="T779" i="330"/>
  <c r="S779" i="330"/>
  <c r="R779" i="330"/>
  <c r="Q779" i="330"/>
  <c r="P779" i="330"/>
  <c r="O779" i="330"/>
  <c r="N779" i="330"/>
  <c r="M779" i="330"/>
  <c r="L779" i="330"/>
  <c r="K779" i="330"/>
  <c r="J779" i="330"/>
  <c r="I779" i="330"/>
  <c r="H779" i="330"/>
  <c r="G779" i="330"/>
  <c r="F778" i="330"/>
  <c r="D778" i="330" s="1"/>
  <c r="F777" i="330"/>
  <c r="D777" i="330" s="1"/>
  <c r="F776" i="330"/>
  <c r="D776" i="330" s="1"/>
  <c r="AX775" i="330"/>
  <c r="AW775" i="330"/>
  <c r="AV775" i="330"/>
  <c r="AU775" i="330"/>
  <c r="AT775" i="330"/>
  <c r="AS775" i="330"/>
  <c r="AR775" i="330"/>
  <c r="AQ775" i="330"/>
  <c r="AP775" i="330"/>
  <c r="AO775" i="330"/>
  <c r="AN775" i="330"/>
  <c r="AM775" i="330"/>
  <c r="AL775" i="330"/>
  <c r="AK775" i="330"/>
  <c r="AJ775" i="330"/>
  <c r="AI775" i="330"/>
  <c r="AH775" i="330"/>
  <c r="AG775" i="330"/>
  <c r="AF775" i="330"/>
  <c r="AE775" i="330"/>
  <c r="AD775" i="330"/>
  <c r="AC775" i="330"/>
  <c r="AB775" i="330"/>
  <c r="AA775" i="330"/>
  <c r="Z775" i="330"/>
  <c r="Y775" i="330"/>
  <c r="X775" i="330"/>
  <c r="W775" i="330"/>
  <c r="V775" i="330"/>
  <c r="U775" i="330"/>
  <c r="T775" i="330"/>
  <c r="S775" i="330"/>
  <c r="R775" i="330"/>
  <c r="Q775" i="330"/>
  <c r="P775" i="330"/>
  <c r="O775" i="330"/>
  <c r="N775" i="330"/>
  <c r="M775" i="330"/>
  <c r="L775" i="330"/>
  <c r="K775" i="330"/>
  <c r="J775" i="330"/>
  <c r="I775" i="330"/>
  <c r="H775" i="330"/>
  <c r="G775" i="330"/>
  <c r="F774" i="330"/>
  <c r="D774" i="330" s="1"/>
  <c r="F773" i="330"/>
  <c r="D773" i="330" s="1"/>
  <c r="F772" i="330"/>
  <c r="D772" i="330" s="1"/>
  <c r="F771" i="330"/>
  <c r="D771" i="330" s="1"/>
  <c r="AX770" i="330"/>
  <c r="AW770" i="330"/>
  <c r="AV770" i="330"/>
  <c r="AU770" i="330"/>
  <c r="AT770" i="330"/>
  <c r="AS770" i="330"/>
  <c r="AR770" i="330"/>
  <c r="AQ770" i="330"/>
  <c r="AP770" i="330"/>
  <c r="AO770" i="330"/>
  <c r="AN770" i="330"/>
  <c r="AM770" i="330"/>
  <c r="AL770" i="330"/>
  <c r="AK770" i="330"/>
  <c r="AJ770" i="330"/>
  <c r="AI770" i="330"/>
  <c r="AH770" i="330"/>
  <c r="AG770" i="330"/>
  <c r="AF770" i="330"/>
  <c r="AE770" i="330"/>
  <c r="AD770" i="330"/>
  <c r="AC770" i="330"/>
  <c r="AB770" i="330"/>
  <c r="AA770" i="330"/>
  <c r="Z770" i="330"/>
  <c r="Y770" i="330"/>
  <c r="X770" i="330"/>
  <c r="W770" i="330"/>
  <c r="V770" i="330"/>
  <c r="U770" i="330"/>
  <c r="T770" i="330"/>
  <c r="S770" i="330"/>
  <c r="R770" i="330"/>
  <c r="Q770" i="330"/>
  <c r="P770" i="330"/>
  <c r="O770" i="330"/>
  <c r="N770" i="330"/>
  <c r="M770" i="330"/>
  <c r="L770" i="330"/>
  <c r="K770" i="330"/>
  <c r="J770" i="330"/>
  <c r="I770" i="330"/>
  <c r="H770" i="330"/>
  <c r="G770" i="330"/>
  <c r="F769" i="330"/>
  <c r="D769" i="330" s="1"/>
  <c r="F768" i="330"/>
  <c r="D768" i="330" s="1"/>
  <c r="F767" i="330"/>
  <c r="D767" i="330" s="1"/>
  <c r="AX766" i="330"/>
  <c r="AW766" i="330"/>
  <c r="AV766" i="330"/>
  <c r="AU766" i="330"/>
  <c r="AT766" i="330"/>
  <c r="AS766" i="330"/>
  <c r="AR766" i="330"/>
  <c r="AQ766" i="330"/>
  <c r="AP766" i="330"/>
  <c r="AO766" i="330"/>
  <c r="AN766" i="330"/>
  <c r="AM766" i="330"/>
  <c r="AL766" i="330"/>
  <c r="AK766" i="330"/>
  <c r="AJ766" i="330"/>
  <c r="AI766" i="330"/>
  <c r="AH766" i="330"/>
  <c r="AG766" i="330"/>
  <c r="AF766" i="330"/>
  <c r="AE766" i="330"/>
  <c r="AD766" i="330"/>
  <c r="AC766" i="330"/>
  <c r="AB766" i="330"/>
  <c r="AA766" i="330"/>
  <c r="Z766" i="330"/>
  <c r="Y766" i="330"/>
  <c r="X766" i="330"/>
  <c r="W766" i="330"/>
  <c r="V766" i="330"/>
  <c r="U766" i="330"/>
  <c r="T766" i="330"/>
  <c r="S766" i="330"/>
  <c r="R766" i="330"/>
  <c r="Q766" i="330"/>
  <c r="P766" i="330"/>
  <c r="O766" i="330"/>
  <c r="N766" i="330"/>
  <c r="M766" i="330"/>
  <c r="L766" i="330"/>
  <c r="K766" i="330"/>
  <c r="J766" i="330"/>
  <c r="I766" i="330"/>
  <c r="H766" i="330"/>
  <c r="G766" i="330"/>
  <c r="F765" i="330"/>
  <c r="D765" i="330" s="1"/>
  <c r="F764" i="330"/>
  <c r="D764" i="330" s="1"/>
  <c r="F763" i="330"/>
  <c r="D763" i="330" s="1"/>
  <c r="F762" i="330"/>
  <c r="D762" i="330" s="1"/>
  <c r="AX761" i="330"/>
  <c r="AW761" i="330"/>
  <c r="AV761" i="330"/>
  <c r="AU761" i="330"/>
  <c r="AT761" i="330"/>
  <c r="AS761" i="330"/>
  <c r="AR761" i="330"/>
  <c r="AQ761" i="330"/>
  <c r="AP761" i="330"/>
  <c r="AO761" i="330"/>
  <c r="AN761" i="330"/>
  <c r="AM761" i="330"/>
  <c r="AL761" i="330"/>
  <c r="AK761" i="330"/>
  <c r="AJ761" i="330"/>
  <c r="AI761" i="330"/>
  <c r="AH761" i="330"/>
  <c r="AG761" i="330"/>
  <c r="AF761" i="330"/>
  <c r="AE761" i="330"/>
  <c r="AD761" i="330"/>
  <c r="AC761" i="330"/>
  <c r="AB761" i="330"/>
  <c r="AA761" i="330"/>
  <c r="Z761" i="330"/>
  <c r="Y761" i="330"/>
  <c r="X761" i="330"/>
  <c r="W761" i="330"/>
  <c r="V761" i="330"/>
  <c r="U761" i="330"/>
  <c r="T761" i="330"/>
  <c r="S761" i="330"/>
  <c r="R761" i="330"/>
  <c r="Q761" i="330"/>
  <c r="P761" i="330"/>
  <c r="O761" i="330"/>
  <c r="N761" i="330"/>
  <c r="M761" i="330"/>
  <c r="L761" i="330"/>
  <c r="K761" i="330"/>
  <c r="J761" i="330"/>
  <c r="I761" i="330"/>
  <c r="H761" i="330"/>
  <c r="G761" i="330"/>
  <c r="F760" i="330"/>
  <c r="D760" i="330" s="1"/>
  <c r="F759" i="330"/>
  <c r="D759" i="330" s="1"/>
  <c r="F758" i="330"/>
  <c r="D758" i="330" s="1"/>
  <c r="F757" i="330"/>
  <c r="D757" i="330" s="1"/>
  <c r="AX756" i="330"/>
  <c r="AW756" i="330"/>
  <c r="AV756" i="330"/>
  <c r="AU756" i="330"/>
  <c r="AT756" i="330"/>
  <c r="AS756" i="330"/>
  <c r="AR756" i="330"/>
  <c r="AQ756" i="330"/>
  <c r="AP756" i="330"/>
  <c r="AO756" i="330"/>
  <c r="AN756" i="330"/>
  <c r="AM756" i="330"/>
  <c r="AL756" i="330"/>
  <c r="AK756" i="330"/>
  <c r="AJ756" i="330"/>
  <c r="AI756" i="330"/>
  <c r="AH756" i="330"/>
  <c r="AG756" i="330"/>
  <c r="AF756" i="330"/>
  <c r="AE756" i="330"/>
  <c r="AD756" i="330"/>
  <c r="AC756" i="330"/>
  <c r="AB756" i="330"/>
  <c r="AA756" i="330"/>
  <c r="Z756" i="330"/>
  <c r="Y756" i="330"/>
  <c r="X756" i="330"/>
  <c r="W756" i="330"/>
  <c r="V756" i="330"/>
  <c r="U756" i="330"/>
  <c r="T756" i="330"/>
  <c r="S756" i="330"/>
  <c r="R756" i="330"/>
  <c r="Q756" i="330"/>
  <c r="P756" i="330"/>
  <c r="O756" i="330"/>
  <c r="N756" i="330"/>
  <c r="M756" i="330"/>
  <c r="L756" i="330"/>
  <c r="K756" i="330"/>
  <c r="J756" i="330"/>
  <c r="I756" i="330"/>
  <c r="H756" i="330"/>
  <c r="G756" i="330"/>
  <c r="F755" i="330"/>
  <c r="D755" i="330" s="1"/>
  <c r="F754" i="330"/>
  <c r="D754" i="330" s="1"/>
  <c r="F753" i="330"/>
  <c r="D753" i="330" s="1"/>
  <c r="F752" i="330"/>
  <c r="D752" i="330" s="1"/>
  <c r="AX751" i="330"/>
  <c r="AW751" i="330"/>
  <c r="AV751" i="330"/>
  <c r="AU751" i="330"/>
  <c r="AT751" i="330"/>
  <c r="AS751" i="330"/>
  <c r="AR751" i="330"/>
  <c r="AQ751" i="330"/>
  <c r="AP751" i="330"/>
  <c r="AO751" i="330"/>
  <c r="AN751" i="330"/>
  <c r="AM751" i="330"/>
  <c r="AL751" i="330"/>
  <c r="AK751" i="330"/>
  <c r="AJ751" i="330"/>
  <c r="AI751" i="330"/>
  <c r="AH751" i="330"/>
  <c r="AG751" i="330"/>
  <c r="AF751" i="330"/>
  <c r="AE751" i="330"/>
  <c r="AD751" i="330"/>
  <c r="AC751" i="330"/>
  <c r="AB751" i="330"/>
  <c r="AA751" i="330"/>
  <c r="Z751" i="330"/>
  <c r="Y751" i="330"/>
  <c r="X751" i="330"/>
  <c r="W751" i="330"/>
  <c r="V751" i="330"/>
  <c r="U751" i="330"/>
  <c r="T751" i="330"/>
  <c r="S751" i="330"/>
  <c r="R751" i="330"/>
  <c r="Q751" i="330"/>
  <c r="P751" i="330"/>
  <c r="O751" i="330"/>
  <c r="N751" i="330"/>
  <c r="M751" i="330"/>
  <c r="L751" i="330"/>
  <c r="K751" i="330"/>
  <c r="J751" i="330"/>
  <c r="I751" i="330"/>
  <c r="H751" i="330"/>
  <c r="G751" i="330"/>
  <c r="F750" i="330"/>
  <c r="D750" i="330" s="1"/>
  <c r="F749" i="330"/>
  <c r="D749" i="330" s="1"/>
  <c r="F748" i="330"/>
  <c r="D748" i="330" s="1"/>
  <c r="F747" i="330"/>
  <c r="D747" i="330" s="1"/>
  <c r="AX746" i="330"/>
  <c r="AW746" i="330"/>
  <c r="AV746" i="330"/>
  <c r="AU746" i="330"/>
  <c r="AT746" i="330"/>
  <c r="AS746" i="330"/>
  <c r="AR746" i="330"/>
  <c r="AQ746" i="330"/>
  <c r="AP746" i="330"/>
  <c r="AO746" i="330"/>
  <c r="AN746" i="330"/>
  <c r="AM746" i="330"/>
  <c r="AL746" i="330"/>
  <c r="AK746" i="330"/>
  <c r="AJ746" i="330"/>
  <c r="AI746" i="330"/>
  <c r="AH746" i="330"/>
  <c r="AG746" i="330"/>
  <c r="AF746" i="330"/>
  <c r="AE746" i="330"/>
  <c r="AD746" i="330"/>
  <c r="AC746" i="330"/>
  <c r="AB746" i="330"/>
  <c r="AA746" i="330"/>
  <c r="Z746" i="330"/>
  <c r="Y746" i="330"/>
  <c r="X746" i="330"/>
  <c r="W746" i="330"/>
  <c r="V746" i="330"/>
  <c r="U746" i="330"/>
  <c r="T746" i="330"/>
  <c r="S746" i="330"/>
  <c r="R746" i="330"/>
  <c r="Q746" i="330"/>
  <c r="P746" i="330"/>
  <c r="O746" i="330"/>
  <c r="N746" i="330"/>
  <c r="M746" i="330"/>
  <c r="L746" i="330"/>
  <c r="K746" i="330"/>
  <c r="J746" i="330"/>
  <c r="H746" i="330"/>
  <c r="G746" i="330"/>
  <c r="F745" i="330"/>
  <c r="D745" i="330" s="1"/>
  <c r="F744" i="330"/>
  <c r="D744" i="330" s="1"/>
  <c r="F743" i="330"/>
  <c r="D743" i="330" s="1"/>
  <c r="I742" i="330"/>
  <c r="I746" i="330" s="1"/>
  <c r="AX741" i="330"/>
  <c r="AW741" i="330"/>
  <c r="AV741" i="330"/>
  <c r="AU741" i="330"/>
  <c r="AT741" i="330"/>
  <c r="AS741" i="330"/>
  <c r="AR741" i="330"/>
  <c r="AQ741" i="330"/>
  <c r="AP741" i="330"/>
  <c r="AO741" i="330"/>
  <c r="AN741" i="330"/>
  <c r="AM741" i="330"/>
  <c r="AL741" i="330"/>
  <c r="AK741" i="330"/>
  <c r="AJ741" i="330"/>
  <c r="AI741" i="330"/>
  <c r="AH741" i="330"/>
  <c r="AG741" i="330"/>
  <c r="AF741" i="330"/>
  <c r="AE741" i="330"/>
  <c r="AD741" i="330"/>
  <c r="AC741" i="330"/>
  <c r="AB741" i="330"/>
  <c r="AA741" i="330"/>
  <c r="Z741" i="330"/>
  <c r="Y741" i="330"/>
  <c r="X741" i="330"/>
  <c r="W741" i="330"/>
  <c r="V741" i="330"/>
  <c r="U741" i="330"/>
  <c r="T741" i="330"/>
  <c r="S741" i="330"/>
  <c r="R741" i="330"/>
  <c r="Q741" i="330"/>
  <c r="P741" i="330"/>
  <c r="O741" i="330"/>
  <c r="N741" i="330"/>
  <c r="M741" i="330"/>
  <c r="L741" i="330"/>
  <c r="K741" i="330"/>
  <c r="J741" i="330"/>
  <c r="I741" i="330"/>
  <c r="H741" i="330"/>
  <c r="F741" i="330" s="1"/>
  <c r="D741" i="330" s="1"/>
  <c r="G741" i="330"/>
  <c r="F740" i="330"/>
  <c r="D740" i="330" s="1"/>
  <c r="F739" i="330"/>
  <c r="D739" i="330" s="1"/>
  <c r="F738" i="330"/>
  <c r="D738" i="330" s="1"/>
  <c r="F737" i="330"/>
  <c r="D737" i="330"/>
  <c r="F736" i="330"/>
  <c r="D736" i="330" s="1"/>
  <c r="F735" i="330"/>
  <c r="AX734" i="330"/>
  <c r="AW734" i="330"/>
  <c r="AV734" i="330"/>
  <c r="AU734" i="330"/>
  <c r="AT734" i="330"/>
  <c r="AS734" i="330"/>
  <c r="AR734" i="330"/>
  <c r="AQ734" i="330"/>
  <c r="AP734" i="330"/>
  <c r="AO734" i="330"/>
  <c r="AN734" i="330"/>
  <c r="AM734" i="330"/>
  <c r="AL734" i="330"/>
  <c r="AK734" i="330"/>
  <c r="AJ734" i="330"/>
  <c r="AI734" i="330"/>
  <c r="AH734" i="330"/>
  <c r="AG734" i="330"/>
  <c r="AF734" i="330"/>
  <c r="AE734" i="330"/>
  <c r="AD734" i="330"/>
  <c r="AC734" i="330"/>
  <c r="AB734" i="330"/>
  <c r="AA734" i="330"/>
  <c r="Z734" i="330"/>
  <c r="Y734" i="330"/>
  <c r="X734" i="330"/>
  <c r="W734" i="330"/>
  <c r="V734" i="330"/>
  <c r="U734" i="330"/>
  <c r="T734" i="330"/>
  <c r="S734" i="330"/>
  <c r="R734" i="330"/>
  <c r="Q734" i="330"/>
  <c r="P734" i="330"/>
  <c r="O734" i="330"/>
  <c r="N734" i="330"/>
  <c r="M734" i="330"/>
  <c r="L734" i="330"/>
  <c r="K734" i="330"/>
  <c r="J734" i="330"/>
  <c r="I734" i="330"/>
  <c r="H734" i="330"/>
  <c r="G734" i="330"/>
  <c r="E734" i="330"/>
  <c r="F733" i="330"/>
  <c r="D733" i="330" s="1"/>
  <c r="F732" i="330"/>
  <c r="D732" i="330" s="1"/>
  <c r="AX731" i="330"/>
  <c r="AW731" i="330"/>
  <c r="AV731" i="330"/>
  <c r="AU731" i="330"/>
  <c r="AT731" i="330"/>
  <c r="AS731" i="330"/>
  <c r="AR731" i="330"/>
  <c r="AQ731" i="330"/>
  <c r="AP731" i="330"/>
  <c r="AO731" i="330"/>
  <c r="AN731" i="330"/>
  <c r="AM731" i="330"/>
  <c r="AL731" i="330"/>
  <c r="AK731" i="330"/>
  <c r="AJ731" i="330"/>
  <c r="AI731" i="330"/>
  <c r="AH731" i="330"/>
  <c r="AG731" i="330"/>
  <c r="AF731" i="330"/>
  <c r="AE731" i="330"/>
  <c r="AD731" i="330"/>
  <c r="AC731" i="330"/>
  <c r="AB731" i="330"/>
  <c r="AA731" i="330"/>
  <c r="Z731" i="330"/>
  <c r="Y731" i="330"/>
  <c r="X731" i="330"/>
  <c r="W731" i="330"/>
  <c r="V731" i="330"/>
  <c r="U731" i="330"/>
  <c r="T731" i="330"/>
  <c r="S731" i="330"/>
  <c r="R731" i="330"/>
  <c r="Q731" i="330"/>
  <c r="P731" i="330"/>
  <c r="O731" i="330"/>
  <c r="N731" i="330"/>
  <c r="M731" i="330"/>
  <c r="L731" i="330"/>
  <c r="K731" i="330"/>
  <c r="J731" i="330"/>
  <c r="I731" i="330"/>
  <c r="H731" i="330"/>
  <c r="G731" i="330"/>
  <c r="F730" i="330"/>
  <c r="D730" i="330" s="1"/>
  <c r="F729" i="330"/>
  <c r="D729" i="330" s="1"/>
  <c r="F728" i="330"/>
  <c r="D728" i="330" s="1"/>
  <c r="F727" i="330"/>
  <c r="D727" i="330" s="1"/>
  <c r="F726" i="330"/>
  <c r="D726" i="330" s="1"/>
  <c r="F725" i="330"/>
  <c r="D725" i="330" s="1"/>
  <c r="AX724" i="330"/>
  <c r="AW724" i="330"/>
  <c r="AV724" i="330"/>
  <c r="AU724" i="330"/>
  <c r="AT724" i="330"/>
  <c r="AS724" i="330"/>
  <c r="AR724" i="330"/>
  <c r="AQ724" i="330"/>
  <c r="AP724" i="330"/>
  <c r="AO724" i="330"/>
  <c r="AN724" i="330"/>
  <c r="AM724" i="330"/>
  <c r="AL724" i="330"/>
  <c r="AK724" i="330"/>
  <c r="AJ724" i="330"/>
  <c r="AI724" i="330"/>
  <c r="AH724" i="330"/>
  <c r="AG724" i="330"/>
  <c r="AF724" i="330"/>
  <c r="AE724" i="330"/>
  <c r="AD724" i="330"/>
  <c r="AC724" i="330"/>
  <c r="AB724" i="330"/>
  <c r="AA724" i="330"/>
  <c r="Z724" i="330"/>
  <c r="Y724" i="330"/>
  <c r="X724" i="330"/>
  <c r="W724" i="330"/>
  <c r="V724" i="330"/>
  <c r="U724" i="330"/>
  <c r="T724" i="330"/>
  <c r="S724" i="330"/>
  <c r="R724" i="330"/>
  <c r="Q724" i="330"/>
  <c r="P724" i="330"/>
  <c r="O724" i="330"/>
  <c r="N724" i="330"/>
  <c r="M724" i="330"/>
  <c r="L724" i="330"/>
  <c r="K724" i="330"/>
  <c r="J724" i="330"/>
  <c r="I724" i="330"/>
  <c r="H724" i="330"/>
  <c r="G724" i="330"/>
  <c r="F723" i="330"/>
  <c r="D723" i="330" s="1"/>
  <c r="F722" i="330"/>
  <c r="D722" i="330" s="1"/>
  <c r="F721" i="330"/>
  <c r="D721" i="330" s="1"/>
  <c r="F720" i="330"/>
  <c r="D720" i="330" s="1"/>
  <c r="AX719" i="330"/>
  <c r="AW719" i="330"/>
  <c r="AV719" i="330"/>
  <c r="AU719" i="330"/>
  <c r="AT719" i="330"/>
  <c r="AS719" i="330"/>
  <c r="AR719" i="330"/>
  <c r="AQ719" i="330"/>
  <c r="AP719" i="330"/>
  <c r="AO719" i="330"/>
  <c r="AN719" i="330"/>
  <c r="AM719" i="330"/>
  <c r="AL719" i="330"/>
  <c r="AK719" i="330"/>
  <c r="AJ719" i="330"/>
  <c r="AI719" i="330"/>
  <c r="AH719" i="330"/>
  <c r="AG719" i="330"/>
  <c r="AF719" i="330"/>
  <c r="AE719" i="330"/>
  <c r="AD719" i="330"/>
  <c r="AC719" i="330"/>
  <c r="AB719" i="330"/>
  <c r="AA719" i="330"/>
  <c r="Z719" i="330"/>
  <c r="Y719" i="330"/>
  <c r="X719" i="330"/>
  <c r="W719" i="330"/>
  <c r="V719" i="330"/>
  <c r="U719" i="330"/>
  <c r="T719" i="330"/>
  <c r="S719" i="330"/>
  <c r="R719" i="330"/>
  <c r="Q719" i="330"/>
  <c r="P719" i="330"/>
  <c r="O719" i="330"/>
  <c r="N719" i="330"/>
  <c r="M719" i="330"/>
  <c r="L719" i="330"/>
  <c r="F719" i="330" s="1"/>
  <c r="D719" i="330" s="1"/>
  <c r="K719" i="330"/>
  <c r="J719" i="330"/>
  <c r="I719" i="330"/>
  <c r="H719" i="330"/>
  <c r="G719" i="330"/>
  <c r="F718" i="330"/>
  <c r="D718" i="330" s="1"/>
  <c r="F717" i="330"/>
  <c r="D717" i="330" s="1"/>
  <c r="F716" i="330"/>
  <c r="D716" i="330" s="1"/>
  <c r="AX715" i="330"/>
  <c r="AW715" i="330"/>
  <c r="AV715" i="330"/>
  <c r="AU715" i="330"/>
  <c r="AT715" i="330"/>
  <c r="AS715" i="330"/>
  <c r="AR715" i="330"/>
  <c r="AQ715" i="330"/>
  <c r="AP715" i="330"/>
  <c r="AO715" i="330"/>
  <c r="AN715" i="330"/>
  <c r="AM715" i="330"/>
  <c r="AL715" i="330"/>
  <c r="AK715" i="330"/>
  <c r="AJ715" i="330"/>
  <c r="AI715" i="330"/>
  <c r="AH715" i="330"/>
  <c r="AG715" i="330"/>
  <c r="AF715" i="330"/>
  <c r="AE715" i="330"/>
  <c r="AD715" i="330"/>
  <c r="AC715" i="330"/>
  <c r="AB715" i="330"/>
  <c r="AA715" i="330"/>
  <c r="Z715" i="330"/>
  <c r="Y715" i="330"/>
  <c r="X715" i="330"/>
  <c r="W715" i="330"/>
  <c r="V715" i="330"/>
  <c r="U715" i="330"/>
  <c r="T715" i="330"/>
  <c r="S715" i="330"/>
  <c r="R715" i="330"/>
  <c r="Q715" i="330"/>
  <c r="P715" i="330"/>
  <c r="O715" i="330"/>
  <c r="N715" i="330"/>
  <c r="M715" i="330"/>
  <c r="L715" i="330"/>
  <c r="K715" i="330"/>
  <c r="J715" i="330"/>
  <c r="I715" i="330"/>
  <c r="H715" i="330"/>
  <c r="G715" i="330"/>
  <c r="F714" i="330"/>
  <c r="D714" i="330" s="1"/>
  <c r="F713" i="330"/>
  <c r="D713" i="330" s="1"/>
  <c r="F712" i="330"/>
  <c r="D712" i="330" s="1"/>
  <c r="AX711" i="330"/>
  <c r="AW711" i="330"/>
  <c r="AV711" i="330"/>
  <c r="AU711" i="330"/>
  <c r="AT711" i="330"/>
  <c r="AS711" i="330"/>
  <c r="AR711" i="330"/>
  <c r="AQ711" i="330"/>
  <c r="AP711" i="330"/>
  <c r="AO711" i="330"/>
  <c r="AN711" i="330"/>
  <c r="AM711" i="330"/>
  <c r="AL711" i="330"/>
  <c r="AK711" i="330"/>
  <c r="AJ711" i="330"/>
  <c r="AI711" i="330"/>
  <c r="AH711" i="330"/>
  <c r="AG711" i="330"/>
  <c r="AF711" i="330"/>
  <c r="AE711" i="330"/>
  <c r="AD711" i="330"/>
  <c r="AC711" i="330"/>
  <c r="AB711" i="330"/>
  <c r="AA711" i="330"/>
  <c r="Z711" i="330"/>
  <c r="Y711" i="330"/>
  <c r="X711" i="330"/>
  <c r="W711" i="330"/>
  <c r="V711" i="330"/>
  <c r="U711" i="330"/>
  <c r="T711" i="330"/>
  <c r="S711" i="330"/>
  <c r="R711" i="330"/>
  <c r="Q711" i="330"/>
  <c r="P711" i="330"/>
  <c r="O711" i="330"/>
  <c r="N711" i="330"/>
  <c r="M711" i="330"/>
  <c r="L711" i="330"/>
  <c r="K711" i="330"/>
  <c r="J711" i="330"/>
  <c r="I711" i="330"/>
  <c r="H711" i="330"/>
  <c r="G711" i="330"/>
  <c r="F710" i="330"/>
  <c r="D710" i="330" s="1"/>
  <c r="F709" i="330"/>
  <c r="D709" i="330" s="1"/>
  <c r="F708" i="330"/>
  <c r="D708" i="330" s="1"/>
  <c r="F707" i="330"/>
  <c r="D707" i="330" s="1"/>
  <c r="AX706" i="330"/>
  <c r="AW706" i="330"/>
  <c r="AV706" i="330"/>
  <c r="AU706" i="330"/>
  <c r="AT706" i="330"/>
  <c r="AS706" i="330"/>
  <c r="AR706" i="330"/>
  <c r="AQ706" i="330"/>
  <c r="AP706" i="330"/>
  <c r="AO706" i="330"/>
  <c r="AN706" i="330"/>
  <c r="AM706" i="330"/>
  <c r="AL706" i="330"/>
  <c r="AK706" i="330"/>
  <c r="AJ706" i="330"/>
  <c r="AI706" i="330"/>
  <c r="AH706" i="330"/>
  <c r="AG706" i="330"/>
  <c r="AF706" i="330"/>
  <c r="AE706" i="330"/>
  <c r="AD706" i="330"/>
  <c r="AC706" i="330"/>
  <c r="AB706" i="330"/>
  <c r="AA706" i="330"/>
  <c r="Z706" i="330"/>
  <c r="Y706" i="330"/>
  <c r="X706" i="330"/>
  <c r="W706" i="330"/>
  <c r="V706" i="330"/>
  <c r="U706" i="330"/>
  <c r="T706" i="330"/>
  <c r="S706" i="330"/>
  <c r="R706" i="330"/>
  <c r="Q706" i="330"/>
  <c r="P706" i="330"/>
  <c r="O706" i="330"/>
  <c r="N706" i="330"/>
  <c r="M706" i="330"/>
  <c r="L706" i="330"/>
  <c r="K706" i="330"/>
  <c r="J706" i="330"/>
  <c r="I706" i="330"/>
  <c r="H706" i="330"/>
  <c r="G706" i="330"/>
  <c r="E706" i="330"/>
  <c r="F705" i="330"/>
  <c r="D705" i="330" s="1"/>
  <c r="AX704" i="330"/>
  <c r="AW704" i="330"/>
  <c r="AV704" i="330"/>
  <c r="AU704" i="330"/>
  <c r="AT704" i="330"/>
  <c r="AS704" i="330"/>
  <c r="AR704" i="330"/>
  <c r="AQ704" i="330"/>
  <c r="AP704" i="330"/>
  <c r="AO704" i="330"/>
  <c r="AN704" i="330"/>
  <c r="AM704" i="330"/>
  <c r="AL704" i="330"/>
  <c r="AK704" i="330"/>
  <c r="AJ704" i="330"/>
  <c r="AI704" i="330"/>
  <c r="AH704" i="330"/>
  <c r="AG704" i="330"/>
  <c r="AF704" i="330"/>
  <c r="AE704" i="330"/>
  <c r="AD704" i="330"/>
  <c r="AC704" i="330"/>
  <c r="AB704" i="330"/>
  <c r="AA704" i="330"/>
  <c r="Z704" i="330"/>
  <c r="Y704" i="330"/>
  <c r="X704" i="330"/>
  <c r="W704" i="330"/>
  <c r="V704" i="330"/>
  <c r="U704" i="330"/>
  <c r="T704" i="330"/>
  <c r="S704" i="330"/>
  <c r="R704" i="330"/>
  <c r="Q704" i="330"/>
  <c r="P704" i="330"/>
  <c r="O704" i="330"/>
  <c r="N704" i="330"/>
  <c r="M704" i="330"/>
  <c r="L704" i="330"/>
  <c r="K704" i="330"/>
  <c r="J704" i="330"/>
  <c r="I704" i="330"/>
  <c r="H704" i="330"/>
  <c r="F704" i="330" s="1"/>
  <c r="D704" i="330" s="1"/>
  <c r="G704" i="330"/>
  <c r="F703" i="330"/>
  <c r="D703" i="330" s="1"/>
  <c r="F702" i="330"/>
  <c r="D702" i="330" s="1"/>
  <c r="F701" i="330"/>
  <c r="D701" i="330" s="1"/>
  <c r="AX700" i="330"/>
  <c r="AW700" i="330"/>
  <c r="AV700" i="330"/>
  <c r="AU700" i="330"/>
  <c r="AT700" i="330"/>
  <c r="AS700" i="330"/>
  <c r="AR700" i="330"/>
  <c r="AQ700" i="330"/>
  <c r="AP700" i="330"/>
  <c r="AO700" i="330"/>
  <c r="AN700" i="330"/>
  <c r="AM700" i="330"/>
  <c r="AL700" i="330"/>
  <c r="AK700" i="330"/>
  <c r="AJ700" i="330"/>
  <c r="AI700" i="330"/>
  <c r="AH700" i="330"/>
  <c r="AG700" i="330"/>
  <c r="AF700" i="330"/>
  <c r="AE700" i="330"/>
  <c r="AD700" i="330"/>
  <c r="AC700" i="330"/>
  <c r="AB700" i="330"/>
  <c r="AA700" i="330"/>
  <c r="Z700" i="330"/>
  <c r="Y700" i="330"/>
  <c r="X700" i="330"/>
  <c r="W700" i="330"/>
  <c r="V700" i="330"/>
  <c r="U700" i="330"/>
  <c r="T700" i="330"/>
  <c r="S700" i="330"/>
  <c r="R700" i="330"/>
  <c r="Q700" i="330"/>
  <c r="P700" i="330"/>
  <c r="O700" i="330"/>
  <c r="N700" i="330"/>
  <c r="M700" i="330"/>
  <c r="L700" i="330"/>
  <c r="K700" i="330"/>
  <c r="J700" i="330"/>
  <c r="I700" i="330"/>
  <c r="H700" i="330"/>
  <c r="G700" i="330"/>
  <c r="F700" i="330" s="1"/>
  <c r="D700" i="330" s="1"/>
  <c r="F699" i="330"/>
  <c r="D699" i="330" s="1"/>
  <c r="F698" i="330"/>
  <c r="D698" i="330" s="1"/>
  <c r="F697" i="330"/>
  <c r="D697" i="330" s="1"/>
  <c r="AX696" i="330"/>
  <c r="AW696" i="330"/>
  <c r="AV696" i="330"/>
  <c r="AU696" i="330"/>
  <c r="AT696" i="330"/>
  <c r="AS696" i="330"/>
  <c r="AR696" i="330"/>
  <c r="AQ696" i="330"/>
  <c r="AP696" i="330"/>
  <c r="AO696" i="330"/>
  <c r="AN696" i="330"/>
  <c r="AM696" i="330"/>
  <c r="AL696" i="330"/>
  <c r="AK696" i="330"/>
  <c r="AJ696" i="330"/>
  <c r="AI696" i="330"/>
  <c r="AH696" i="330"/>
  <c r="AG696" i="330"/>
  <c r="AF696" i="330"/>
  <c r="AE696" i="330"/>
  <c r="AD696" i="330"/>
  <c r="AC696" i="330"/>
  <c r="AB696" i="330"/>
  <c r="AA696" i="330"/>
  <c r="Z696" i="330"/>
  <c r="Y696" i="330"/>
  <c r="X696" i="330"/>
  <c r="W696" i="330"/>
  <c r="V696" i="330"/>
  <c r="U696" i="330"/>
  <c r="T696" i="330"/>
  <c r="S696" i="330"/>
  <c r="R696" i="330"/>
  <c r="Q696" i="330"/>
  <c r="P696" i="330"/>
  <c r="O696" i="330"/>
  <c r="N696" i="330"/>
  <c r="M696" i="330"/>
  <c r="L696" i="330"/>
  <c r="K696" i="330"/>
  <c r="J696" i="330"/>
  <c r="I696" i="330"/>
  <c r="H696" i="330"/>
  <c r="G696" i="330"/>
  <c r="F695" i="330"/>
  <c r="D695" i="330" s="1"/>
  <c r="F694" i="330"/>
  <c r="D694" i="330" s="1"/>
  <c r="F693" i="330"/>
  <c r="D693" i="330" s="1"/>
  <c r="AX692" i="330"/>
  <c r="AW692" i="330"/>
  <c r="AV692" i="330"/>
  <c r="AU692" i="330"/>
  <c r="AT692" i="330"/>
  <c r="AS692" i="330"/>
  <c r="AR692" i="330"/>
  <c r="AQ692" i="330"/>
  <c r="AP692" i="330"/>
  <c r="AO692" i="330"/>
  <c r="AN692" i="330"/>
  <c r="AM692" i="330"/>
  <c r="AL692" i="330"/>
  <c r="AK692" i="330"/>
  <c r="AJ692" i="330"/>
  <c r="AI692" i="330"/>
  <c r="AH692" i="330"/>
  <c r="AG692" i="330"/>
  <c r="AF692" i="330"/>
  <c r="AE692" i="330"/>
  <c r="AD692" i="330"/>
  <c r="AC692" i="330"/>
  <c r="AB692" i="330"/>
  <c r="AA692" i="330"/>
  <c r="Z692" i="330"/>
  <c r="Y692" i="330"/>
  <c r="X692" i="330"/>
  <c r="W692" i="330"/>
  <c r="V692" i="330"/>
  <c r="U692" i="330"/>
  <c r="T692" i="330"/>
  <c r="S692" i="330"/>
  <c r="R692" i="330"/>
  <c r="Q692" i="330"/>
  <c r="P692" i="330"/>
  <c r="O692" i="330"/>
  <c r="N692" i="330"/>
  <c r="M692" i="330"/>
  <c r="L692" i="330"/>
  <c r="K692" i="330"/>
  <c r="J692" i="330"/>
  <c r="I692" i="330"/>
  <c r="H692" i="330"/>
  <c r="G692" i="330"/>
  <c r="F691" i="330"/>
  <c r="D691" i="330" s="1"/>
  <c r="F690" i="330"/>
  <c r="D690" i="330" s="1"/>
  <c r="F689" i="330"/>
  <c r="D689" i="330" s="1"/>
  <c r="AX688" i="330"/>
  <c r="AW688" i="330"/>
  <c r="AV688" i="330"/>
  <c r="AU688" i="330"/>
  <c r="AT688" i="330"/>
  <c r="AS688" i="330"/>
  <c r="AR688" i="330"/>
  <c r="AQ688" i="330"/>
  <c r="AP688" i="330"/>
  <c r="AO688" i="330"/>
  <c r="AN688" i="330"/>
  <c r="AM688" i="330"/>
  <c r="AL688" i="330"/>
  <c r="AK688" i="330"/>
  <c r="AJ688" i="330"/>
  <c r="AI688" i="330"/>
  <c r="AH688" i="330"/>
  <c r="AG688" i="330"/>
  <c r="AF688" i="330"/>
  <c r="AE688" i="330"/>
  <c r="AD688" i="330"/>
  <c r="AC688" i="330"/>
  <c r="AB688" i="330"/>
  <c r="AA688" i="330"/>
  <c r="Z688" i="330"/>
  <c r="Y688" i="330"/>
  <c r="X688" i="330"/>
  <c r="W688" i="330"/>
  <c r="V688" i="330"/>
  <c r="U688" i="330"/>
  <c r="T688" i="330"/>
  <c r="S688" i="330"/>
  <c r="R688" i="330"/>
  <c r="Q688" i="330"/>
  <c r="P688" i="330"/>
  <c r="O688" i="330"/>
  <c r="N688" i="330"/>
  <c r="M688" i="330"/>
  <c r="L688" i="330"/>
  <c r="K688" i="330"/>
  <c r="J688" i="330"/>
  <c r="I688" i="330"/>
  <c r="H688" i="330"/>
  <c r="G688" i="330"/>
  <c r="F687" i="330"/>
  <c r="D687" i="330"/>
  <c r="F686" i="330"/>
  <c r="D686" i="330" s="1"/>
  <c r="F685" i="330"/>
  <c r="D685" i="330" s="1"/>
  <c r="F684" i="330"/>
  <c r="D684" i="330" s="1"/>
  <c r="F683" i="330"/>
  <c r="D683" i="330" s="1"/>
  <c r="F682" i="330"/>
  <c r="D682" i="330" s="1"/>
  <c r="F681" i="330"/>
  <c r="D681" i="330" s="1"/>
  <c r="AX680" i="330"/>
  <c r="AW680" i="330"/>
  <c r="AV680" i="330"/>
  <c r="AU680" i="330"/>
  <c r="AT680" i="330"/>
  <c r="AS680" i="330"/>
  <c r="AR680" i="330"/>
  <c r="AQ680" i="330"/>
  <c r="AP680" i="330"/>
  <c r="AO680" i="330"/>
  <c r="AN680" i="330"/>
  <c r="AM680" i="330"/>
  <c r="AL680" i="330"/>
  <c r="AK680" i="330"/>
  <c r="AJ680" i="330"/>
  <c r="AI680" i="330"/>
  <c r="AH680" i="330"/>
  <c r="AG680" i="330"/>
  <c r="AF680" i="330"/>
  <c r="AE680" i="330"/>
  <c r="AD680" i="330"/>
  <c r="AC680" i="330"/>
  <c r="AB680" i="330"/>
  <c r="AA680" i="330"/>
  <c r="Z680" i="330"/>
  <c r="Y680" i="330"/>
  <c r="X680" i="330"/>
  <c r="W680" i="330"/>
  <c r="V680" i="330"/>
  <c r="U680" i="330"/>
  <c r="T680" i="330"/>
  <c r="S680" i="330"/>
  <c r="R680" i="330"/>
  <c r="Q680" i="330"/>
  <c r="P680" i="330"/>
  <c r="O680" i="330"/>
  <c r="N680" i="330"/>
  <c r="M680" i="330"/>
  <c r="L680" i="330"/>
  <c r="K680" i="330"/>
  <c r="J680" i="330"/>
  <c r="I680" i="330"/>
  <c r="H680" i="330"/>
  <c r="G680" i="330"/>
  <c r="F679" i="330"/>
  <c r="D679" i="330" s="1"/>
  <c r="F678" i="330"/>
  <c r="D678" i="330" s="1"/>
  <c r="F677" i="330"/>
  <c r="D677" i="330" s="1"/>
  <c r="AX676" i="330"/>
  <c r="AW676" i="330"/>
  <c r="AV676" i="330"/>
  <c r="AU676" i="330"/>
  <c r="AT676" i="330"/>
  <c r="AS676" i="330"/>
  <c r="AR676" i="330"/>
  <c r="AQ676" i="330"/>
  <c r="AP676" i="330"/>
  <c r="AO676" i="330"/>
  <c r="AN676" i="330"/>
  <c r="AM676" i="330"/>
  <c r="AL676" i="330"/>
  <c r="AK676" i="330"/>
  <c r="AJ676" i="330"/>
  <c r="AI676" i="330"/>
  <c r="AH676" i="330"/>
  <c r="AG676" i="330"/>
  <c r="AF676" i="330"/>
  <c r="AE676" i="330"/>
  <c r="AD676" i="330"/>
  <c r="AC676" i="330"/>
  <c r="AB676" i="330"/>
  <c r="AA676" i="330"/>
  <c r="Z676" i="330"/>
  <c r="Y676" i="330"/>
  <c r="X676" i="330"/>
  <c r="W676" i="330"/>
  <c r="V676" i="330"/>
  <c r="U676" i="330"/>
  <c r="T676" i="330"/>
  <c r="S676" i="330"/>
  <c r="R676" i="330"/>
  <c r="Q676" i="330"/>
  <c r="P676" i="330"/>
  <c r="O676" i="330"/>
  <c r="N676" i="330"/>
  <c r="M676" i="330"/>
  <c r="L676" i="330"/>
  <c r="K676" i="330"/>
  <c r="J676" i="330"/>
  <c r="I676" i="330"/>
  <c r="H676" i="330"/>
  <c r="G676" i="330"/>
  <c r="F675" i="330"/>
  <c r="D675" i="330" s="1"/>
  <c r="F674" i="330"/>
  <c r="D674" i="330" s="1"/>
  <c r="F673" i="330"/>
  <c r="D673" i="330" s="1"/>
  <c r="AX672" i="330"/>
  <c r="AW672" i="330"/>
  <c r="AV672" i="330"/>
  <c r="AU672" i="330"/>
  <c r="AT672" i="330"/>
  <c r="AS672" i="330"/>
  <c r="AR672" i="330"/>
  <c r="AQ672" i="330"/>
  <c r="AP672" i="330"/>
  <c r="AO672" i="330"/>
  <c r="AN672" i="330"/>
  <c r="AM672" i="330"/>
  <c r="AL672" i="330"/>
  <c r="AK672" i="330"/>
  <c r="AJ672" i="330"/>
  <c r="AI672" i="330"/>
  <c r="AH672" i="330"/>
  <c r="AG672" i="330"/>
  <c r="AF672" i="330"/>
  <c r="AE672" i="330"/>
  <c r="AD672" i="330"/>
  <c r="AC672" i="330"/>
  <c r="AB672" i="330"/>
  <c r="AA672" i="330"/>
  <c r="Z672" i="330"/>
  <c r="Y672" i="330"/>
  <c r="X672" i="330"/>
  <c r="W672" i="330"/>
  <c r="V672" i="330"/>
  <c r="U672" i="330"/>
  <c r="T672" i="330"/>
  <c r="S672" i="330"/>
  <c r="R672" i="330"/>
  <c r="Q672" i="330"/>
  <c r="P672" i="330"/>
  <c r="O672" i="330"/>
  <c r="N672" i="330"/>
  <c r="M672" i="330"/>
  <c r="L672" i="330"/>
  <c r="K672" i="330"/>
  <c r="J672" i="330"/>
  <c r="I672" i="330"/>
  <c r="H672" i="330"/>
  <c r="G672" i="330"/>
  <c r="F671" i="330"/>
  <c r="D671" i="330" s="1"/>
  <c r="F670" i="330"/>
  <c r="D670" i="330" s="1"/>
  <c r="F669" i="330"/>
  <c r="D669" i="330" s="1"/>
  <c r="AX668" i="330"/>
  <c r="AW668" i="330"/>
  <c r="AV668" i="330"/>
  <c r="AU668" i="330"/>
  <c r="AT668" i="330"/>
  <c r="AS668" i="330"/>
  <c r="AR668" i="330"/>
  <c r="AQ668" i="330"/>
  <c r="AP668" i="330"/>
  <c r="AO668" i="330"/>
  <c r="AN668" i="330"/>
  <c r="AM668" i="330"/>
  <c r="AL668" i="330"/>
  <c r="AK668" i="330"/>
  <c r="AJ668" i="330"/>
  <c r="AI668" i="330"/>
  <c r="AH668" i="330"/>
  <c r="AG668" i="330"/>
  <c r="AF668" i="330"/>
  <c r="AE668" i="330"/>
  <c r="AD668" i="330"/>
  <c r="AC668" i="330"/>
  <c r="AB668" i="330"/>
  <c r="AA668" i="330"/>
  <c r="Z668" i="330"/>
  <c r="Y668" i="330"/>
  <c r="X668" i="330"/>
  <c r="W668" i="330"/>
  <c r="V668" i="330"/>
  <c r="U668" i="330"/>
  <c r="T668" i="330"/>
  <c r="S668" i="330"/>
  <c r="R668" i="330"/>
  <c r="Q668" i="330"/>
  <c r="P668" i="330"/>
  <c r="O668" i="330"/>
  <c r="N668" i="330"/>
  <c r="M668" i="330"/>
  <c r="L668" i="330"/>
  <c r="K668" i="330"/>
  <c r="J668" i="330"/>
  <c r="I668" i="330"/>
  <c r="H668" i="330"/>
  <c r="G668" i="330"/>
  <c r="F667" i="330"/>
  <c r="D667" i="330" s="1"/>
  <c r="F666" i="330"/>
  <c r="D666" i="330" s="1"/>
  <c r="F665" i="330"/>
  <c r="D665" i="330" s="1"/>
  <c r="F664" i="330"/>
  <c r="D664" i="330" s="1"/>
  <c r="AX663" i="330"/>
  <c r="AW663" i="330"/>
  <c r="AV663" i="330"/>
  <c r="AU663" i="330"/>
  <c r="AT663" i="330"/>
  <c r="AS663" i="330"/>
  <c r="AR663" i="330"/>
  <c r="AQ663" i="330"/>
  <c r="AP663" i="330"/>
  <c r="AO663" i="330"/>
  <c r="AN663" i="330"/>
  <c r="AM663" i="330"/>
  <c r="AL663" i="330"/>
  <c r="AK663" i="330"/>
  <c r="AJ663" i="330"/>
  <c r="AI663" i="330"/>
  <c r="AH663" i="330"/>
  <c r="AG663" i="330"/>
  <c r="AF663" i="330"/>
  <c r="AE663" i="330"/>
  <c r="AD663" i="330"/>
  <c r="AC663" i="330"/>
  <c r="AB663" i="330"/>
  <c r="AA663" i="330"/>
  <c r="Z663" i="330"/>
  <c r="Y663" i="330"/>
  <c r="X663" i="330"/>
  <c r="W663" i="330"/>
  <c r="V663" i="330"/>
  <c r="U663" i="330"/>
  <c r="T663" i="330"/>
  <c r="S663" i="330"/>
  <c r="R663" i="330"/>
  <c r="Q663" i="330"/>
  <c r="P663" i="330"/>
  <c r="O663" i="330"/>
  <c r="N663" i="330"/>
  <c r="M663" i="330"/>
  <c r="L663" i="330"/>
  <c r="K663" i="330"/>
  <c r="J663" i="330"/>
  <c r="I663" i="330"/>
  <c r="H663" i="330"/>
  <c r="G663" i="330"/>
  <c r="F662" i="330"/>
  <c r="D662" i="330" s="1"/>
  <c r="F661" i="330"/>
  <c r="D661" i="330" s="1"/>
  <c r="F660" i="330"/>
  <c r="D660" i="330" s="1"/>
  <c r="AX659" i="330"/>
  <c r="AW659" i="330"/>
  <c r="AV659" i="330"/>
  <c r="AU659" i="330"/>
  <c r="AT659" i="330"/>
  <c r="AS659" i="330"/>
  <c r="AR659" i="330"/>
  <c r="AQ659" i="330"/>
  <c r="AP659" i="330"/>
  <c r="AO659" i="330"/>
  <c r="AN659" i="330"/>
  <c r="AM659" i="330"/>
  <c r="AL659" i="330"/>
  <c r="AK659" i="330"/>
  <c r="AJ659" i="330"/>
  <c r="AI659" i="330"/>
  <c r="AH659" i="330"/>
  <c r="AG659" i="330"/>
  <c r="AF659" i="330"/>
  <c r="AE659" i="330"/>
  <c r="AD659" i="330"/>
  <c r="AC659" i="330"/>
  <c r="AB659" i="330"/>
  <c r="AA659" i="330"/>
  <c r="Z659" i="330"/>
  <c r="Y659" i="330"/>
  <c r="X659" i="330"/>
  <c r="W659" i="330"/>
  <c r="V659" i="330"/>
  <c r="U659" i="330"/>
  <c r="T659" i="330"/>
  <c r="F659" i="330" s="1"/>
  <c r="D659" i="330" s="1"/>
  <c r="S659" i="330"/>
  <c r="R659" i="330"/>
  <c r="Q659" i="330"/>
  <c r="P659" i="330"/>
  <c r="O659" i="330"/>
  <c r="N659" i="330"/>
  <c r="M659" i="330"/>
  <c r="L659" i="330"/>
  <c r="K659" i="330"/>
  <c r="J659" i="330"/>
  <c r="I659" i="330"/>
  <c r="H659" i="330"/>
  <c r="G659" i="330"/>
  <c r="F658" i="330"/>
  <c r="D658" i="330" s="1"/>
  <c r="F657" i="330"/>
  <c r="D657" i="330" s="1"/>
  <c r="F656" i="330"/>
  <c r="D656" i="330" s="1"/>
  <c r="F655" i="330"/>
  <c r="D655" i="330" s="1"/>
  <c r="AX654" i="330"/>
  <c r="AW654" i="330"/>
  <c r="AV654" i="330"/>
  <c r="AU654" i="330"/>
  <c r="AT654" i="330"/>
  <c r="AS654" i="330"/>
  <c r="AR654" i="330"/>
  <c r="AQ654" i="330"/>
  <c r="AP654" i="330"/>
  <c r="AO654" i="330"/>
  <c r="AN654" i="330"/>
  <c r="AM654" i="330"/>
  <c r="AL654" i="330"/>
  <c r="AK654" i="330"/>
  <c r="AJ654" i="330"/>
  <c r="AI654" i="330"/>
  <c r="AH654" i="330"/>
  <c r="AG654" i="330"/>
  <c r="AF654" i="330"/>
  <c r="AE654" i="330"/>
  <c r="AD654" i="330"/>
  <c r="AC654" i="330"/>
  <c r="AB654" i="330"/>
  <c r="AA654" i="330"/>
  <c r="Z654" i="330"/>
  <c r="Y654" i="330"/>
  <c r="X654" i="330"/>
  <c r="W654" i="330"/>
  <c r="V654" i="330"/>
  <c r="U654" i="330"/>
  <c r="T654" i="330"/>
  <c r="S654" i="330"/>
  <c r="R654" i="330"/>
  <c r="Q654" i="330"/>
  <c r="P654" i="330"/>
  <c r="O654" i="330"/>
  <c r="N654" i="330"/>
  <c r="M654" i="330"/>
  <c r="L654" i="330"/>
  <c r="K654" i="330"/>
  <c r="J654" i="330"/>
  <c r="I654" i="330"/>
  <c r="H654" i="330"/>
  <c r="G654" i="330"/>
  <c r="E654" i="330"/>
  <c r="F653" i="330"/>
  <c r="D653" i="330" s="1"/>
  <c r="AX652" i="330"/>
  <c r="AW652" i="330"/>
  <c r="AV652" i="330"/>
  <c r="AU652" i="330"/>
  <c r="AT652" i="330"/>
  <c r="AS652" i="330"/>
  <c r="AR652" i="330"/>
  <c r="AQ652" i="330"/>
  <c r="AP652" i="330"/>
  <c r="AO652" i="330"/>
  <c r="AN652" i="330"/>
  <c r="AM652" i="330"/>
  <c r="AL652" i="330"/>
  <c r="AK652" i="330"/>
  <c r="AJ652" i="330"/>
  <c r="AI652" i="330"/>
  <c r="AH652" i="330"/>
  <c r="AG652" i="330"/>
  <c r="AF652" i="330"/>
  <c r="AE652" i="330"/>
  <c r="AD652" i="330"/>
  <c r="AC652" i="330"/>
  <c r="AB652" i="330"/>
  <c r="AA652" i="330"/>
  <c r="Z652" i="330"/>
  <c r="Y652" i="330"/>
  <c r="X652" i="330"/>
  <c r="W652" i="330"/>
  <c r="V652" i="330"/>
  <c r="U652" i="330"/>
  <c r="T652" i="330"/>
  <c r="S652" i="330"/>
  <c r="R652" i="330"/>
  <c r="Q652" i="330"/>
  <c r="P652" i="330"/>
  <c r="O652" i="330"/>
  <c r="N652" i="330"/>
  <c r="M652" i="330"/>
  <c r="L652" i="330"/>
  <c r="K652" i="330"/>
  <c r="J652" i="330"/>
  <c r="I652" i="330"/>
  <c r="H652" i="330"/>
  <c r="G652" i="330"/>
  <c r="F651" i="330"/>
  <c r="D651" i="330" s="1"/>
  <c r="F650" i="330"/>
  <c r="D650" i="330" s="1"/>
  <c r="F649" i="330"/>
  <c r="D649" i="330" s="1"/>
  <c r="AX648" i="330"/>
  <c r="AW648" i="330"/>
  <c r="AV648" i="330"/>
  <c r="AU648" i="330"/>
  <c r="AT648" i="330"/>
  <c r="AS648" i="330"/>
  <c r="AR648" i="330"/>
  <c r="AQ648" i="330"/>
  <c r="AP648" i="330"/>
  <c r="AO648" i="330"/>
  <c r="AN648" i="330"/>
  <c r="AM648" i="330"/>
  <c r="AL648" i="330"/>
  <c r="AK648" i="330"/>
  <c r="AJ648" i="330"/>
  <c r="AI648" i="330"/>
  <c r="AH648" i="330"/>
  <c r="AG648" i="330"/>
  <c r="AF648" i="330"/>
  <c r="AE648" i="330"/>
  <c r="AD648" i="330"/>
  <c r="AC648" i="330"/>
  <c r="AB648" i="330"/>
  <c r="AA648" i="330"/>
  <c r="Z648" i="330"/>
  <c r="Y648" i="330"/>
  <c r="X648" i="330"/>
  <c r="W648" i="330"/>
  <c r="V648" i="330"/>
  <c r="U648" i="330"/>
  <c r="T648" i="330"/>
  <c r="S648" i="330"/>
  <c r="R648" i="330"/>
  <c r="Q648" i="330"/>
  <c r="P648" i="330"/>
  <c r="O648" i="330"/>
  <c r="N648" i="330"/>
  <c r="M648" i="330"/>
  <c r="L648" i="330"/>
  <c r="K648" i="330"/>
  <c r="J648" i="330"/>
  <c r="I648" i="330"/>
  <c r="H648" i="330"/>
  <c r="G648" i="330"/>
  <c r="F647" i="330"/>
  <c r="D647" i="330" s="1"/>
  <c r="F646" i="330"/>
  <c r="D646" i="330" s="1"/>
  <c r="F645" i="330"/>
  <c r="D645" i="330" s="1"/>
  <c r="AX644" i="330"/>
  <c r="AW644" i="330"/>
  <c r="AV644" i="330"/>
  <c r="AU644" i="330"/>
  <c r="AT644" i="330"/>
  <c r="AS644" i="330"/>
  <c r="AR644" i="330"/>
  <c r="AQ644" i="330"/>
  <c r="AP644" i="330"/>
  <c r="AO644" i="330"/>
  <c r="AN644" i="330"/>
  <c r="AM644" i="330"/>
  <c r="AL644" i="330"/>
  <c r="AK644" i="330"/>
  <c r="AJ644" i="330"/>
  <c r="AI644" i="330"/>
  <c r="AH644" i="330"/>
  <c r="AG644" i="330"/>
  <c r="AF644" i="330"/>
  <c r="AE644" i="330"/>
  <c r="AD644" i="330"/>
  <c r="AC644" i="330"/>
  <c r="AB644" i="330"/>
  <c r="AA644" i="330"/>
  <c r="Z644" i="330"/>
  <c r="Y644" i="330"/>
  <c r="X644" i="330"/>
  <c r="W644" i="330"/>
  <c r="V644" i="330"/>
  <c r="U644" i="330"/>
  <c r="T644" i="330"/>
  <c r="S644" i="330"/>
  <c r="R644" i="330"/>
  <c r="Q644" i="330"/>
  <c r="P644" i="330"/>
  <c r="O644" i="330"/>
  <c r="N644" i="330"/>
  <c r="M644" i="330"/>
  <c r="L644" i="330"/>
  <c r="K644" i="330"/>
  <c r="J644" i="330"/>
  <c r="I644" i="330"/>
  <c r="H644" i="330"/>
  <c r="G644" i="330"/>
  <c r="F643" i="330"/>
  <c r="D643" i="330" s="1"/>
  <c r="F642" i="330"/>
  <c r="D642" i="330" s="1"/>
  <c r="F641" i="330"/>
  <c r="D641" i="330" s="1"/>
  <c r="AX640" i="330"/>
  <c r="AW640" i="330"/>
  <c r="AV640" i="330"/>
  <c r="AU640" i="330"/>
  <c r="AT640" i="330"/>
  <c r="AS640" i="330"/>
  <c r="AR640" i="330"/>
  <c r="AQ640" i="330"/>
  <c r="AP640" i="330"/>
  <c r="AO640" i="330"/>
  <c r="AN640" i="330"/>
  <c r="AM640" i="330"/>
  <c r="AL640" i="330"/>
  <c r="AK640" i="330"/>
  <c r="AJ640" i="330"/>
  <c r="AI640" i="330"/>
  <c r="AH640" i="330"/>
  <c r="AG640" i="330"/>
  <c r="AF640" i="330"/>
  <c r="AE640" i="330"/>
  <c r="AD640" i="330"/>
  <c r="AC640" i="330"/>
  <c r="AB640" i="330"/>
  <c r="AA640" i="330"/>
  <c r="Z640" i="330"/>
  <c r="Y640" i="330"/>
  <c r="X640" i="330"/>
  <c r="W640" i="330"/>
  <c r="V640" i="330"/>
  <c r="U640" i="330"/>
  <c r="T640" i="330"/>
  <c r="S640" i="330"/>
  <c r="R640" i="330"/>
  <c r="Q640" i="330"/>
  <c r="P640" i="330"/>
  <c r="O640" i="330"/>
  <c r="N640" i="330"/>
  <c r="M640" i="330"/>
  <c r="L640" i="330"/>
  <c r="K640" i="330"/>
  <c r="J640" i="330"/>
  <c r="I640" i="330"/>
  <c r="H640" i="330"/>
  <c r="F639" i="330"/>
  <c r="D639" i="330" s="1"/>
  <c r="F638" i="330"/>
  <c r="D638" i="330" s="1"/>
  <c r="F637" i="330"/>
  <c r="D637" i="330" s="1"/>
  <c r="G636" i="330"/>
  <c r="AX635" i="330"/>
  <c r="AW635" i="330"/>
  <c r="AV635" i="330"/>
  <c r="AU635" i="330"/>
  <c r="AT635" i="330"/>
  <c r="AS635" i="330"/>
  <c r="AR635" i="330"/>
  <c r="AQ635" i="330"/>
  <c r="AP635" i="330"/>
  <c r="AO635" i="330"/>
  <c r="AN635" i="330"/>
  <c r="AM635" i="330"/>
  <c r="AL635" i="330"/>
  <c r="AK635" i="330"/>
  <c r="AJ635" i="330"/>
  <c r="AI635" i="330"/>
  <c r="AH635" i="330"/>
  <c r="AG635" i="330"/>
  <c r="AF635" i="330"/>
  <c r="AE635" i="330"/>
  <c r="AD635" i="330"/>
  <c r="AC635" i="330"/>
  <c r="AB635" i="330"/>
  <c r="AA635" i="330"/>
  <c r="Z635" i="330"/>
  <c r="Y635" i="330"/>
  <c r="X635" i="330"/>
  <c r="W635" i="330"/>
  <c r="V635" i="330"/>
  <c r="U635" i="330"/>
  <c r="T635" i="330"/>
  <c r="S635" i="330"/>
  <c r="R635" i="330"/>
  <c r="Q635" i="330"/>
  <c r="P635" i="330"/>
  <c r="O635" i="330"/>
  <c r="N635" i="330"/>
  <c r="M635" i="330"/>
  <c r="L635" i="330"/>
  <c r="K635" i="330"/>
  <c r="J635" i="330"/>
  <c r="I635" i="330"/>
  <c r="H635" i="330"/>
  <c r="E635" i="330"/>
  <c r="F634" i="330"/>
  <c r="D634" i="330" s="1"/>
  <c r="F633" i="330"/>
  <c r="D633" i="330" s="1"/>
  <c r="AX632" i="330"/>
  <c r="AW632" i="330"/>
  <c r="AV632" i="330"/>
  <c r="AU632" i="330"/>
  <c r="AT632" i="330"/>
  <c r="AS632" i="330"/>
  <c r="AR632" i="330"/>
  <c r="AQ632" i="330"/>
  <c r="AP632" i="330"/>
  <c r="AO632" i="330"/>
  <c r="AN632" i="330"/>
  <c r="AM632" i="330"/>
  <c r="AL632" i="330"/>
  <c r="AK632" i="330"/>
  <c r="AJ632" i="330"/>
  <c r="AI632" i="330"/>
  <c r="AH632" i="330"/>
  <c r="AG632" i="330"/>
  <c r="AF632" i="330"/>
  <c r="AE632" i="330"/>
  <c r="AD632" i="330"/>
  <c r="AC632" i="330"/>
  <c r="AB632" i="330"/>
  <c r="AA632" i="330"/>
  <c r="Z632" i="330"/>
  <c r="Y632" i="330"/>
  <c r="X632" i="330"/>
  <c r="W632" i="330"/>
  <c r="V632" i="330"/>
  <c r="U632" i="330"/>
  <c r="T632" i="330"/>
  <c r="S632" i="330"/>
  <c r="R632" i="330"/>
  <c r="Q632" i="330"/>
  <c r="P632" i="330"/>
  <c r="O632" i="330"/>
  <c r="N632" i="330"/>
  <c r="M632" i="330"/>
  <c r="L632" i="330"/>
  <c r="K632" i="330"/>
  <c r="J632" i="330"/>
  <c r="I632" i="330"/>
  <c r="H632" i="330"/>
  <c r="G632" i="330"/>
  <c r="F631" i="330"/>
  <c r="D631" i="330" s="1"/>
  <c r="F630" i="330"/>
  <c r="D630" i="330" s="1"/>
  <c r="F629" i="330"/>
  <c r="D629" i="330" s="1"/>
  <c r="F628" i="330"/>
  <c r="D628" i="330" s="1"/>
  <c r="AX627" i="330"/>
  <c r="AW627" i="330"/>
  <c r="AV627" i="330"/>
  <c r="AU627" i="330"/>
  <c r="AT627" i="330"/>
  <c r="AS627" i="330"/>
  <c r="AR627" i="330"/>
  <c r="AQ627" i="330"/>
  <c r="AP627" i="330"/>
  <c r="AO627" i="330"/>
  <c r="AN627" i="330"/>
  <c r="AM627" i="330"/>
  <c r="AL627" i="330"/>
  <c r="AK627" i="330"/>
  <c r="AJ627" i="330"/>
  <c r="AI627" i="330"/>
  <c r="AH627" i="330"/>
  <c r="AG627" i="330"/>
  <c r="AF627" i="330"/>
  <c r="AE627" i="330"/>
  <c r="AD627" i="330"/>
  <c r="AC627" i="330"/>
  <c r="AB627" i="330"/>
  <c r="AA627" i="330"/>
  <c r="Z627" i="330"/>
  <c r="Y627" i="330"/>
  <c r="X627" i="330"/>
  <c r="W627" i="330"/>
  <c r="V627" i="330"/>
  <c r="U627" i="330"/>
  <c r="T627" i="330"/>
  <c r="S627" i="330"/>
  <c r="R627" i="330"/>
  <c r="Q627" i="330"/>
  <c r="P627" i="330"/>
  <c r="O627" i="330"/>
  <c r="N627" i="330"/>
  <c r="M627" i="330"/>
  <c r="L627" i="330"/>
  <c r="K627" i="330"/>
  <c r="J627" i="330"/>
  <c r="I627" i="330"/>
  <c r="H627" i="330"/>
  <c r="G627" i="330"/>
  <c r="F626" i="330"/>
  <c r="D626" i="330" s="1"/>
  <c r="F625" i="330"/>
  <c r="D625" i="330" s="1"/>
  <c r="F624" i="330"/>
  <c r="D624" i="330" s="1"/>
  <c r="F623" i="330"/>
  <c r="D623" i="330" s="1"/>
  <c r="F622" i="330"/>
  <c r="D622" i="330" s="1"/>
  <c r="AX621" i="330"/>
  <c r="AW621" i="330"/>
  <c r="AV621" i="330"/>
  <c r="AU621" i="330"/>
  <c r="AT621" i="330"/>
  <c r="AS621" i="330"/>
  <c r="AR621" i="330"/>
  <c r="AQ621" i="330"/>
  <c r="AP621" i="330"/>
  <c r="AO621" i="330"/>
  <c r="AN621" i="330"/>
  <c r="AM621" i="330"/>
  <c r="AL621" i="330"/>
  <c r="AK621" i="330"/>
  <c r="AJ621" i="330"/>
  <c r="AI621" i="330"/>
  <c r="AH621" i="330"/>
  <c r="AG621" i="330"/>
  <c r="AF621" i="330"/>
  <c r="AE621" i="330"/>
  <c r="AD621" i="330"/>
  <c r="AC621" i="330"/>
  <c r="AB621" i="330"/>
  <c r="AA621" i="330"/>
  <c r="Z621" i="330"/>
  <c r="Y621" i="330"/>
  <c r="X621" i="330"/>
  <c r="W621" i="330"/>
  <c r="V621" i="330"/>
  <c r="U621" i="330"/>
  <c r="T621" i="330"/>
  <c r="S621" i="330"/>
  <c r="R621" i="330"/>
  <c r="Q621" i="330"/>
  <c r="P621" i="330"/>
  <c r="O621" i="330"/>
  <c r="N621" i="330"/>
  <c r="M621" i="330"/>
  <c r="L621" i="330"/>
  <c r="K621" i="330"/>
  <c r="J621" i="330"/>
  <c r="I621" i="330"/>
  <c r="H621" i="330"/>
  <c r="G621" i="330"/>
  <c r="F620" i="330"/>
  <c r="D620" i="330" s="1"/>
  <c r="F619" i="330"/>
  <c r="D619" i="330" s="1"/>
  <c r="F618" i="330"/>
  <c r="D618" i="330" s="1"/>
  <c r="AX617" i="330"/>
  <c r="AW617" i="330"/>
  <c r="AV617" i="330"/>
  <c r="AU617" i="330"/>
  <c r="AT617" i="330"/>
  <c r="AS617" i="330"/>
  <c r="AR617" i="330"/>
  <c r="AQ617" i="330"/>
  <c r="AP617" i="330"/>
  <c r="AO617" i="330"/>
  <c r="AN617" i="330"/>
  <c r="AM617" i="330"/>
  <c r="AL617" i="330"/>
  <c r="AK617" i="330"/>
  <c r="AJ617" i="330"/>
  <c r="AI617" i="330"/>
  <c r="AH617" i="330"/>
  <c r="AG617" i="330"/>
  <c r="AF617" i="330"/>
  <c r="AE617" i="330"/>
  <c r="AD617" i="330"/>
  <c r="AC617" i="330"/>
  <c r="AB617" i="330"/>
  <c r="AA617" i="330"/>
  <c r="Z617" i="330"/>
  <c r="Y617" i="330"/>
  <c r="X617" i="330"/>
  <c r="W617" i="330"/>
  <c r="V617" i="330"/>
  <c r="U617" i="330"/>
  <c r="T617" i="330"/>
  <c r="S617" i="330"/>
  <c r="R617" i="330"/>
  <c r="Q617" i="330"/>
  <c r="P617" i="330"/>
  <c r="O617" i="330"/>
  <c r="N617" i="330"/>
  <c r="M617" i="330"/>
  <c r="L617" i="330"/>
  <c r="K617" i="330"/>
  <c r="J617" i="330"/>
  <c r="I617" i="330"/>
  <c r="H617" i="330"/>
  <c r="G617" i="330"/>
  <c r="F616" i="330"/>
  <c r="D616" i="330" s="1"/>
  <c r="F615" i="330"/>
  <c r="D615" i="330" s="1"/>
  <c r="F614" i="330"/>
  <c r="D614" i="330" s="1"/>
  <c r="F613" i="330"/>
  <c r="D613" i="330" s="1"/>
  <c r="F612" i="330"/>
  <c r="D612" i="330" s="1"/>
  <c r="F611" i="330"/>
  <c r="D611" i="330" s="1"/>
  <c r="AX610" i="330"/>
  <c r="AW610" i="330"/>
  <c r="AV610" i="330"/>
  <c r="AU610" i="330"/>
  <c r="AT610" i="330"/>
  <c r="AS610" i="330"/>
  <c r="AR610" i="330"/>
  <c r="AQ610" i="330"/>
  <c r="AP610" i="330"/>
  <c r="AO610" i="330"/>
  <c r="AN610" i="330"/>
  <c r="AM610" i="330"/>
  <c r="AL610" i="330"/>
  <c r="AK610" i="330"/>
  <c r="AJ610" i="330"/>
  <c r="AI610" i="330"/>
  <c r="AH610" i="330"/>
  <c r="AG610" i="330"/>
  <c r="AF610" i="330"/>
  <c r="AE610" i="330"/>
  <c r="AD610" i="330"/>
  <c r="AC610" i="330"/>
  <c r="AB610" i="330"/>
  <c r="AA610" i="330"/>
  <c r="Z610" i="330"/>
  <c r="Y610" i="330"/>
  <c r="X610" i="330"/>
  <c r="W610" i="330"/>
  <c r="V610" i="330"/>
  <c r="U610" i="330"/>
  <c r="T610" i="330"/>
  <c r="S610" i="330"/>
  <c r="R610" i="330"/>
  <c r="Q610" i="330"/>
  <c r="P610" i="330"/>
  <c r="O610" i="330"/>
  <c r="N610" i="330"/>
  <c r="M610" i="330"/>
  <c r="L610" i="330"/>
  <c r="K610" i="330"/>
  <c r="J610" i="330"/>
  <c r="I610" i="330"/>
  <c r="H610" i="330"/>
  <c r="G610" i="330"/>
  <c r="F609" i="330"/>
  <c r="D609" i="330" s="1"/>
  <c r="F608" i="330"/>
  <c r="D608" i="330" s="1"/>
  <c r="F607" i="330"/>
  <c r="D607" i="330" s="1"/>
  <c r="F606" i="330"/>
  <c r="D606" i="330" s="1"/>
  <c r="AX605" i="330"/>
  <c r="AW605" i="330"/>
  <c r="AV605" i="330"/>
  <c r="AU605" i="330"/>
  <c r="AT605" i="330"/>
  <c r="AS605" i="330"/>
  <c r="AR605" i="330"/>
  <c r="AQ605" i="330"/>
  <c r="AP605" i="330"/>
  <c r="AO605" i="330"/>
  <c r="AN605" i="330"/>
  <c r="AM605" i="330"/>
  <c r="AL605" i="330"/>
  <c r="AK605" i="330"/>
  <c r="AJ605" i="330"/>
  <c r="AI605" i="330"/>
  <c r="AH605" i="330"/>
  <c r="AG605" i="330"/>
  <c r="AF605" i="330"/>
  <c r="AE605" i="330"/>
  <c r="AD605" i="330"/>
  <c r="AC605" i="330"/>
  <c r="AB605" i="330"/>
  <c r="AA605" i="330"/>
  <c r="Z605" i="330"/>
  <c r="Y605" i="330"/>
  <c r="X605" i="330"/>
  <c r="W605" i="330"/>
  <c r="V605" i="330"/>
  <c r="U605" i="330"/>
  <c r="T605" i="330"/>
  <c r="S605" i="330"/>
  <c r="R605" i="330"/>
  <c r="Q605" i="330"/>
  <c r="P605" i="330"/>
  <c r="O605" i="330"/>
  <c r="N605" i="330"/>
  <c r="M605" i="330"/>
  <c r="L605" i="330"/>
  <c r="K605" i="330"/>
  <c r="J605" i="330"/>
  <c r="I605" i="330"/>
  <c r="H605" i="330"/>
  <c r="G605" i="330"/>
  <c r="F604" i="330"/>
  <c r="D604" i="330" s="1"/>
  <c r="F603" i="330"/>
  <c r="D603" i="330" s="1"/>
  <c r="F602" i="330"/>
  <c r="D602" i="330" s="1"/>
  <c r="F601" i="330"/>
  <c r="D601" i="330" s="1"/>
  <c r="AX600" i="330"/>
  <c r="AW600" i="330"/>
  <c r="AV600" i="330"/>
  <c r="AU600" i="330"/>
  <c r="AT600" i="330"/>
  <c r="AS600" i="330"/>
  <c r="AR600" i="330"/>
  <c r="AQ600" i="330"/>
  <c r="AP600" i="330"/>
  <c r="AO600" i="330"/>
  <c r="AN600" i="330"/>
  <c r="AM600" i="330"/>
  <c r="AL600" i="330"/>
  <c r="AK600" i="330"/>
  <c r="AJ600" i="330"/>
  <c r="AI600" i="330"/>
  <c r="AH600" i="330"/>
  <c r="AG600" i="330"/>
  <c r="AF600" i="330"/>
  <c r="AE600" i="330"/>
  <c r="AD600" i="330"/>
  <c r="AC600" i="330"/>
  <c r="AB600" i="330"/>
  <c r="AA600" i="330"/>
  <c r="Z600" i="330"/>
  <c r="Y600" i="330"/>
  <c r="X600" i="330"/>
  <c r="W600" i="330"/>
  <c r="V600" i="330"/>
  <c r="U600" i="330"/>
  <c r="T600" i="330"/>
  <c r="S600" i="330"/>
  <c r="R600" i="330"/>
  <c r="Q600" i="330"/>
  <c r="P600" i="330"/>
  <c r="O600" i="330"/>
  <c r="N600" i="330"/>
  <c r="M600" i="330"/>
  <c r="L600" i="330"/>
  <c r="K600" i="330"/>
  <c r="J600" i="330"/>
  <c r="I600" i="330"/>
  <c r="H600" i="330"/>
  <c r="G600" i="330"/>
  <c r="F599" i="330"/>
  <c r="D599" i="330" s="1"/>
  <c r="F598" i="330"/>
  <c r="D598" i="330" s="1"/>
  <c r="F597" i="330"/>
  <c r="D597" i="330" s="1"/>
  <c r="F596" i="330"/>
  <c r="D596" i="330" s="1"/>
  <c r="AX595" i="330"/>
  <c r="AW595" i="330"/>
  <c r="AV595" i="330"/>
  <c r="AU595" i="330"/>
  <c r="AT595" i="330"/>
  <c r="AS595" i="330"/>
  <c r="AR595" i="330"/>
  <c r="AQ595" i="330"/>
  <c r="AP595" i="330"/>
  <c r="AO595" i="330"/>
  <c r="AN595" i="330"/>
  <c r="AM595" i="330"/>
  <c r="AL595" i="330"/>
  <c r="AK595" i="330"/>
  <c r="AJ595" i="330"/>
  <c r="AI595" i="330"/>
  <c r="AH595" i="330"/>
  <c r="AG595" i="330"/>
  <c r="AF595" i="330"/>
  <c r="AE595" i="330"/>
  <c r="AD595" i="330"/>
  <c r="AC595" i="330"/>
  <c r="AB595" i="330"/>
  <c r="AA595" i="330"/>
  <c r="Z595" i="330"/>
  <c r="Y595" i="330"/>
  <c r="X595" i="330"/>
  <c r="W595" i="330"/>
  <c r="V595" i="330"/>
  <c r="U595" i="330"/>
  <c r="T595" i="330"/>
  <c r="S595" i="330"/>
  <c r="R595" i="330"/>
  <c r="Q595" i="330"/>
  <c r="P595" i="330"/>
  <c r="O595" i="330"/>
  <c r="N595" i="330"/>
  <c r="M595" i="330"/>
  <c r="L595" i="330"/>
  <c r="K595" i="330"/>
  <c r="J595" i="330"/>
  <c r="I595" i="330"/>
  <c r="H595" i="330"/>
  <c r="G595" i="330"/>
  <c r="E595" i="330"/>
  <c r="F593" i="330"/>
  <c r="D593" i="330" s="1"/>
  <c r="F592" i="330"/>
  <c r="D592" i="330" s="1"/>
  <c r="F591" i="330"/>
  <c r="D591" i="330" s="1"/>
  <c r="F590" i="330"/>
  <c r="D590" i="330" s="1"/>
  <c r="F589" i="330"/>
  <c r="D589" i="330" s="1"/>
  <c r="AX588" i="330"/>
  <c r="AW588" i="330"/>
  <c r="AV588" i="330"/>
  <c r="AU588" i="330"/>
  <c r="AT588" i="330"/>
  <c r="AS588" i="330"/>
  <c r="AR588" i="330"/>
  <c r="AQ588" i="330"/>
  <c r="AP588" i="330"/>
  <c r="AO588" i="330"/>
  <c r="AN588" i="330"/>
  <c r="AM588" i="330"/>
  <c r="AL588" i="330"/>
  <c r="AK588" i="330"/>
  <c r="AJ588" i="330"/>
  <c r="AI588" i="330"/>
  <c r="AH588" i="330"/>
  <c r="AG588" i="330"/>
  <c r="AF588" i="330"/>
  <c r="AE588" i="330"/>
  <c r="AD588" i="330"/>
  <c r="AC588" i="330"/>
  <c r="AB588" i="330"/>
  <c r="AA588" i="330"/>
  <c r="Z588" i="330"/>
  <c r="Y588" i="330"/>
  <c r="X588" i="330"/>
  <c r="W588" i="330"/>
  <c r="V588" i="330"/>
  <c r="U588" i="330"/>
  <c r="T588" i="330"/>
  <c r="S588" i="330"/>
  <c r="R588" i="330"/>
  <c r="Q588" i="330"/>
  <c r="P588" i="330"/>
  <c r="O588" i="330"/>
  <c r="N588" i="330"/>
  <c r="M588" i="330"/>
  <c r="L588" i="330"/>
  <c r="K588" i="330"/>
  <c r="J588" i="330"/>
  <c r="I588" i="330"/>
  <c r="H588" i="330"/>
  <c r="G588" i="330"/>
  <c r="F587" i="330"/>
  <c r="D587" i="330" s="1"/>
  <c r="F586" i="330"/>
  <c r="D586" i="330" s="1"/>
  <c r="F585" i="330"/>
  <c r="D585" i="330" s="1"/>
  <c r="F584" i="330"/>
  <c r="D584" i="330" s="1"/>
  <c r="F583" i="330"/>
  <c r="D583" i="330" s="1"/>
  <c r="F582" i="330"/>
  <c r="D582" i="330" s="1"/>
  <c r="F581" i="330"/>
  <c r="D581" i="330" s="1"/>
  <c r="F580" i="330"/>
  <c r="D580" i="330" s="1"/>
  <c r="F579" i="330"/>
  <c r="D579" i="330" s="1"/>
  <c r="F578" i="330"/>
  <c r="D578" i="330" s="1"/>
  <c r="F577" i="330"/>
  <c r="D577" i="330" s="1"/>
  <c r="F576" i="330"/>
  <c r="D576" i="330" s="1"/>
  <c r="F575" i="330"/>
  <c r="D575" i="330" s="1"/>
  <c r="F574" i="330"/>
  <c r="D574" i="330" s="1"/>
  <c r="F573" i="330"/>
  <c r="D573" i="330" s="1"/>
  <c r="F572" i="330"/>
  <c r="D572" i="330" s="1"/>
  <c r="F571" i="330"/>
  <c r="D571" i="330" s="1"/>
  <c r="F570" i="330"/>
  <c r="D570" i="330" s="1"/>
  <c r="F569" i="330"/>
  <c r="D569" i="330" s="1"/>
  <c r="F568" i="330"/>
  <c r="D568" i="330" s="1"/>
  <c r="F567" i="330"/>
  <c r="D567" i="330" s="1"/>
  <c r="F566" i="330"/>
  <c r="D566" i="330" s="1"/>
  <c r="F565" i="330"/>
  <c r="D565" i="330" s="1"/>
  <c r="F564" i="330"/>
  <c r="D564" i="330" s="1"/>
  <c r="F563" i="330"/>
  <c r="D563" i="330" s="1"/>
  <c r="F562" i="330"/>
  <c r="D562" i="330" s="1"/>
  <c r="F561" i="330"/>
  <c r="D561" i="330"/>
  <c r="F560" i="330"/>
  <c r="D560" i="330" s="1"/>
  <c r="F559" i="330"/>
  <c r="D559" i="330" s="1"/>
  <c r="F558" i="330"/>
  <c r="D558" i="330" s="1"/>
  <c r="F557" i="330"/>
  <c r="D557" i="330" s="1"/>
  <c r="F556" i="330"/>
  <c r="D556" i="330" s="1"/>
  <c r="F555" i="330"/>
  <c r="D555" i="330"/>
  <c r="F554" i="330"/>
  <c r="D554" i="330" s="1"/>
  <c r="F553" i="330"/>
  <c r="D553" i="330" s="1"/>
  <c r="F552" i="330"/>
  <c r="D552" i="330" s="1"/>
  <c r="F551" i="330"/>
  <c r="D551" i="330" s="1"/>
  <c r="F550" i="330"/>
  <c r="D550" i="330" s="1"/>
  <c r="F549" i="330"/>
  <c r="D549" i="330" s="1"/>
  <c r="F548" i="330"/>
  <c r="D548" i="330"/>
  <c r="F547" i="330"/>
  <c r="D547" i="330" s="1"/>
  <c r="F546" i="330"/>
  <c r="D546" i="330" s="1"/>
  <c r="F545" i="330"/>
  <c r="D545" i="330" s="1"/>
  <c r="F544" i="330"/>
  <c r="D544" i="330" s="1"/>
  <c r="F543" i="330"/>
  <c r="D543" i="330"/>
  <c r="F542" i="330"/>
  <c r="D542" i="330" s="1"/>
  <c r="F541" i="330"/>
  <c r="D541" i="330" s="1"/>
  <c r="F540" i="330"/>
  <c r="D540" i="330" s="1"/>
  <c r="F539" i="330"/>
  <c r="D539" i="330" s="1"/>
  <c r="F538" i="330"/>
  <c r="D538" i="330" s="1"/>
  <c r="F537" i="330"/>
  <c r="D537" i="330" s="1"/>
  <c r="F536" i="330"/>
  <c r="D536" i="330" s="1"/>
  <c r="F535" i="330"/>
  <c r="D535" i="330" s="1"/>
  <c r="F534" i="330"/>
  <c r="D534" i="330" s="1"/>
  <c r="F533" i="330"/>
  <c r="D533" i="330" s="1"/>
  <c r="F532" i="330"/>
  <c r="D532" i="330" s="1"/>
  <c r="F531" i="330"/>
  <c r="D531" i="330" s="1"/>
  <c r="F530" i="330"/>
  <c r="D530" i="330" s="1"/>
  <c r="F529" i="330"/>
  <c r="D529" i="330" s="1"/>
  <c r="F528" i="330"/>
  <c r="D528" i="330" s="1"/>
  <c r="F527" i="330"/>
  <c r="D527" i="330" s="1"/>
  <c r="F526" i="330"/>
  <c r="D526" i="330" s="1"/>
  <c r="F525" i="330"/>
  <c r="D525" i="330" s="1"/>
  <c r="F524" i="330"/>
  <c r="D524" i="330" s="1"/>
  <c r="F523" i="330"/>
  <c r="D523" i="330" s="1"/>
  <c r="F522" i="330"/>
  <c r="D522" i="330" s="1"/>
  <c r="F521" i="330"/>
  <c r="D521" i="330" s="1"/>
  <c r="F520" i="330"/>
  <c r="D520" i="330" s="1"/>
  <c r="F519" i="330"/>
  <c r="D519" i="330" s="1"/>
  <c r="F518" i="330"/>
  <c r="D518" i="330" s="1"/>
  <c r="F517" i="330"/>
  <c r="D517" i="330" s="1"/>
  <c r="F516" i="330"/>
  <c r="D516" i="330" s="1"/>
  <c r="F515" i="330"/>
  <c r="D515" i="330" s="1"/>
  <c r="F514" i="330"/>
  <c r="D514" i="330" s="1"/>
  <c r="F513" i="330"/>
  <c r="D513" i="330" s="1"/>
  <c r="F512" i="330"/>
  <c r="D512" i="330" s="1"/>
  <c r="F511" i="330"/>
  <c r="D511" i="330" s="1"/>
  <c r="F510" i="330"/>
  <c r="D510" i="330" s="1"/>
  <c r="F509" i="330"/>
  <c r="D509" i="330" s="1"/>
  <c r="F508" i="330"/>
  <c r="D508" i="330" s="1"/>
  <c r="F507" i="330"/>
  <c r="D507" i="330" s="1"/>
  <c r="F506" i="330"/>
  <c r="D506" i="330" s="1"/>
  <c r="F505" i="330"/>
  <c r="D505" i="330" s="1"/>
  <c r="F504" i="330"/>
  <c r="D504" i="330" s="1"/>
  <c r="F503" i="330"/>
  <c r="D503" i="330" s="1"/>
  <c r="F502" i="330"/>
  <c r="D502" i="330" s="1"/>
  <c r="F501" i="330"/>
  <c r="D501" i="330" s="1"/>
  <c r="F500" i="330"/>
  <c r="D500" i="330" s="1"/>
  <c r="F499" i="330"/>
  <c r="D499" i="330" s="1"/>
  <c r="F498" i="330"/>
  <c r="D498" i="330" s="1"/>
  <c r="F497" i="330"/>
  <c r="D497" i="330" s="1"/>
  <c r="F496" i="330"/>
  <c r="D496" i="330" s="1"/>
  <c r="F495" i="330"/>
  <c r="D495" i="330" s="1"/>
  <c r="F494" i="330"/>
  <c r="D494" i="330" s="1"/>
  <c r="F493" i="330"/>
  <c r="D493" i="330" s="1"/>
  <c r="F492" i="330"/>
  <c r="D492" i="330" s="1"/>
  <c r="F491" i="330"/>
  <c r="D491" i="330" s="1"/>
  <c r="F490" i="330"/>
  <c r="D490" i="330" s="1"/>
  <c r="F489" i="330"/>
  <c r="D489" i="330" s="1"/>
  <c r="F488" i="330"/>
  <c r="D488" i="330" s="1"/>
  <c r="F487" i="330"/>
  <c r="D487" i="330" s="1"/>
  <c r="F486" i="330"/>
  <c r="D486" i="330" s="1"/>
  <c r="F485" i="330"/>
  <c r="D485" i="330" s="1"/>
  <c r="F484" i="330"/>
  <c r="D484" i="330" s="1"/>
  <c r="F483" i="330"/>
  <c r="D483" i="330" s="1"/>
  <c r="F482" i="330"/>
  <c r="D482" i="330" s="1"/>
  <c r="AX481" i="330"/>
  <c r="AW481" i="330"/>
  <c r="AV481" i="330"/>
  <c r="AU481" i="330"/>
  <c r="AT481" i="330"/>
  <c r="AS481" i="330"/>
  <c r="AR481" i="330"/>
  <c r="AQ481" i="330"/>
  <c r="AP481" i="330"/>
  <c r="AO481" i="330"/>
  <c r="AN481" i="330"/>
  <c r="AM481" i="330"/>
  <c r="AL481" i="330"/>
  <c r="AK481" i="330"/>
  <c r="AJ481" i="330"/>
  <c r="AI481" i="330"/>
  <c r="AH481" i="330"/>
  <c r="AG481" i="330"/>
  <c r="AF481" i="330"/>
  <c r="AE481" i="330"/>
  <c r="AD481" i="330"/>
  <c r="AC481" i="330"/>
  <c r="AB481" i="330"/>
  <c r="AA481" i="330"/>
  <c r="Z481" i="330"/>
  <c r="Y481" i="330"/>
  <c r="X481" i="330"/>
  <c r="W481" i="330"/>
  <c r="V481" i="330"/>
  <c r="U481" i="330"/>
  <c r="T481" i="330"/>
  <c r="S481" i="330"/>
  <c r="R481" i="330"/>
  <c r="Q481" i="330"/>
  <c r="P481" i="330"/>
  <c r="O481" i="330"/>
  <c r="N481" i="330"/>
  <c r="M481" i="330"/>
  <c r="L481" i="330"/>
  <c r="K481" i="330"/>
  <c r="J481" i="330"/>
  <c r="I481" i="330"/>
  <c r="H481" i="330"/>
  <c r="G481" i="330"/>
  <c r="E481" i="330"/>
  <c r="F480" i="330"/>
  <c r="D480" i="330" s="1"/>
  <c r="F479" i="330"/>
  <c r="D479" i="330" s="1"/>
  <c r="F478" i="330"/>
  <c r="D478" i="330" s="1"/>
  <c r="F477" i="330"/>
  <c r="D477" i="330" s="1"/>
  <c r="F476" i="330"/>
  <c r="D476" i="330" s="1"/>
  <c r="F475" i="330"/>
  <c r="D475" i="330" s="1"/>
  <c r="F474" i="330"/>
  <c r="D474" i="330" s="1"/>
  <c r="F473" i="330"/>
  <c r="D473" i="330" s="1"/>
  <c r="F472" i="330"/>
  <c r="D472" i="330" s="1"/>
  <c r="AX471" i="330"/>
  <c r="AW471" i="330"/>
  <c r="AV471" i="330"/>
  <c r="AU471" i="330"/>
  <c r="AT471" i="330"/>
  <c r="AS471" i="330"/>
  <c r="AR471" i="330"/>
  <c r="AQ471" i="330"/>
  <c r="AP471" i="330"/>
  <c r="AO471" i="330"/>
  <c r="AN471" i="330"/>
  <c r="AM471" i="330"/>
  <c r="AL471" i="330"/>
  <c r="AK471" i="330"/>
  <c r="AJ471" i="330"/>
  <c r="AI471" i="330"/>
  <c r="AH471" i="330"/>
  <c r="AG471" i="330"/>
  <c r="AF471" i="330"/>
  <c r="AE471" i="330"/>
  <c r="AD471" i="330"/>
  <c r="AC471" i="330"/>
  <c r="AB471" i="330"/>
  <c r="AA471" i="330"/>
  <c r="Z471" i="330"/>
  <c r="Y471" i="330"/>
  <c r="X471" i="330"/>
  <c r="W471" i="330"/>
  <c r="V471" i="330"/>
  <c r="U471" i="330"/>
  <c r="T471" i="330"/>
  <c r="S471" i="330"/>
  <c r="R471" i="330"/>
  <c r="Q471" i="330"/>
  <c r="P471" i="330"/>
  <c r="O471" i="330"/>
  <c r="N471" i="330"/>
  <c r="M471" i="330"/>
  <c r="L471" i="330"/>
  <c r="K471" i="330"/>
  <c r="J471" i="330"/>
  <c r="I471" i="330"/>
  <c r="H471" i="330"/>
  <c r="G471" i="330"/>
  <c r="E471" i="330"/>
  <c r="F470" i="330"/>
  <c r="D470" i="330" s="1"/>
  <c r="F469" i="330"/>
  <c r="D469" i="330" s="1"/>
  <c r="F468" i="330"/>
  <c r="D468" i="330" s="1"/>
  <c r="F467" i="330"/>
  <c r="D467" i="330" s="1"/>
  <c r="F466" i="330"/>
  <c r="D466" i="330" s="1"/>
  <c r="F465" i="330"/>
  <c r="D465" i="330" s="1"/>
  <c r="F464" i="330"/>
  <c r="D464" i="330" s="1"/>
  <c r="F463" i="330"/>
  <c r="D463" i="330" s="1"/>
  <c r="F462" i="330"/>
  <c r="D462" i="330" s="1"/>
  <c r="F461" i="330"/>
  <c r="D461" i="330" s="1"/>
  <c r="F460" i="330"/>
  <c r="D460" i="330" s="1"/>
  <c r="F459" i="330"/>
  <c r="D459" i="330" s="1"/>
  <c r="F458" i="330"/>
  <c r="D458" i="330" s="1"/>
  <c r="F457" i="330"/>
  <c r="D457" i="330" s="1"/>
  <c r="F456" i="330"/>
  <c r="D456" i="330" s="1"/>
  <c r="F455" i="330"/>
  <c r="D455" i="330" s="1"/>
  <c r="F454" i="330"/>
  <c r="D454" i="330" s="1"/>
  <c r="F453" i="330"/>
  <c r="D453" i="330" s="1"/>
  <c r="F452" i="330"/>
  <c r="D452" i="330" s="1"/>
  <c r="F451" i="330"/>
  <c r="D451" i="330" s="1"/>
  <c r="F450" i="330"/>
  <c r="D450" i="330" s="1"/>
  <c r="F449" i="330"/>
  <c r="D449" i="330" s="1"/>
  <c r="F448" i="330"/>
  <c r="D448" i="330" s="1"/>
  <c r="F447" i="330"/>
  <c r="D447" i="330" s="1"/>
  <c r="F446" i="330"/>
  <c r="D446" i="330" s="1"/>
  <c r="F445" i="330"/>
  <c r="D445" i="330" s="1"/>
  <c r="F444" i="330"/>
  <c r="D444" i="330" s="1"/>
  <c r="F443" i="330"/>
  <c r="D443" i="330" s="1"/>
  <c r="F442" i="330"/>
  <c r="D442" i="330" s="1"/>
  <c r="F441" i="330"/>
  <c r="D441" i="330" s="1"/>
  <c r="F440" i="330"/>
  <c r="D440" i="330" s="1"/>
  <c r="F439" i="330"/>
  <c r="D439" i="330" s="1"/>
  <c r="F438" i="330"/>
  <c r="D438" i="330" s="1"/>
  <c r="F437" i="330"/>
  <c r="D437" i="330" s="1"/>
  <c r="F436" i="330"/>
  <c r="D436" i="330" s="1"/>
  <c r="F435" i="330"/>
  <c r="D435" i="330" s="1"/>
  <c r="F434" i="330"/>
  <c r="D434" i="330" s="1"/>
  <c r="F433" i="330"/>
  <c r="D433" i="330" s="1"/>
  <c r="F432" i="330"/>
  <c r="D432" i="330" s="1"/>
  <c r="F431" i="330"/>
  <c r="D431" i="330" s="1"/>
  <c r="F430" i="330"/>
  <c r="D430" i="330" s="1"/>
  <c r="F429" i="330"/>
  <c r="D429" i="330" s="1"/>
  <c r="F428" i="330"/>
  <c r="D428" i="330" s="1"/>
  <c r="F427" i="330"/>
  <c r="D427" i="330" s="1"/>
  <c r="F426" i="330"/>
  <c r="D426" i="330" s="1"/>
  <c r="AX425" i="330"/>
  <c r="AW425" i="330"/>
  <c r="AV425" i="330"/>
  <c r="AU425" i="330"/>
  <c r="AT425" i="330"/>
  <c r="AS425" i="330"/>
  <c r="AR425" i="330"/>
  <c r="AQ425" i="330"/>
  <c r="AP425" i="330"/>
  <c r="AO425" i="330"/>
  <c r="AN425" i="330"/>
  <c r="AM425" i="330"/>
  <c r="AL425" i="330"/>
  <c r="AK425" i="330"/>
  <c r="AJ425" i="330"/>
  <c r="AI425" i="330"/>
  <c r="AH425" i="330"/>
  <c r="AG425" i="330"/>
  <c r="AF425" i="330"/>
  <c r="AE425" i="330"/>
  <c r="AD425" i="330"/>
  <c r="AC425" i="330"/>
  <c r="AB425" i="330"/>
  <c r="AA425" i="330"/>
  <c r="Z425" i="330"/>
  <c r="Y425" i="330"/>
  <c r="X425" i="330"/>
  <c r="W425" i="330"/>
  <c r="V425" i="330"/>
  <c r="U425" i="330"/>
  <c r="T425" i="330"/>
  <c r="S425" i="330"/>
  <c r="R425" i="330"/>
  <c r="Q425" i="330"/>
  <c r="P425" i="330"/>
  <c r="O425" i="330"/>
  <c r="N425" i="330"/>
  <c r="M425" i="330"/>
  <c r="L425" i="330"/>
  <c r="K425" i="330"/>
  <c r="J425" i="330"/>
  <c r="I425" i="330"/>
  <c r="H425" i="330"/>
  <c r="G425" i="330"/>
  <c r="E425" i="330"/>
  <c r="F424" i="330"/>
  <c r="D424" i="330" s="1"/>
  <c r="F423" i="330"/>
  <c r="D423" i="330" s="1"/>
  <c r="F422" i="330"/>
  <c r="D422" i="330" s="1"/>
  <c r="F421" i="330"/>
  <c r="D421" i="330" s="1"/>
  <c r="F420" i="330"/>
  <c r="D420" i="330" s="1"/>
  <c r="F419" i="330"/>
  <c r="D419" i="330" s="1"/>
  <c r="F418" i="330"/>
  <c r="D418" i="330" s="1"/>
  <c r="F417" i="330"/>
  <c r="D417" i="330" s="1"/>
  <c r="F416" i="330"/>
  <c r="D416" i="330" s="1"/>
  <c r="F415" i="330"/>
  <c r="D415" i="330" s="1"/>
  <c r="F414" i="330"/>
  <c r="D414" i="330" s="1"/>
  <c r="F413" i="330"/>
  <c r="D413" i="330" s="1"/>
  <c r="F412" i="330"/>
  <c r="D412" i="330" s="1"/>
  <c r="F411" i="330"/>
  <c r="D411" i="330" s="1"/>
  <c r="F410" i="330"/>
  <c r="D410" i="330" s="1"/>
  <c r="F409" i="330"/>
  <c r="D409" i="330" s="1"/>
  <c r="F408" i="330"/>
  <c r="D408" i="330" s="1"/>
  <c r="AX407" i="330"/>
  <c r="AW407" i="330"/>
  <c r="AV407" i="330"/>
  <c r="AU407" i="330"/>
  <c r="AT407" i="330"/>
  <c r="AS407" i="330"/>
  <c r="AR407" i="330"/>
  <c r="AQ407" i="330"/>
  <c r="AP407" i="330"/>
  <c r="AO407" i="330"/>
  <c r="AN407" i="330"/>
  <c r="AM407" i="330"/>
  <c r="AL407" i="330"/>
  <c r="AK407" i="330"/>
  <c r="AJ407" i="330"/>
  <c r="AI407" i="330"/>
  <c r="AH407" i="330"/>
  <c r="AG407" i="330"/>
  <c r="AF407" i="330"/>
  <c r="AE407" i="330"/>
  <c r="AD407" i="330"/>
  <c r="AC407" i="330"/>
  <c r="AB407" i="330"/>
  <c r="AA407" i="330"/>
  <c r="Z407" i="330"/>
  <c r="Y407" i="330"/>
  <c r="X407" i="330"/>
  <c r="W407" i="330"/>
  <c r="V407" i="330"/>
  <c r="U407" i="330"/>
  <c r="T407" i="330"/>
  <c r="S407" i="330"/>
  <c r="R407" i="330"/>
  <c r="Q407" i="330"/>
  <c r="P407" i="330"/>
  <c r="O407" i="330"/>
  <c r="N407" i="330"/>
  <c r="M407" i="330"/>
  <c r="L407" i="330"/>
  <c r="K407" i="330"/>
  <c r="J407" i="330"/>
  <c r="I407" i="330"/>
  <c r="H407" i="330"/>
  <c r="G407" i="330"/>
  <c r="E407" i="330"/>
  <c r="F406" i="330"/>
  <c r="D406" i="330" s="1"/>
  <c r="F405" i="330"/>
  <c r="D405" i="330" s="1"/>
  <c r="F404" i="330"/>
  <c r="D404" i="330" s="1"/>
  <c r="F403" i="330"/>
  <c r="D403" i="330" s="1"/>
  <c r="F402" i="330"/>
  <c r="D402" i="330" s="1"/>
  <c r="F401" i="330"/>
  <c r="D401" i="330" s="1"/>
  <c r="F400" i="330"/>
  <c r="D400" i="330" s="1"/>
  <c r="F399" i="330"/>
  <c r="D399" i="330" s="1"/>
  <c r="F398" i="330"/>
  <c r="D398" i="330" s="1"/>
  <c r="F397" i="330"/>
  <c r="D397" i="330" s="1"/>
  <c r="F396" i="330"/>
  <c r="D396" i="330" s="1"/>
  <c r="F395" i="330"/>
  <c r="D395" i="330" s="1"/>
  <c r="AX394" i="330"/>
  <c r="AW394" i="330"/>
  <c r="AV394" i="330"/>
  <c r="AU394" i="330"/>
  <c r="AT394" i="330"/>
  <c r="AS394" i="330"/>
  <c r="AR394" i="330"/>
  <c r="AQ394" i="330"/>
  <c r="AP394" i="330"/>
  <c r="AO394" i="330"/>
  <c r="AN394" i="330"/>
  <c r="AM394" i="330"/>
  <c r="AL394" i="330"/>
  <c r="AK394" i="330"/>
  <c r="AJ394" i="330"/>
  <c r="AI394" i="330"/>
  <c r="AH394" i="330"/>
  <c r="AG394" i="330"/>
  <c r="AF394" i="330"/>
  <c r="AE394" i="330"/>
  <c r="AD394" i="330"/>
  <c r="AC394" i="330"/>
  <c r="AB394" i="330"/>
  <c r="AA394" i="330"/>
  <c r="Z394" i="330"/>
  <c r="Y394" i="330"/>
  <c r="X394" i="330"/>
  <c r="W394" i="330"/>
  <c r="V394" i="330"/>
  <c r="U394" i="330"/>
  <c r="T394" i="330"/>
  <c r="S394" i="330"/>
  <c r="R394" i="330"/>
  <c r="Q394" i="330"/>
  <c r="P394" i="330"/>
  <c r="O394" i="330"/>
  <c r="N394" i="330"/>
  <c r="M394" i="330"/>
  <c r="L394" i="330"/>
  <c r="K394" i="330"/>
  <c r="J394" i="330"/>
  <c r="I394" i="330"/>
  <c r="H394" i="330"/>
  <c r="G394" i="330"/>
  <c r="E394" i="330"/>
  <c r="F393" i="330"/>
  <c r="D393" i="330" s="1"/>
  <c r="AX392" i="330"/>
  <c r="AW392" i="330"/>
  <c r="AV392" i="330"/>
  <c r="AU392" i="330"/>
  <c r="AT392" i="330"/>
  <c r="AS392" i="330"/>
  <c r="AR392" i="330"/>
  <c r="AQ392" i="330"/>
  <c r="AP392" i="330"/>
  <c r="AO392" i="330"/>
  <c r="AN392" i="330"/>
  <c r="AM392" i="330"/>
  <c r="AL392" i="330"/>
  <c r="AK392" i="330"/>
  <c r="AJ392" i="330"/>
  <c r="AI392" i="330"/>
  <c r="AH392" i="330"/>
  <c r="AG392" i="330"/>
  <c r="AF392" i="330"/>
  <c r="AE392" i="330"/>
  <c r="AD392" i="330"/>
  <c r="AC392" i="330"/>
  <c r="AB392" i="330"/>
  <c r="AA392" i="330"/>
  <c r="Z392" i="330"/>
  <c r="Y392" i="330"/>
  <c r="X392" i="330"/>
  <c r="W392" i="330"/>
  <c r="V392" i="330"/>
  <c r="U392" i="330"/>
  <c r="T392" i="330"/>
  <c r="S392" i="330"/>
  <c r="R392" i="330"/>
  <c r="Q392" i="330"/>
  <c r="P392" i="330"/>
  <c r="O392" i="330"/>
  <c r="N392" i="330"/>
  <c r="M392" i="330"/>
  <c r="L392" i="330"/>
  <c r="K392" i="330"/>
  <c r="J392" i="330"/>
  <c r="I392" i="330"/>
  <c r="H392" i="330"/>
  <c r="G392" i="330"/>
  <c r="E392" i="330"/>
  <c r="F391" i="330"/>
  <c r="D391" i="330" s="1"/>
  <c r="F390" i="330"/>
  <c r="D390" i="330" s="1"/>
  <c r="F389" i="330"/>
  <c r="D389" i="330" s="1"/>
  <c r="AX388" i="330"/>
  <c r="AW388" i="330"/>
  <c r="AV388" i="330"/>
  <c r="AU388" i="330"/>
  <c r="AT388" i="330"/>
  <c r="AS388" i="330"/>
  <c r="AR388" i="330"/>
  <c r="AQ388" i="330"/>
  <c r="AP388" i="330"/>
  <c r="AO388" i="330"/>
  <c r="AN388" i="330"/>
  <c r="AM388" i="330"/>
  <c r="AL388" i="330"/>
  <c r="AK388" i="330"/>
  <c r="AJ388" i="330"/>
  <c r="AI388" i="330"/>
  <c r="AH388" i="330"/>
  <c r="AG388" i="330"/>
  <c r="AF388" i="330"/>
  <c r="AE388" i="330"/>
  <c r="AD388" i="330"/>
  <c r="AC388" i="330"/>
  <c r="AB388" i="330"/>
  <c r="AA388" i="330"/>
  <c r="Z388" i="330"/>
  <c r="Y388" i="330"/>
  <c r="X388" i="330"/>
  <c r="W388" i="330"/>
  <c r="V388" i="330"/>
  <c r="U388" i="330"/>
  <c r="T388" i="330"/>
  <c r="S388" i="330"/>
  <c r="R388" i="330"/>
  <c r="Q388" i="330"/>
  <c r="P388" i="330"/>
  <c r="O388" i="330"/>
  <c r="N388" i="330"/>
  <c r="M388" i="330"/>
  <c r="L388" i="330"/>
  <c r="K388" i="330"/>
  <c r="J388" i="330"/>
  <c r="I388" i="330"/>
  <c r="H388" i="330"/>
  <c r="G388" i="330"/>
  <c r="E388" i="330"/>
  <c r="F387" i="330"/>
  <c r="D387" i="330" s="1"/>
  <c r="F386" i="330"/>
  <c r="D386" i="330" s="1"/>
  <c r="F385" i="330"/>
  <c r="D385" i="330" s="1"/>
  <c r="F384" i="330"/>
  <c r="D384" i="330" s="1"/>
  <c r="F383" i="330"/>
  <c r="D383" i="330" s="1"/>
  <c r="F382" i="330"/>
  <c r="D382" i="330" s="1"/>
  <c r="F381" i="330"/>
  <c r="D381" i="330" s="1"/>
  <c r="F380" i="330"/>
  <c r="D380" i="330" s="1"/>
  <c r="F379" i="330"/>
  <c r="D379" i="330" s="1"/>
  <c r="F378" i="330"/>
  <c r="D378" i="330" s="1"/>
  <c r="F377" i="330"/>
  <c r="D377" i="330" s="1"/>
  <c r="F376" i="330"/>
  <c r="D376" i="330" s="1"/>
  <c r="F375" i="330"/>
  <c r="D375" i="330" s="1"/>
  <c r="F374" i="330"/>
  <c r="D374" i="330" s="1"/>
  <c r="F373" i="330"/>
  <c r="D373" i="330" s="1"/>
  <c r="F372" i="330"/>
  <c r="D372" i="330" s="1"/>
  <c r="F371" i="330"/>
  <c r="D371" i="330" s="1"/>
  <c r="F370" i="330"/>
  <c r="D370" i="330" s="1"/>
  <c r="F369" i="330"/>
  <c r="D369" i="330" s="1"/>
  <c r="F368" i="330"/>
  <c r="D368" i="330" s="1"/>
  <c r="F367" i="330"/>
  <c r="D367" i="330" s="1"/>
  <c r="F366" i="330"/>
  <c r="D366" i="330" s="1"/>
  <c r="F365" i="330"/>
  <c r="D365" i="330" s="1"/>
  <c r="F364" i="330"/>
  <c r="D364" i="330" s="1"/>
  <c r="F363" i="330"/>
  <c r="D363" i="330" s="1"/>
  <c r="F362" i="330"/>
  <c r="D362" i="330" s="1"/>
  <c r="F361" i="330"/>
  <c r="D361" i="330" s="1"/>
  <c r="F360" i="330"/>
  <c r="D360" i="330" s="1"/>
  <c r="F359" i="330"/>
  <c r="D359" i="330" s="1"/>
  <c r="F358" i="330"/>
  <c r="D358" i="330" s="1"/>
  <c r="F357" i="330"/>
  <c r="D357" i="330" s="1"/>
  <c r="F356" i="330"/>
  <c r="D356" i="330" s="1"/>
  <c r="F355" i="330"/>
  <c r="D355" i="330" s="1"/>
  <c r="F354" i="330"/>
  <c r="D354" i="330" s="1"/>
  <c r="F353" i="330"/>
  <c r="D353" i="330" s="1"/>
  <c r="F352" i="330"/>
  <c r="D352" i="330" s="1"/>
  <c r="F351" i="330"/>
  <c r="D351" i="330" s="1"/>
  <c r="F350" i="330"/>
  <c r="D350" i="330" s="1"/>
  <c r="F349" i="330"/>
  <c r="D349" i="330" s="1"/>
  <c r="AX348" i="330"/>
  <c r="AW348" i="330"/>
  <c r="AV348" i="330"/>
  <c r="AU348" i="330"/>
  <c r="AT348" i="330"/>
  <c r="AS348" i="330"/>
  <c r="AR348" i="330"/>
  <c r="AQ348" i="330"/>
  <c r="AP348" i="330"/>
  <c r="AO348" i="330"/>
  <c r="AN348" i="330"/>
  <c r="AM348" i="330"/>
  <c r="AL348" i="330"/>
  <c r="AK348" i="330"/>
  <c r="AJ348" i="330"/>
  <c r="AI348" i="330"/>
  <c r="AH348" i="330"/>
  <c r="AG348" i="330"/>
  <c r="AF348" i="330"/>
  <c r="AE348" i="330"/>
  <c r="AD348" i="330"/>
  <c r="AC348" i="330"/>
  <c r="AB348" i="330"/>
  <c r="AA348" i="330"/>
  <c r="Z348" i="330"/>
  <c r="Y348" i="330"/>
  <c r="X348" i="330"/>
  <c r="W348" i="330"/>
  <c r="V348" i="330"/>
  <c r="U348" i="330"/>
  <c r="T348" i="330"/>
  <c r="S348" i="330"/>
  <c r="R348" i="330"/>
  <c r="Q348" i="330"/>
  <c r="P348" i="330"/>
  <c r="O348" i="330"/>
  <c r="N348" i="330"/>
  <c r="M348" i="330"/>
  <c r="L348" i="330"/>
  <c r="K348" i="330"/>
  <c r="J348" i="330"/>
  <c r="I348" i="330"/>
  <c r="H348" i="330"/>
  <c r="G348" i="330"/>
  <c r="E348" i="330"/>
  <c r="F347" i="330"/>
  <c r="D347" i="330" s="1"/>
  <c r="F346" i="330"/>
  <c r="D346" i="330" s="1"/>
  <c r="F345" i="330"/>
  <c r="D345" i="330" s="1"/>
  <c r="F344" i="330"/>
  <c r="D344" i="330" s="1"/>
  <c r="F343" i="330"/>
  <c r="D343" i="330" s="1"/>
  <c r="F342" i="330"/>
  <c r="D342" i="330" s="1"/>
  <c r="F341" i="330"/>
  <c r="D341" i="330" s="1"/>
  <c r="F340" i="330"/>
  <c r="D340" i="330" s="1"/>
  <c r="F339" i="330"/>
  <c r="D339" i="330" s="1"/>
  <c r="F338" i="330"/>
  <c r="D338" i="330" s="1"/>
  <c r="F337" i="330"/>
  <c r="D337" i="330" s="1"/>
  <c r="AX336" i="330"/>
  <c r="AW336" i="330"/>
  <c r="AV336" i="330"/>
  <c r="AU336" i="330"/>
  <c r="AT336" i="330"/>
  <c r="AS336" i="330"/>
  <c r="AR336" i="330"/>
  <c r="AQ336" i="330"/>
  <c r="AP336" i="330"/>
  <c r="AO336" i="330"/>
  <c r="AN336" i="330"/>
  <c r="AM336" i="330"/>
  <c r="AL336" i="330"/>
  <c r="AK336" i="330"/>
  <c r="AJ336" i="330"/>
  <c r="AI336" i="330"/>
  <c r="AH336" i="330"/>
  <c r="AG336" i="330"/>
  <c r="AF336" i="330"/>
  <c r="AE336" i="330"/>
  <c r="AD336" i="330"/>
  <c r="AC336" i="330"/>
  <c r="AB336" i="330"/>
  <c r="AA336" i="330"/>
  <c r="Z336" i="330"/>
  <c r="Y336" i="330"/>
  <c r="X336" i="330"/>
  <c r="W336" i="330"/>
  <c r="V336" i="330"/>
  <c r="U336" i="330"/>
  <c r="T336" i="330"/>
  <c r="S336" i="330"/>
  <c r="R336" i="330"/>
  <c r="Q336" i="330"/>
  <c r="P336" i="330"/>
  <c r="O336" i="330"/>
  <c r="N336" i="330"/>
  <c r="M336" i="330"/>
  <c r="L336" i="330"/>
  <c r="K336" i="330"/>
  <c r="J336" i="330"/>
  <c r="I336" i="330"/>
  <c r="H336" i="330"/>
  <c r="G336" i="330"/>
  <c r="F335" i="330"/>
  <c r="D335" i="330" s="1"/>
  <c r="F334" i="330"/>
  <c r="D334" i="330" s="1"/>
  <c r="F333" i="330"/>
  <c r="D333" i="330" s="1"/>
  <c r="F332" i="330"/>
  <c r="D332" i="330" s="1"/>
  <c r="F331" i="330"/>
  <c r="D331" i="330" s="1"/>
  <c r="F330" i="330"/>
  <c r="D330" i="330" s="1"/>
  <c r="F329" i="330"/>
  <c r="D329" i="330" s="1"/>
  <c r="F328" i="330"/>
  <c r="D328" i="330" s="1"/>
  <c r="F327" i="330"/>
  <c r="D327" i="330" s="1"/>
  <c r="F326" i="330"/>
  <c r="D326" i="330" s="1"/>
  <c r="F325" i="330"/>
  <c r="D325" i="330" s="1"/>
  <c r="F324" i="330"/>
  <c r="D324" i="330"/>
  <c r="F323" i="330"/>
  <c r="D323" i="330" s="1"/>
  <c r="F322" i="330"/>
  <c r="D322" i="330" s="1"/>
  <c r="F321" i="330"/>
  <c r="D321" i="330" s="1"/>
  <c r="F320" i="330"/>
  <c r="D320" i="330" s="1"/>
  <c r="F319" i="330"/>
  <c r="D319" i="330" s="1"/>
  <c r="F318" i="330"/>
  <c r="D318" i="330" s="1"/>
  <c r="F317" i="330"/>
  <c r="D317" i="330" s="1"/>
  <c r="F316" i="330"/>
  <c r="D316" i="330" s="1"/>
  <c r="F315" i="330"/>
  <c r="D315" i="330" s="1"/>
  <c r="F314" i="330"/>
  <c r="D314" i="330" s="1"/>
  <c r="F313" i="330"/>
  <c r="D313" i="330" s="1"/>
  <c r="F312" i="330"/>
  <c r="D312" i="330" s="1"/>
  <c r="F311" i="330"/>
  <c r="D311" i="330" s="1"/>
  <c r="F310" i="330"/>
  <c r="D310" i="330" s="1"/>
  <c r="F309" i="330"/>
  <c r="D309" i="330" s="1"/>
  <c r="F308" i="330"/>
  <c r="D308" i="330" s="1"/>
  <c r="F307" i="330"/>
  <c r="D307" i="330" s="1"/>
  <c r="F306" i="330"/>
  <c r="D306" i="330" s="1"/>
  <c r="F305" i="330"/>
  <c r="D305" i="330" s="1"/>
  <c r="F304" i="330"/>
  <c r="D304" i="330" s="1"/>
  <c r="F303" i="330"/>
  <c r="D303" i="330" s="1"/>
  <c r="F302" i="330"/>
  <c r="D302" i="330" s="1"/>
  <c r="F301" i="330"/>
  <c r="D301" i="330" s="1"/>
  <c r="F300" i="330"/>
  <c r="D300" i="330" s="1"/>
  <c r="F299" i="330"/>
  <c r="D299" i="330" s="1"/>
  <c r="F298" i="330"/>
  <c r="D298" i="330" s="1"/>
  <c r="F297" i="330"/>
  <c r="E297" i="330"/>
  <c r="E291" i="330" s="1"/>
  <c r="F296" i="330"/>
  <c r="D296" i="330" s="1"/>
  <c r="F295" i="330"/>
  <c r="D295" i="330" s="1"/>
  <c r="F294" i="330"/>
  <c r="D294" i="330" s="1"/>
  <c r="F293" i="330"/>
  <c r="D293" i="330" s="1"/>
  <c r="F292" i="330"/>
  <c r="D292" i="330" s="1"/>
  <c r="AX291" i="330"/>
  <c r="AW291" i="330"/>
  <c r="AV291" i="330"/>
  <c r="AU291" i="330"/>
  <c r="AT291" i="330"/>
  <c r="AS291" i="330"/>
  <c r="AR291" i="330"/>
  <c r="AQ291" i="330"/>
  <c r="AP291" i="330"/>
  <c r="AO291" i="330"/>
  <c r="AN291" i="330"/>
  <c r="AM291" i="330"/>
  <c r="AL291" i="330"/>
  <c r="AK291" i="330"/>
  <c r="AJ291" i="330"/>
  <c r="AI291" i="330"/>
  <c r="AH291" i="330"/>
  <c r="AG291" i="330"/>
  <c r="AF291" i="330"/>
  <c r="AE291" i="330"/>
  <c r="AD291" i="330"/>
  <c r="AC291" i="330"/>
  <c r="AB291" i="330"/>
  <c r="AA291" i="330"/>
  <c r="Z291" i="330"/>
  <c r="Y291" i="330"/>
  <c r="X291" i="330"/>
  <c r="W291" i="330"/>
  <c r="V291" i="330"/>
  <c r="U291" i="330"/>
  <c r="T291" i="330"/>
  <c r="S291" i="330"/>
  <c r="R291" i="330"/>
  <c r="Q291" i="330"/>
  <c r="P291" i="330"/>
  <c r="O291" i="330"/>
  <c r="N291" i="330"/>
  <c r="M291" i="330"/>
  <c r="L291" i="330"/>
  <c r="K291" i="330"/>
  <c r="J291" i="330"/>
  <c r="I291" i="330"/>
  <c r="H291" i="330"/>
  <c r="G291" i="330"/>
  <c r="F290" i="330"/>
  <c r="D290" i="330" s="1"/>
  <c r="F289" i="330"/>
  <c r="D289" i="330" s="1"/>
  <c r="F288" i="330"/>
  <c r="D288" i="330" s="1"/>
  <c r="AX287" i="330"/>
  <c r="AW287" i="330"/>
  <c r="AV287" i="330"/>
  <c r="AU287" i="330"/>
  <c r="AT287" i="330"/>
  <c r="AS287" i="330"/>
  <c r="AR287" i="330"/>
  <c r="AQ287" i="330"/>
  <c r="AP287" i="330"/>
  <c r="AO287" i="330"/>
  <c r="AN287" i="330"/>
  <c r="AM287" i="330"/>
  <c r="AL287" i="330"/>
  <c r="AK287" i="330"/>
  <c r="AJ287" i="330"/>
  <c r="AI287" i="330"/>
  <c r="AH287" i="330"/>
  <c r="AG287" i="330"/>
  <c r="AF287" i="330"/>
  <c r="AE287" i="330"/>
  <c r="AD287" i="330"/>
  <c r="AC287" i="330"/>
  <c r="AB287" i="330"/>
  <c r="AA287" i="330"/>
  <c r="Z287" i="330"/>
  <c r="Y287" i="330"/>
  <c r="X287" i="330"/>
  <c r="W287" i="330"/>
  <c r="V287" i="330"/>
  <c r="U287" i="330"/>
  <c r="T287" i="330"/>
  <c r="S287" i="330"/>
  <c r="R287" i="330"/>
  <c r="Q287" i="330"/>
  <c r="P287" i="330"/>
  <c r="O287" i="330"/>
  <c r="N287" i="330"/>
  <c r="M287" i="330"/>
  <c r="L287" i="330"/>
  <c r="K287" i="330"/>
  <c r="J287" i="330"/>
  <c r="I287" i="330"/>
  <c r="H287" i="330"/>
  <c r="G287" i="330"/>
  <c r="E287" i="330"/>
  <c r="F286" i="330"/>
  <c r="D286" i="330" s="1"/>
  <c r="F285" i="330"/>
  <c r="D285" i="330" s="1"/>
  <c r="F284" i="330"/>
  <c r="D284" i="330" s="1"/>
  <c r="F283" i="330"/>
  <c r="D283" i="330" s="1"/>
  <c r="F282" i="330"/>
  <c r="D282" i="330" s="1"/>
  <c r="F281" i="330"/>
  <c r="D281" i="330" s="1"/>
  <c r="AX280" i="330"/>
  <c r="AW280" i="330"/>
  <c r="AV280" i="330"/>
  <c r="AU280" i="330"/>
  <c r="AT280" i="330"/>
  <c r="AS280" i="330"/>
  <c r="AR280" i="330"/>
  <c r="AQ280" i="330"/>
  <c r="AP280" i="330"/>
  <c r="AO280" i="330"/>
  <c r="AN280" i="330"/>
  <c r="AM280" i="330"/>
  <c r="AL280" i="330"/>
  <c r="AK280" i="330"/>
  <c r="AJ280" i="330"/>
  <c r="AI280" i="330"/>
  <c r="AH280" i="330"/>
  <c r="AG280" i="330"/>
  <c r="AF280" i="330"/>
  <c r="AE280" i="330"/>
  <c r="AD280" i="330"/>
  <c r="AC280" i="330"/>
  <c r="AB280" i="330"/>
  <c r="AA280" i="330"/>
  <c r="Z280" i="330"/>
  <c r="Y280" i="330"/>
  <c r="X280" i="330"/>
  <c r="W280" i="330"/>
  <c r="V280" i="330"/>
  <c r="U280" i="330"/>
  <c r="T280" i="330"/>
  <c r="S280" i="330"/>
  <c r="R280" i="330"/>
  <c r="Q280" i="330"/>
  <c r="P280" i="330"/>
  <c r="O280" i="330"/>
  <c r="N280" i="330"/>
  <c r="M280" i="330"/>
  <c r="L280" i="330"/>
  <c r="K280" i="330"/>
  <c r="J280" i="330"/>
  <c r="I280" i="330"/>
  <c r="H280" i="330"/>
  <c r="G280" i="330"/>
  <c r="E280" i="330"/>
  <c r="F279" i="330"/>
  <c r="D279" i="330" s="1"/>
  <c r="F278" i="330"/>
  <c r="D278" i="330" s="1"/>
  <c r="F277" i="330"/>
  <c r="D277" i="330" s="1"/>
  <c r="F276" i="330"/>
  <c r="D276" i="330" s="1"/>
  <c r="F275" i="330"/>
  <c r="D275" i="330" s="1"/>
  <c r="F274" i="330"/>
  <c r="D274" i="330" s="1"/>
  <c r="F273" i="330"/>
  <c r="D273" i="330"/>
  <c r="F272" i="330"/>
  <c r="D272" i="330" s="1"/>
  <c r="F271" i="330"/>
  <c r="D271" i="330" s="1"/>
  <c r="F270" i="330"/>
  <c r="D270" i="330" s="1"/>
  <c r="F269" i="330"/>
  <c r="D269" i="330" s="1"/>
  <c r="F268" i="330"/>
  <c r="D268" i="330" s="1"/>
  <c r="F267" i="330"/>
  <c r="D267" i="330" s="1"/>
  <c r="F266" i="330"/>
  <c r="D266" i="330" s="1"/>
  <c r="F265" i="330"/>
  <c r="D265" i="330" s="1"/>
  <c r="F264" i="330"/>
  <c r="D264" i="330" s="1"/>
  <c r="F263" i="330"/>
  <c r="D263" i="330" s="1"/>
  <c r="F262" i="330"/>
  <c r="D262" i="330" s="1"/>
  <c r="F261" i="330"/>
  <c r="D261" i="330" s="1"/>
  <c r="F260" i="330"/>
  <c r="D260" i="330" s="1"/>
  <c r="F259" i="330"/>
  <c r="D259" i="330" s="1"/>
  <c r="F258" i="330"/>
  <c r="D258" i="330" s="1"/>
  <c r="F257" i="330"/>
  <c r="D257" i="330" s="1"/>
  <c r="F256" i="330"/>
  <c r="D256" i="330" s="1"/>
  <c r="F255" i="330"/>
  <c r="D255" i="330" s="1"/>
  <c r="F254" i="330"/>
  <c r="D254" i="330" s="1"/>
  <c r="F253" i="330"/>
  <c r="D253" i="330" s="1"/>
  <c r="F252" i="330"/>
  <c r="D252" i="330" s="1"/>
  <c r="F251" i="330"/>
  <c r="D251" i="330" s="1"/>
  <c r="F250" i="330"/>
  <c r="D250" i="330" s="1"/>
  <c r="F249" i="330"/>
  <c r="D249" i="330" s="1"/>
  <c r="F248" i="330"/>
  <c r="D248" i="330" s="1"/>
  <c r="F247" i="330"/>
  <c r="D247" i="330" s="1"/>
  <c r="F246" i="330"/>
  <c r="D246" i="330" s="1"/>
  <c r="F245" i="330"/>
  <c r="D245" i="330" s="1"/>
  <c r="F244" i="330"/>
  <c r="D244" i="330" s="1"/>
  <c r="F243" i="330"/>
  <c r="D243" i="330" s="1"/>
  <c r="F242" i="330"/>
  <c r="D242" i="330" s="1"/>
  <c r="F241" i="330"/>
  <c r="D241" i="330" s="1"/>
  <c r="F240" i="330"/>
  <c r="D240" i="330" s="1"/>
  <c r="F239" i="330"/>
  <c r="D239" i="330" s="1"/>
  <c r="G238" i="330"/>
  <c r="G209" i="330" s="1"/>
  <c r="F237" i="330"/>
  <c r="D237" i="330" s="1"/>
  <c r="F236" i="330"/>
  <c r="D236" i="330" s="1"/>
  <c r="F235" i="330"/>
  <c r="D235" i="330" s="1"/>
  <c r="F234" i="330"/>
  <c r="D234" i="330" s="1"/>
  <c r="F233" i="330"/>
  <c r="D233" i="330" s="1"/>
  <c r="F232" i="330"/>
  <c r="D232" i="330" s="1"/>
  <c r="F231" i="330"/>
  <c r="D231" i="330" s="1"/>
  <c r="F230" i="330"/>
  <c r="D230" i="330" s="1"/>
  <c r="F229" i="330"/>
  <c r="D229" i="330" s="1"/>
  <c r="F228" i="330"/>
  <c r="D228" i="330" s="1"/>
  <c r="F227" i="330"/>
  <c r="D227" i="330" s="1"/>
  <c r="F226" i="330"/>
  <c r="D226" i="330" s="1"/>
  <c r="F225" i="330"/>
  <c r="D225" i="330" s="1"/>
  <c r="F224" i="330"/>
  <c r="D224" i="330" s="1"/>
  <c r="F223" i="330"/>
  <c r="D223" i="330" s="1"/>
  <c r="F222" i="330"/>
  <c r="D222" i="330" s="1"/>
  <c r="F221" i="330"/>
  <c r="D221" i="330" s="1"/>
  <c r="F220" i="330"/>
  <c r="D220" i="330" s="1"/>
  <c r="F219" i="330"/>
  <c r="D219" i="330" s="1"/>
  <c r="F218" i="330"/>
  <c r="D218" i="330" s="1"/>
  <c r="F217" i="330"/>
  <c r="D217" i="330" s="1"/>
  <c r="F216" i="330"/>
  <c r="D216" i="330" s="1"/>
  <c r="F215" i="330"/>
  <c r="D215" i="330" s="1"/>
  <c r="F214" i="330"/>
  <c r="D214" i="330" s="1"/>
  <c r="F213" i="330"/>
  <c r="D213" i="330" s="1"/>
  <c r="F212" i="330"/>
  <c r="D212" i="330" s="1"/>
  <c r="F211" i="330"/>
  <c r="D211" i="330" s="1"/>
  <c r="F210" i="330"/>
  <c r="D210" i="330" s="1"/>
  <c r="AX209" i="330"/>
  <c r="AW209" i="330"/>
  <c r="AV209" i="330"/>
  <c r="AU209" i="330"/>
  <c r="AT209" i="330"/>
  <c r="AS209" i="330"/>
  <c r="AR209" i="330"/>
  <c r="AQ209" i="330"/>
  <c r="AP209" i="330"/>
  <c r="AO209" i="330"/>
  <c r="AN209" i="330"/>
  <c r="AM209" i="330"/>
  <c r="AL209" i="330"/>
  <c r="AK209" i="330"/>
  <c r="AJ209" i="330"/>
  <c r="AI209" i="330"/>
  <c r="AH209" i="330"/>
  <c r="AG209" i="330"/>
  <c r="AF209" i="330"/>
  <c r="AE209" i="330"/>
  <c r="AD209" i="330"/>
  <c r="AC209" i="330"/>
  <c r="AB209" i="330"/>
  <c r="AA209" i="330"/>
  <c r="Z209" i="330"/>
  <c r="Y209" i="330"/>
  <c r="X209" i="330"/>
  <c r="W209" i="330"/>
  <c r="V209" i="330"/>
  <c r="U209" i="330"/>
  <c r="T209" i="330"/>
  <c r="S209" i="330"/>
  <c r="R209" i="330"/>
  <c r="Q209" i="330"/>
  <c r="P209" i="330"/>
  <c r="O209" i="330"/>
  <c r="N209" i="330"/>
  <c r="M209" i="330"/>
  <c r="L209" i="330"/>
  <c r="K209" i="330"/>
  <c r="J209" i="330"/>
  <c r="I209" i="330"/>
  <c r="H209" i="330"/>
  <c r="E209" i="330"/>
  <c r="F208" i="330"/>
  <c r="D208" i="330" s="1"/>
  <c r="F207" i="330"/>
  <c r="D207" i="330" s="1"/>
  <c r="BD206" i="330"/>
  <c r="F206" i="330"/>
  <c r="D206" i="330" s="1"/>
  <c r="BD205" i="330"/>
  <c r="F205" i="330"/>
  <c r="D205" i="330" s="1"/>
  <c r="F204" i="330"/>
  <c r="D204" i="330" s="1"/>
  <c r="F203" i="330"/>
  <c r="D203" i="330" s="1"/>
  <c r="F202" i="330"/>
  <c r="D202" i="330" s="1"/>
  <c r="BE201" i="330"/>
  <c r="F201" i="330"/>
  <c r="D201" i="330" s="1"/>
  <c r="BE200" i="330"/>
  <c r="F200" i="330"/>
  <c r="D200" i="330" s="1"/>
  <c r="BE199" i="330"/>
  <c r="AP199" i="330"/>
  <c r="P199" i="330"/>
  <c r="M199" i="330"/>
  <c r="J199" i="330"/>
  <c r="J160" i="330" s="1"/>
  <c r="I199" i="330"/>
  <c r="H199" i="330"/>
  <c r="H160" i="330" s="1"/>
  <c r="G199" i="330"/>
  <c r="G160" i="330" s="1"/>
  <c r="E199" i="330"/>
  <c r="E160" i="330"/>
  <c r="F198" i="330"/>
  <c r="D198" i="330" s="1"/>
  <c r="F197" i="330"/>
  <c r="D197" i="330" s="1"/>
  <c r="F196" i="330"/>
  <c r="D196" i="330"/>
  <c r="F195" i="330"/>
  <c r="D195" i="330" s="1"/>
  <c r="F194" i="330"/>
  <c r="D194" i="330" s="1"/>
  <c r="F193" i="330"/>
  <c r="D193" i="330" s="1"/>
  <c r="F192" i="330"/>
  <c r="D192" i="330" s="1"/>
  <c r="F191" i="330"/>
  <c r="D191" i="330" s="1"/>
  <c r="F190" i="330"/>
  <c r="D190" i="330"/>
  <c r="F189" i="330"/>
  <c r="D189" i="330" s="1"/>
  <c r="F188" i="330"/>
  <c r="D188" i="330" s="1"/>
  <c r="F187" i="330"/>
  <c r="D187" i="330" s="1"/>
  <c r="F186" i="330"/>
  <c r="D186" i="330" s="1"/>
  <c r="F185" i="330"/>
  <c r="D185" i="330" s="1"/>
  <c r="F184" i="330"/>
  <c r="D184" i="330" s="1"/>
  <c r="F183" i="330"/>
  <c r="D183" i="330" s="1"/>
  <c r="F182" i="330"/>
  <c r="D182" i="330" s="1"/>
  <c r="F181" i="330"/>
  <c r="D181" i="330" s="1"/>
  <c r="F180" i="330"/>
  <c r="D180" i="330" s="1"/>
  <c r="F179" i="330"/>
  <c r="D179" i="330" s="1"/>
  <c r="F178" i="330"/>
  <c r="D178" i="330" s="1"/>
  <c r="F177" i="330"/>
  <c r="D177" i="330" s="1"/>
  <c r="F176" i="330"/>
  <c r="D176" i="330" s="1"/>
  <c r="F175" i="330"/>
  <c r="D175" i="330" s="1"/>
  <c r="F174" i="330"/>
  <c r="D174" i="330" s="1"/>
  <c r="M173" i="330"/>
  <c r="I173" i="330"/>
  <c r="F172" i="330"/>
  <c r="D172" i="330" s="1"/>
  <c r="F171" i="330"/>
  <c r="D171" i="330" s="1"/>
  <c r="F170" i="330"/>
  <c r="D170" i="330" s="1"/>
  <c r="F169" i="330"/>
  <c r="D169" i="330" s="1"/>
  <c r="F168" i="330"/>
  <c r="D168" i="330" s="1"/>
  <c r="F167" i="330"/>
  <c r="D167" i="330" s="1"/>
  <c r="F166" i="330"/>
  <c r="D166" i="330" s="1"/>
  <c r="F165" i="330"/>
  <c r="D165" i="330" s="1"/>
  <c r="F164" i="330"/>
  <c r="D164" i="330" s="1"/>
  <c r="AP163" i="330"/>
  <c r="AP160" i="330" s="1"/>
  <c r="P163" i="330"/>
  <c r="M163" i="330"/>
  <c r="M160" i="330" s="1"/>
  <c r="J163" i="330"/>
  <c r="F162" i="330"/>
  <c r="D162" i="330" s="1"/>
  <c r="L161" i="330"/>
  <c r="L160" i="330" s="1"/>
  <c r="I161" i="330"/>
  <c r="A161" i="330"/>
  <c r="A162" i="330" s="1"/>
  <c r="A163" i="330" s="1"/>
  <c r="A164" i="330" s="1"/>
  <c r="A165" i="330" s="1"/>
  <c r="A166" i="330" s="1"/>
  <c r="A167" i="330" s="1"/>
  <c r="A168" i="330" s="1"/>
  <c r="A169" i="330" s="1"/>
  <c r="A170" i="330" s="1"/>
  <c r="A171" i="330" s="1"/>
  <c r="A172" i="330" s="1"/>
  <c r="A173" i="330" s="1"/>
  <c r="A174" i="330" s="1"/>
  <c r="A175" i="330" s="1"/>
  <c r="A176" i="330" s="1"/>
  <c r="A177" i="330" s="1"/>
  <c r="A178" i="330" s="1"/>
  <c r="A179" i="330" s="1"/>
  <c r="A180" i="330" s="1"/>
  <c r="A181" i="330" s="1"/>
  <c r="A182" i="330" s="1"/>
  <c r="A183" i="330" s="1"/>
  <c r="A184" i="330" s="1"/>
  <c r="A185" i="330" s="1"/>
  <c r="A186" i="330" s="1"/>
  <c r="A187" i="330" s="1"/>
  <c r="A188" i="330" s="1"/>
  <c r="A189" i="330" s="1"/>
  <c r="A190" i="330" s="1"/>
  <c r="A191" i="330" s="1"/>
  <c r="A192" i="330" s="1"/>
  <c r="A193" i="330" s="1"/>
  <c r="A194" i="330" s="1"/>
  <c r="A195" i="330" s="1"/>
  <c r="A196" i="330" s="1"/>
  <c r="A197" i="330" s="1"/>
  <c r="A198" i="330" s="1"/>
  <c r="A199" i="330" s="1"/>
  <c r="A200" i="330" s="1"/>
  <c r="A201" i="330" s="1"/>
  <c r="A202" i="330" s="1"/>
  <c r="A203" i="330" s="1"/>
  <c r="A204" i="330" s="1"/>
  <c r="A205" i="330" s="1"/>
  <c r="A206" i="330" s="1"/>
  <c r="A207" i="330" s="1"/>
  <c r="A208" i="330" s="1"/>
  <c r="A210" i="330" s="1"/>
  <c r="A211" i="330" s="1"/>
  <c r="A212" i="330" s="1"/>
  <c r="A213" i="330" s="1"/>
  <c r="A214" i="330" s="1"/>
  <c r="A215" i="330" s="1"/>
  <c r="A216" i="330" s="1"/>
  <c r="A217" i="330" s="1"/>
  <c r="A218" i="330" s="1"/>
  <c r="A219" i="330" s="1"/>
  <c r="A220" i="330" s="1"/>
  <c r="A221" i="330" s="1"/>
  <c r="A222" i="330" s="1"/>
  <c r="A223" i="330" s="1"/>
  <c r="A224" i="330" s="1"/>
  <c r="A225" i="330" s="1"/>
  <c r="A226" i="330" s="1"/>
  <c r="A227" i="330" s="1"/>
  <c r="A228" i="330" s="1"/>
  <c r="A229" i="330" s="1"/>
  <c r="A230" i="330" s="1"/>
  <c r="A231" i="330" s="1"/>
  <c r="A232" i="330" s="1"/>
  <c r="A233" i="330" s="1"/>
  <c r="A234" i="330" s="1"/>
  <c r="A235" i="330" s="1"/>
  <c r="A236" i="330" s="1"/>
  <c r="A237" i="330" s="1"/>
  <c r="A238" i="330" s="1"/>
  <c r="A239" i="330" s="1"/>
  <c r="A240" i="330" s="1"/>
  <c r="A241" i="330" s="1"/>
  <c r="A242" i="330" s="1"/>
  <c r="A243" i="330" s="1"/>
  <c r="A244" i="330" s="1"/>
  <c r="A245" i="330" s="1"/>
  <c r="A246" i="330" s="1"/>
  <c r="A247" i="330" s="1"/>
  <c r="A248" i="330" s="1"/>
  <c r="A249" i="330" s="1"/>
  <c r="A250" i="330" s="1"/>
  <c r="A251" i="330" s="1"/>
  <c r="A252" i="330" s="1"/>
  <c r="A253" i="330" s="1"/>
  <c r="A254" i="330" s="1"/>
  <c r="A255" i="330" s="1"/>
  <c r="A256" i="330" s="1"/>
  <c r="A257" i="330" s="1"/>
  <c r="A258" i="330" s="1"/>
  <c r="A259" i="330" s="1"/>
  <c r="A260" i="330" s="1"/>
  <c r="A261" i="330" s="1"/>
  <c r="A262" i="330" s="1"/>
  <c r="A263" i="330" s="1"/>
  <c r="A264" i="330" s="1"/>
  <c r="A265" i="330" s="1"/>
  <c r="A266" i="330" s="1"/>
  <c r="A267" i="330" s="1"/>
  <c r="A268" i="330" s="1"/>
  <c r="A269" i="330" s="1"/>
  <c r="A270" i="330" s="1"/>
  <c r="A271" i="330" s="1"/>
  <c r="A272" i="330" s="1"/>
  <c r="A273" i="330" s="1"/>
  <c r="A274" i="330" s="1"/>
  <c r="A275" i="330" s="1"/>
  <c r="A276" i="330" s="1"/>
  <c r="A277" i="330" s="1"/>
  <c r="A278" i="330" s="1"/>
  <c r="A279" i="330" s="1"/>
  <c r="A281" i="330" s="1"/>
  <c r="A282" i="330" s="1"/>
  <c r="A283" i="330" s="1"/>
  <c r="A284" i="330" s="1"/>
  <c r="A285" i="330" s="1"/>
  <c r="A286" i="330" s="1"/>
  <c r="A288" i="330" s="1"/>
  <c r="A289" i="330" s="1"/>
  <c r="A290" i="330" s="1"/>
  <c r="A292" i="330" s="1"/>
  <c r="A293" i="330" s="1"/>
  <c r="A294" i="330" s="1"/>
  <c r="A295" i="330" s="1"/>
  <c r="A296" i="330" s="1"/>
  <c r="A297" i="330" s="1"/>
  <c r="A298" i="330" s="1"/>
  <c r="A299" i="330" s="1"/>
  <c r="A300" i="330" s="1"/>
  <c r="A301" i="330" s="1"/>
  <c r="A302" i="330" s="1"/>
  <c r="A303" i="330" s="1"/>
  <c r="A304" i="330" s="1"/>
  <c r="A305" i="330" s="1"/>
  <c r="A306" i="330" s="1"/>
  <c r="A307" i="330" s="1"/>
  <c r="A308" i="330" s="1"/>
  <c r="A309" i="330" s="1"/>
  <c r="A310" i="330" s="1"/>
  <c r="A311" i="330" s="1"/>
  <c r="A312" i="330" s="1"/>
  <c r="A313" i="330" s="1"/>
  <c r="A314" i="330" s="1"/>
  <c r="A315" i="330" s="1"/>
  <c r="A316" i="330" s="1"/>
  <c r="A317" i="330" s="1"/>
  <c r="A318" i="330" s="1"/>
  <c r="A319" i="330" s="1"/>
  <c r="A320" i="330" s="1"/>
  <c r="A321" i="330" s="1"/>
  <c r="A322" i="330" s="1"/>
  <c r="A323" i="330" s="1"/>
  <c r="A324" i="330" s="1"/>
  <c r="A325" i="330" s="1"/>
  <c r="A326" i="330" s="1"/>
  <c r="A327" i="330" s="1"/>
  <c r="A328" i="330" s="1"/>
  <c r="A329" i="330" s="1"/>
  <c r="A330" i="330" s="1"/>
  <c r="A331" i="330" s="1"/>
  <c r="A332" i="330" s="1"/>
  <c r="A333" i="330" s="1"/>
  <c r="A334" i="330" s="1"/>
  <c r="A335" i="330" s="1"/>
  <c r="A337" i="330" s="1"/>
  <c r="A338" i="330" s="1"/>
  <c r="A339" i="330" s="1"/>
  <c r="A340" i="330" s="1"/>
  <c r="A341" i="330" s="1"/>
  <c r="A342" i="330" s="1"/>
  <c r="A343" i="330" s="1"/>
  <c r="A344" i="330" s="1"/>
  <c r="A345" i="330" s="1"/>
  <c r="A346" i="330" s="1"/>
  <c r="A347" i="330" s="1"/>
  <c r="A349" i="330" s="1"/>
  <c r="A350" i="330" s="1"/>
  <c r="A351" i="330" s="1"/>
  <c r="A352" i="330" s="1"/>
  <c r="A353" i="330" s="1"/>
  <c r="A354" i="330" s="1"/>
  <c r="A355" i="330" s="1"/>
  <c r="A356" i="330" s="1"/>
  <c r="A357" i="330" s="1"/>
  <c r="A358" i="330" s="1"/>
  <c r="A359" i="330" s="1"/>
  <c r="A360" i="330" s="1"/>
  <c r="A361" i="330" s="1"/>
  <c r="A362" i="330" s="1"/>
  <c r="A363" i="330" s="1"/>
  <c r="A364" i="330" s="1"/>
  <c r="A365" i="330" s="1"/>
  <c r="A367" i="330" s="1"/>
  <c r="A370" i="330" s="1"/>
  <c r="A371" i="330" s="1"/>
  <c r="A372" i="330" s="1"/>
  <c r="A373" i="330" s="1"/>
  <c r="A374" i="330" s="1"/>
  <c r="A375" i="330" s="1"/>
  <c r="A376" i="330" s="1"/>
  <c r="A377" i="330" s="1"/>
  <c r="A378" i="330" s="1"/>
  <c r="A379" i="330" s="1"/>
  <c r="A380" i="330" s="1"/>
  <c r="A381" i="330" s="1"/>
  <c r="A382" i="330" s="1"/>
  <c r="A383" i="330" s="1"/>
  <c r="A384" i="330" s="1"/>
  <c r="A385" i="330" s="1"/>
  <c r="A386" i="330" s="1"/>
  <c r="A387" i="330" s="1"/>
  <c r="A389" i="330" s="1"/>
  <c r="A390" i="330" s="1"/>
  <c r="A391" i="330" s="1"/>
  <c r="A393" i="330" s="1"/>
  <c r="A395" i="330" s="1"/>
  <c r="A396" i="330" s="1"/>
  <c r="A397" i="330" s="1"/>
  <c r="A398" i="330" s="1"/>
  <c r="A399" i="330" s="1"/>
  <c r="A400" i="330" s="1"/>
  <c r="A401" i="330" s="1"/>
  <c r="A402" i="330" s="1"/>
  <c r="A403" i="330" s="1"/>
  <c r="A404" i="330" s="1"/>
  <c r="A405" i="330" s="1"/>
  <c r="A406" i="330" s="1"/>
  <c r="A408" i="330" s="1"/>
  <c r="A409" i="330" s="1"/>
  <c r="A410" i="330" s="1"/>
  <c r="A411" i="330" s="1"/>
  <c r="A412" i="330" s="1"/>
  <c r="A413" i="330" s="1"/>
  <c r="A414" i="330" s="1"/>
  <c r="A415" i="330" s="1"/>
  <c r="A416" i="330" s="1"/>
  <c r="A417" i="330" s="1"/>
  <c r="A418" i="330" s="1"/>
  <c r="A419" i="330" s="1"/>
  <c r="A420" i="330" s="1"/>
  <c r="A421" i="330" s="1"/>
  <c r="A422" i="330" s="1"/>
  <c r="A423" i="330" s="1"/>
  <c r="A424" i="330" s="1"/>
  <c r="A426" i="330" s="1"/>
  <c r="A427" i="330" s="1"/>
  <c r="A428" i="330" s="1"/>
  <c r="A429" i="330" s="1"/>
  <c r="A430" i="330" s="1"/>
  <c r="A431" i="330" s="1"/>
  <c r="A432" i="330" s="1"/>
  <c r="A433" i="330" s="1"/>
  <c r="A434" i="330" s="1"/>
  <c r="A435" i="330" s="1"/>
  <c r="A436" i="330" s="1"/>
  <c r="A437" i="330" s="1"/>
  <c r="A438" i="330" s="1"/>
  <c r="A439" i="330" s="1"/>
  <c r="A440" i="330" s="1"/>
  <c r="A441" i="330" s="1"/>
  <c r="A442" i="330" s="1"/>
  <c r="A443" i="330" s="1"/>
  <c r="A444" i="330" s="1"/>
  <c r="A445" i="330" s="1"/>
  <c r="A446" i="330" s="1"/>
  <c r="A447" i="330" s="1"/>
  <c r="A448" i="330" s="1"/>
  <c r="A449" i="330" s="1"/>
  <c r="A450" i="330" s="1"/>
  <c r="A451" i="330" s="1"/>
  <c r="A452" i="330" s="1"/>
  <c r="A453" i="330" s="1"/>
  <c r="A454" i="330" s="1"/>
  <c r="A455" i="330" s="1"/>
  <c r="A456" i="330" s="1"/>
  <c r="A457" i="330" s="1"/>
  <c r="A458" i="330" s="1"/>
  <c r="A459" i="330" s="1"/>
  <c r="A460" i="330" s="1"/>
  <c r="A461" i="330" s="1"/>
  <c r="A462" i="330" s="1"/>
  <c r="A463" i="330" s="1"/>
  <c r="A464" i="330" s="1"/>
  <c r="A465" i="330" s="1"/>
  <c r="A466" i="330" s="1"/>
  <c r="A467" i="330" s="1"/>
  <c r="A468" i="330" s="1"/>
  <c r="A469" i="330" s="1"/>
  <c r="A470" i="330" s="1"/>
  <c r="A472" i="330" s="1"/>
  <c r="A473" i="330" s="1"/>
  <c r="A474" i="330" s="1"/>
  <c r="A475" i="330" s="1"/>
  <c r="A476" i="330" s="1"/>
  <c r="A477" i="330" s="1"/>
  <c r="A478" i="330" s="1"/>
  <c r="A479" i="330" s="1"/>
  <c r="A480" i="330" s="1"/>
  <c r="A482" i="330" s="1"/>
  <c r="A483" i="330" s="1"/>
  <c r="A484" i="330" s="1"/>
  <c r="A485" i="330" s="1"/>
  <c r="A486" i="330" s="1"/>
  <c r="A487" i="330" s="1"/>
  <c r="A488" i="330" s="1"/>
  <c r="A489" i="330" s="1"/>
  <c r="A490" i="330" s="1"/>
  <c r="A491" i="330" s="1"/>
  <c r="A492" i="330" s="1"/>
  <c r="A493" i="330" s="1"/>
  <c r="A494" i="330" s="1"/>
  <c r="A495" i="330" s="1"/>
  <c r="A496" i="330" s="1"/>
  <c r="A497" i="330" s="1"/>
  <c r="A498" i="330" s="1"/>
  <c r="A499" i="330" s="1"/>
  <c r="A500" i="330" s="1"/>
  <c r="A501" i="330" s="1"/>
  <c r="A502" i="330" s="1"/>
  <c r="A503" i="330" s="1"/>
  <c r="A504" i="330" s="1"/>
  <c r="A505" i="330" s="1"/>
  <c r="A506" i="330" s="1"/>
  <c r="A507" i="330" s="1"/>
  <c r="A508" i="330" s="1"/>
  <c r="A509" i="330" s="1"/>
  <c r="A510" i="330" s="1"/>
  <c r="A511" i="330" s="1"/>
  <c r="A512" i="330" s="1"/>
  <c r="A513" i="330" s="1"/>
  <c r="A514" i="330" s="1"/>
  <c r="A515" i="330" s="1"/>
  <c r="A516" i="330" s="1"/>
  <c r="A517" i="330" s="1"/>
  <c r="A518" i="330" s="1"/>
  <c r="A519" i="330" s="1"/>
  <c r="A520" i="330" s="1"/>
  <c r="A521" i="330" s="1"/>
  <c r="A522" i="330" s="1"/>
  <c r="A523" i="330" s="1"/>
  <c r="A524" i="330" s="1"/>
  <c r="A525" i="330" s="1"/>
  <c r="A526" i="330" s="1"/>
  <c r="A527" i="330" s="1"/>
  <c r="A528" i="330" s="1"/>
  <c r="A529" i="330" s="1"/>
  <c r="A530" i="330" s="1"/>
  <c r="A531" i="330" s="1"/>
  <c r="A532" i="330" s="1"/>
  <c r="A533" i="330" s="1"/>
  <c r="A534" i="330" s="1"/>
  <c r="A535" i="330" s="1"/>
  <c r="A536" i="330" s="1"/>
  <c r="A537" i="330" s="1"/>
  <c r="A538" i="330" s="1"/>
  <c r="A539" i="330" s="1"/>
  <c r="A540" i="330" s="1"/>
  <c r="A541" i="330" s="1"/>
  <c r="A542" i="330" s="1"/>
  <c r="A543" i="330" s="1"/>
  <c r="A544" i="330" s="1"/>
  <c r="A545" i="330" s="1"/>
  <c r="A546" i="330" s="1"/>
  <c r="A547" i="330" s="1"/>
  <c r="A548" i="330" s="1"/>
  <c r="A549" i="330" s="1"/>
  <c r="A550" i="330" s="1"/>
  <c r="A551" i="330" s="1"/>
  <c r="A552" i="330" s="1"/>
  <c r="A553" i="330" s="1"/>
  <c r="A554" i="330" s="1"/>
  <c r="A555" i="330" s="1"/>
  <c r="A556" i="330" s="1"/>
  <c r="A557" i="330" s="1"/>
  <c r="A558" i="330" s="1"/>
  <c r="A559" i="330" s="1"/>
  <c r="A560" i="330" s="1"/>
  <c r="A561" i="330" s="1"/>
  <c r="A562" i="330" s="1"/>
  <c r="A563" i="330" s="1"/>
  <c r="A564" i="330" s="1"/>
  <c r="A565" i="330" s="1"/>
  <c r="A566" i="330" s="1"/>
  <c r="A567" i="330" s="1"/>
  <c r="A568" i="330" s="1"/>
  <c r="A569" i="330" s="1"/>
  <c r="A570" i="330" s="1"/>
  <c r="A571" i="330" s="1"/>
  <c r="A572" i="330" s="1"/>
  <c r="A573" i="330" s="1"/>
  <c r="A574" i="330" s="1"/>
  <c r="A575" i="330" s="1"/>
  <c r="A576" i="330" s="1"/>
  <c r="A577" i="330" s="1"/>
  <c r="A578" i="330" s="1"/>
  <c r="A579" i="330" s="1"/>
  <c r="A580" i="330" s="1"/>
  <c r="A581" i="330" s="1"/>
  <c r="A582" i="330" s="1"/>
  <c r="A583" i="330" s="1"/>
  <c r="A584" i="330" s="1"/>
  <c r="A585" i="330" s="1"/>
  <c r="A586" i="330" s="1"/>
  <c r="A587" i="330" s="1"/>
  <c r="A589" i="330" s="1"/>
  <c r="A590" i="330" s="1"/>
  <c r="A591" i="330" s="1"/>
  <c r="A592" i="330" s="1"/>
  <c r="A593" i="330" s="1"/>
  <c r="A596" i="330" s="1"/>
  <c r="A601" i="330" s="1"/>
  <c r="A606" i="330" s="1"/>
  <c r="A611" i="330" s="1"/>
  <c r="A612" i="330" s="1"/>
  <c r="A613" i="330" s="1"/>
  <c r="A614" i="330" s="1"/>
  <c r="A618" i="330" s="1"/>
  <c r="A622" i="330" s="1"/>
  <c r="A623" i="330" s="1"/>
  <c r="A624" i="330" s="1"/>
  <c r="A628" i="330" s="1"/>
  <c r="A629" i="330" s="1"/>
  <c r="A633" i="330" s="1"/>
  <c r="A634" i="330" s="1"/>
  <c r="A636" i="330" s="1"/>
  <c r="A641" i="330" s="1"/>
  <c r="A645" i="330" s="1"/>
  <c r="A649" i="330" s="1"/>
  <c r="A653" i="330" s="1"/>
  <c r="A655" i="330" s="1"/>
  <c r="A660" i="330" s="1"/>
  <c r="A664" i="330" s="1"/>
  <c r="A665" i="330" s="1"/>
  <c r="A669" i="330" s="1"/>
  <c r="A673" i="330" s="1"/>
  <c r="A677" i="330" s="1"/>
  <c r="A681" i="330" s="1"/>
  <c r="A682" i="330" s="1"/>
  <c r="A683" i="330" s="1"/>
  <c r="A684" i="330" s="1"/>
  <c r="A689" i="330" s="1"/>
  <c r="A693" i="330" s="1"/>
  <c r="A697" i="330" s="1"/>
  <c r="A701" i="330" s="1"/>
  <c r="A705" i="330" s="1"/>
  <c r="A707" i="330" s="1"/>
  <c r="A712" i="330" s="1"/>
  <c r="A716" i="330" s="1"/>
  <c r="A720" i="330" s="1"/>
  <c r="A721" i="330" s="1"/>
  <c r="A725" i="330" s="1"/>
  <c r="A726" i="330" s="1"/>
  <c r="A727" i="330" s="1"/>
  <c r="A732" i="330" s="1"/>
  <c r="A733" i="330" s="1"/>
  <c r="A735" i="330" s="1"/>
  <c r="A742" i="330" s="1"/>
  <c r="A747" i="330" s="1"/>
  <c r="A752" i="330" s="1"/>
  <c r="A757" i="330" s="1"/>
  <c r="A762" i="330" s="1"/>
  <c r="A767" i="330" s="1"/>
  <c r="A771" i="330" s="1"/>
  <c r="A776" i="330" s="1"/>
  <c r="A780" i="330" s="1"/>
  <c r="A784" i="330" s="1"/>
  <c r="A788" i="330" s="1"/>
  <c r="A789" i="330" s="1"/>
  <c r="A793" i="330" s="1"/>
  <c r="A797" i="330" s="1"/>
  <c r="A801" i="330" s="1"/>
  <c r="A805" i="330" s="1"/>
  <c r="A809" i="330" s="1"/>
  <c r="A810" i="330" s="1"/>
  <c r="A814" i="330" s="1"/>
  <c r="A818" i="330" s="1"/>
  <c r="A819" i="330" s="1"/>
  <c r="A821" i="330" s="1"/>
  <c r="A829" i="330" s="1"/>
  <c r="A833" i="330" s="1"/>
  <c r="A838" i="330" s="1"/>
  <c r="A842" i="330" s="1"/>
  <c r="A847" i="330" s="1"/>
  <c r="A848" i="330" s="1"/>
  <c r="A849" i="330" s="1"/>
  <c r="A850" i="330" s="1"/>
  <c r="A851" i="330" s="1"/>
  <c r="A852" i="330" s="1"/>
  <c r="A853" i="330" s="1"/>
  <c r="A854" i="330" s="1"/>
  <c r="A855" i="330" s="1"/>
  <c r="A856" i="330" s="1"/>
  <c r="A860" i="330" s="1"/>
  <c r="A864" i="330" s="1"/>
  <c r="A868" i="330" s="1"/>
  <c r="A869" i="330" s="1"/>
  <c r="A870" i="330" s="1"/>
  <c r="A871" i="330" s="1"/>
  <c r="A872" i="330" s="1"/>
  <c r="A876" i="330" s="1"/>
  <c r="A877" i="330" s="1"/>
  <c r="A878" i="330" s="1"/>
  <c r="A880" i="330" s="1"/>
  <c r="A885" i="330" s="1"/>
  <c r="A890" i="330" s="1"/>
  <c r="A895" i="330" s="1"/>
  <c r="A899" i="330" s="1"/>
  <c r="A900" i="330" s="1"/>
  <c r="A904" i="330" s="1"/>
  <c r="A906" i="330" s="1"/>
  <c r="A911" i="330" s="1"/>
  <c r="A912" i="330" s="1"/>
  <c r="A913" i="330" s="1"/>
  <c r="A914" i="330" s="1"/>
  <c r="A918" i="330" s="1"/>
  <c r="A919" i="330" s="1"/>
  <c r="A923" i="330" s="1"/>
  <c r="A924" i="330" s="1"/>
  <c r="A925" i="330" s="1"/>
  <c r="A926" i="330" s="1"/>
  <c r="A930" i="330" s="1"/>
  <c r="A931" i="330" s="1"/>
  <c r="A935" i="330" s="1"/>
  <c r="A936" i="330" s="1"/>
  <c r="A940" i="330" s="1"/>
  <c r="A941" i="330" s="1"/>
  <c r="A942" i="330" s="1"/>
  <c r="A946" i="330" s="1"/>
  <c r="A950" i="330" s="1"/>
  <c r="A951" i="330" s="1"/>
  <c r="A952" i="330" s="1"/>
  <c r="A956" i="330" s="1"/>
  <c r="A960" i="330" s="1"/>
  <c r="A964" i="330" s="1"/>
  <c r="A965" i="330" s="1"/>
  <c r="A966" i="330" s="1"/>
  <c r="A967" i="330" s="1"/>
  <c r="A969" i="330" s="1"/>
  <c r="A973" i="330" s="1"/>
  <c r="A977" i="330" s="1"/>
  <c r="A981" i="330" s="1"/>
  <c r="A982" i="330" s="1"/>
  <c r="A983" i="330" s="1"/>
  <c r="A987" i="330" s="1"/>
  <c r="A991" i="330" s="1"/>
  <c r="A995" i="330" s="1"/>
  <c r="A999" i="330" s="1"/>
  <c r="A1000" i="330" s="1"/>
  <c r="A1002" i="330" s="1"/>
  <c r="A1007" i="330" s="1"/>
  <c r="A1011" i="330" s="1"/>
  <c r="A1015" i="330" s="1"/>
  <c r="A1019" i="330" s="1"/>
  <c r="A1023" i="330" s="1"/>
  <c r="A1027" i="330" s="1"/>
  <c r="A1031" i="330" s="1"/>
  <c r="A1032" i="330" s="1"/>
  <c r="A1036" i="330" s="1"/>
  <c r="A1037" i="330" s="1"/>
  <c r="A1040" i="330" s="1"/>
  <c r="A1044" i="330" s="1"/>
  <c r="A1048" i="330" s="1"/>
  <c r="A1053" i="330" s="1"/>
  <c r="A1057" i="330" s="1"/>
  <c r="A1058" i="330" s="1"/>
  <c r="A1060" i="330" s="1"/>
  <c r="A1065" i="330" s="1"/>
  <c r="A1069" i="330" s="1"/>
  <c r="A1070" i="330" s="1"/>
  <c r="A1071" i="330" s="1"/>
  <c r="A1075" i="330" s="1"/>
  <c r="A1076" i="330" s="1"/>
  <c r="A1080" i="330" s="1"/>
  <c r="A1081" i="330" s="1"/>
  <c r="A1082" i="330" s="1"/>
  <c r="A1084" i="330" s="1"/>
  <c r="A1089" i="330" s="1"/>
  <c r="A1094" i="330" s="1"/>
  <c r="A1098" i="330" s="1"/>
  <c r="A1102" i="330" s="1"/>
  <c r="A1103" i="330" s="1"/>
  <c r="A1107" i="330" s="1"/>
  <c r="A1108" i="330" s="1"/>
  <c r="A1109" i="330" s="1"/>
  <c r="A1115" i="330" s="1"/>
  <c r="A1116" i="330" s="1"/>
  <c r="A1120" i="330" s="1"/>
  <c r="A1122" i="330" s="1"/>
  <c r="A1126" i="330" s="1"/>
  <c r="A1131" i="330" s="1"/>
  <c r="A1132" i="330" s="1"/>
  <c r="A1137" i="330" s="1"/>
  <c r="A1141" i="330" s="1"/>
  <c r="A1145" i="330" s="1"/>
  <c r="A1149" i="330" s="1"/>
  <c r="A1154" i="330" s="1"/>
  <c r="A1158" i="330" s="1"/>
  <c r="A1162" i="330" s="1"/>
  <c r="A1166" i="330" s="1"/>
  <c r="A1170" i="330" s="1"/>
  <c r="A1171" i="330" s="1"/>
  <c r="A1172" i="330" s="1"/>
  <c r="A1177" i="330" s="1"/>
  <c r="A1181" i="330" s="1"/>
  <c r="A1183" i="330" s="1"/>
  <c r="A1188" i="330" s="1"/>
  <c r="A1189" i="330" s="1"/>
  <c r="A1193" i="330" s="1"/>
  <c r="A1197" i="330" s="1"/>
  <c r="A1198" i="330" s="1"/>
  <c r="A1202" i="330" s="1"/>
  <c r="A1204" i="330" s="1"/>
  <c r="A1209" i="330" s="1"/>
  <c r="A1214" i="330" s="1"/>
  <c r="A1219" i="330" s="1"/>
  <c r="A1224" i="330" s="1"/>
  <c r="A1228" i="330" s="1"/>
  <c r="A1233" i="330" s="1"/>
  <c r="A1237" i="330" s="1"/>
  <c r="A1248" i="330" s="1"/>
  <c r="A1252" i="330" s="1"/>
  <c r="A1256" i="330" s="1"/>
  <c r="A1260" i="330" s="1"/>
  <c r="A1265" i="330" s="1"/>
  <c r="A1266" i="330" s="1"/>
  <c r="A1270" i="330" s="1"/>
  <c r="A1274" i="330" s="1"/>
  <c r="A1278" i="330" s="1"/>
  <c r="A1282" i="330" s="1"/>
  <c r="A1286" i="330" s="1"/>
  <c r="A1290" i="330" s="1"/>
  <c r="A1291" i="330" s="1"/>
  <c r="A1292" i="330" s="1"/>
  <c r="A1293" i="330" s="1"/>
  <c r="A1294" i="330" s="1"/>
  <c r="A1295" i="330" s="1"/>
  <c r="A1296" i="330" s="1"/>
  <c r="A1297" i="330" s="1"/>
  <c r="A1301" i="330" s="1"/>
  <c r="A1303" i="330" s="1"/>
  <c r="A1308" i="330" s="1"/>
  <c r="A1313" i="330" s="1"/>
  <c r="A1318" i="330" s="1"/>
  <c r="A1319" i="330" s="1"/>
  <c r="A1323" i="330" s="1"/>
  <c r="A1327" i="330" s="1"/>
  <c r="A1329" i="330" s="1"/>
  <c r="A1334" i="330" s="1"/>
  <c r="A1335" i="330" s="1"/>
  <c r="A1336" i="330" s="1"/>
  <c r="A1337" i="330" s="1"/>
  <c r="A1338" i="330" s="1"/>
  <c r="A1339" i="330" s="1"/>
  <c r="A1343" i="330" s="1"/>
  <c r="A1344" i="330" s="1"/>
  <c r="A1356" i="330" s="1"/>
  <c r="A1357" i="330" s="1"/>
  <c r="A1359" i="330" s="1"/>
  <c r="A1363" i="330" s="1"/>
  <c r="A1364" i="330" s="1"/>
  <c r="A1365" i="330" s="1"/>
  <c r="A1366" i="330" s="1"/>
  <c r="A1367" i="330" s="1"/>
  <c r="A1368" i="330" s="1"/>
  <c r="A1369" i="330" s="1"/>
  <c r="A1373" i="330" s="1"/>
  <c r="A1374" i="330" s="1"/>
  <c r="A1375" i="330" s="1"/>
  <c r="A1376" i="330" s="1"/>
  <c r="A1377" i="330" s="1"/>
  <c r="A1378" i="330" s="1"/>
  <c r="A1382" i="330" s="1"/>
  <c r="A1383" i="330" s="1"/>
  <c r="A1387" i="330" s="1"/>
  <c r="A1391" i="330" s="1"/>
  <c r="A1392" i="330" s="1"/>
  <c r="A1393" i="330" s="1"/>
  <c r="A1397" i="330" s="1"/>
  <c r="A1401" i="330" s="1"/>
  <c r="A1402" i="330" s="1"/>
  <c r="A1406" i="330" s="1"/>
  <c r="A1410" i="330" s="1"/>
  <c r="A1414" i="330" s="1"/>
  <c r="A1415" i="330" s="1"/>
  <c r="A1417" i="330" s="1"/>
  <c r="A1425" i="330" s="1"/>
  <c r="A1430" i="330" s="1"/>
  <c r="A1435" i="330" s="1"/>
  <c r="A1439" i="330" s="1"/>
  <c r="A1443" i="330" s="1"/>
  <c r="A1444" i="330" s="1"/>
  <c r="A1448" i="330" s="1"/>
  <c r="A1452" i="330" s="1"/>
  <c r="A1453" i="330" s="1"/>
  <c r="A1457" i="330" s="1"/>
  <c r="A1461" i="330" s="1"/>
  <c r="A1463" i="330" s="1"/>
  <c r="A1467" i="330" s="1"/>
  <c r="A1471" i="330" s="1"/>
  <c r="A1472" i="330" s="1"/>
  <c r="A1473" i="330" s="1"/>
  <c r="A1474" i="330" s="1"/>
  <c r="A1475" i="330" s="1"/>
  <c r="A1479" i="330" s="1"/>
  <c r="A1480" i="330" s="1"/>
  <c r="A1481" i="330" s="1"/>
  <c r="A1482" i="330" s="1"/>
  <c r="A1483" i="330" s="1"/>
  <c r="A1484" i="330" s="1"/>
  <c r="A1488" i="330" s="1"/>
  <c r="A1489" i="330" s="1"/>
  <c r="A1490" i="330" s="1"/>
  <c r="A1491" i="330" s="1"/>
  <c r="A1492" i="330" s="1"/>
  <c r="A1493" i="330" s="1"/>
  <c r="A1494" i="330" s="1"/>
  <c r="A1498" i="330" s="1"/>
  <c r="A1502" i="330" s="1"/>
  <c r="A1504" i="330" s="1"/>
  <c r="A1508" i="330" s="1"/>
  <c r="A1512" i="330" s="1"/>
  <c r="A1516" i="330" s="1"/>
  <c r="A1521" i="330" s="1"/>
  <c r="A1522" i="330" s="1"/>
  <c r="A1527" i="330" s="1"/>
  <c r="A1531" i="330" s="1"/>
  <c r="A1532" i="330" s="1"/>
  <c r="A1536" i="330" s="1"/>
  <c r="A1537" i="330" s="1"/>
  <c r="A1538" i="330" s="1"/>
  <c r="A1542" i="330" s="1"/>
  <c r="A1546" i="330" s="1"/>
  <c r="A1547" i="330" s="1"/>
  <c r="A1555" i="330" s="1"/>
  <c r="A1567" i="330" s="1"/>
  <c r="A1574" i="330" s="1"/>
  <c r="A1578" i="330" s="1"/>
  <c r="A1585" i="330" s="1"/>
  <c r="A1590" i="330" s="1"/>
  <c r="A1595" i="330" s="1"/>
  <c r="A1600" i="330" s="1"/>
  <c r="A1605" i="330" s="1"/>
  <c r="A1609" i="330" s="1"/>
  <c r="A1613" i="330" s="1"/>
  <c r="A1617" i="330" s="1"/>
  <c r="A1621" i="330" s="1"/>
  <c r="A1625" i="330" s="1"/>
  <c r="A1629" i="330" s="1"/>
  <c r="A1633" i="330" s="1"/>
  <c r="A1637" i="330" s="1"/>
  <c r="A1638" i="330" s="1"/>
  <c r="A1642" i="330" s="1"/>
  <c r="A1643" i="330" s="1"/>
  <c r="A1644" i="330" s="1"/>
  <c r="A1645" i="330" s="1"/>
  <c r="A1646" i="330" s="1"/>
  <c r="A1650" i="330" s="1"/>
  <c r="A1651" i="330" s="1"/>
  <c r="A1652" i="330" s="1"/>
  <c r="A1653" i="330" s="1"/>
  <c r="A1654" i="330" s="1"/>
  <c r="A1659" i="330" s="1"/>
  <c r="A1660" i="330" s="1"/>
  <c r="A1661" i="330" s="1"/>
  <c r="A1663" i="330" s="1"/>
  <c r="A1664" i="330" s="1"/>
  <c r="A1665" i="330" s="1"/>
  <c r="A1666" i="330" s="1"/>
  <c r="A1667" i="330" s="1"/>
  <c r="A1668" i="330" s="1"/>
  <c r="A1669" i="330" s="1"/>
  <c r="A1670" i="330" s="1"/>
  <c r="A1671" i="330" s="1"/>
  <c r="A1672" i="330" s="1"/>
  <c r="A1673" i="330" s="1"/>
  <c r="A1674" i="330" s="1"/>
  <c r="A1675" i="330" s="1"/>
  <c r="A1676" i="330" s="1"/>
  <c r="A1677" i="330" s="1"/>
  <c r="A1679" i="330" s="1"/>
  <c r="A1680" i="330" s="1"/>
  <c r="A1681" i="330" s="1"/>
  <c r="A1682" i="330" s="1"/>
  <c r="A1683" i="330" s="1"/>
  <c r="A1684" i="330" s="1"/>
  <c r="A1685" i="330" s="1"/>
  <c r="A1686" i="330" s="1"/>
  <c r="A1687" i="330" s="1"/>
  <c r="A1688" i="330" s="1"/>
  <c r="A1689" i="330" s="1"/>
  <c r="A1691" i="330" s="1"/>
  <c r="A1692" i="330" s="1"/>
  <c r="A1693" i="330" s="1"/>
  <c r="A1695" i="330" s="1"/>
  <c r="A1697" i="330" s="1"/>
  <c r="A1698" i="330" s="1"/>
  <c r="A1699" i="330" s="1"/>
  <c r="A1700" i="330" s="1"/>
  <c r="A1701" i="330" s="1"/>
  <c r="A1702" i="330" s="1"/>
  <c r="A1703" i="330" s="1"/>
  <c r="A1704" i="330" s="1"/>
  <c r="A1705" i="330" s="1"/>
  <c r="A1706" i="330" s="1"/>
  <c r="A1707" i="330" s="1"/>
  <c r="A1708" i="330" s="1"/>
  <c r="A1709" i="330" s="1"/>
  <c r="A1710" i="330" s="1"/>
  <c r="A1711" i="330" s="1"/>
  <c r="A1712" i="330" s="1"/>
  <c r="A1713" i="330" s="1"/>
  <c r="A1714" i="330" s="1"/>
  <c r="A1715" i="330" s="1"/>
  <c r="A1716" i="330" s="1"/>
  <c r="A1717" i="330" s="1"/>
  <c r="A1718" i="330" s="1"/>
  <c r="A1719" i="330" s="1"/>
  <c r="A1720" i="330" s="1"/>
  <c r="A1721" i="330" s="1"/>
  <c r="A1723" i="330" s="1"/>
  <c r="A1724" i="330" s="1"/>
  <c r="A1725" i="330" s="1"/>
  <c r="A1726" i="330" s="1"/>
  <c r="A1727" i="330" s="1"/>
  <c r="A1728" i="330" s="1"/>
  <c r="A1729" i="330" s="1"/>
  <c r="A1730" i="330" s="1"/>
  <c r="A1732" i="330" s="1"/>
  <c r="A1733" i="330" s="1"/>
  <c r="A1734" i="330" s="1"/>
  <c r="A1735" i="330" s="1"/>
  <c r="A1736" i="330" s="1"/>
  <c r="A1737" i="330" s="1"/>
  <c r="A1738" i="330" s="1"/>
  <c r="A1739" i="330" s="1"/>
  <c r="A1740" i="330" s="1"/>
  <c r="A1741" i="330" s="1"/>
  <c r="A1742" i="330" s="1"/>
  <c r="A1743" i="330" s="1"/>
  <c r="A1744" i="330" s="1"/>
  <c r="A1745" i="330" s="1"/>
  <c r="A1746" i="330" s="1"/>
  <c r="A1747" i="330" s="1"/>
  <c r="A1748" i="330" s="1"/>
  <c r="A1749" i="330" s="1"/>
  <c r="A1750" i="330" s="1"/>
  <c r="A1751" i="330" s="1"/>
  <c r="A1752" i="330" s="1"/>
  <c r="A1753" i="330" s="1"/>
  <c r="A1754" i="330" s="1"/>
  <c r="A1755" i="330" s="1"/>
  <c r="A1756" i="330" s="1"/>
  <c r="A1757" i="330" s="1"/>
  <c r="A1758" i="330" s="1"/>
  <c r="A1759" i="330" s="1"/>
  <c r="A1760" i="330" s="1"/>
  <c r="A1761" i="330" s="1"/>
  <c r="A1762" i="330" s="1"/>
  <c r="AX160" i="330"/>
  <c r="AW160" i="330"/>
  <c r="AV160" i="330"/>
  <c r="AU160" i="330"/>
  <c r="AT160" i="330"/>
  <c r="AS160" i="330"/>
  <c r="AR160" i="330"/>
  <c r="AQ160" i="330"/>
  <c r="AO160" i="330"/>
  <c r="AN160" i="330"/>
  <c r="AM160" i="330"/>
  <c r="AL160" i="330"/>
  <c r="AK160" i="330"/>
  <c r="AJ160" i="330"/>
  <c r="AI160" i="330"/>
  <c r="AH160" i="330"/>
  <c r="AG160" i="330"/>
  <c r="AF160" i="330"/>
  <c r="AE160" i="330"/>
  <c r="AD160" i="330"/>
  <c r="AC160" i="330"/>
  <c r="AB160" i="330"/>
  <c r="AA160" i="330"/>
  <c r="Z160" i="330"/>
  <c r="Y160" i="330"/>
  <c r="X160" i="330"/>
  <c r="W160" i="330"/>
  <c r="V160" i="330"/>
  <c r="U160" i="330"/>
  <c r="T160" i="330"/>
  <c r="S160" i="330"/>
  <c r="R160" i="330"/>
  <c r="Q160" i="330"/>
  <c r="O160" i="330"/>
  <c r="N160" i="330"/>
  <c r="K160" i="330"/>
  <c r="F159" i="330"/>
  <c r="D159" i="330" s="1"/>
  <c r="F158" i="330"/>
  <c r="D158" i="330" s="1"/>
  <c r="F157" i="330"/>
  <c r="D157" i="330" s="1"/>
  <c r="F156" i="330"/>
  <c r="D156" i="330" s="1"/>
  <c r="F155" i="330"/>
  <c r="D155" i="330" s="1"/>
  <c r="F154" i="330"/>
  <c r="D154" i="330" s="1"/>
  <c r="F153" i="330"/>
  <c r="D153" i="330" s="1"/>
  <c r="F152" i="330"/>
  <c r="D152" i="330" s="1"/>
  <c r="F151" i="330"/>
  <c r="D151" i="330" s="1"/>
  <c r="F150" i="330"/>
  <c r="D150" i="330" s="1"/>
  <c r="F149" i="330"/>
  <c r="D149" i="330" s="1"/>
  <c r="F148" i="330"/>
  <c r="D148" i="330" s="1"/>
  <c r="F147" i="330"/>
  <c r="D147" i="330" s="1"/>
  <c r="F146" i="330"/>
  <c r="D146" i="330" s="1"/>
  <c r="F145" i="330"/>
  <c r="D145" i="330" s="1"/>
  <c r="F144" i="330"/>
  <c r="D144" i="330" s="1"/>
  <c r="AX143" i="330"/>
  <c r="AW143" i="330"/>
  <c r="AV143" i="330"/>
  <c r="AU143" i="330"/>
  <c r="AT143" i="330"/>
  <c r="AS143" i="330"/>
  <c r="AR143" i="330"/>
  <c r="AQ143" i="330"/>
  <c r="AP143" i="330"/>
  <c r="AO143" i="330"/>
  <c r="AN143" i="330"/>
  <c r="AM143" i="330"/>
  <c r="AL143" i="330"/>
  <c r="AK143" i="330"/>
  <c r="AJ143" i="330"/>
  <c r="AI143" i="330"/>
  <c r="AH143" i="330"/>
  <c r="AG143" i="330"/>
  <c r="AF143" i="330"/>
  <c r="AE143" i="330"/>
  <c r="AD143" i="330"/>
  <c r="AC143" i="330"/>
  <c r="AB143" i="330"/>
  <c r="AA143" i="330"/>
  <c r="Z143" i="330"/>
  <c r="Y143" i="330"/>
  <c r="X143" i="330"/>
  <c r="W143" i="330"/>
  <c r="V143" i="330"/>
  <c r="U143" i="330"/>
  <c r="T143" i="330"/>
  <c r="S143" i="330"/>
  <c r="R143" i="330"/>
  <c r="Q143" i="330"/>
  <c r="P143" i="330"/>
  <c r="O143" i="330"/>
  <c r="N143" i="330"/>
  <c r="M143" i="330"/>
  <c r="L143" i="330"/>
  <c r="K143" i="330"/>
  <c r="J143" i="330"/>
  <c r="I143" i="330"/>
  <c r="H143" i="330"/>
  <c r="G143" i="330"/>
  <c r="E143" i="330"/>
  <c r="F142" i="330"/>
  <c r="D142" i="330" s="1"/>
  <c r="F141" i="330"/>
  <c r="D141" i="330" s="1"/>
  <c r="F140" i="330"/>
  <c r="D140" i="330" s="1"/>
  <c r="F139" i="330"/>
  <c r="D139" i="330" s="1"/>
  <c r="AX138" i="330"/>
  <c r="AW138" i="330"/>
  <c r="AV138" i="330"/>
  <c r="AU138" i="330"/>
  <c r="AT138" i="330"/>
  <c r="AS138" i="330"/>
  <c r="AR138" i="330"/>
  <c r="AQ138" i="330"/>
  <c r="AP138" i="330"/>
  <c r="AO138" i="330"/>
  <c r="AN138" i="330"/>
  <c r="AM138" i="330"/>
  <c r="AL138" i="330"/>
  <c r="AK138" i="330"/>
  <c r="AJ138" i="330"/>
  <c r="AI138" i="330"/>
  <c r="AH138" i="330"/>
  <c r="AG138" i="330"/>
  <c r="AF138" i="330"/>
  <c r="AE138" i="330"/>
  <c r="AD138" i="330"/>
  <c r="AC138" i="330"/>
  <c r="AB138" i="330"/>
  <c r="AA138" i="330"/>
  <c r="Z138" i="330"/>
  <c r="Y138" i="330"/>
  <c r="X138" i="330"/>
  <c r="W138" i="330"/>
  <c r="V138" i="330"/>
  <c r="U138" i="330"/>
  <c r="T138" i="330"/>
  <c r="S138" i="330"/>
  <c r="R138" i="330"/>
  <c r="Q138" i="330"/>
  <c r="P138" i="330"/>
  <c r="O138" i="330"/>
  <c r="N138" i="330"/>
  <c r="M138" i="330"/>
  <c r="L138" i="330"/>
  <c r="K138" i="330"/>
  <c r="J138" i="330"/>
  <c r="I138" i="330"/>
  <c r="H138" i="330"/>
  <c r="G138" i="330"/>
  <c r="E138" i="330"/>
  <c r="F137" i="330"/>
  <c r="D137" i="330" s="1"/>
  <c r="F136" i="330"/>
  <c r="D136" i="330" s="1"/>
  <c r="F135" i="330"/>
  <c r="D135" i="330" s="1"/>
  <c r="F134" i="330"/>
  <c r="D134" i="330" s="1"/>
  <c r="F133" i="330"/>
  <c r="D133" i="330" s="1"/>
  <c r="F132" i="330"/>
  <c r="D132" i="330" s="1"/>
  <c r="F131" i="330"/>
  <c r="D131" i="330" s="1"/>
  <c r="F130" i="330"/>
  <c r="D130" i="330" s="1"/>
  <c r="F129" i="330"/>
  <c r="D129" i="330" s="1"/>
  <c r="F128" i="330"/>
  <c r="D128" i="330" s="1"/>
  <c r="F127" i="330"/>
  <c r="D127" i="330" s="1"/>
  <c r="F126" i="330"/>
  <c r="D126" i="330" s="1"/>
  <c r="F125" i="330"/>
  <c r="D125" i="330" s="1"/>
  <c r="F124" i="330"/>
  <c r="D124" i="330" s="1"/>
  <c r="F123" i="330"/>
  <c r="D123" i="330" s="1"/>
  <c r="F122" i="330"/>
  <c r="D122" i="330" s="1"/>
  <c r="F121" i="330"/>
  <c r="D121" i="330" s="1"/>
  <c r="F120" i="330"/>
  <c r="D120" i="330" s="1"/>
  <c r="F119" i="330"/>
  <c r="D119" i="330" s="1"/>
  <c r="F118" i="330"/>
  <c r="D118" i="330" s="1"/>
  <c r="F117" i="330"/>
  <c r="D117" i="330" s="1"/>
  <c r="F116" i="330"/>
  <c r="D116" i="330" s="1"/>
  <c r="F115" i="330"/>
  <c r="D115" i="330" s="1"/>
  <c r="F114" i="330"/>
  <c r="D114" i="330" s="1"/>
  <c r="F113" i="330"/>
  <c r="D113" i="330" s="1"/>
  <c r="F112" i="330"/>
  <c r="D112" i="330" s="1"/>
  <c r="F111" i="330"/>
  <c r="D111" i="330" s="1"/>
  <c r="F110" i="330"/>
  <c r="D110" i="330" s="1"/>
  <c r="F109" i="330"/>
  <c r="D109" i="330" s="1"/>
  <c r="F108" i="330"/>
  <c r="D108" i="330" s="1"/>
  <c r="F107" i="330"/>
  <c r="D107" i="330" s="1"/>
  <c r="F106" i="330"/>
  <c r="D106" i="330" s="1"/>
  <c r="F105" i="330"/>
  <c r="D105" i="330" s="1"/>
  <c r="F104" i="330"/>
  <c r="D104" i="330" s="1"/>
  <c r="F103" i="330"/>
  <c r="D103" i="330" s="1"/>
  <c r="F102" i="330"/>
  <c r="D102" i="330" s="1"/>
  <c r="F101" i="330"/>
  <c r="D101" i="330" s="1"/>
  <c r="F100" i="330"/>
  <c r="D100" i="330" s="1"/>
  <c r="F99" i="330"/>
  <c r="D99" i="330" s="1"/>
  <c r="I98" i="330"/>
  <c r="F98" i="330" s="1"/>
  <c r="D98" i="330" s="1"/>
  <c r="F97" i="330"/>
  <c r="D97" i="330" s="1"/>
  <c r="F96" i="330"/>
  <c r="D96" i="330" s="1"/>
  <c r="F95" i="330"/>
  <c r="D95" i="330" s="1"/>
  <c r="F94" i="330"/>
  <c r="D94" i="330" s="1"/>
  <c r="F93" i="330"/>
  <c r="D93" i="330" s="1"/>
  <c r="F92" i="330"/>
  <c r="D92" i="330" s="1"/>
  <c r="F91" i="330"/>
  <c r="D91" i="330" s="1"/>
  <c r="F90" i="330"/>
  <c r="D90" i="330" s="1"/>
  <c r="F89" i="330"/>
  <c r="D89" i="330"/>
  <c r="F88" i="330"/>
  <c r="D88" i="330" s="1"/>
  <c r="BD87" i="330"/>
  <c r="F87" i="330"/>
  <c r="D87" i="330" s="1"/>
  <c r="AX86" i="330"/>
  <c r="AW86" i="330"/>
  <c r="AV86" i="330"/>
  <c r="AU86" i="330"/>
  <c r="AT86" i="330"/>
  <c r="AS86" i="330"/>
  <c r="AR86" i="330"/>
  <c r="AQ86" i="330"/>
  <c r="AP86" i="330"/>
  <c r="AO86" i="330"/>
  <c r="AN86" i="330"/>
  <c r="AM86" i="330"/>
  <c r="AL86" i="330"/>
  <c r="AK86" i="330"/>
  <c r="AJ86" i="330"/>
  <c r="AI86" i="330"/>
  <c r="AH86" i="330"/>
  <c r="AG86" i="330"/>
  <c r="AF86" i="330"/>
  <c r="AE86" i="330"/>
  <c r="AD86" i="330"/>
  <c r="AC86" i="330"/>
  <c r="AB86" i="330"/>
  <c r="AA86" i="330"/>
  <c r="Z86" i="330"/>
  <c r="Y86" i="330"/>
  <c r="X86" i="330"/>
  <c r="W86" i="330"/>
  <c r="V86" i="330"/>
  <c r="U86" i="330"/>
  <c r="T86" i="330"/>
  <c r="S86" i="330"/>
  <c r="R86" i="330"/>
  <c r="Q86" i="330"/>
  <c r="P86" i="330"/>
  <c r="O86" i="330"/>
  <c r="N86" i="330"/>
  <c r="M86" i="330"/>
  <c r="L86" i="330"/>
  <c r="K86" i="330"/>
  <c r="J86" i="330"/>
  <c r="H86" i="330"/>
  <c r="G86" i="330"/>
  <c r="E86" i="330"/>
  <c r="F85" i="330"/>
  <c r="D85" i="330" s="1"/>
  <c r="F84" i="330"/>
  <c r="D84" i="330" s="1"/>
  <c r="F83" i="330"/>
  <c r="D83" i="330" s="1"/>
  <c r="F82" i="330"/>
  <c r="D82" i="330" s="1"/>
  <c r="F81" i="330"/>
  <c r="D81" i="330" s="1"/>
  <c r="F80" i="330"/>
  <c r="D80" i="330" s="1"/>
  <c r="F79" i="330"/>
  <c r="D79" i="330" s="1"/>
  <c r="F78" i="330"/>
  <c r="D78" i="330" s="1"/>
  <c r="F77" i="330"/>
  <c r="D77" i="330" s="1"/>
  <c r="BC76" i="330"/>
  <c r="F76" i="330"/>
  <c r="D76" i="330" s="1"/>
  <c r="F75" i="330"/>
  <c r="D75" i="330" s="1"/>
  <c r="F74" i="330"/>
  <c r="D74" i="330" s="1"/>
  <c r="F73" i="330"/>
  <c r="D73" i="330" s="1"/>
  <c r="F72" i="330"/>
  <c r="D72" i="330" s="1"/>
  <c r="F71" i="330"/>
  <c r="D71" i="330" s="1"/>
  <c r="F70" i="330"/>
  <c r="D70" i="330" s="1"/>
  <c r="F69" i="330"/>
  <c r="D69" i="330" s="1"/>
  <c r="F68" i="330"/>
  <c r="D68" i="330" s="1"/>
  <c r="F67" i="330"/>
  <c r="D67" i="330" s="1"/>
  <c r="F66" i="330"/>
  <c r="D66" i="330" s="1"/>
  <c r="F65" i="330"/>
  <c r="D65" i="330" s="1"/>
  <c r="F64" i="330"/>
  <c r="D64" i="330" s="1"/>
  <c r="F63" i="330"/>
  <c r="D63" i="330" s="1"/>
  <c r="F62" i="330"/>
  <c r="D62" i="330" s="1"/>
  <c r="F61" i="330"/>
  <c r="D61" i="330" s="1"/>
  <c r="F60" i="330"/>
  <c r="D60" i="330" s="1"/>
  <c r="F59" i="330"/>
  <c r="D59" i="330" s="1"/>
  <c r="F58" i="330"/>
  <c r="D58" i="330" s="1"/>
  <c r="F57" i="330"/>
  <c r="D57" i="330" s="1"/>
  <c r="F56" i="330"/>
  <c r="D56" i="330" s="1"/>
  <c r="F55" i="330"/>
  <c r="D55" i="330" s="1"/>
  <c r="F54" i="330"/>
  <c r="D54" i="330" s="1"/>
  <c r="F53" i="330"/>
  <c r="D53" i="330" s="1"/>
  <c r="F52" i="330"/>
  <c r="D52" i="330" s="1"/>
  <c r="F51" i="330"/>
  <c r="D51" i="330" s="1"/>
  <c r="F50" i="330"/>
  <c r="D50" i="330" s="1"/>
  <c r="F49" i="330"/>
  <c r="D49" i="330" s="1"/>
  <c r="M48" i="330"/>
  <c r="M40" i="330"/>
  <c r="F47" i="330"/>
  <c r="D47" i="330" s="1"/>
  <c r="F46" i="330"/>
  <c r="D46" i="330" s="1"/>
  <c r="F45" i="330"/>
  <c r="D45" i="330" s="1"/>
  <c r="F44" i="330"/>
  <c r="D44" i="330" s="1"/>
  <c r="F43" i="330"/>
  <c r="D43" i="330" s="1"/>
  <c r="F42" i="330"/>
  <c r="D42" i="330" s="1"/>
  <c r="F41" i="330"/>
  <c r="D41" i="330" s="1"/>
  <c r="AX40" i="330"/>
  <c r="AW40" i="330"/>
  <c r="AV40" i="330"/>
  <c r="AU40" i="330"/>
  <c r="AT40" i="330"/>
  <c r="AS40" i="330"/>
  <c r="AR40" i="330"/>
  <c r="AQ40" i="330"/>
  <c r="AP40" i="330"/>
  <c r="AO40" i="330"/>
  <c r="AN40" i="330"/>
  <c r="AM40" i="330"/>
  <c r="AL40" i="330"/>
  <c r="AK40" i="330"/>
  <c r="AJ40" i="330"/>
  <c r="AI40" i="330"/>
  <c r="AH40" i="330"/>
  <c r="AG40" i="330"/>
  <c r="AF40" i="330"/>
  <c r="AE40" i="330"/>
  <c r="AD40" i="330"/>
  <c r="AC40" i="330"/>
  <c r="AB40" i="330"/>
  <c r="AA40" i="330"/>
  <c r="Z40" i="330"/>
  <c r="Y40" i="330"/>
  <c r="X40" i="330"/>
  <c r="W40" i="330"/>
  <c r="V40" i="330"/>
  <c r="U40" i="330"/>
  <c r="T40" i="330"/>
  <c r="S40" i="330"/>
  <c r="R40" i="330"/>
  <c r="Q40" i="330"/>
  <c r="P40" i="330"/>
  <c r="O40" i="330"/>
  <c r="N40" i="330"/>
  <c r="L40" i="330"/>
  <c r="K40" i="330"/>
  <c r="J40" i="330"/>
  <c r="I40" i="330"/>
  <c r="H40" i="330"/>
  <c r="G40" i="330"/>
  <c r="E40" i="330"/>
  <c r="M39" i="330"/>
  <c r="AP38" i="330"/>
  <c r="AP34" i="330" s="1"/>
  <c r="J38" i="330"/>
  <c r="I37" i="330"/>
  <c r="F37" i="330" s="1"/>
  <c r="D37" i="330" s="1"/>
  <c r="F36" i="330"/>
  <c r="D36" i="330" s="1"/>
  <c r="F35" i="330"/>
  <c r="D35" i="330" s="1"/>
  <c r="AX34" i="330"/>
  <c r="AW34" i="330"/>
  <c r="AV34" i="330"/>
  <c r="AU34" i="330"/>
  <c r="AT34" i="330"/>
  <c r="AS34" i="330"/>
  <c r="AR34" i="330"/>
  <c r="AQ34" i="330"/>
  <c r="AO34" i="330"/>
  <c r="AN34" i="330"/>
  <c r="AM34" i="330"/>
  <c r="AL34" i="330"/>
  <c r="AK34" i="330"/>
  <c r="AJ34" i="330"/>
  <c r="AI34" i="330"/>
  <c r="AH34" i="330"/>
  <c r="AG34" i="330"/>
  <c r="AF34" i="330"/>
  <c r="AE34" i="330"/>
  <c r="AD34" i="330"/>
  <c r="AC34" i="330"/>
  <c r="AB34" i="330"/>
  <c r="AA34" i="330"/>
  <c r="Z34" i="330"/>
  <c r="Y34" i="330"/>
  <c r="X34" i="330"/>
  <c r="W34" i="330"/>
  <c r="V34" i="330"/>
  <c r="U34" i="330"/>
  <c r="T34" i="330"/>
  <c r="S34" i="330"/>
  <c r="R34" i="330"/>
  <c r="Q34" i="330"/>
  <c r="P34" i="330"/>
  <c r="O34" i="330"/>
  <c r="N34" i="330"/>
  <c r="L34" i="330"/>
  <c r="K34" i="330"/>
  <c r="H34" i="330"/>
  <c r="G34" i="330"/>
  <c r="E34" i="330"/>
  <c r="F33" i="330"/>
  <c r="D33" i="330" s="1"/>
  <c r="F32" i="330"/>
  <c r="D32" i="330" s="1"/>
  <c r="F31" i="330"/>
  <c r="D31" i="330" s="1"/>
  <c r="F30" i="330"/>
  <c r="D30" i="330" s="1"/>
  <c r="F29" i="330"/>
  <c r="D29" i="330" s="1"/>
  <c r="F28" i="330"/>
  <c r="D28" i="330" s="1"/>
  <c r="G27" i="330"/>
  <c r="G16" i="330" s="1"/>
  <c r="F26" i="330"/>
  <c r="D26" i="330" s="1"/>
  <c r="F25" i="330"/>
  <c r="D25" i="330" s="1"/>
  <c r="F24" i="330"/>
  <c r="D24" i="330" s="1"/>
  <c r="F23" i="330"/>
  <c r="D23" i="330" s="1"/>
  <c r="F22" i="330"/>
  <c r="D22" i="330" s="1"/>
  <c r="F21" i="330"/>
  <c r="D21" i="330" s="1"/>
  <c r="F20" i="330"/>
  <c r="D20" i="330" s="1"/>
  <c r="F19" i="330"/>
  <c r="D19" i="330" s="1"/>
  <c r="F18" i="330"/>
  <c r="D18" i="330" s="1"/>
  <c r="F17" i="330"/>
  <c r="D17" i="330" s="1"/>
  <c r="AX16" i="330"/>
  <c r="AW16" i="330"/>
  <c r="AV16" i="330"/>
  <c r="AU16" i="330"/>
  <c r="AT16" i="330"/>
  <c r="AS16" i="330"/>
  <c r="AR16" i="330"/>
  <c r="AQ16" i="330"/>
  <c r="AP16" i="330"/>
  <c r="AO16" i="330"/>
  <c r="AN16" i="330"/>
  <c r="AM16" i="330"/>
  <c r="AL16" i="330"/>
  <c r="AK16" i="330"/>
  <c r="AJ16" i="330"/>
  <c r="AI16" i="330"/>
  <c r="AH16" i="330"/>
  <c r="AG16" i="330"/>
  <c r="AF16" i="330"/>
  <c r="AE16" i="330"/>
  <c r="AD16" i="330"/>
  <c r="AC16" i="330"/>
  <c r="AB16" i="330"/>
  <c r="AA16" i="330"/>
  <c r="Z16" i="330"/>
  <c r="Y16" i="330"/>
  <c r="X16" i="330"/>
  <c r="W16" i="330"/>
  <c r="V16" i="330"/>
  <c r="U16" i="330"/>
  <c r="T16" i="330"/>
  <c r="S16" i="330"/>
  <c r="R16" i="330"/>
  <c r="Q16" i="330"/>
  <c r="P16" i="330"/>
  <c r="O16" i="330"/>
  <c r="N16" i="330"/>
  <c r="M16" i="330"/>
  <c r="L16" i="330"/>
  <c r="K16" i="330"/>
  <c r="J16" i="330"/>
  <c r="I16" i="330"/>
  <c r="H16" i="330"/>
  <c r="E16" i="330"/>
  <c r="F15" i="330"/>
  <c r="D15" i="330" s="1"/>
  <c r="F14" i="330"/>
  <c r="D14" i="330" s="1"/>
  <c r="F13" i="330"/>
  <c r="D13" i="330" s="1"/>
  <c r="F12" i="330"/>
  <c r="D12" i="330" s="1"/>
  <c r="F11" i="330"/>
  <c r="D11" i="330" s="1"/>
  <c r="F10" i="330"/>
  <c r="D10" i="330" s="1"/>
  <c r="F9" i="330"/>
  <c r="D9" i="330" s="1"/>
  <c r="A9" i="330"/>
  <c r="A10" i="330" s="1"/>
  <c r="A11" i="330" s="1"/>
  <c r="A12" i="330" s="1"/>
  <c r="A13" i="330" s="1"/>
  <c r="A14" i="330" s="1"/>
  <c r="A15" i="330" s="1"/>
  <c r="A17" i="330" s="1"/>
  <c r="A18" i="330" s="1"/>
  <c r="A19" i="330" s="1"/>
  <c r="A20" i="330" s="1"/>
  <c r="A21" i="330" s="1"/>
  <c r="A22" i="330" s="1"/>
  <c r="A23" i="330" s="1"/>
  <c r="A24" i="330" s="1"/>
  <c r="A25" i="330" s="1"/>
  <c r="A26" i="330" s="1"/>
  <c r="A27" i="330" s="1"/>
  <c r="A28" i="330" s="1"/>
  <c r="A29" i="330" s="1"/>
  <c r="A30" i="330" s="1"/>
  <c r="A31" i="330" s="1"/>
  <c r="A32" i="330" s="1"/>
  <c r="A33" i="330" s="1"/>
  <c r="A35" i="330" s="1"/>
  <c r="A36" i="330" s="1"/>
  <c r="A37" i="330" s="1"/>
  <c r="A38" i="330" s="1"/>
  <c r="A39" i="330" s="1"/>
  <c r="A41" i="330" s="1"/>
  <c r="A42" i="330" s="1"/>
  <c r="A43" i="330" s="1"/>
  <c r="A44" i="330" s="1"/>
  <c r="A45" i="330" s="1"/>
  <c r="A46" i="330" s="1"/>
  <c r="A47" i="330" s="1"/>
  <c r="A48" i="330" s="1"/>
  <c r="A49" i="330" s="1"/>
  <c r="A50" i="330" s="1"/>
  <c r="A51" i="330" s="1"/>
  <c r="A52" i="330" s="1"/>
  <c r="A53" i="330" s="1"/>
  <c r="A54" i="330" s="1"/>
  <c r="A55" i="330" s="1"/>
  <c r="A56" i="330" s="1"/>
  <c r="A57" i="330" s="1"/>
  <c r="A58" i="330" s="1"/>
  <c r="A59" i="330" s="1"/>
  <c r="A60" i="330" s="1"/>
  <c r="A61" i="330" s="1"/>
  <c r="A62" i="330" s="1"/>
  <c r="A63" i="330" s="1"/>
  <c r="A64" i="330" s="1"/>
  <c r="A65" i="330" s="1"/>
  <c r="A66" i="330" s="1"/>
  <c r="A67" i="330" s="1"/>
  <c r="A68" i="330" s="1"/>
  <c r="A69" i="330" s="1"/>
  <c r="A70" i="330" s="1"/>
  <c r="A71" i="330" s="1"/>
  <c r="A72" i="330" s="1"/>
  <c r="A73" i="330" s="1"/>
  <c r="A74" i="330" s="1"/>
  <c r="A75" i="330" s="1"/>
  <c r="A76" i="330" s="1"/>
  <c r="A77" i="330" s="1"/>
  <c r="A78" i="330" s="1"/>
  <c r="A79" i="330" s="1"/>
  <c r="A80" i="330" s="1"/>
  <c r="A81" i="330" s="1"/>
  <c r="A82" i="330" s="1"/>
  <c r="A83" i="330" s="1"/>
  <c r="A84" i="330" s="1"/>
  <c r="A85" i="330" s="1"/>
  <c r="A87" i="330" s="1"/>
  <c r="A88" i="330" s="1"/>
  <c r="A89" i="330" s="1"/>
  <c r="A90" i="330" s="1"/>
  <c r="A91" i="330" s="1"/>
  <c r="A92" i="330" s="1"/>
  <c r="A93" i="330" s="1"/>
  <c r="A94" i="330" s="1"/>
  <c r="A95" i="330" s="1"/>
  <c r="A96" i="330" s="1"/>
  <c r="A97" i="330" s="1"/>
  <c r="A98" i="330" s="1"/>
  <c r="A99" i="330" s="1"/>
  <c r="A100" i="330" s="1"/>
  <c r="A101" i="330" s="1"/>
  <c r="A102" i="330" s="1"/>
  <c r="A103" i="330" s="1"/>
  <c r="A104" i="330" s="1"/>
  <c r="A105" i="330" s="1"/>
  <c r="A106" i="330" s="1"/>
  <c r="A107" i="330" s="1"/>
  <c r="A108" i="330" s="1"/>
  <c r="A109" i="330" s="1"/>
  <c r="A110" i="330" s="1"/>
  <c r="A111" i="330" s="1"/>
  <c r="A112" i="330" s="1"/>
  <c r="A113" i="330" s="1"/>
  <c r="A114" i="330" s="1"/>
  <c r="A115" i="330" s="1"/>
  <c r="A116" i="330" s="1"/>
  <c r="A117" i="330" s="1"/>
  <c r="A118" i="330" s="1"/>
  <c r="A119" i="330" s="1"/>
  <c r="A120" i="330" s="1"/>
  <c r="A121" i="330" s="1"/>
  <c r="A122" i="330" s="1"/>
  <c r="A123" i="330" s="1"/>
  <c r="A124" i="330" s="1"/>
  <c r="A125" i="330" s="1"/>
  <c r="A126" i="330" s="1"/>
  <c r="A127" i="330" s="1"/>
  <c r="A128" i="330" s="1"/>
  <c r="A129" i="330" s="1"/>
  <c r="A130" i="330" s="1"/>
  <c r="A131" i="330" s="1"/>
  <c r="A132" i="330" s="1"/>
  <c r="A133" i="330" s="1"/>
  <c r="A134" i="330" s="1"/>
  <c r="A135" i="330" s="1"/>
  <c r="A136" i="330" s="1"/>
  <c r="A137" i="330" s="1"/>
  <c r="A139" i="330" s="1"/>
  <c r="A140" i="330" s="1"/>
  <c r="A141" i="330" s="1"/>
  <c r="A142" i="330" s="1"/>
  <c r="A144" i="330" s="1"/>
  <c r="A145" i="330" s="1"/>
  <c r="A146" i="330" s="1"/>
  <c r="A147" i="330" s="1"/>
  <c r="A148" i="330" s="1"/>
  <c r="A149" i="330" s="1"/>
  <c r="A150" i="330" s="1"/>
  <c r="A151" i="330" s="1"/>
  <c r="A152" i="330" s="1"/>
  <c r="A153" i="330" s="1"/>
  <c r="A154" i="330" s="1"/>
  <c r="A155" i="330" s="1"/>
  <c r="A156" i="330" s="1"/>
  <c r="A157" i="330" s="1"/>
  <c r="A158" i="330" s="1"/>
  <c r="F8" i="330"/>
  <c r="D8" i="330" s="1"/>
  <c r="AX7" i="330"/>
  <c r="AW7" i="330"/>
  <c r="AV7" i="330"/>
  <c r="AU7" i="330"/>
  <c r="AT7" i="330"/>
  <c r="AS7" i="330"/>
  <c r="AR7" i="330"/>
  <c r="AQ7" i="330"/>
  <c r="AP7" i="330"/>
  <c r="AO7" i="330"/>
  <c r="AN7" i="330"/>
  <c r="AM7" i="330"/>
  <c r="AL7" i="330"/>
  <c r="AK7" i="330"/>
  <c r="AJ7" i="330"/>
  <c r="AI7" i="330"/>
  <c r="AH7" i="330"/>
  <c r="AG7" i="330"/>
  <c r="AF7" i="330"/>
  <c r="AE7" i="330"/>
  <c r="AD7" i="330"/>
  <c r="AC7" i="330"/>
  <c r="AB7" i="330"/>
  <c r="AA7" i="330"/>
  <c r="Z7" i="330"/>
  <c r="Y7" i="330"/>
  <c r="X7" i="330"/>
  <c r="W7" i="330"/>
  <c r="V7" i="330"/>
  <c r="U7" i="330"/>
  <c r="T7" i="330"/>
  <c r="S7" i="330"/>
  <c r="R7" i="330"/>
  <c r="Q7" i="330"/>
  <c r="P7" i="330"/>
  <c r="O7" i="330"/>
  <c r="N7" i="330"/>
  <c r="M7" i="330"/>
  <c r="L7" i="330"/>
  <c r="K7" i="330"/>
  <c r="J7" i="330"/>
  <c r="I7" i="330"/>
  <c r="H7" i="330"/>
  <c r="G7" i="330"/>
  <c r="E7" i="330"/>
  <c r="F27" i="330"/>
  <c r="D27" i="330" s="1"/>
  <c r="D735" i="330"/>
  <c r="D1183" i="330"/>
  <c r="D1060" i="330"/>
  <c r="G1093" i="330"/>
  <c r="D1084" i="330"/>
  <c r="G1121" i="330"/>
  <c r="F1126" i="330"/>
  <c r="D1126" i="330" s="1"/>
  <c r="J1203" i="330"/>
  <c r="J1213" i="330"/>
  <c r="D1318" i="330"/>
  <c r="D1463" i="330"/>
  <c r="Z1604" i="330"/>
  <c r="M1731" i="330"/>
  <c r="F48" i="330"/>
  <c r="D48" i="330" s="1"/>
  <c r="F742" i="330"/>
  <c r="D742" i="330" s="1"/>
  <c r="F1378" i="330"/>
  <c r="D1378" i="330" s="1"/>
  <c r="F1578" i="330"/>
  <c r="D1578" i="330" s="1"/>
  <c r="F1723" i="330"/>
  <c r="D1723" i="330" s="1"/>
  <c r="F745" i="332"/>
  <c r="D745" i="332" s="1"/>
  <c r="D748" i="332"/>
  <c r="F161" i="330"/>
  <c r="D161" i="330" s="1"/>
  <c r="I160" i="330"/>
  <c r="F879" i="330"/>
  <c r="D879" i="330" s="1"/>
  <c r="H841" i="330"/>
  <c r="K770" i="332"/>
  <c r="F1089" i="330"/>
  <c r="F1083" i="330" s="1"/>
  <c r="F365" i="332"/>
  <c r="D365" i="332" s="1"/>
  <c r="F926" i="330"/>
  <c r="D926" i="330" s="1"/>
  <c r="I929" i="330"/>
  <c r="I905" i="330"/>
  <c r="P160" i="330"/>
  <c r="F173" i="330"/>
  <c r="D173" i="330" s="1"/>
  <c r="D297" i="330"/>
  <c r="AP820" i="330"/>
  <c r="F1302" i="330"/>
  <c r="D1302" i="330" s="1"/>
  <c r="D346" i="332"/>
  <c r="AQ1554" i="330"/>
  <c r="AQ1584" i="330"/>
  <c r="D1023" i="330"/>
  <c r="Z1358" i="330"/>
  <c r="J1566" i="330"/>
  <c r="E42" i="336"/>
  <c r="F42" i="336" s="1"/>
  <c r="D50" i="345"/>
  <c r="E50" i="345" s="1"/>
  <c r="E41" i="336"/>
  <c r="F41" i="336" s="1"/>
  <c r="F1608" i="330" l="1"/>
  <c r="D1608" i="330" s="1"/>
  <c r="AE594" i="330"/>
  <c r="F746" i="330"/>
  <c r="D746" i="330" s="1"/>
  <c r="F766" i="330"/>
  <c r="D766" i="330" s="1"/>
  <c r="F770" i="330"/>
  <c r="D770" i="330" s="1"/>
  <c r="F1140" i="330"/>
  <c r="D1140" i="330" s="1"/>
  <c r="F1153" i="330"/>
  <c r="D1153" i="330" s="1"/>
  <c r="F1434" i="330"/>
  <c r="D1434" i="330" s="1"/>
  <c r="F1507" i="330"/>
  <c r="D1507" i="330" s="1"/>
  <c r="F1624" i="330"/>
  <c r="D1624" i="330" s="1"/>
  <c r="F1628" i="330"/>
  <c r="D1628" i="330" s="1"/>
  <c r="F1678" i="330"/>
  <c r="D1678" i="330" s="1"/>
  <c r="G44" i="332"/>
  <c r="F44" i="332" s="1"/>
  <c r="D44" i="332" s="1"/>
  <c r="F463" i="332"/>
  <c r="D463" i="332" s="1"/>
  <c r="V594" i="330"/>
  <c r="V1763" i="330" s="1"/>
  <c r="F1026" i="330"/>
  <c r="D1026" i="330" s="1"/>
  <c r="F1030" i="330"/>
  <c r="D1030" i="330" s="1"/>
  <c r="F1589" i="330"/>
  <c r="D1589" i="330" s="1"/>
  <c r="F1594" i="330"/>
  <c r="D1594" i="330" s="1"/>
  <c r="F1662" i="330"/>
  <c r="D1662" i="330" s="1"/>
  <c r="AH935" i="332"/>
  <c r="AH937" i="332" s="1"/>
  <c r="F663" i="330"/>
  <c r="D663" i="330" s="1"/>
  <c r="F688" i="330"/>
  <c r="D688" i="330" s="1"/>
  <c r="F1577" i="330"/>
  <c r="D1577" i="330" s="1"/>
  <c r="W935" i="332"/>
  <c r="W937" i="332" s="1"/>
  <c r="F532" i="332"/>
  <c r="D532" i="332" s="1"/>
  <c r="F1088" i="330"/>
  <c r="D1088" i="330" s="1"/>
  <c r="D1001" i="330"/>
  <c r="F1018" i="330"/>
  <c r="D1018" i="330" s="1"/>
  <c r="F1573" i="330"/>
  <c r="D1573" i="330" s="1"/>
  <c r="AN935" i="332"/>
  <c r="AN937" i="332" s="1"/>
  <c r="AL935" i="332"/>
  <c r="AL937" i="332" s="1"/>
  <c r="F1237" i="330"/>
  <c r="D1237" i="330" s="1"/>
  <c r="F652" i="330"/>
  <c r="D652" i="330" s="1"/>
  <c r="F1014" i="330"/>
  <c r="D1014" i="330" s="1"/>
  <c r="F1227" i="330"/>
  <c r="D1227" i="330" s="1"/>
  <c r="F1447" i="330"/>
  <c r="D1447" i="330" s="1"/>
  <c r="F1497" i="330"/>
  <c r="D1497" i="330" s="1"/>
  <c r="F1530" i="330"/>
  <c r="D1530" i="330" s="1"/>
  <c r="F1535" i="330"/>
  <c r="D1535" i="330" s="1"/>
  <c r="AA935" i="332"/>
  <c r="AA937" i="332" s="1"/>
  <c r="AQ935" i="332"/>
  <c r="AQ937" i="332" s="1"/>
  <c r="D1083" i="330"/>
  <c r="AD1203" i="330"/>
  <c r="AD594" i="330" s="1"/>
  <c r="AD1763" i="330" s="1"/>
  <c r="AJ594" i="330"/>
  <c r="AJ1763" i="330" s="1"/>
  <c r="F1006" i="330"/>
  <c r="D1006" i="330" s="1"/>
  <c r="F1010" i="330"/>
  <c r="D1010" i="330" s="1"/>
  <c r="F1079" i="330"/>
  <c r="D1079" i="330" s="1"/>
  <c r="F1390" i="330"/>
  <c r="D1390" i="330" s="1"/>
  <c r="F1466" i="330"/>
  <c r="D1466" i="330" s="1"/>
  <c r="F785" i="332"/>
  <c r="D785" i="332" s="1"/>
  <c r="W594" i="330"/>
  <c r="AM594" i="330"/>
  <c r="F808" i="330"/>
  <c r="D808" i="330" s="1"/>
  <c r="AK594" i="330"/>
  <c r="F1612" i="330"/>
  <c r="D1612" i="330" s="1"/>
  <c r="E336" i="330"/>
  <c r="AL594" i="330"/>
  <c r="AL1763" i="330" s="1"/>
  <c r="F1165" i="330"/>
  <c r="D1165" i="330" s="1"/>
  <c r="F1281" i="330"/>
  <c r="D1281" i="330" s="1"/>
  <c r="F1328" i="330"/>
  <c r="D1328" i="330" s="1"/>
  <c r="F1351" i="330"/>
  <c r="D1351" i="330" s="1"/>
  <c r="F882" i="332"/>
  <c r="D882" i="332" s="1"/>
  <c r="F348" i="330"/>
  <c r="D348" i="330" s="1"/>
  <c r="Y594" i="330"/>
  <c r="AO594" i="330"/>
  <c r="F939" i="330"/>
  <c r="D939" i="330" s="1"/>
  <c r="F949" i="330"/>
  <c r="D949" i="330" s="1"/>
  <c r="F959" i="330"/>
  <c r="D959" i="330" s="1"/>
  <c r="F1161" i="330"/>
  <c r="D1161" i="330" s="1"/>
  <c r="F1269" i="330"/>
  <c r="D1269" i="330" s="1"/>
  <c r="F1326" i="330"/>
  <c r="D1326" i="330" s="1"/>
  <c r="F1690" i="330"/>
  <c r="D1690" i="330" s="1"/>
  <c r="I726" i="332"/>
  <c r="I935" i="332" s="1"/>
  <c r="I937" i="332" s="1"/>
  <c r="F818" i="332"/>
  <c r="D818" i="332" s="1"/>
  <c r="F884" i="330"/>
  <c r="D884" i="330" s="1"/>
  <c r="F910" i="330"/>
  <c r="D910" i="330" s="1"/>
  <c r="F945" i="330"/>
  <c r="D945" i="330" s="1"/>
  <c r="F1130" i="330"/>
  <c r="D1130" i="330" s="1"/>
  <c r="F1136" i="330"/>
  <c r="D1136" i="330" s="1"/>
  <c r="F1251" i="330"/>
  <c r="D1251" i="330" s="1"/>
  <c r="F1312" i="330"/>
  <c r="D1312" i="330" s="1"/>
  <c r="F95" i="332"/>
  <c r="D95" i="332" s="1"/>
  <c r="Q594" i="330"/>
  <c r="F986" i="330"/>
  <c r="D986" i="330" s="1"/>
  <c r="F1232" i="330"/>
  <c r="D1232" i="330" s="1"/>
  <c r="F1438" i="330"/>
  <c r="D1438" i="330" s="1"/>
  <c r="F1442" i="330"/>
  <c r="D1442" i="330" s="1"/>
  <c r="F1451" i="330"/>
  <c r="D1451" i="330" s="1"/>
  <c r="F1478" i="330"/>
  <c r="D1478" i="330" s="1"/>
  <c r="F1511" i="330"/>
  <c r="D1511" i="330" s="1"/>
  <c r="F1526" i="330"/>
  <c r="D1526" i="330" s="1"/>
  <c r="K594" i="330"/>
  <c r="K1763" i="330" s="1"/>
  <c r="F627" i="330"/>
  <c r="D627" i="330" s="1"/>
  <c r="AF594" i="330"/>
  <c r="AV594" i="330"/>
  <c r="F1001" i="330"/>
  <c r="G1696" i="330"/>
  <c r="AC594" i="330"/>
  <c r="AQ594" i="330"/>
  <c r="F1176" i="330"/>
  <c r="D1176" i="330" s="1"/>
  <c r="F1180" i="330"/>
  <c r="D1180" i="330" s="1"/>
  <c r="F1192" i="330"/>
  <c r="D1192" i="330" s="1"/>
  <c r="F1201" i="330"/>
  <c r="D1201" i="330" s="1"/>
  <c r="F1372" i="330"/>
  <c r="D1372" i="330" s="1"/>
  <c r="F1641" i="330"/>
  <c r="D1641" i="330" s="1"/>
  <c r="F1649" i="330"/>
  <c r="D1649" i="330" s="1"/>
  <c r="F1654" i="330"/>
  <c r="D1654" i="330" s="1"/>
  <c r="F536" i="332"/>
  <c r="D536" i="332" s="1"/>
  <c r="F540" i="332"/>
  <c r="D540" i="332" s="1"/>
  <c r="F571" i="332"/>
  <c r="D571" i="332" s="1"/>
  <c r="F636" i="332"/>
  <c r="D636" i="332" s="1"/>
  <c r="F1068" i="330"/>
  <c r="D1068" i="330" s="1"/>
  <c r="R594" i="330"/>
  <c r="F1636" i="330"/>
  <c r="D1636" i="330" s="1"/>
  <c r="F1722" i="330"/>
  <c r="D1722" i="330" s="1"/>
  <c r="F416" i="332"/>
  <c r="D416" i="332" s="1"/>
  <c r="AA31" i="333"/>
  <c r="E31" i="336"/>
  <c r="F31" i="336" s="1"/>
  <c r="D32" i="345"/>
  <c r="E32" i="345" s="1"/>
  <c r="E35" i="336"/>
  <c r="F35" i="336" s="1"/>
  <c r="D36" i="345"/>
  <c r="E36" i="345" s="1"/>
  <c r="M1503" i="330"/>
  <c r="F980" i="330"/>
  <c r="D980" i="330" s="1"/>
  <c r="E26" i="336"/>
  <c r="F26" i="336" s="1"/>
  <c r="D27" i="345"/>
  <c r="E27" i="345" s="1"/>
  <c r="F1236" i="330"/>
  <c r="D1236" i="330" s="1"/>
  <c r="F1259" i="330"/>
  <c r="D1259" i="330" s="1"/>
  <c r="D1339" i="330"/>
  <c r="AQ1763" i="330"/>
  <c r="E10" i="336"/>
  <c r="F10" i="336" s="1"/>
  <c r="D12" i="345"/>
  <c r="E12" i="345" s="1"/>
  <c r="E18" i="336"/>
  <c r="F18" i="336" s="1"/>
  <c r="D19" i="345"/>
  <c r="E19" i="345" s="1"/>
  <c r="G846" i="330"/>
  <c r="F846" i="330" s="1"/>
  <c r="D846" i="330" s="1"/>
  <c r="F1417" i="330"/>
  <c r="F1059" i="330"/>
  <c r="D1059" i="330" s="1"/>
  <c r="F676" i="330"/>
  <c r="D676" i="330" s="1"/>
  <c r="F837" i="330"/>
  <c r="D837" i="330" s="1"/>
  <c r="F976" i="330"/>
  <c r="D976" i="330" s="1"/>
  <c r="F1097" i="330"/>
  <c r="D1097" i="330" s="1"/>
  <c r="F1119" i="330"/>
  <c r="D1119" i="330" s="1"/>
  <c r="F1247" i="330"/>
  <c r="D1247" i="330" s="1"/>
  <c r="F1584" i="330"/>
  <c r="D1584" i="330" s="1"/>
  <c r="M1520" i="330"/>
  <c r="F1520" i="330" s="1"/>
  <c r="D1520" i="330" s="1"/>
  <c r="F1599" i="330"/>
  <c r="D1599" i="330" s="1"/>
  <c r="Z594" i="330"/>
  <c r="D1089" i="330"/>
  <c r="E48" i="336"/>
  <c r="F48" i="336" s="1"/>
  <c r="D48" i="345"/>
  <c r="E48" i="345" s="1"/>
  <c r="G820" i="330"/>
  <c r="G1424" i="330"/>
  <c r="F1424" i="330" s="1"/>
  <c r="D1424" i="330" s="1"/>
  <c r="I34" i="330"/>
  <c r="F737" i="332"/>
  <c r="D737" i="332" s="1"/>
  <c r="F1487" i="330"/>
  <c r="D1487" i="330" s="1"/>
  <c r="F1632" i="330"/>
  <c r="D1632" i="330" s="1"/>
  <c r="F247" i="332"/>
  <c r="D247" i="332" s="1"/>
  <c r="L935" i="332"/>
  <c r="L937" i="332" s="1"/>
  <c r="AB935" i="332"/>
  <c r="AB937" i="332" s="1"/>
  <c r="AR935" i="332"/>
  <c r="AR937" i="332" s="1"/>
  <c r="J1416" i="330"/>
  <c r="J594" i="330" s="1"/>
  <c r="F1182" i="330"/>
  <c r="D1182" i="330" s="1"/>
  <c r="F756" i="330"/>
  <c r="D756" i="330" s="1"/>
  <c r="F761" i="330"/>
  <c r="D761" i="330" s="1"/>
  <c r="F779" i="330"/>
  <c r="D779" i="330" s="1"/>
  <c r="F783" i="330"/>
  <c r="D783" i="330" s="1"/>
  <c r="F787" i="330"/>
  <c r="D787" i="330" s="1"/>
  <c r="F922" i="330"/>
  <c r="D922" i="330" s="1"/>
  <c r="F1064" i="330"/>
  <c r="D1064" i="330" s="1"/>
  <c r="F1169" i="330"/>
  <c r="D1169" i="330" s="1"/>
  <c r="F1322" i="330"/>
  <c r="D1322" i="330" s="1"/>
  <c r="G622" i="332"/>
  <c r="F622" i="332" s="1"/>
  <c r="D622" i="332" s="1"/>
  <c r="F15" i="332"/>
  <c r="D15" i="332" s="1"/>
  <c r="F42" i="332"/>
  <c r="D42" i="332" s="1"/>
  <c r="F51" i="332"/>
  <c r="D51" i="332" s="1"/>
  <c r="AC935" i="332"/>
  <c r="AC937" i="332" s="1"/>
  <c r="F356" i="332"/>
  <c r="D356" i="332" s="1"/>
  <c r="Y935" i="332"/>
  <c r="Y937" i="332" s="1"/>
  <c r="AP935" i="332"/>
  <c r="AP937" i="332" s="1"/>
  <c r="AE935" i="332"/>
  <c r="AE937" i="332" s="1"/>
  <c r="F908" i="332"/>
  <c r="D908" i="332" s="1"/>
  <c r="F600" i="330"/>
  <c r="D600" i="330" s="1"/>
  <c r="F889" i="330"/>
  <c r="D889" i="330" s="1"/>
  <c r="F1043" i="330"/>
  <c r="D1043" i="330" s="1"/>
  <c r="F1047" i="330"/>
  <c r="D1047" i="330" s="1"/>
  <c r="F1052" i="330"/>
  <c r="D1052" i="330" s="1"/>
  <c r="O594" i="330"/>
  <c r="O1763" i="330" s="1"/>
  <c r="N594" i="330"/>
  <c r="N1763" i="330" s="1"/>
  <c r="AT594" i="330"/>
  <c r="AT1763" i="330" s="1"/>
  <c r="F1157" i="330"/>
  <c r="D1157" i="330" s="1"/>
  <c r="F1307" i="330"/>
  <c r="D1307" i="330" s="1"/>
  <c r="F1317" i="330"/>
  <c r="D1317" i="330" s="1"/>
  <c r="F1333" i="330"/>
  <c r="D1333" i="330" s="1"/>
  <c r="F1553" i="330"/>
  <c r="D1553" i="330" s="1"/>
  <c r="F1694" i="330"/>
  <c r="D1694" i="330" s="1"/>
  <c r="F1696" i="330"/>
  <c r="D1696" i="330" s="1"/>
  <c r="F1264" i="330"/>
  <c r="D1264" i="330" s="1"/>
  <c r="F968" i="330"/>
  <c r="D968" i="330" s="1"/>
  <c r="AF1763" i="330"/>
  <c r="F617" i="330"/>
  <c r="D617" i="330" s="1"/>
  <c r="F621" i="330"/>
  <c r="D621" i="330" s="1"/>
  <c r="F832" i="330"/>
  <c r="D832" i="330" s="1"/>
  <c r="F903" i="330"/>
  <c r="D903" i="330" s="1"/>
  <c r="AI594" i="330"/>
  <c r="I1554" i="330"/>
  <c r="F929" i="330"/>
  <c r="D929" i="330" s="1"/>
  <c r="F747" i="332"/>
  <c r="D747" i="332" s="1"/>
  <c r="F163" i="330"/>
  <c r="D163" i="330" s="1"/>
  <c r="F1022" i="330"/>
  <c r="D1022" i="330" s="1"/>
  <c r="F560" i="332"/>
  <c r="D560" i="332" s="1"/>
  <c r="F632" i="330"/>
  <c r="D632" i="330" s="1"/>
  <c r="F715" i="330"/>
  <c r="D715" i="330" s="1"/>
  <c r="AP594" i="330"/>
  <c r="AP1763" i="330" s="1"/>
  <c r="F963" i="330"/>
  <c r="D963" i="330" s="1"/>
  <c r="F841" i="330"/>
  <c r="D841" i="330" s="1"/>
  <c r="F1132" i="330"/>
  <c r="D1132" i="330" s="1"/>
  <c r="F706" i="330"/>
  <c r="D706" i="330" s="1"/>
  <c r="AH594" i="330"/>
  <c r="AH1763" i="330" s="1"/>
  <c r="F1148" i="330"/>
  <c r="D1148" i="330" s="1"/>
  <c r="F680" i="330"/>
  <c r="D680" i="330" s="1"/>
  <c r="F1541" i="330"/>
  <c r="D1541" i="330" s="1"/>
  <c r="E30" i="336"/>
  <c r="F30" i="336" s="1"/>
  <c r="D31" i="345"/>
  <c r="E31" i="345" s="1"/>
  <c r="M1416" i="330"/>
  <c r="I1121" i="330"/>
  <c r="I594" i="330" s="1"/>
  <c r="F170" i="332"/>
  <c r="D170" i="332" s="1"/>
  <c r="P1554" i="330"/>
  <c r="F238" i="330"/>
  <c r="D238" i="330" s="1"/>
  <c r="K726" i="332"/>
  <c r="Z935" i="332"/>
  <c r="Z937" i="332" s="1"/>
  <c r="M726" i="332"/>
  <c r="M935" i="332" s="1"/>
  <c r="M937" i="332" s="1"/>
  <c r="F209" i="330"/>
  <c r="D209" i="330" s="1"/>
  <c r="F817" i="330"/>
  <c r="D817" i="330" s="1"/>
  <c r="E45" i="336"/>
  <c r="F45" i="336" s="1"/>
  <c r="D45" i="345"/>
  <c r="E45" i="345" s="1"/>
  <c r="F654" i="330"/>
  <c r="D654" i="330" s="1"/>
  <c r="E33" i="336"/>
  <c r="F33" i="336" s="1"/>
  <c r="D34" i="345"/>
  <c r="E34" i="345" s="1"/>
  <c r="F994" i="330"/>
  <c r="D994" i="330" s="1"/>
  <c r="E13" i="336"/>
  <c r="F13" i="336" s="1"/>
  <c r="D15" i="345"/>
  <c r="E15" i="345" s="1"/>
  <c r="AW594" i="330"/>
  <c r="E23" i="336"/>
  <c r="F23" i="336" s="1"/>
  <c r="D24" i="345"/>
  <c r="E24" i="345" s="1"/>
  <c r="E46" i="336"/>
  <c r="F46" i="336" s="1"/>
  <c r="D46" i="345"/>
  <c r="E46" i="345" s="1"/>
  <c r="F345" i="332"/>
  <c r="D345" i="332" s="1"/>
  <c r="F595" i="330"/>
  <c r="D595" i="330" s="1"/>
  <c r="J726" i="332"/>
  <c r="J935" i="332" s="1"/>
  <c r="J937" i="332" s="1"/>
  <c r="D1482" i="330"/>
  <c r="F1462" i="330"/>
  <c r="D1462" i="330" s="1"/>
  <c r="F364" i="332"/>
  <c r="D364" i="332" s="1"/>
  <c r="F39" i="330"/>
  <c r="D39" i="330" s="1"/>
  <c r="M34" i="330"/>
  <c r="F1223" i="330"/>
  <c r="D1223" i="330" s="1"/>
  <c r="F1347" i="330"/>
  <c r="D1347" i="330" s="1"/>
  <c r="G1554" i="330"/>
  <c r="AK1763" i="330"/>
  <c r="F998" i="330"/>
  <c r="D998" i="330" s="1"/>
  <c r="G1658" i="330"/>
  <c r="F1658" i="330" s="1"/>
  <c r="D1658" i="330" s="1"/>
  <c r="F1460" i="330"/>
  <c r="D1460" i="330" s="1"/>
  <c r="T935" i="332"/>
  <c r="T937" i="332" s="1"/>
  <c r="AJ935" i="332"/>
  <c r="AJ937" i="332" s="1"/>
  <c r="V935" i="332"/>
  <c r="V937" i="332" s="1"/>
  <c r="F905" i="330"/>
  <c r="D905" i="330" s="1"/>
  <c r="F672" i="330"/>
  <c r="D672" i="330" s="1"/>
  <c r="P935" i="332"/>
  <c r="P937" i="332" s="1"/>
  <c r="AF935" i="332"/>
  <c r="AF937" i="332" s="1"/>
  <c r="AO935" i="332"/>
  <c r="AO937" i="332" s="1"/>
  <c r="F1300" i="330"/>
  <c r="D1300" i="330" s="1"/>
  <c r="N935" i="332"/>
  <c r="N937" i="332" s="1"/>
  <c r="AD935" i="332"/>
  <c r="AD937" i="332" s="1"/>
  <c r="F813" i="330"/>
  <c r="D813" i="330" s="1"/>
  <c r="F1208" i="330"/>
  <c r="D1208" i="330" s="1"/>
  <c r="F1429" i="330"/>
  <c r="D1429" i="330" s="1"/>
  <c r="F1545" i="330"/>
  <c r="D1545" i="330" s="1"/>
  <c r="S935" i="332"/>
  <c r="S937" i="332" s="1"/>
  <c r="AI935" i="332"/>
  <c r="AI937" i="332" s="1"/>
  <c r="F720" i="332"/>
  <c r="D720" i="332" s="1"/>
  <c r="H935" i="332"/>
  <c r="H937" i="332" s="1"/>
  <c r="F843" i="332"/>
  <c r="D843" i="332" s="1"/>
  <c r="O935" i="332"/>
  <c r="O937" i="332" s="1"/>
  <c r="Q935" i="332"/>
  <c r="Q937" i="332" s="1"/>
  <c r="AS935" i="332"/>
  <c r="AS937" i="332" s="1"/>
  <c r="G1566" i="330"/>
  <c r="F1566" i="330" s="1"/>
  <c r="D1566" i="330" s="1"/>
  <c r="F1555" i="330"/>
  <c r="D52" i="332"/>
  <c r="F8" i="332"/>
  <c r="D8" i="332" s="1"/>
  <c r="AG935" i="332"/>
  <c r="AG937" i="332" s="1"/>
  <c r="F903" i="332"/>
  <c r="D903" i="332" s="1"/>
  <c r="F1289" i="330"/>
  <c r="D1289" i="330" s="1"/>
  <c r="F1381" i="330"/>
  <c r="D1381" i="330" s="1"/>
  <c r="F867" i="330"/>
  <c r="D867" i="330" s="1"/>
  <c r="F1285" i="330"/>
  <c r="D1285" i="330" s="1"/>
  <c r="U935" i="332"/>
  <c r="U937" i="332" s="1"/>
  <c r="AK935" i="332"/>
  <c r="AK937" i="332" s="1"/>
  <c r="F644" i="330"/>
  <c r="D644" i="330" s="1"/>
  <c r="F859" i="330"/>
  <c r="D859" i="330" s="1"/>
  <c r="F711" i="330"/>
  <c r="D711" i="330" s="1"/>
  <c r="F731" i="330"/>
  <c r="D731" i="330" s="1"/>
  <c r="D1366" i="330"/>
  <c r="F1358" i="330"/>
  <c r="D1358" i="330" s="1"/>
  <c r="G726" i="332"/>
  <c r="G640" i="330"/>
  <c r="F640" i="330" s="1"/>
  <c r="D640" i="330" s="1"/>
  <c r="F636" i="330"/>
  <c r="G635" i="330"/>
  <c r="F692" i="330"/>
  <c r="D692" i="330" s="1"/>
  <c r="F1501" i="330"/>
  <c r="D1501" i="330" s="1"/>
  <c r="F1515" i="330"/>
  <c r="D1515" i="330" s="1"/>
  <c r="F833" i="332"/>
  <c r="D833" i="332" s="1"/>
  <c r="F336" i="330"/>
  <c r="D336" i="330" s="1"/>
  <c r="AX594" i="330"/>
  <c r="AX1763" i="330" s="1"/>
  <c r="F1056" i="330"/>
  <c r="D1056" i="330" s="1"/>
  <c r="L594" i="330"/>
  <c r="L1763" i="330" s="1"/>
  <c r="AB594" i="330"/>
  <c r="AB1763" i="330" s="1"/>
  <c r="AR594" i="330"/>
  <c r="F696" i="330"/>
  <c r="D696" i="330" s="1"/>
  <c r="F160" i="330"/>
  <c r="D160" i="330" s="1"/>
  <c r="F648" i="330"/>
  <c r="D648" i="330" s="1"/>
  <c r="F724" i="330"/>
  <c r="D724" i="330" s="1"/>
  <c r="F751" i="330"/>
  <c r="D751" i="330" s="1"/>
  <c r="F792" i="330"/>
  <c r="D792" i="330" s="1"/>
  <c r="F804" i="330"/>
  <c r="D804" i="330" s="1"/>
  <c r="F1362" i="330"/>
  <c r="D1362" i="330" s="1"/>
  <c r="E594" i="330"/>
  <c r="E588" i="330" s="1"/>
  <c r="F934" i="330"/>
  <c r="D934" i="330" s="1"/>
  <c r="F955" i="330"/>
  <c r="D955" i="330" s="1"/>
  <c r="F990" i="330"/>
  <c r="D990" i="330" s="1"/>
  <c r="F668" i="330"/>
  <c r="D668" i="330" s="1"/>
  <c r="F894" i="330"/>
  <c r="D894" i="330" s="1"/>
  <c r="AW1763" i="330"/>
  <c r="F138" i="330"/>
  <c r="D138" i="330" s="1"/>
  <c r="X594" i="330"/>
  <c r="X1763" i="330" s="1"/>
  <c r="AN594" i="330"/>
  <c r="AN1763" i="330" s="1"/>
  <c r="F610" i="330"/>
  <c r="D610" i="330" s="1"/>
  <c r="F917" i="330"/>
  <c r="D917" i="330" s="1"/>
  <c r="F1093" i="330"/>
  <c r="D1093" i="330" s="1"/>
  <c r="F588" i="330"/>
  <c r="F605" i="330"/>
  <c r="D605" i="330" s="1"/>
  <c r="F1386" i="330"/>
  <c r="D1386" i="330" s="1"/>
  <c r="AA1763" i="330"/>
  <c r="F392" i="330"/>
  <c r="D392" i="330" s="1"/>
  <c r="F394" i="330"/>
  <c r="D394" i="330" s="1"/>
  <c r="AR1763" i="330"/>
  <c r="F471" i="330"/>
  <c r="D471" i="330" s="1"/>
  <c r="AA594" i="330"/>
  <c r="F1731" i="330"/>
  <c r="D1731" i="330" s="1"/>
  <c r="F1213" i="330"/>
  <c r="D1213" i="330" s="1"/>
  <c r="Z1763" i="330"/>
  <c r="K176" i="332"/>
  <c r="K935" i="332" s="1"/>
  <c r="K937" i="332" s="1"/>
  <c r="F1277" i="330"/>
  <c r="D1277" i="330" s="1"/>
  <c r="F1604" i="330"/>
  <c r="D1604" i="330" s="1"/>
  <c r="F287" i="330"/>
  <c r="D287" i="330" s="1"/>
  <c r="Y1763" i="330"/>
  <c r="AO1763" i="330"/>
  <c r="F291" i="330"/>
  <c r="D291" i="330" s="1"/>
  <c r="AU594" i="330"/>
  <c r="AU1763" i="330" s="1"/>
  <c r="F1273" i="330"/>
  <c r="D1273" i="330" s="1"/>
  <c r="F1114" i="330"/>
  <c r="D1114" i="330" s="1"/>
  <c r="F1196" i="330"/>
  <c r="D1196" i="330" s="1"/>
  <c r="F1218" i="330"/>
  <c r="D1218" i="330" s="1"/>
  <c r="F1255" i="330"/>
  <c r="D1255" i="330" s="1"/>
  <c r="F1409" i="330"/>
  <c r="D1409" i="330" s="1"/>
  <c r="F853" i="332"/>
  <c r="D853" i="332" s="1"/>
  <c r="G53" i="344"/>
  <c r="H53" i="344" s="1"/>
  <c r="G17" i="344"/>
  <c r="G16" i="344"/>
  <c r="H16" i="344" s="1"/>
  <c r="G15" i="344"/>
  <c r="F7" i="335"/>
  <c r="AM1763" i="330"/>
  <c r="F86" i="330"/>
  <c r="D86" i="330" s="1"/>
  <c r="F1470" i="330"/>
  <c r="D1470" i="330" s="1"/>
  <c r="D1171" i="330"/>
  <c r="D1209" i="330"/>
  <c r="F1203" i="330"/>
  <c r="D1203" i="330" s="1"/>
  <c r="F7" i="330"/>
  <c r="D7" i="330" s="1"/>
  <c r="AC1763" i="330"/>
  <c r="F40" i="330"/>
  <c r="D40" i="330" s="1"/>
  <c r="Q1763" i="330"/>
  <c r="D1516" i="330"/>
  <c r="F1503" i="330"/>
  <c r="D1503" i="330" s="1"/>
  <c r="AE1763" i="330"/>
  <c r="AV1763" i="330"/>
  <c r="J34" i="330"/>
  <c r="F38" i="330"/>
  <c r="D38" i="330" s="1"/>
  <c r="AI1763" i="330"/>
  <c r="F16" i="330"/>
  <c r="D16" i="330" s="1"/>
  <c r="W1763" i="330"/>
  <c r="R1763" i="330"/>
  <c r="F143" i="330"/>
  <c r="D143" i="330" s="1"/>
  <c r="F425" i="330"/>
  <c r="D425" i="330" s="1"/>
  <c r="F734" i="330"/>
  <c r="I86" i="330"/>
  <c r="F407" i="330"/>
  <c r="D407" i="330" s="1"/>
  <c r="M820" i="330"/>
  <c r="M828" i="330"/>
  <c r="F828" i="330" s="1"/>
  <c r="D828" i="330" s="1"/>
  <c r="F280" i="330"/>
  <c r="D280" i="330" s="1"/>
  <c r="F481" i="330"/>
  <c r="D481" i="330" s="1"/>
  <c r="F199" i="330"/>
  <c r="D199" i="330" s="1"/>
  <c r="H820" i="330"/>
  <c r="H594" i="330" s="1"/>
  <c r="H1763" i="330" s="1"/>
  <c r="F838" i="330"/>
  <c r="F388" i="330"/>
  <c r="D388" i="330" s="1"/>
  <c r="AS594" i="330"/>
  <c r="AS1763" i="330" s="1"/>
  <c r="F863" i="330"/>
  <c r="D863" i="330" s="1"/>
  <c r="F1035" i="330"/>
  <c r="D1035" i="330" s="1"/>
  <c r="X935" i="332"/>
  <c r="X937" i="332" s="1"/>
  <c r="F796" i="330"/>
  <c r="D796" i="330" s="1"/>
  <c r="F800" i="330"/>
  <c r="D800" i="330" s="1"/>
  <c r="P594" i="330"/>
  <c r="P1763" i="330" s="1"/>
  <c r="F1456" i="330"/>
  <c r="D1456" i="330" s="1"/>
  <c r="AG594" i="330"/>
  <c r="AG1763" i="330" s="1"/>
  <c r="F1187" i="330"/>
  <c r="D1187" i="330" s="1"/>
  <c r="F775" i="330"/>
  <c r="D775" i="330" s="1"/>
  <c r="S594" i="330"/>
  <c r="S1763" i="330" s="1"/>
  <c r="T594" i="330"/>
  <c r="T1763" i="330" s="1"/>
  <c r="F1342" i="330"/>
  <c r="D1342" i="330" s="1"/>
  <c r="U594" i="330"/>
  <c r="U1763" i="330" s="1"/>
  <c r="F875" i="330"/>
  <c r="D875" i="330" s="1"/>
  <c r="F898" i="330"/>
  <c r="D898" i="330" s="1"/>
  <c r="F1106" i="330"/>
  <c r="D1106" i="330" s="1"/>
  <c r="F1355" i="330"/>
  <c r="D1355" i="330" s="1"/>
  <c r="G176" i="332"/>
  <c r="AA8" i="333"/>
  <c r="D854" i="332"/>
  <c r="E50" i="336"/>
  <c r="F50" i="336" s="1"/>
  <c r="AA21" i="333"/>
  <c r="E1763" i="330" l="1"/>
  <c r="M594" i="330"/>
  <c r="E47" i="336"/>
  <c r="F47" i="336" s="1"/>
  <c r="D47" i="345"/>
  <c r="E47" i="345" s="1"/>
  <c r="M1763" i="330"/>
  <c r="E37" i="336"/>
  <c r="F37" i="336" s="1"/>
  <c r="D37" i="345"/>
  <c r="E37" i="345" s="1"/>
  <c r="I1763" i="330"/>
  <c r="F1121" i="330"/>
  <c r="D1121" i="330" s="1"/>
  <c r="F1416" i="330"/>
  <c r="D1416" i="330" s="1"/>
  <c r="D1417" i="330"/>
  <c r="G594" i="330"/>
  <c r="G1763" i="330" s="1"/>
  <c r="D588" i="330"/>
  <c r="D636" i="330"/>
  <c r="F635" i="330"/>
  <c r="D635" i="330" s="1"/>
  <c r="F1554" i="330"/>
  <c r="D1554" i="330" s="1"/>
  <c r="D1555" i="330"/>
  <c r="F34" i="330"/>
  <c r="D34" i="330" s="1"/>
  <c r="J1763" i="330"/>
  <c r="G935" i="332"/>
  <c r="G937" i="332" s="1"/>
  <c r="F176" i="332"/>
  <c r="D176" i="332" s="1"/>
  <c r="D734" i="330"/>
  <c r="D838" i="330"/>
  <c r="F820" i="330"/>
  <c r="D820" i="330" s="1"/>
  <c r="AA7" i="333"/>
  <c r="D51" i="345"/>
  <c r="E51" i="345" s="1"/>
  <c r="E36" i="336"/>
  <c r="F36" i="336" s="1"/>
  <c r="E29" i="336"/>
  <c r="F29" i="336" s="1"/>
  <c r="E6" i="336" l="1"/>
  <c r="F6" i="336" s="1"/>
  <c r="D8" i="345"/>
  <c r="E8" i="345" s="1"/>
  <c r="E20" i="336"/>
  <c r="F20" i="336" s="1"/>
  <c r="D21" i="345"/>
  <c r="E21" i="345" s="1"/>
  <c r="E27" i="336"/>
  <c r="F27" i="336" s="1"/>
  <c r="D28" i="345"/>
  <c r="E28" i="345" s="1"/>
  <c r="E19" i="336"/>
  <c r="F19" i="336" s="1"/>
  <c r="D20" i="345"/>
  <c r="E20" i="345" s="1"/>
  <c r="E12" i="336"/>
  <c r="F12" i="336" s="1"/>
  <c r="D14" i="345"/>
  <c r="E14" i="345" s="1"/>
  <c r="E39" i="336"/>
  <c r="F39" i="336" s="1"/>
  <c r="D39" i="345"/>
  <c r="E39" i="345" s="1"/>
  <c r="E21" i="336"/>
  <c r="F21" i="336" s="1"/>
  <c r="D22" i="345"/>
  <c r="E22" i="345" s="1"/>
  <c r="E32" i="336"/>
  <c r="F32" i="336" s="1"/>
  <c r="D33" i="345"/>
  <c r="E33" i="345" s="1"/>
  <c r="E9" i="336"/>
  <c r="F9" i="336" s="1"/>
  <c r="D11" i="345"/>
  <c r="E11" i="345" s="1"/>
  <c r="E7" i="336"/>
  <c r="F7" i="336" s="1"/>
  <c r="D9" i="345"/>
  <c r="E9" i="345" s="1"/>
  <c r="E34" i="336"/>
  <c r="F34" i="336" s="1"/>
  <c r="D35" i="345"/>
  <c r="E35" i="345" s="1"/>
  <c r="E52" i="336"/>
  <c r="F52" i="336" s="1"/>
  <c r="D52" i="345"/>
  <c r="E52" i="345" s="1"/>
  <c r="E40" i="336"/>
  <c r="F40" i="336" s="1"/>
  <c r="D40" i="345"/>
  <c r="E40" i="345" s="1"/>
  <c r="E49" i="336"/>
  <c r="F49" i="336" s="1"/>
  <c r="D49" i="345"/>
  <c r="E49" i="345" s="1"/>
  <c r="E5" i="336"/>
  <c r="F5" i="336" s="1"/>
  <c r="D7" i="345"/>
  <c r="E7" i="345" s="1"/>
  <c r="E43" i="336"/>
  <c r="F43" i="336" s="1"/>
  <c r="D43" i="345"/>
  <c r="E43" i="345" s="1"/>
  <c r="E15" i="336"/>
  <c r="F15" i="336" s="1"/>
  <c r="D16" i="345"/>
  <c r="E16" i="345" s="1"/>
  <c r="E22" i="336"/>
  <c r="F22" i="336" s="1"/>
  <c r="D23" i="345"/>
  <c r="E23" i="345" s="1"/>
  <c r="E44" i="336"/>
  <c r="F44" i="336" s="1"/>
  <c r="D44" i="345"/>
  <c r="E44" i="345" s="1"/>
  <c r="E11" i="336"/>
  <c r="F11" i="336" s="1"/>
  <c r="D13" i="345"/>
  <c r="E13" i="345" s="1"/>
  <c r="E28" i="336"/>
  <c r="F28" i="336" s="1"/>
  <c r="D29" i="345"/>
  <c r="E29" i="345" s="1"/>
  <c r="E38" i="336"/>
  <c r="F38" i="336" s="1"/>
  <c r="D38" i="345"/>
  <c r="E38" i="345" s="1"/>
  <c r="E8" i="336"/>
  <c r="F8" i="336" s="1"/>
  <c r="D10" i="345"/>
  <c r="E10" i="345" s="1"/>
  <c r="E53" i="336"/>
  <c r="F53" i="336" s="1"/>
  <c r="D53" i="345"/>
  <c r="E53" i="345" s="1"/>
  <c r="E24" i="336"/>
  <c r="F24" i="336" s="1"/>
  <c r="D25" i="345"/>
  <c r="E25" i="345" s="1"/>
  <c r="AA67" i="333"/>
  <c r="F594" i="330"/>
  <c r="F1763" i="330" s="1"/>
  <c r="D594" i="330"/>
  <c r="D1763" i="330" s="1"/>
  <c r="Q67" i="333"/>
  <c r="I67" i="333"/>
  <c r="G67" i="333"/>
  <c r="E51" i="336"/>
  <c r="F51" i="336" s="1"/>
  <c r="F67" i="333"/>
  <c r="V67" i="333"/>
  <c r="Y67" i="333"/>
  <c r="N67" i="333"/>
  <c r="P67" i="333"/>
  <c r="K67" i="333"/>
  <c r="E3" i="336" l="1"/>
  <c r="F3" i="336" s="1"/>
  <c r="D5" i="345"/>
  <c r="E5" i="345" s="1"/>
  <c r="M67" i="333"/>
  <c r="Z67" i="333"/>
  <c r="O67" i="333"/>
  <c r="L67" i="333"/>
  <c r="T67" i="333"/>
  <c r="U67" i="333"/>
  <c r="X67" i="333"/>
  <c r="S67" i="333"/>
  <c r="W67" i="333"/>
  <c r="R67" i="333"/>
  <c r="H67" i="333"/>
  <c r="J67" i="333"/>
  <c r="E16" i="336" l="1"/>
  <c r="F16" i="336" s="1"/>
  <c r="D17" i="345"/>
  <c r="E17" i="345" s="1"/>
  <c r="E2" i="336" l="1"/>
  <c r="AA2" i="338" l="1"/>
  <c r="AP27" i="338" l="1"/>
  <c r="AP44" i="338"/>
  <c r="AP31" i="338"/>
  <c r="AP29" i="338"/>
  <c r="AP38" i="338"/>
  <c r="AP41" i="338"/>
  <c r="AP40" i="338"/>
  <c r="AP36" i="338"/>
  <c r="AP47" i="338"/>
  <c r="AP42" i="338"/>
  <c r="AP48" i="338"/>
  <c r="AP43" i="338"/>
  <c r="AP52" i="338"/>
  <c r="AP63" i="338"/>
  <c r="AP62" i="338"/>
  <c r="AP56" i="338"/>
  <c r="AP55" i="338"/>
  <c r="AP54" i="338"/>
  <c r="AP39" i="338"/>
  <c r="AP45" i="338"/>
  <c r="AP51" i="338"/>
  <c r="AP46" i="338"/>
  <c r="AP58" i="338"/>
  <c r="AP64" i="338"/>
  <c r="AP33" i="338" l="1"/>
  <c r="AP30" i="338"/>
  <c r="AP50" i="338"/>
  <c r="AP32" i="338"/>
  <c r="AP57" i="338"/>
  <c r="AH57" i="338"/>
  <c r="AP26" i="338"/>
  <c r="AP49" i="338"/>
  <c r="AP53" i="338"/>
  <c r="AP37" i="338"/>
  <c r="AP28" i="338"/>
  <c r="AP59" i="338"/>
  <c r="AP65" i="338"/>
  <c r="AP24" i="338" l="1"/>
  <c r="AP66" i="338"/>
  <c r="AP34" i="338" l="1"/>
  <c r="AC17" i="338"/>
  <c r="AC18" i="338"/>
  <c r="AC21" i="338"/>
  <c r="AP9" i="338" l="1"/>
  <c r="AC15" i="338"/>
  <c r="AC48" i="338"/>
  <c r="AC62" i="338"/>
  <c r="AC59" i="338"/>
  <c r="AC16" i="338"/>
  <c r="AQ41" i="338" l="1"/>
  <c r="AQ9" i="338"/>
  <c r="AQ13" i="338"/>
  <c r="AQ19" i="338"/>
  <c r="AQ21" i="338"/>
  <c r="AQ14" i="338"/>
  <c r="AQ11" i="338"/>
  <c r="AQ23" i="338"/>
  <c r="AQ22" i="338"/>
  <c r="AQ15" i="338"/>
  <c r="AQ35" i="338"/>
  <c r="AQ17" i="338"/>
  <c r="AQ16" i="338"/>
  <c r="AQ18" i="338"/>
  <c r="AQ60" i="338"/>
  <c r="AQ20" i="338"/>
  <c r="AQ61" i="338"/>
  <c r="AQ55" i="338"/>
  <c r="AQ46" i="338"/>
  <c r="AQ36" i="338"/>
  <c r="AQ38" i="338"/>
  <c r="AQ62" i="338"/>
  <c r="AQ30" i="338"/>
  <c r="AQ58" i="338"/>
  <c r="AQ51" i="338"/>
  <c r="AQ63" i="338"/>
  <c r="AQ43" i="338"/>
  <c r="AQ45" i="338"/>
  <c r="AQ27" i="338"/>
  <c r="AQ42" i="338"/>
  <c r="AQ52" i="338"/>
  <c r="AQ39" i="338"/>
  <c r="AQ40" i="338"/>
  <c r="AQ44" i="338"/>
  <c r="AQ29" i="338"/>
  <c r="AQ64" i="338"/>
  <c r="AQ31" i="338"/>
  <c r="AQ56" i="338"/>
  <c r="AQ48" i="338"/>
  <c r="AQ54" i="338"/>
  <c r="AQ47" i="338"/>
  <c r="AQ33" i="338"/>
  <c r="AQ53" i="338"/>
  <c r="AQ57" i="338"/>
  <c r="AQ49" i="338"/>
  <c r="AQ59" i="338"/>
  <c r="AQ65" i="338"/>
  <c r="AQ26" i="338"/>
  <c r="AQ32" i="338"/>
  <c r="AQ28" i="338"/>
  <c r="AQ50" i="338"/>
  <c r="AQ37" i="338"/>
  <c r="AQ66" i="338"/>
  <c r="AQ24" i="338"/>
  <c r="AQ34" i="338"/>
  <c r="AC44" i="338"/>
  <c r="AC64" i="338"/>
  <c r="AC54" i="338"/>
  <c r="AC57" i="338"/>
  <c r="AC20" i="338"/>
  <c r="AC63" i="338"/>
  <c r="AC43" i="338"/>
  <c r="AC52" i="338"/>
  <c r="AC56" i="338"/>
  <c r="AC55" i="338"/>
  <c r="AC42" i="338"/>
  <c r="AC58" i="338"/>
  <c r="AC65" i="338"/>
  <c r="AC66" i="338"/>
  <c r="AC53" i="338"/>
  <c r="AC51" i="338"/>
  <c r="AC23" i="338"/>
  <c r="AC32" i="338" l="1"/>
  <c r="AC28" i="338"/>
  <c r="AC30" i="338"/>
  <c r="AC27" i="338"/>
  <c r="AC29" i="338"/>
  <c r="AC33" i="338"/>
  <c r="AC31" i="338"/>
  <c r="AC39" i="338"/>
  <c r="AC50" i="338"/>
  <c r="AC46" i="338"/>
  <c r="AC40" i="338"/>
  <c r="AC14" i="338"/>
  <c r="AC38" i="338"/>
  <c r="AC45" i="338"/>
  <c r="AC41" i="338"/>
  <c r="AC37" i="338"/>
  <c r="AC47" i="338"/>
  <c r="AC49" i="338"/>
  <c r="AC13" i="338" l="1"/>
  <c r="AD13" i="338" l="1"/>
  <c r="AV13" i="338"/>
  <c r="AU13" i="338"/>
  <c r="F7" i="344" l="1"/>
  <c r="E7" i="344" s="1"/>
  <c r="H7" i="345"/>
  <c r="AZ13" i="338"/>
  <c r="AX13" i="338"/>
  <c r="AY13" i="338"/>
  <c r="J7" i="344" l="1"/>
  <c r="H7" i="344"/>
  <c r="I7" i="345"/>
  <c r="G7" i="345"/>
  <c r="AF3" i="338"/>
  <c r="AD59" i="338"/>
  <c r="AD33" i="338"/>
  <c r="W2" i="338" l="1"/>
  <c r="Z87" i="338"/>
  <c r="Z2" i="338"/>
  <c r="Y87" i="338"/>
  <c r="Y2" i="338"/>
  <c r="U2" i="338"/>
  <c r="AU33" i="338"/>
  <c r="AU59" i="338"/>
  <c r="AV59" i="338"/>
  <c r="AY59" i="338" s="1"/>
  <c r="AV33" i="338"/>
  <c r="AY33" i="338" s="1"/>
  <c r="H12" i="345"/>
  <c r="AV18" i="338"/>
  <c r="AU18" i="338"/>
  <c r="AD18" i="338"/>
  <c r="AD15" i="338"/>
  <c r="AV15" i="338"/>
  <c r="AU15" i="338"/>
  <c r="AK17" i="338"/>
  <c r="H10" i="345"/>
  <c r="AD16" i="338"/>
  <c r="AV16" i="338"/>
  <c r="AU16" i="338"/>
  <c r="H11" i="345"/>
  <c r="AV17" i="338"/>
  <c r="AU17" i="338"/>
  <c r="AD17" i="338"/>
  <c r="H15" i="345"/>
  <c r="AU21" i="338"/>
  <c r="AV21" i="338"/>
  <c r="AD21" i="338"/>
  <c r="AK22" i="338"/>
  <c r="H14" i="345"/>
  <c r="AV20" i="338"/>
  <c r="AU20" i="338"/>
  <c r="AD20" i="338"/>
  <c r="H8" i="345"/>
  <c r="AH14" i="338"/>
  <c r="AD14" i="338"/>
  <c r="AV14" i="338"/>
  <c r="AU14" i="338"/>
  <c r="H16" i="345"/>
  <c r="AV23" i="338"/>
  <c r="AU23" i="338"/>
  <c r="AD23" i="338"/>
  <c r="H48" i="345"/>
  <c r="AV57" i="338"/>
  <c r="AU57" i="338"/>
  <c r="AD57" i="338"/>
  <c r="H40" i="345"/>
  <c r="AU48" i="338"/>
  <c r="AD48" i="338"/>
  <c r="AV48" i="338"/>
  <c r="H44" i="345"/>
  <c r="AD58" i="338"/>
  <c r="AV58" i="338"/>
  <c r="AU58" i="338"/>
  <c r="H50" i="345"/>
  <c r="AD63" i="338"/>
  <c r="AV63" i="338"/>
  <c r="AK64" i="338"/>
  <c r="AU63" i="338"/>
  <c r="H53" i="345"/>
  <c r="AU66" i="338"/>
  <c r="AV66" i="338"/>
  <c r="AD66" i="338"/>
  <c r="H31" i="345"/>
  <c r="AU38" i="338"/>
  <c r="AV38" i="338"/>
  <c r="AD38" i="338"/>
  <c r="H23" i="345"/>
  <c r="AV31" i="338"/>
  <c r="AU31" i="338"/>
  <c r="AD31" i="338"/>
  <c r="H39" i="345"/>
  <c r="AD47" i="338"/>
  <c r="AV47" i="338"/>
  <c r="AU47" i="338"/>
  <c r="H51" i="345"/>
  <c r="AV64" i="338"/>
  <c r="AK65" i="338"/>
  <c r="AU64" i="338"/>
  <c r="AD64" i="338"/>
  <c r="AU62" i="338"/>
  <c r="H49" i="345"/>
  <c r="AD62" i="338"/>
  <c r="AV62" i="338"/>
  <c r="H38" i="345"/>
  <c r="AD46" i="338"/>
  <c r="AV46" i="338"/>
  <c r="AU46" i="338"/>
  <c r="H22" i="345"/>
  <c r="AD30" i="338"/>
  <c r="AV30" i="338"/>
  <c r="AU30" i="338"/>
  <c r="H29" i="345"/>
  <c r="AD52" i="338"/>
  <c r="AV52" i="338"/>
  <c r="AU52" i="338"/>
  <c r="H28" i="345"/>
  <c r="AU37" i="338"/>
  <c r="AV37" i="338"/>
  <c r="AD37" i="338"/>
  <c r="H30" i="345"/>
  <c r="AU53" i="338"/>
  <c r="AD53" i="338"/>
  <c r="AV53" i="338"/>
  <c r="H42" i="345"/>
  <c r="AD50" i="338"/>
  <c r="AV50" i="338"/>
  <c r="AU50" i="338"/>
  <c r="H20" i="345"/>
  <c r="AD27" i="338"/>
  <c r="AV27" i="338"/>
  <c r="AU27" i="338"/>
  <c r="H32" i="345"/>
  <c r="AU39" i="338"/>
  <c r="AV39" i="338"/>
  <c r="AD39" i="338"/>
  <c r="H43" i="345"/>
  <c r="AV51" i="338"/>
  <c r="AU51" i="338"/>
  <c r="AD51" i="338"/>
  <c r="H35" i="345"/>
  <c r="AV42" i="338"/>
  <c r="AU42" i="338"/>
  <c r="AD42" i="338"/>
  <c r="H21" i="345"/>
  <c r="AU29" i="338"/>
  <c r="AD29" i="338"/>
  <c r="AV29" i="338"/>
  <c r="H52" i="345"/>
  <c r="AV65" i="338"/>
  <c r="AD65" i="338"/>
  <c r="AU65" i="338"/>
  <c r="AK66" i="338"/>
  <c r="AD44" i="338"/>
  <c r="AV44" i="338"/>
  <c r="AU44" i="338"/>
  <c r="AD49" i="338"/>
  <c r="AV49" i="338"/>
  <c r="AU49" i="338"/>
  <c r="H34" i="345"/>
  <c r="AD41" i="338"/>
  <c r="AV41" i="338"/>
  <c r="AU41" i="338"/>
  <c r="H33" i="345"/>
  <c r="AD40" i="338"/>
  <c r="AV40" i="338"/>
  <c r="AU40" i="338"/>
  <c r="H24" i="345"/>
  <c r="AD32" i="338"/>
  <c r="AV32" i="338"/>
  <c r="AU32" i="338"/>
  <c r="H36" i="345"/>
  <c r="AV43" i="338"/>
  <c r="AU43" i="338"/>
  <c r="AD43" i="338"/>
  <c r="H37" i="345"/>
  <c r="AD45" i="338"/>
  <c r="AV45" i="338"/>
  <c r="AU45" i="338"/>
  <c r="G20" i="345" l="1"/>
  <c r="I20" i="345"/>
  <c r="G33" i="345"/>
  <c r="I33" i="345"/>
  <c r="G37" i="345"/>
  <c r="I37" i="345"/>
  <c r="G34" i="345"/>
  <c r="I34" i="345"/>
  <c r="G31" i="345"/>
  <c r="I31" i="345"/>
  <c r="G21" i="345"/>
  <c r="I21" i="345"/>
  <c r="G10" i="345"/>
  <c r="I10" i="345"/>
  <c r="G29" i="345"/>
  <c r="I29" i="345"/>
  <c r="G53" i="345"/>
  <c r="I53" i="345"/>
  <c r="I40" i="345"/>
  <c r="G40" i="345"/>
  <c r="G48" i="345"/>
  <c r="I48" i="345"/>
  <c r="I42" i="345"/>
  <c r="G42" i="345"/>
  <c r="G22" i="345"/>
  <c r="I22" i="345"/>
  <c r="F9" i="344"/>
  <c r="E9" i="344" s="1"/>
  <c r="H9" i="345"/>
  <c r="G39" i="345"/>
  <c r="I39" i="345"/>
  <c r="G51" i="345"/>
  <c r="I51" i="345"/>
  <c r="G15" i="345"/>
  <c r="I15" i="345"/>
  <c r="G36" i="345"/>
  <c r="I36" i="345"/>
  <c r="G50" i="345"/>
  <c r="I50" i="345"/>
  <c r="G16" i="345"/>
  <c r="I16" i="345"/>
  <c r="I38" i="345"/>
  <c r="G38" i="345"/>
  <c r="I43" i="345"/>
  <c r="G43" i="345"/>
  <c r="I30" i="345"/>
  <c r="G30" i="345"/>
  <c r="I14" i="345"/>
  <c r="G14" i="345"/>
  <c r="I24" i="345"/>
  <c r="G24" i="345"/>
  <c r="I23" i="345"/>
  <c r="G23" i="345"/>
  <c r="G12" i="345"/>
  <c r="I12" i="345"/>
  <c r="G49" i="345"/>
  <c r="I49" i="345"/>
  <c r="G44" i="345"/>
  <c r="I44" i="345"/>
  <c r="I11" i="345"/>
  <c r="G11" i="345"/>
  <c r="G35" i="345"/>
  <c r="I35" i="345"/>
  <c r="G52" i="345"/>
  <c r="I52" i="345"/>
  <c r="G32" i="345"/>
  <c r="I32" i="345"/>
  <c r="G28" i="345"/>
  <c r="I28" i="345"/>
  <c r="G8" i="345"/>
  <c r="I8" i="345"/>
  <c r="F8" i="344"/>
  <c r="F36" i="344"/>
  <c r="F39" i="344"/>
  <c r="F42" i="344"/>
  <c r="F33" i="344"/>
  <c r="F23" i="344"/>
  <c r="F56" i="344"/>
  <c r="F43" i="344"/>
  <c r="F17" i="344"/>
  <c r="F15" i="344"/>
  <c r="F10" i="344"/>
  <c r="F24" i="344"/>
  <c r="F40" i="344"/>
  <c r="F32" i="344"/>
  <c r="F31" i="344"/>
  <c r="F41" i="344"/>
  <c r="F14" i="344"/>
  <c r="F26" i="344"/>
  <c r="F57" i="344"/>
  <c r="F46" i="344"/>
  <c r="F38" i="344"/>
  <c r="F35" i="344"/>
  <c r="F44" i="344"/>
  <c r="F25" i="344"/>
  <c r="F59" i="344"/>
  <c r="F12" i="344"/>
  <c r="F30" i="344"/>
  <c r="F21" i="344"/>
  <c r="F58" i="344"/>
  <c r="F37" i="344"/>
  <c r="F34" i="344"/>
  <c r="F45" i="344"/>
  <c r="F55" i="344"/>
  <c r="F47" i="344"/>
  <c r="F51" i="344"/>
  <c r="F11" i="344"/>
  <c r="W87" i="338"/>
  <c r="U87" i="338"/>
  <c r="X2" i="338"/>
  <c r="X87" i="338"/>
  <c r="AZ33" i="338"/>
  <c r="AX33" i="338"/>
  <c r="AX59" i="338"/>
  <c r="AY23" i="338"/>
  <c r="AX23" i="338"/>
  <c r="AY21" i="338"/>
  <c r="AX21" i="338"/>
  <c r="AX14" i="338"/>
  <c r="AZ14" i="338"/>
  <c r="AY14" i="338"/>
  <c r="AY15" i="338"/>
  <c r="AX15" i="338"/>
  <c r="AX17" i="338"/>
  <c r="AY17" i="338"/>
  <c r="AZ17" i="338"/>
  <c r="AX20" i="338"/>
  <c r="AY20" i="338"/>
  <c r="AZ20" i="338"/>
  <c r="AZ16" i="338"/>
  <c r="AY16" i="338"/>
  <c r="AX16" i="338"/>
  <c r="AZ18" i="338"/>
  <c r="AX18" i="338"/>
  <c r="AY18" i="338"/>
  <c r="AZ43" i="338"/>
  <c r="AY43" i="338"/>
  <c r="AX43" i="338"/>
  <c r="AY62" i="338"/>
  <c r="AX62" i="338"/>
  <c r="AY50" i="338"/>
  <c r="AX50" i="338"/>
  <c r="AZ66" i="338"/>
  <c r="AY66" i="338"/>
  <c r="AX66" i="338"/>
  <c r="AY58" i="338"/>
  <c r="AX58" i="338"/>
  <c r="AX52" i="338"/>
  <c r="AY52" i="338"/>
  <c r="AZ44" i="338"/>
  <c r="AY44" i="338"/>
  <c r="AX44" i="338"/>
  <c r="AX47" i="338"/>
  <c r="AZ47" i="338"/>
  <c r="AY47" i="338"/>
  <c r="AZ42" i="338"/>
  <c r="AX42" i="338"/>
  <c r="AY42" i="338"/>
  <c r="AZ32" i="338"/>
  <c r="AY32" i="338"/>
  <c r="AX32" i="338"/>
  <c r="AX41" i="338"/>
  <c r="AY41" i="338"/>
  <c r="AZ41" i="338"/>
  <c r="AY39" i="338"/>
  <c r="AX39" i="338"/>
  <c r="AZ39" i="338"/>
  <c r="AZ31" i="338"/>
  <c r="AX31" i="338"/>
  <c r="AY31" i="338"/>
  <c r="G87" i="338"/>
  <c r="G2" i="338"/>
  <c r="AX48" i="338"/>
  <c r="AZ48" i="338"/>
  <c r="AY48" i="338"/>
  <c r="AX53" i="338"/>
  <c r="AY53" i="338"/>
  <c r="AY30" i="338"/>
  <c r="AZ30" i="338"/>
  <c r="AX30" i="338"/>
  <c r="AX63" i="338"/>
  <c r="AY63" i="338"/>
  <c r="AX64" i="338"/>
  <c r="AY64" i="338"/>
  <c r="AY49" i="338"/>
  <c r="AX49" i="338"/>
  <c r="AZ49" i="338"/>
  <c r="AY65" i="338"/>
  <c r="AX65" i="338"/>
  <c r="AZ27" i="338"/>
  <c r="AY27" i="338"/>
  <c r="AX27" i="338"/>
  <c r="AX45" i="338"/>
  <c r="AZ45" i="338"/>
  <c r="AY45" i="338"/>
  <c r="AY40" i="338"/>
  <c r="AZ40" i="338"/>
  <c r="AX40" i="338"/>
  <c r="AY51" i="338"/>
  <c r="AX51" i="338"/>
  <c r="AX29" i="338"/>
  <c r="AY29" i="338"/>
  <c r="AZ29" i="338"/>
  <c r="AZ46" i="338"/>
  <c r="AX46" i="338"/>
  <c r="AY46" i="338"/>
  <c r="AX38" i="338"/>
  <c r="AZ38" i="338"/>
  <c r="AY38" i="338"/>
  <c r="AX57" i="338"/>
  <c r="AY57" i="338"/>
  <c r="AZ57" i="338"/>
  <c r="AX37" i="338"/>
  <c r="AZ37" i="338"/>
  <c r="AY37" i="338"/>
  <c r="J9" i="344" l="1"/>
  <c r="G9" i="345"/>
  <c r="I9" i="345"/>
  <c r="H9" i="344"/>
  <c r="E47" i="344"/>
  <c r="J47" i="344"/>
  <c r="H47" i="344"/>
  <c r="E23" i="344"/>
  <c r="J23" i="344"/>
  <c r="H23" i="344"/>
  <c r="E35" i="344"/>
  <c r="H35" i="344"/>
  <c r="J35" i="344"/>
  <c r="E55" i="344"/>
  <c r="J55" i="344"/>
  <c r="H55" i="344"/>
  <c r="E58" i="344"/>
  <c r="J58" i="344"/>
  <c r="H58" i="344"/>
  <c r="E59" i="344"/>
  <c r="J59" i="344"/>
  <c r="H59" i="344"/>
  <c r="E38" i="344"/>
  <c r="J38" i="344"/>
  <c r="H38" i="344"/>
  <c r="E14" i="344"/>
  <c r="H14" i="344"/>
  <c r="J14" i="344"/>
  <c r="E40" i="344"/>
  <c r="H40" i="344"/>
  <c r="J40" i="344"/>
  <c r="E17" i="344"/>
  <c r="J17" i="344"/>
  <c r="H17" i="344"/>
  <c r="E33" i="344"/>
  <c r="H33" i="344"/>
  <c r="J33" i="344"/>
  <c r="E26" i="344"/>
  <c r="J26" i="344"/>
  <c r="H26" i="344"/>
  <c r="E37" i="344"/>
  <c r="H37" i="344"/>
  <c r="J37" i="344"/>
  <c r="E12" i="344"/>
  <c r="J12" i="344"/>
  <c r="H12" i="344"/>
  <c r="E15" i="344"/>
  <c r="J15" i="344"/>
  <c r="H15" i="344"/>
  <c r="E11" i="344"/>
  <c r="J11" i="344"/>
  <c r="H11" i="344"/>
  <c r="E45" i="344"/>
  <c r="H45" i="344"/>
  <c r="J45" i="344"/>
  <c r="E21" i="344"/>
  <c r="J21" i="344"/>
  <c r="H21" i="344"/>
  <c r="E25" i="344"/>
  <c r="J25" i="344"/>
  <c r="H25" i="344"/>
  <c r="E46" i="344"/>
  <c r="H46" i="344"/>
  <c r="J46" i="344"/>
  <c r="E41" i="344"/>
  <c r="J41" i="344"/>
  <c r="H41" i="344"/>
  <c r="E24" i="344"/>
  <c r="J24" i="344"/>
  <c r="H24" i="344"/>
  <c r="E43" i="344"/>
  <c r="J43" i="344"/>
  <c r="H43" i="344"/>
  <c r="E42" i="344"/>
  <c r="H42" i="344"/>
  <c r="J42" i="344"/>
  <c r="E36" i="344"/>
  <c r="J36" i="344"/>
  <c r="H36" i="344"/>
  <c r="E8" i="344"/>
  <c r="J8" i="344"/>
  <c r="H8" i="344"/>
  <c r="E32" i="344"/>
  <c r="J32" i="344"/>
  <c r="H32" i="344"/>
  <c r="E51" i="344"/>
  <c r="H51" i="344"/>
  <c r="J51" i="344"/>
  <c r="E34" i="344"/>
  <c r="H34" i="344"/>
  <c r="J34" i="344"/>
  <c r="E30" i="344"/>
  <c r="J30" i="344"/>
  <c r="H30" i="344"/>
  <c r="E44" i="344"/>
  <c r="H44" i="344"/>
  <c r="J44" i="344"/>
  <c r="E57" i="344"/>
  <c r="J57" i="344"/>
  <c r="H57" i="344"/>
  <c r="E31" i="344"/>
  <c r="H31" i="344"/>
  <c r="J31" i="344"/>
  <c r="E10" i="344"/>
  <c r="J10" i="344"/>
  <c r="H10" i="344"/>
  <c r="E56" i="344"/>
  <c r="J56" i="344"/>
  <c r="H56" i="344"/>
  <c r="E39" i="344"/>
  <c r="J39" i="344"/>
  <c r="H39" i="344"/>
  <c r="AD69" i="338"/>
  <c r="AV36" i="338" l="1"/>
  <c r="AU36" i="338"/>
  <c r="H27" i="345"/>
  <c r="AC61" i="338"/>
  <c r="AD61" i="338" s="1"/>
  <c r="G27" i="345" l="1"/>
  <c r="I27" i="345"/>
  <c r="F29" i="344"/>
  <c r="AZ36" i="338"/>
  <c r="AX36" i="338"/>
  <c r="AY36" i="338"/>
  <c r="AC60" i="338"/>
  <c r="AD60" i="338" s="1"/>
  <c r="F27" i="344" l="1"/>
  <c r="H25" i="345"/>
  <c r="E29" i="344"/>
  <c r="J29" i="344"/>
  <c r="H29" i="344"/>
  <c r="AC36" i="338"/>
  <c r="AD36" i="338" s="1"/>
  <c r="I25" i="345" l="1"/>
  <c r="G25" i="345"/>
  <c r="H27" i="344"/>
  <c r="J27" i="344"/>
  <c r="E27" i="344"/>
  <c r="AC34" i="338"/>
  <c r="AU26" i="338" l="1"/>
  <c r="AV26" i="338"/>
  <c r="F20" i="344" l="1"/>
  <c r="E20" i="344" s="1"/>
  <c r="H19" i="345"/>
  <c r="AX26" i="338"/>
  <c r="AY26" i="338"/>
  <c r="AZ26" i="338"/>
  <c r="H20" i="344" l="1"/>
  <c r="J20" i="344"/>
  <c r="G19" i="345"/>
  <c r="I19" i="345"/>
  <c r="AV19" i="338" l="1"/>
  <c r="AU19" i="338"/>
  <c r="AC19" i="338"/>
  <c r="AD19" i="338" s="1"/>
  <c r="F13" i="344" l="1"/>
  <c r="E13" i="344" s="1"/>
  <c r="H13" i="345"/>
  <c r="AU11" i="338"/>
  <c r="AV11" i="338"/>
  <c r="V2" i="338"/>
  <c r="V87" i="338"/>
  <c r="AZ19" i="338"/>
  <c r="AX19" i="338"/>
  <c r="AY19" i="338"/>
  <c r="H5" i="345"/>
  <c r="AC26" i="338"/>
  <c r="AD26" i="338" s="1"/>
  <c r="H13" i="344" l="1"/>
  <c r="J13" i="344"/>
  <c r="I5" i="345"/>
  <c r="G5" i="345"/>
  <c r="G13" i="345"/>
  <c r="I13" i="345"/>
  <c r="F5" i="344"/>
  <c r="AZ11" i="338"/>
  <c r="AX11" i="338"/>
  <c r="AY11" i="338"/>
  <c r="AC24" i="338"/>
  <c r="E5" i="344" l="1"/>
  <c r="H5" i="344"/>
  <c r="J5" i="344"/>
  <c r="AC9" i="338"/>
  <c r="AC11" i="338"/>
  <c r="AD11" i="338" s="1"/>
  <c r="T87" i="338" l="1"/>
  <c r="T2" i="338"/>
  <c r="H2" i="338" l="1"/>
  <c r="H87" i="338"/>
  <c r="I2" i="338" l="1"/>
  <c r="I87" i="338"/>
  <c r="J2" i="338" l="1"/>
  <c r="J87" i="338"/>
  <c r="K87" i="338" l="1"/>
  <c r="K2" i="338"/>
  <c r="L2" i="338" l="1"/>
  <c r="L87" i="338"/>
  <c r="M2" i="338" l="1"/>
  <c r="M87" i="338"/>
  <c r="N2" i="338" l="1"/>
  <c r="N87" i="338"/>
  <c r="O87" i="338" l="1"/>
  <c r="O2" i="338"/>
  <c r="P87" i="338" l="1"/>
  <c r="P2" i="338"/>
  <c r="Q87" i="338" l="1"/>
  <c r="Q2" i="338"/>
  <c r="R87" i="338" l="1"/>
  <c r="R2" i="338"/>
  <c r="AV34" i="338" l="1"/>
  <c r="AD34" i="338"/>
  <c r="AU34" i="338"/>
  <c r="H47" i="345"/>
  <c r="AD56" i="338"/>
  <c r="AU56" i="338"/>
  <c r="AV56" i="338"/>
  <c r="G47" i="345" l="1"/>
  <c r="I47" i="345"/>
  <c r="F50" i="344"/>
  <c r="AZ34" i="338"/>
  <c r="AX34" i="338"/>
  <c r="AY34" i="338"/>
  <c r="AV28" i="338"/>
  <c r="AU28" i="338"/>
  <c r="AD28" i="338"/>
  <c r="AV54" i="338"/>
  <c r="AU54" i="338"/>
  <c r="AD54" i="338"/>
  <c r="AD55" i="338"/>
  <c r="H46" i="345"/>
  <c r="AV55" i="338"/>
  <c r="AU55" i="338"/>
  <c r="AZ56" i="338"/>
  <c r="AX56" i="338"/>
  <c r="AY56" i="338"/>
  <c r="F48" i="344" l="1"/>
  <c r="J48" i="344" s="1"/>
  <c r="H45" i="345"/>
  <c r="H17" i="345"/>
  <c r="G46" i="345"/>
  <c r="I46" i="345"/>
  <c r="E50" i="344"/>
  <c r="J50" i="344"/>
  <c r="H50" i="344"/>
  <c r="F49" i="344"/>
  <c r="E48" i="344"/>
  <c r="H48" i="344"/>
  <c r="F18" i="344"/>
  <c r="AF24" i="338"/>
  <c r="S2" i="338"/>
  <c r="S87" i="338"/>
  <c r="AY54" i="338"/>
  <c r="AX54" i="338"/>
  <c r="AZ28" i="338"/>
  <c r="AY28" i="338"/>
  <c r="AX28" i="338"/>
  <c r="AY55" i="338"/>
  <c r="AX55" i="338"/>
  <c r="AZ55" i="338"/>
  <c r="AD24" i="338"/>
  <c r="AV24" i="338"/>
  <c r="G17" i="345" l="1"/>
  <c r="I17" i="345"/>
  <c r="G45" i="345"/>
  <c r="I45" i="345"/>
  <c r="E49" i="344"/>
  <c r="J49" i="344"/>
  <c r="H49" i="344"/>
  <c r="E18" i="344"/>
  <c r="J18" i="344"/>
  <c r="H18" i="344"/>
  <c r="AX24" i="338"/>
  <c r="AY24" i="338"/>
  <c r="AZ24" i="338"/>
  <c r="AF11" i="338"/>
  <c r="AF23" i="338"/>
  <c r="AF47" i="338"/>
  <c r="AF40" i="338"/>
  <c r="AF63" i="338"/>
  <c r="AF29" i="338"/>
  <c r="AF25" i="338"/>
  <c r="AF26" i="338"/>
  <c r="AF41" i="338"/>
  <c r="AF33" i="338"/>
  <c r="AF50" i="338"/>
  <c r="AF66" i="338"/>
  <c r="AF59" i="338"/>
  <c r="AF22" i="338"/>
  <c r="AF42" i="338"/>
  <c r="AF20" i="338"/>
  <c r="AD9" i="338"/>
  <c r="AF58" i="338"/>
  <c r="AF65" i="338"/>
  <c r="AF51" i="338"/>
  <c r="AF13" i="338"/>
  <c r="AF35" i="338"/>
  <c r="AF49" i="338"/>
  <c r="AF52" i="338"/>
  <c r="AF48" i="338"/>
  <c r="AF14" i="338"/>
  <c r="AF36" i="338"/>
  <c r="AF38" i="338"/>
  <c r="AF43" i="338"/>
  <c r="AF17" i="338"/>
  <c r="AF21" i="338"/>
  <c r="AF62" i="338"/>
  <c r="AF16" i="338"/>
  <c r="AF64" i="338"/>
  <c r="AF30" i="338"/>
  <c r="AF44" i="338"/>
  <c r="AV9" i="338"/>
  <c r="AF31" i="338"/>
  <c r="AF15" i="338"/>
  <c r="AF27" i="338"/>
  <c r="AF46" i="338"/>
  <c r="AF18" i="338"/>
  <c r="AF45" i="338"/>
  <c r="AF53" i="338"/>
  <c r="AF9" i="338"/>
  <c r="AF57" i="338"/>
  <c r="AF37" i="338"/>
  <c r="AF39" i="338"/>
  <c r="AF19" i="338"/>
  <c r="AF32" i="338"/>
  <c r="AF34" i="338"/>
  <c r="AF56" i="338"/>
  <c r="AF28" i="338"/>
  <c r="AF54" i="338"/>
  <c r="AF55" i="338"/>
  <c r="AH27" i="338"/>
  <c r="AU24" i="338"/>
  <c r="AW64" i="338" l="1"/>
  <c r="AW14" i="338"/>
  <c r="AW53" i="338"/>
  <c r="AW57" i="338"/>
  <c r="AW30" i="338"/>
  <c r="AW52" i="338"/>
  <c r="AW15" i="338"/>
  <c r="AW65" i="338"/>
  <c r="AW22" i="338"/>
  <c r="AW59" i="338"/>
  <c r="AW21" i="338"/>
  <c r="AW58" i="338"/>
  <c r="AW44" i="338"/>
  <c r="AW66" i="338"/>
  <c r="AW50" i="338"/>
  <c r="AW61" i="338"/>
  <c r="AW40" i="338"/>
  <c r="AW36" i="338"/>
  <c r="AW42" i="338"/>
  <c r="AW19" i="338"/>
  <c r="AW18" i="338"/>
  <c r="AW45" i="338"/>
  <c r="AW33" i="338"/>
  <c r="AW49" i="338"/>
  <c r="AW46" i="338"/>
  <c r="AW41" i="338"/>
  <c r="AW37" i="338"/>
  <c r="AW17" i="338"/>
  <c r="AW13" i="338"/>
  <c r="AW27" i="338"/>
  <c r="AW26" i="338"/>
  <c r="AW48" i="338"/>
  <c r="AW9" i="338"/>
  <c r="AW23" i="338"/>
  <c r="AW39" i="338"/>
  <c r="AW11" i="338"/>
  <c r="AW38" i="338"/>
  <c r="AW63" i="338"/>
  <c r="AW32" i="338"/>
  <c r="AW29" i="338"/>
  <c r="AW62" i="338"/>
  <c r="AW16" i="338"/>
  <c r="AW47" i="338"/>
  <c r="AW51" i="338"/>
  <c r="AW35" i="338"/>
  <c r="AW20" i="338"/>
  <c r="AW31" i="338"/>
  <c r="AW43" i="338"/>
  <c r="AW60" i="338"/>
  <c r="AW56" i="338"/>
  <c r="AW34" i="338"/>
  <c r="AW55" i="338"/>
  <c r="AW28" i="338"/>
  <c r="AW54" i="338"/>
  <c r="AW24" i="338"/>
</calcChain>
</file>

<file path=xl/comments1.xml><?xml version="1.0" encoding="utf-8"?>
<comments xmlns="http://schemas.openxmlformats.org/spreadsheetml/2006/main">
  <authors>
    <author>Huyền</author>
  </authors>
  <commentList>
    <comment ref="G42" authorId="0" shapeId="0">
      <text>
        <r>
          <rPr>
            <b/>
            <sz val="9"/>
            <color indexed="81"/>
            <rFont val="Tahoma"/>
            <family val="2"/>
          </rPr>
          <t>Huyền:</t>
        </r>
        <r>
          <rPr>
            <sz val="9"/>
            <color indexed="81"/>
            <rFont val="Tahoma"/>
            <family val="2"/>
          </rPr>
          <t xml:space="preserve">
CHƯA CÓ CÔNG THỨC</t>
        </r>
      </text>
    </comment>
    <comment ref="G44" authorId="0" shapeId="0">
      <text>
        <r>
          <rPr>
            <b/>
            <sz val="9"/>
            <color indexed="81"/>
            <rFont val="Tahoma"/>
            <family val="2"/>
          </rPr>
          <t>Huyền:</t>
        </r>
        <r>
          <rPr>
            <sz val="9"/>
            <color indexed="81"/>
            <rFont val="Tahoma"/>
            <family val="2"/>
          </rPr>
          <t xml:space="preserve">
CHƯA CÓ CÔNG THỨC</t>
        </r>
      </text>
    </comment>
    <comment ref="G46" authorId="0" shapeId="0">
      <text>
        <r>
          <rPr>
            <b/>
            <sz val="9"/>
            <color indexed="81"/>
            <rFont val="Tahoma"/>
            <family val="2"/>
          </rPr>
          <t>Huyền:</t>
        </r>
        <r>
          <rPr>
            <sz val="9"/>
            <color indexed="81"/>
            <rFont val="Tahoma"/>
            <family val="2"/>
          </rPr>
          <t xml:space="preserve">
CHƯA CÓ CÔNG THỨC</t>
        </r>
      </text>
    </comment>
  </commentList>
</comments>
</file>

<file path=xl/comments2.xml><?xml version="1.0" encoding="utf-8"?>
<comments xmlns="http://schemas.openxmlformats.org/spreadsheetml/2006/main">
  <authors>
    <author>Huyền</author>
  </authors>
  <commentList>
    <comment ref="G41" authorId="0" shapeId="0">
      <text>
        <r>
          <rPr>
            <b/>
            <sz val="9"/>
            <color indexed="81"/>
            <rFont val="Tahoma"/>
            <family val="2"/>
          </rPr>
          <t>Huyền:</t>
        </r>
        <r>
          <rPr>
            <sz val="9"/>
            <color indexed="81"/>
            <rFont val="Tahoma"/>
            <family val="2"/>
          </rPr>
          <t xml:space="preserve">
CHƯA CÓ CÔNG THỨC</t>
        </r>
      </text>
    </comment>
    <comment ref="G43" authorId="0" shapeId="0">
      <text>
        <r>
          <rPr>
            <b/>
            <sz val="9"/>
            <color indexed="81"/>
            <rFont val="Tahoma"/>
            <family val="2"/>
          </rPr>
          <t>Huyền:</t>
        </r>
        <r>
          <rPr>
            <sz val="9"/>
            <color indexed="81"/>
            <rFont val="Tahoma"/>
            <family val="2"/>
          </rPr>
          <t xml:space="preserve">
CHƯA CÓ CÔNG THỨC</t>
        </r>
      </text>
    </comment>
    <comment ref="G45" authorId="0" shapeId="0">
      <text>
        <r>
          <rPr>
            <b/>
            <sz val="9"/>
            <color indexed="81"/>
            <rFont val="Tahoma"/>
            <family val="2"/>
          </rPr>
          <t>Huyền:</t>
        </r>
        <r>
          <rPr>
            <sz val="9"/>
            <color indexed="81"/>
            <rFont val="Tahoma"/>
            <family val="2"/>
          </rPr>
          <t xml:space="preserve">
CHƯA CÓ CÔNG THỨC</t>
        </r>
      </text>
    </comment>
  </commentList>
</comments>
</file>

<file path=xl/comments3.xml><?xml version="1.0" encoding="utf-8"?>
<comments xmlns="http://schemas.openxmlformats.org/spreadsheetml/2006/main">
  <authors>
    <author>Tác giả</author>
  </authors>
  <commentList>
    <comment ref="H197" authorId="0" shapeId="0">
      <text>
        <r>
          <rPr>
            <b/>
            <sz val="9"/>
            <color indexed="81"/>
            <rFont val="Tahoma"/>
            <family val="2"/>
          </rPr>
          <t>Tác giả:</t>
        </r>
        <r>
          <rPr>
            <sz val="9"/>
            <color indexed="81"/>
            <rFont val="Tahoma"/>
            <family val="2"/>
          </rPr>
          <t xml:space="preserve">
diện tích NQ là 0,25ha</t>
        </r>
      </text>
    </comment>
  </commentList>
</comments>
</file>

<file path=xl/comments4.xml><?xml version="1.0" encoding="utf-8"?>
<comments xmlns="http://schemas.openxmlformats.org/spreadsheetml/2006/main">
  <authors>
    <author>Admin</author>
  </authors>
  <commentList>
    <comment ref="AY115" authorId="0" shapeId="0">
      <text>
        <r>
          <rPr>
            <b/>
            <sz val="9"/>
            <color indexed="81"/>
            <rFont val="Tahoma"/>
            <family val="2"/>
          </rPr>
          <t>Admin:</t>
        </r>
        <r>
          <rPr>
            <sz val="9"/>
            <color indexed="81"/>
            <rFont val="Tahoma"/>
            <family val="2"/>
          </rPr>
          <t xml:space="preserve">
Đưa lên cùng 1 xã</t>
        </r>
      </text>
    </comment>
  </commentList>
</comments>
</file>

<file path=xl/sharedStrings.xml><?xml version="1.0" encoding="utf-8"?>
<sst xmlns="http://schemas.openxmlformats.org/spreadsheetml/2006/main" count="19716" uniqueCount="4031">
  <si>
    <t>Đơn vị tính: ha</t>
  </si>
  <si>
    <t>TT</t>
  </si>
  <si>
    <t>Đất đô thị</t>
  </si>
  <si>
    <t>Đất nông nghiệp</t>
  </si>
  <si>
    <t>NNP</t>
  </si>
  <si>
    <t>LUA</t>
  </si>
  <si>
    <t>1.1</t>
  </si>
  <si>
    <t>LUC</t>
  </si>
  <si>
    <t>LUK</t>
  </si>
  <si>
    <t>1.2</t>
  </si>
  <si>
    <t>LUN</t>
  </si>
  <si>
    <t>1.3</t>
  </si>
  <si>
    <t>HNK</t>
  </si>
  <si>
    <t>1.4</t>
  </si>
  <si>
    <t>CLN</t>
  </si>
  <si>
    <t>1.5</t>
  </si>
  <si>
    <t>RPH</t>
  </si>
  <si>
    <t>RDD</t>
  </si>
  <si>
    <t>RSX</t>
  </si>
  <si>
    <t>NTS</t>
  </si>
  <si>
    <t>NKH</t>
  </si>
  <si>
    <t>Đất phi nông nghiệp</t>
  </si>
  <si>
    <t>PNN</t>
  </si>
  <si>
    <t>2.1</t>
  </si>
  <si>
    <t>TSC</t>
  </si>
  <si>
    <t>2.2</t>
  </si>
  <si>
    <t>CQP</t>
  </si>
  <si>
    <t>2.3</t>
  </si>
  <si>
    <t>CAN</t>
  </si>
  <si>
    <t>2.4</t>
  </si>
  <si>
    <t>SKK</t>
  </si>
  <si>
    <t>2.5</t>
  </si>
  <si>
    <t>SKC</t>
  </si>
  <si>
    <t>2.6</t>
  </si>
  <si>
    <t>SKX</t>
  </si>
  <si>
    <t>SKS</t>
  </si>
  <si>
    <t>DDT</t>
  </si>
  <si>
    <t>DRA</t>
  </si>
  <si>
    <t>TON</t>
  </si>
  <si>
    <t>TIN</t>
  </si>
  <si>
    <t>NTD</t>
  </si>
  <si>
    <t>MNC</t>
  </si>
  <si>
    <t>SON</t>
  </si>
  <si>
    <t>DHT</t>
  </si>
  <si>
    <t>DGT</t>
  </si>
  <si>
    <t>DTL</t>
  </si>
  <si>
    <t>DNL</t>
  </si>
  <si>
    <t>DBV</t>
  </si>
  <si>
    <t>DVH</t>
  </si>
  <si>
    <t>DYT</t>
  </si>
  <si>
    <t>DGD</t>
  </si>
  <si>
    <t>DTT</t>
  </si>
  <si>
    <t>DKH</t>
  </si>
  <si>
    <t>DXH</t>
  </si>
  <si>
    <t>DCH</t>
  </si>
  <si>
    <t>PNK</t>
  </si>
  <si>
    <t>Đất chưa sử dụng</t>
  </si>
  <si>
    <t>ODT</t>
  </si>
  <si>
    <t>DDL</t>
  </si>
  <si>
    <t>ONT</t>
  </si>
  <si>
    <t>Đất trồng cây lâu năm</t>
  </si>
  <si>
    <t>Đất rừng phòng hộ</t>
  </si>
  <si>
    <t>Đất rừng đặc dụng</t>
  </si>
  <si>
    <t>Đất rừng sản xuất</t>
  </si>
  <si>
    <t>1.6</t>
  </si>
  <si>
    <t>Đất quốc phòng</t>
  </si>
  <si>
    <t>Đất an ninh</t>
  </si>
  <si>
    <t>Đất khu công nghiệp</t>
  </si>
  <si>
    <t>2.7</t>
  </si>
  <si>
    <t>2.8</t>
  </si>
  <si>
    <t>2.9</t>
  </si>
  <si>
    <t>2.10</t>
  </si>
  <si>
    <t>Đất nuôi trồng thuỷ sản</t>
  </si>
  <si>
    <t>1.7</t>
  </si>
  <si>
    <t>2.11</t>
  </si>
  <si>
    <t>2.12</t>
  </si>
  <si>
    <t>2.13</t>
  </si>
  <si>
    <t>Đất có mặt nước chuyên dùng</t>
  </si>
  <si>
    <t>I</t>
  </si>
  <si>
    <t>II</t>
  </si>
  <si>
    <t>Đất bãi thải, xử lý chất thải</t>
  </si>
  <si>
    <t>CSD</t>
  </si>
  <si>
    <t>2.14</t>
  </si>
  <si>
    <t>2.15</t>
  </si>
  <si>
    <t>2.16</t>
  </si>
  <si>
    <t>Đất trồng lúa</t>
  </si>
  <si>
    <t>1.8</t>
  </si>
  <si>
    <t>Khu du lịch</t>
  </si>
  <si>
    <t>Đất trồng cây hàng năm khác</t>
  </si>
  <si>
    <t>Đất nông nghiệp khác</t>
  </si>
  <si>
    <t>Đất cụm công nghiệp</t>
  </si>
  <si>
    <t>SKN</t>
  </si>
  <si>
    <t>Đất thương mại dịch vụ</t>
  </si>
  <si>
    <t>TMD</t>
  </si>
  <si>
    <t>Đất cơ sở sản xuất phi nông nghiệp</t>
  </si>
  <si>
    <t>Đất xây dựng trụ sở cơ quan</t>
  </si>
  <si>
    <t>DTS</t>
  </si>
  <si>
    <t>Đất làm nghĩa trang, nghĩa địa, nhà tang lễ, nhà hỏa táng</t>
  </si>
  <si>
    <t>Đất sản xuất vật liệu xây dựng, làm đồ gốm</t>
  </si>
  <si>
    <t>Đất sinh hoạt cộng đồng</t>
  </si>
  <si>
    <t>2.17</t>
  </si>
  <si>
    <t>2.18</t>
  </si>
  <si>
    <t>2.19</t>
  </si>
  <si>
    <t>2.20</t>
  </si>
  <si>
    <t>2.21</t>
  </si>
  <si>
    <t>2.23</t>
  </si>
  <si>
    <t>Đất sử dụng cho hoạt động khoáng sản</t>
  </si>
  <si>
    <t>Đất ở tại nông thôn</t>
  </si>
  <si>
    <t>Đất ở tại đô thị</t>
  </si>
  <si>
    <t>Đất xây dựng cơ sở ngoại giao</t>
  </si>
  <si>
    <t>DNG</t>
  </si>
  <si>
    <t>Đất cơ sở tôn giáo</t>
  </si>
  <si>
    <t>DSH</t>
  </si>
  <si>
    <t>DKV</t>
  </si>
  <si>
    <t>Đất cơ sở tín ngưỡng</t>
  </si>
  <si>
    <t>Đất sông, ngòi, kênh, rạch, suối</t>
  </si>
  <si>
    <t>Đất phi nông nghiệp khác</t>
  </si>
  <si>
    <t>Đất khu công nghệ cao</t>
  </si>
  <si>
    <t>KCN</t>
  </si>
  <si>
    <t>Đất khu kinh tế</t>
  </si>
  <si>
    <t>KKT</t>
  </si>
  <si>
    <t>KDT</t>
  </si>
  <si>
    <t>Đất giao thông</t>
  </si>
  <si>
    <t>Đất thủy lợi</t>
  </si>
  <si>
    <t>Đất chợ</t>
  </si>
  <si>
    <t>Đất phát triển hạ tầng cấp quốc gia, cấp tỉnh, cấp huyện, cấp xã</t>
  </si>
  <si>
    <t>LOẠI ĐẤT</t>
  </si>
  <si>
    <t>Đất xây dựng cơ sở văn hóa</t>
  </si>
  <si>
    <t>Đất xây dựng cơ sở dịch vụ xã hội</t>
  </si>
  <si>
    <t>Đất xây dựng cơ sở y tế</t>
  </si>
  <si>
    <t>Đất xây dựng cơ sở giáo dục đào tạo</t>
  </si>
  <si>
    <t>Đất xây dựng cơ sở thể dục thể thao</t>
  </si>
  <si>
    <t>Đất xây dựng cơ sở khoa học và công nghệ</t>
  </si>
  <si>
    <t>Đất xây dựng công trình sự nghiệp khác</t>
  </si>
  <si>
    <t>Đất công trình năng lượng</t>
  </si>
  <si>
    <t>Đất công trình bưu chính viễn thông</t>
  </si>
  <si>
    <t>Đất công trình công cộng khác</t>
  </si>
  <si>
    <t>DSK</t>
  </si>
  <si>
    <t>DCK</t>
  </si>
  <si>
    <t>KHU CHỨC NĂNG</t>
  </si>
  <si>
    <t>KDL</t>
  </si>
  <si>
    <t>Đất trồng lúa nước còn lại</t>
  </si>
  <si>
    <t>Đất trồng lúa nương</t>
  </si>
  <si>
    <t>Cộng giảm</t>
  </si>
  <si>
    <t>Biến động tăng giảm</t>
  </si>
  <si>
    <t>Cộng tăng</t>
  </si>
  <si>
    <t>Tổng diện tích</t>
  </si>
  <si>
    <t>Diện tích (ha)</t>
  </si>
  <si>
    <t>Đất nông nghiệp chuyển sang đất phi nông nghiệp</t>
  </si>
  <si>
    <t>NNP/PNN</t>
  </si>
  <si>
    <t>LUA/PNN</t>
  </si>
  <si>
    <t xml:space="preserve">Trong đó: Đất chuyên trồng lúa nước </t>
  </si>
  <si>
    <t>LUC/PNN</t>
  </si>
  <si>
    <t>HNK/PNN</t>
  </si>
  <si>
    <t>CLN/PNN</t>
  </si>
  <si>
    <t>RPH/PNN</t>
  </si>
  <si>
    <t>RDD/PNN</t>
  </si>
  <si>
    <t>RSX/PNN</t>
  </si>
  <si>
    <t>NTS/PNN</t>
  </si>
  <si>
    <t>NKH/PNN</t>
  </si>
  <si>
    <t>Đất trồng lúa chuyển sang đất trồng cây lâu năm</t>
  </si>
  <si>
    <t>LUA/CLN</t>
  </si>
  <si>
    <t>LUA/LNP</t>
  </si>
  <si>
    <t>Đất trồng lúa chuyển sang đất nuôi trồng thuỷ sản</t>
  </si>
  <si>
    <t>LUA/NTS</t>
  </si>
  <si>
    <t>Đất trồng cây hàng năm khác chuyển sang đất nuôi trồng thủy sản</t>
  </si>
  <si>
    <t>HNK/NTS</t>
  </si>
  <si>
    <t>Đất phi nông nghiệp không phải đất ở chuyển sang đất ở</t>
  </si>
  <si>
    <t>PKO/OCT</t>
  </si>
  <si>
    <t>Đất trồng lúa chuyển sang đất trồng rừng</t>
  </si>
  <si>
    <t>STT</t>
  </si>
  <si>
    <t>Chỉ tiêu</t>
  </si>
  <si>
    <t>Mã</t>
  </si>
  <si>
    <t>Cơ cấu (%)</t>
  </si>
  <si>
    <t>Tổng diện tích đất tự nhiên</t>
  </si>
  <si>
    <t>Chỉ tiêu sử dụng đất</t>
  </si>
  <si>
    <t>Diện tích cuối kỳ, năm 2030</t>
  </si>
  <si>
    <t>Khu lâm nghiệp</t>
  </si>
  <si>
    <t>Khu bảo tồn thiên nhiên và đa dạng sinh học</t>
  </si>
  <si>
    <t>Khu thương mại - dịch vụ</t>
  </si>
  <si>
    <t>KNN</t>
  </si>
  <si>
    <t>KLN</t>
  </si>
  <si>
    <t>KBT</t>
  </si>
  <si>
    <t>KPC</t>
  </si>
  <si>
    <t>DTC</t>
  </si>
  <si>
    <t>KTM</t>
  </si>
  <si>
    <t>Khu dân cư nông thôn</t>
  </si>
  <si>
    <t>RSN</t>
  </si>
  <si>
    <t>RST</t>
  </si>
  <si>
    <t>RSM</t>
  </si>
  <si>
    <t>Trong đó:</t>
  </si>
  <si>
    <t>(6)=(5)-(4)</t>
  </si>
  <si>
    <t>Chuyển đổi cơ cấu sử dụng đất trong nội bộ đất nông nghiệp</t>
  </si>
  <si>
    <t>-</t>
  </si>
  <si>
    <t>Đất có rừng sản xuất là rừng tự nhiên</t>
  </si>
  <si>
    <t>Đất có rừng sản xuất là rừng trồng</t>
  </si>
  <si>
    <t>Đất đang sử dụng để bảo vệ, phát triển rừng sản xuất</t>
  </si>
  <si>
    <t>RSN/PNN</t>
  </si>
  <si>
    <t>Trong đó: Đất có rừng sản xuất là rừng tự nhiên</t>
  </si>
  <si>
    <t>DNT</t>
  </si>
  <si>
    <t>Đất rừng phòng hộ chuyển sang đất nông nghiệp không phải là rừng</t>
  </si>
  <si>
    <t>Đất rừng đặc dụng chuyển sang đất nông nghiệp không phải là rừng</t>
  </si>
  <si>
    <t>Đất rừng sản xuất chuyển sang đất nông nghiệp không phải là rừng</t>
  </si>
  <si>
    <t xml:space="preserve">Khu sản xuất nông nghiệp </t>
  </si>
  <si>
    <t xml:space="preserve">Khu phát triển công nghiệp </t>
  </si>
  <si>
    <t xml:space="preserve">Khu đô thị </t>
  </si>
  <si>
    <t>Trong đó: Đất rừng sản xuất là rừng tự nhiên</t>
  </si>
  <si>
    <t>BIỂU 01/CH</t>
  </si>
  <si>
    <t>BIỂU 11/CH</t>
  </si>
  <si>
    <t>Khu lâm nghiệp (khu vực rừng phòng hộ, rừng đặc dụng, rừng sản xuất)</t>
  </si>
  <si>
    <t>Khu phát triển công nghiệp (khu công nghiệp, cụm công nghiệp)</t>
  </si>
  <si>
    <t>Khu đô thị (trong đó có khu đô thị mới)</t>
  </si>
  <si>
    <t>Khu đô thị - thương mại - dịch vụ</t>
  </si>
  <si>
    <t>Khu ở, làng nghề, sản xuất phi nông nghiệp nông thôn</t>
  </si>
  <si>
    <t>KDV</t>
  </si>
  <si>
    <t>KON</t>
  </si>
  <si>
    <t>Diện tích đầu kỳ năm 2023</t>
  </si>
  <si>
    <t>Diện tích quy hoạch được duyệt (ha)</t>
  </si>
  <si>
    <t>Kết quả thực hiện</t>
  </si>
  <si>
    <t>Khu sản xuất nông nghiệp (khu vực chuyên trồng lúa nước, khu vực chuyên trồng cây công nghiệp lâu năm)</t>
  </si>
  <si>
    <t>Đất xây dựng cơ sở giáo dục và đào tạo</t>
  </si>
  <si>
    <t>Xã Bằng Doãn</t>
  </si>
  <si>
    <t>Xã Bằng Luân</t>
  </si>
  <si>
    <t>Xã Ca Đình</t>
  </si>
  <si>
    <t>Xã Chân Mộng</t>
  </si>
  <si>
    <t>Xã Chí Đám</t>
  </si>
  <si>
    <t>Xã Hợp Nhất</t>
  </si>
  <si>
    <t>Xã Hùng Long</t>
  </si>
  <si>
    <t>Xã Hùng Xuyên</t>
  </si>
  <si>
    <t>Xã Minh Lương</t>
  </si>
  <si>
    <t>Xã Minh Phú</t>
  </si>
  <si>
    <t>Xã Minh Tiến</t>
  </si>
  <si>
    <t>Xã Ngọc Quan</t>
  </si>
  <si>
    <t>Xã Phú Lâm</t>
  </si>
  <si>
    <t>Xã Phúc Lai</t>
  </si>
  <si>
    <t>Xã Sóc Đăng</t>
  </si>
  <si>
    <t>Xã Tây Cốc</t>
  </si>
  <si>
    <t>Xã Tiêu Sơn</t>
  </si>
  <si>
    <t>Xã Vân Du</t>
  </si>
  <si>
    <t>Xã Vân Đồn</t>
  </si>
  <si>
    <t>Xã Vụ Quang</t>
  </si>
  <si>
    <t>Xã Yên Kiện</t>
  </si>
  <si>
    <t>HUYỆN ĐOAN HÙNG - TỈNH PHÚ THỌ</t>
  </si>
  <si>
    <t>Đất nghĩa trang, nghĩa địa, nhà tang lễ, nhà hỏa táng</t>
  </si>
  <si>
    <t>BIỂU 12/CH</t>
  </si>
  <si>
    <t>Chu chuyển đất đai đến năm 2030</t>
  </si>
  <si>
    <t>Diện tích cuối kỳ năm 2030</t>
  </si>
  <si>
    <t>Ký hiệu biểu</t>
  </si>
  <si>
    <t>Tên biểu</t>
  </si>
  <si>
    <t>Biểu 01/CH</t>
  </si>
  <si>
    <t>Biểu 02/CH</t>
  </si>
  <si>
    <t>Biểu 03/CH</t>
  </si>
  <si>
    <t>Biểu 04/CH</t>
  </si>
  <si>
    <t>Biểu 05/CH</t>
  </si>
  <si>
    <t>Biểu 11/CH</t>
  </si>
  <si>
    <t>Biểu 12/CH</t>
  </si>
  <si>
    <t>Biểu 06/CH</t>
  </si>
  <si>
    <t>Biểu 07/CH</t>
  </si>
  <si>
    <t>Biểu 09/CH</t>
  </si>
  <si>
    <t>Biểu 10/CH</t>
  </si>
  <si>
    <t>Biểu 13/CH</t>
  </si>
  <si>
    <t>BIỂU 06/CH</t>
  </si>
  <si>
    <t>BIỂU 07/CH</t>
  </si>
  <si>
    <t>BIỂU 09/CH</t>
  </si>
  <si>
    <t>BIỂU 08/CH</t>
  </si>
  <si>
    <t>Điều chỉnh lần 1</t>
  </si>
  <si>
    <t>CMĐ</t>
  </si>
  <si>
    <t>Diện tích thu hồi đất kế hoạch được duyệt (ha)</t>
  </si>
  <si>
    <t>Diện tích thu hồi đất năm 2023 đã thực hiện (ha)</t>
  </si>
  <si>
    <t>Tỷ lệ (%)</t>
  </si>
  <si>
    <t>KĐT</t>
  </si>
  <si>
    <t>KHU TĐC</t>
  </si>
  <si>
    <t>THĐ</t>
  </si>
  <si>
    <t>2.24</t>
  </si>
  <si>
    <t>Phụ biểu 02:</t>
  </si>
  <si>
    <t>DANH MỤC CÁC CÔNG TRÌNH, DỰ ÁN TRONG ĐIỀU CHỈNH QUY HOẠCH SỬ DỤNG ĐẤT GIAI ĐOẠN 2021 - 2030</t>
  </si>
  <si>
    <t>Hạng mục</t>
  </si>
  <si>
    <t>Mã loại đất</t>
  </si>
  <si>
    <t>Diện tích quy hoạch (ha)</t>
  </si>
  <si>
    <t>Diện tích hiện trạng (ha)</t>
  </si>
  <si>
    <t>Diện tích tăng thêm (ha)</t>
  </si>
  <si>
    <t>Loại đất lấy vào</t>
  </si>
  <si>
    <t xml:space="preserve">Địa điểm </t>
  </si>
  <si>
    <t>Ghi chú</t>
  </si>
  <si>
    <t>Nội dung sửa ngày 04.4.2024</t>
  </si>
  <si>
    <t xml:space="preserve"> LUC</t>
  </si>
  <si>
    <t>Xã, thị trấn</t>
  </si>
  <si>
    <t>Khu</t>
  </si>
  <si>
    <t>Mở rộng doanh trại Ban CHQS huyện Đoan Hùng</t>
  </si>
  <si>
    <t>TT Đoan Hùng</t>
  </si>
  <si>
    <t>Khu Đoàn Kết</t>
  </si>
  <si>
    <t>Chuyển tiếp</t>
  </si>
  <si>
    <t>sửa tên theo KH 24</t>
  </si>
  <si>
    <t>1 phần trường THCS cũ</t>
  </si>
  <si>
    <t>Xây dựng trận địa súng máy phòng không 12,7mm</t>
  </si>
  <si>
    <t>Khu Tân Thành</t>
  </si>
  <si>
    <t>Trận địa phòng không số 7</t>
  </si>
  <si>
    <t>Núi Bò Nghi (Điểm cao 261)</t>
  </si>
  <si>
    <t>Đăng ký mới</t>
  </si>
  <si>
    <t>tăng diện tích</t>
  </si>
  <si>
    <t>sửa tên khu, điểu chỉnh giảm diện tích từ 1,5 xuống 0,10 ha</t>
  </si>
  <si>
    <t>Trận địa phòng không số 2</t>
  </si>
  <si>
    <t>Núi Đẫu</t>
  </si>
  <si>
    <t>Vị trí bản đồ không vẽ</t>
  </si>
  <si>
    <t>Trận địa phòng không số 3</t>
  </si>
  <si>
    <t>Khu 5</t>
  </si>
  <si>
    <t>Trận địa phòng không số 4</t>
  </si>
  <si>
    <t>Núi Nghè (Điểm cao 211), Khu 6</t>
  </si>
  <si>
    <t>Khu 6</t>
  </si>
  <si>
    <t>Trận địa phòng không số 5</t>
  </si>
  <si>
    <t>Núi Đám (Điểm cao 174)</t>
  </si>
  <si>
    <t>Bổ sung mới</t>
  </si>
  <si>
    <t>Trận địa phòng không số 6</t>
  </si>
  <si>
    <t>Vân Tiến 3 (Điểm cao 96,2)</t>
  </si>
  <si>
    <t>Mở rộng trụ sở công an huyện</t>
  </si>
  <si>
    <t>Khu Tân Long</t>
  </si>
  <si>
    <t>Trạm công an đường thủy</t>
  </si>
  <si>
    <t xml:space="preserve">TT Đoan Hùng </t>
  </si>
  <si>
    <t>Khu Đồng Tâm</t>
  </si>
  <si>
    <t>Tăng 0,05 lên 0,22</t>
  </si>
  <si>
    <t>Đội PCCC và CNCH huyện</t>
  </si>
  <si>
    <t>Khu 4 (Trụ sở UBND xã)</t>
  </si>
  <si>
    <t>Chuyển vị trí</t>
  </si>
  <si>
    <t>LUC+LUK</t>
  </si>
  <si>
    <t>Chuyển về Sóc Đăng lấy vào TSC, giảm diện tích</t>
  </si>
  <si>
    <t>Xây mới trụ sở công an xã Bằng Luân</t>
  </si>
  <si>
    <t>khu 3</t>
  </si>
  <si>
    <t>Xây mới trụ sở công an xã Ca Đình</t>
  </si>
  <si>
    <t>Khu 2</t>
  </si>
  <si>
    <t>Điều chỉnh tăng diện tích từ 0,20 lên 0,25 ha</t>
  </si>
  <si>
    <t>Xây mới trụ sở công an xã</t>
  </si>
  <si>
    <t>Khu 2 (đất trụ sở UBND xã)</t>
  </si>
  <si>
    <t>Thay đổi vị trí, tên, loại đất lấy vào</t>
  </si>
  <si>
    <t>Xây mới trụ sở công an xã Hợp Nhất</t>
  </si>
  <si>
    <t>Khu Hữu Đô 2 (Trạm y tế xã Hữu Đô cũ)</t>
  </si>
  <si>
    <t>Sửa đăng ký mới thành chuyển vị trí</t>
  </si>
  <si>
    <t>Chuyển vị trí, thay đổi khu, loại đất lấy vào</t>
  </si>
  <si>
    <t>Khu Tân Minh (đất trụ sở UBND xã)</t>
  </si>
  <si>
    <t>Xây mới trụ sở công an xã Hùng Xuyên</t>
  </si>
  <si>
    <t>Khu Nghinh Lạc</t>
  </si>
  <si>
    <t>Khu 4 (đất trụ sở UBND xã)</t>
  </si>
  <si>
    <t>Xây mới trụ sở công an xã Ngọc Quan</t>
  </si>
  <si>
    <t>Đồng Cây Quân, Khu 6</t>
  </si>
  <si>
    <t>Đồng Mè, Khu 11</t>
  </si>
  <si>
    <t>Thay đổi vị trí, xứ đồng, loại đất lấy vào</t>
  </si>
  <si>
    <t>Xây mới trụ sở công an xã Phú Lâm</t>
  </si>
  <si>
    <t>Khu Tây Mỗ 2 (Trụ sở UBND xã Phong Phú cũ)</t>
  </si>
  <si>
    <t>Tăng diện tích, thay đổi vị trí, loại đất lấy vào</t>
  </si>
  <si>
    <t>Xây mới trụ sở công an xã Phúc Lai</t>
  </si>
  <si>
    <t>Khu 2 (gần trường mầm non)</t>
  </si>
  <si>
    <t>Xây mới trụ sở công an TT Đoan Hùng</t>
  </si>
  <si>
    <t>Sửa loại đất lấy vào</t>
  </si>
  <si>
    <t>thay  đổi vị trí, tên,  diện tích, loại đất lấy vào</t>
  </si>
  <si>
    <t>Giảm diện tích</t>
  </si>
  <si>
    <t>Xây mới trụ sở công an xã Tây Cốc</t>
  </si>
  <si>
    <t>Khu Hợp Lai</t>
  </si>
  <si>
    <t>lấy vào trụ sở UB</t>
  </si>
  <si>
    <t>Xây mới trụ sở công an xã Vân Du</t>
  </si>
  <si>
    <t>Khu Vân Tiến 3 (trạm y tế xã )</t>
  </si>
  <si>
    <t>thay  đổi vị trí, diện tích loại đất lấy vào</t>
  </si>
  <si>
    <t>Xây mới trụ sở công an xã Yên Kiện</t>
  </si>
  <si>
    <t>Khu 5 (Trụ sở UBND xã)</t>
  </si>
  <si>
    <t>III</t>
  </si>
  <si>
    <t>Cụm công nghiệp Minh Phú</t>
  </si>
  <si>
    <t>Khu 2, 6</t>
  </si>
  <si>
    <t>Cụm công nghiệp Ngọc Quan</t>
  </si>
  <si>
    <t>Khu 8, 11, 13</t>
  </si>
  <si>
    <t>tăng diện tích đất lúa lên 7,31 ha. Giảm CLN còn 10,79 ha</t>
  </si>
  <si>
    <t>Cụm công nghiệp làng nghề Sóc Đăng</t>
  </si>
  <si>
    <t>Khu 1, 4, 8</t>
  </si>
  <si>
    <t>Tăng đất HNK 1,83 ha</t>
  </si>
  <si>
    <t>Cụm công nghiệp Sóc Đăng 2</t>
  </si>
  <si>
    <t>Xã Sóc Đăng, Hùng Long</t>
  </si>
  <si>
    <t>Cụm công nghiệp Nam Đoan Hùng</t>
  </si>
  <si>
    <t>Xã Vân Đồn, Tiêu Sơn</t>
  </si>
  <si>
    <t>Khu 2 (Vân Đồn), Khu 8 (Tiêu Sơn)</t>
  </si>
  <si>
    <t>Kh 2024. Giảm diện tích RSX 1,83</t>
  </si>
  <si>
    <t>Đổi tên CCN Nam Đôan HÙng</t>
  </si>
  <si>
    <t>IV</t>
  </si>
  <si>
    <t>Đất thương mại, dịch vụ</t>
  </si>
  <si>
    <t>Khu Phú Thịnh</t>
  </si>
  <si>
    <t>Bổ sung</t>
  </si>
  <si>
    <t>Khu Thọ Sơn, Tân Thịnh</t>
  </si>
  <si>
    <t>Chuyển từ CLN lên TMD, giảm 2,5 ha còn 1 ha</t>
  </si>
  <si>
    <t>Khu Tân Long (Gần cầu mới)</t>
  </si>
  <si>
    <t>Khu Hưng Tiến</t>
  </si>
  <si>
    <t>Khu trung tâm tổ chức sự kiện, lễ hội bưởi</t>
  </si>
  <si>
    <t>Khu 4</t>
  </si>
  <si>
    <t>Cửa hàng xăng dầu sửa thành thương mại dịch vụ</t>
  </si>
  <si>
    <t>Khu 1</t>
  </si>
  <si>
    <t>Khu Đám 1</t>
  </si>
  <si>
    <t>Bãi tập kết vật liệu xây dựng</t>
  </si>
  <si>
    <t>Khu Nghĩa Khê</t>
  </si>
  <si>
    <t>Giảm diện tích từ 5,8 ha còn 2 ha</t>
  </si>
  <si>
    <t>Khu Thống Nhất</t>
  </si>
  <si>
    <t>Khu chợ cũ</t>
  </si>
  <si>
    <t>Khu Vân Cương 2</t>
  </si>
  <si>
    <t>Xây mới chợ xã Hợp Nhất sửa thành khu thương mại dịch vụ</t>
  </si>
  <si>
    <t>Công ty Vạn Thắng</t>
  </si>
  <si>
    <t>Đồng Mục, Khu Sông Lô</t>
  </si>
  <si>
    <t>Thêm xứ đồng</t>
  </si>
  <si>
    <t>Khu Tân Minh</t>
  </si>
  <si>
    <t>Giảm diện tích 2,3 còn 1,2 ha</t>
  </si>
  <si>
    <t>Quỹ tín dụng</t>
  </si>
  <si>
    <t>Khu Đồng Ao (gần QH công an)</t>
  </si>
  <si>
    <t>Đấu giá đất thương mại, dịch vụ (Trụ sở UBND xã Đông Khê cũ)</t>
  </si>
  <si>
    <t>Khu Đông Dương</t>
  </si>
  <si>
    <t>Tăng diện tích</t>
  </si>
  <si>
    <t>Gốc Khế, Khu 1B, Khu Cây Vải, Thôn 4</t>
  </si>
  <si>
    <t>Hợp tác xã nông nghiệp</t>
  </si>
  <si>
    <t>Khu 10</t>
  </si>
  <si>
    <t>Vị trí quy hoạch chợ cũ, Khu 8</t>
  </si>
  <si>
    <t>Đấu giá quyền sử dụng đất</t>
  </si>
  <si>
    <t>Thay doi loai dat lay vao</t>
  </si>
  <si>
    <t>Khu Cẩn Độ</t>
  </si>
  <si>
    <t>Đồng Gốc Thị</t>
  </si>
  <si>
    <t>Trung tâm kinh doanh vật liệu xây dựng tại xã Sóc Đăng</t>
  </si>
  <si>
    <t>Khu 7</t>
  </si>
  <si>
    <t>cty hoà bình minh</t>
  </si>
  <si>
    <t>Trung tâm đăng kiểm xe cơ giới</t>
  </si>
  <si>
    <t>Công ty TNHH đầu tư và dịch vụ kỹ thuật Gia Huy</t>
  </si>
  <si>
    <t>Khu 6, 8</t>
  </si>
  <si>
    <t>Giảm diện tích còn 2,5 ha</t>
  </si>
  <si>
    <t>giảm 5,68 còn 4,41 ha</t>
  </si>
  <si>
    <t>Điều chỉnh giam diện tích 2,5 ha còn 1,44 ha</t>
  </si>
  <si>
    <t>Khu 8</t>
  </si>
  <si>
    <t>Giảm 1,04 còn 0,5 ha</t>
  </si>
  <si>
    <t>Giảm 0,8 còn 0,7 ha</t>
  </si>
  <si>
    <t>Sửa diện tích, loại đất lấy vào</t>
  </si>
  <si>
    <t xml:space="preserve">Xã Tây Cốc </t>
  </si>
  <si>
    <t>Khu Phúc Đình</t>
  </si>
  <si>
    <t>Khu Phố</t>
  </si>
  <si>
    <t>Chợ Tây cốc</t>
  </si>
  <si>
    <t>Hợp tác xã Đại Long</t>
  </si>
  <si>
    <t>Hố Chùa, khu Tân Long</t>
  </si>
  <si>
    <t>sua loai dat lay vao</t>
  </si>
  <si>
    <t>Đồng nhà Mưa</t>
  </si>
  <si>
    <t>Giarm.3 xuống 0,15</t>
  </si>
  <si>
    <t>Cty Gia Phát</t>
  </si>
  <si>
    <t>Luc</t>
  </si>
  <si>
    <t>Bềnh Hố Nứa, khu Vân Tiến 3</t>
  </si>
  <si>
    <t>Bỏ soi hủy 0,52 ha HNK. Đã thực hiện 0,18 ha năm 2023. từ 4,01 xuống 3,31</t>
  </si>
  <si>
    <t>Soi Hủy 0,52 ha đang thực hiện chưa CMĐ
Bềnh Hố Nứa, khu Vân Tiến 3 đã thực hiện đã có QĐ CMĐ</t>
  </si>
  <si>
    <t>Showroom giới thiệu sản phẩm nội thất Đại Hoàng Gia (Bao gồm cả HLGT)</t>
  </si>
  <si>
    <t>Bềnh Hố Nứa, Khu Vân Tiến 3</t>
  </si>
  <si>
    <t>Thay đổi loại đất</t>
  </si>
  <si>
    <t>Tràn Sâu, khu 3</t>
  </si>
  <si>
    <t>Giảm 2,5 ha còn 0,5 ha</t>
  </si>
  <si>
    <t>ok</t>
  </si>
  <si>
    <t>Trường THCS cũ, Khu 5</t>
  </si>
  <si>
    <t xml:space="preserve">Bến, bãi bốc xếp hàng hóa và kinh doanh vật liệu xây dựng </t>
  </si>
  <si>
    <t>Khu 3</t>
  </si>
  <si>
    <t>Xứ Ao Cỏ, khu 4</t>
  </si>
  <si>
    <t>Chuyển từ chợ sang TMD</t>
  </si>
  <si>
    <t>Bến, bãi bốc xếp hàng hóa</t>
  </si>
  <si>
    <t>Bến ông Cửu, khu 2</t>
  </si>
  <si>
    <t>Chuyển từ SKC sang TMD</t>
  </si>
  <si>
    <t>Cống Lim, Khu 2</t>
  </si>
  <si>
    <t>Cầu Sắt dưới, Khu 2</t>
  </si>
  <si>
    <t>Giảm diện tích xuống từ 1,38 ha còn 0,53 ha</t>
  </si>
  <si>
    <t>Thay đổi diện tích</t>
  </si>
  <si>
    <t>Chuyển từ SKC thành TMD</t>
  </si>
  <si>
    <t>V</t>
  </si>
  <si>
    <t>Cơ sở sản xuất phi nông nghiệp</t>
  </si>
  <si>
    <t>Khu Tân Long, Khu Tân Thịnh</t>
  </si>
  <si>
    <t>Giảm diệ tích 5,67 ha còn 1,67 ha</t>
  </si>
  <si>
    <t>Giảm diện tích 1,67 ha còn 0,67 ha</t>
  </si>
  <si>
    <t>Khu Tân Thịnh</t>
  </si>
  <si>
    <t xml:space="preserve">Khu 2 </t>
  </si>
  <si>
    <t>sửa 1,70 ha thành 0,20 để đưa vào cấp gcn</t>
  </si>
  <si>
    <t>Giảm 5 ha xuống còn 2,5 ha</t>
  </si>
  <si>
    <t>Khu 9</t>
  </si>
  <si>
    <t>Khu 4 (Cây Hồng)</t>
  </si>
  <si>
    <t>Giảm diện tích từ 8,0 ha xuống 3,8 ha</t>
  </si>
  <si>
    <t>Giảm 3,8 ha xuống còn 2 ha</t>
  </si>
  <si>
    <t>Hố rau răm, khu 4</t>
  </si>
  <si>
    <t>Khu 3, Dộc Cuồng</t>
  </si>
  <si>
    <t>Trạm cấp nước sạch</t>
  </si>
  <si>
    <t>Khu Đồng Mo + Cửa Nái, Khu 1, 2</t>
  </si>
  <si>
    <t>Cây Chanh 1, khu Xuân Áng</t>
  </si>
  <si>
    <t>KH SDĐ 2024 0,5 ha. Đầu tư xây dựng cơ sở dịch vụ sản xuất hàng may công nghiệp, bán buôn bán lẻ hàng may mặc Sơn Hương</t>
  </si>
  <si>
    <t>Xứ đồng Gò Cả, khu Ngọc Chúc 2</t>
  </si>
  <si>
    <t>Giảm 4 ha còn 2 ha</t>
  </si>
  <si>
    <t>Khu Hố Xanh</t>
  </si>
  <si>
    <t>Gò Trại, Khu Tân Minh</t>
  </si>
  <si>
    <t>Khu Tiền Phong (gần NVH giáp bờ sông)</t>
  </si>
  <si>
    <t>Giảm diện tích 1,61 còn 0,7</t>
  </si>
  <si>
    <t xml:space="preserve">Xã Hùng Xuyên </t>
  </si>
  <si>
    <t xml:space="preserve"> Đồng Cây Tiêm, khu Đông Tiệm</t>
  </si>
  <si>
    <t>Giảm diện tích 2,92 ha xuống còn 2,15 ha</t>
  </si>
  <si>
    <t>Khu Song Phượng 2</t>
  </si>
  <si>
    <t>Cơ sở sản xuất kinh doanh của Công ty TNHH Hà Kim Phương sửa thành Cơ sở sản xuất kinh doanh</t>
  </si>
  <si>
    <t>Giảm diện tích còn 0,42 ha</t>
  </si>
  <si>
    <t>Cơ sở sản xuất kinh doanh của Công ty chiếu Ngọc Ánh sửa thành cơ sở sản xuất, kinh doanh. Lấy trích đo vẽ theo trích đo, còn lại chuyển thành CLN</t>
  </si>
  <si>
    <t>Khu 2, khu 7</t>
  </si>
  <si>
    <t>Cơ sở sản xuất, kinh doanh, làng nghề sửa thành cơ sở sản xuất, kinh doanh điều chỉnh giảm 5,13 ha xuống 5ha</t>
  </si>
  <si>
    <t>Giảm 5 ha còn 2,5 ha</t>
  </si>
  <si>
    <t>Đổi từ TMD thành SKC</t>
  </si>
  <si>
    <t>Chuyển từ TMD xuống SKC</t>
  </si>
  <si>
    <t>Chế biến lâm sản</t>
  </si>
  <si>
    <t>Giảm 6 ha còn 3 ha</t>
  </si>
  <si>
    <t>Dự án xây dựng hệ thống cấp nước huyện Đoan Hùng</t>
  </si>
  <si>
    <t>Khu Văn Phú</t>
  </si>
  <si>
    <t>Khu Cát Lâm 1</t>
  </si>
  <si>
    <t>Giảm 19,35 còn 5 ha</t>
  </si>
  <si>
    <t>Khu 5 (gần khu đồng Xen, mặt đường QL70B)</t>
  </si>
  <si>
    <t>Thay đổi loại đất lấy vào</t>
  </si>
  <si>
    <t>Chuyển tiếp. Điều chỉnh diện tích</t>
  </si>
  <si>
    <t>Gộp vào làm 1</t>
  </si>
  <si>
    <t>Mở rộng cơ sở sản xuất phi nông nghiệp</t>
  </si>
  <si>
    <t>Thay đổi thành mở rộng</t>
  </si>
  <si>
    <t>Chuyển từ TMD sang SKC</t>
  </si>
  <si>
    <t>Cty Huyền nHung</t>
  </si>
  <si>
    <t>Trầm Hà, khu Phúc Thịnh</t>
  </si>
  <si>
    <t>Khu Phúc Khuê</t>
  </si>
  <si>
    <t>Vẽ lại map</t>
  </si>
  <si>
    <t>Xưởng palet</t>
  </si>
  <si>
    <t>giảm 8 ha còn 4 ha</t>
  </si>
  <si>
    <t>Làng nghề Trại Hái, khu 1</t>
  </si>
  <si>
    <t>Diện tích 7,5 ha còn 1,5 ha</t>
  </si>
  <si>
    <t>Chuyển tiếp (tăng diện tích)</t>
  </si>
  <si>
    <t>giảm 1,5 ha còn 1,0 ha</t>
  </si>
  <si>
    <t>Đồi Trung tâm, khu 6</t>
  </si>
  <si>
    <t>Giảm diện tích 2,5 xuống 2,0 ha</t>
  </si>
  <si>
    <t>Đồi Giếng Táng, khu 8</t>
  </si>
  <si>
    <t>Giảm 3,95 còn 3 ha</t>
  </si>
  <si>
    <t>(trước là QH SKX)</t>
  </si>
  <si>
    <t>Giảm 3 ha còn 1 ha</t>
  </si>
  <si>
    <t>Làng nghề mộc</t>
  </si>
  <si>
    <t>Khu Liên Phú, khu Nam Đẩu</t>
  </si>
  <si>
    <t>Mở rộng lên 19,92 ha vẽ theo QHC</t>
  </si>
  <si>
    <t>Điều chỉnh giảm diện tích từ 16 ha còn 6,19 ha, theo qh chi tiết</t>
  </si>
  <si>
    <t>Gò Kè, khu Nam Đẩu</t>
  </si>
  <si>
    <t>Đồi Vầu, Khu 6</t>
  </si>
  <si>
    <t>Cầu Chặn, Khu 10</t>
  </si>
  <si>
    <t>Gò Hồng, Khu 11</t>
  </si>
  <si>
    <t>Giảm 1,87 ha còn 0,65 ha phía bên trong</t>
  </si>
  <si>
    <t>Gò Phai Ghềnh, Khu 8</t>
  </si>
  <si>
    <t>Tăng diện tích 1,02 ha lên 2,02 ha</t>
  </si>
  <si>
    <t>Gò ông Khơ Me, khu 5</t>
  </si>
  <si>
    <t>Giảm 4 ha còn 1,65 ha</t>
  </si>
  <si>
    <t>RSX, CLN</t>
  </si>
  <si>
    <t>Đồi dốc Dài, khu 8</t>
  </si>
  <si>
    <t>Chuyển từ TMD xuống</t>
  </si>
  <si>
    <t>Bềnh Duyến, khu 1</t>
  </si>
  <si>
    <t>sửa địa điểm, sửa loại đất</t>
  </si>
  <si>
    <t>OK</t>
  </si>
  <si>
    <t xml:space="preserve">Nhà máy cấp nước sạch </t>
  </si>
  <si>
    <t>Khu Gò Móc, Khu 5</t>
  </si>
  <si>
    <t>Đá Nung, Khu 6</t>
  </si>
  <si>
    <t>LUC+RST</t>
  </si>
  <si>
    <t>VI</t>
  </si>
  <si>
    <t>Khai thác quặng kaolin - felspat</t>
  </si>
  <si>
    <t>Đồi Vị Đồng, khu 4; khu 10</t>
  </si>
  <si>
    <t>Mỏ khai thác quặng kaolin</t>
  </si>
  <si>
    <t>Khu Minh Giang Sơn, khu Ánh Hồng</t>
  </si>
  <si>
    <t>Kaolin, felspat - Felspat Yên Kiện</t>
  </si>
  <si>
    <t>Bổ sung mới, qh tỉnh</t>
  </si>
  <si>
    <t>Mỏ feranit</t>
  </si>
  <si>
    <t>Khu núi Tích đối diện với hồ Đẫu, Khu 11</t>
  </si>
  <si>
    <t>VII</t>
  </si>
  <si>
    <t>Mỏ sét gạch ngói</t>
  </si>
  <si>
    <t>Để danh mục không chu chuyển</t>
  </si>
  <si>
    <t>Cát sỏi - Mỏ cát, sỏi lòng sông Lô
thuộc xã Vụ Quang, huyện Đoan Hùng</t>
  </si>
  <si>
    <t>bổ sung mới ko chu chuyển, qh tỉnh</t>
  </si>
  <si>
    <t>Cát sỏi - Mỏ cát, sỏi lòng sông Lô thuộc Đại Nghĩa, Phú Thứ, Hùng Long, huyện Đoan Hùng</t>
  </si>
  <si>
    <t>Xã Hùng Long, Hợp Nhất</t>
  </si>
  <si>
    <t>Cát sỏi - Mỏ cát, sỏi lòng sông Lô thuộc xã Phú Thứ, Hùng Long, huyện Đoan Hùng</t>
  </si>
  <si>
    <t>Cát sỏi - Mỏ cát, sỏi lòng sông Lô thuộc xã Sóc Đăng, Hùng Long, huyện Đoan Hùng</t>
  </si>
  <si>
    <t>Cát sỏi - Mỏ cát, sỏi lòng sông Lô
thuộc thị trấn Đoan Hùng, huyện Đoan Hùng</t>
  </si>
  <si>
    <t>TT Đoan Hùng, xã Hợp Nhất</t>
  </si>
  <si>
    <t>Cát sỏi - Mỏ cát, sỏi lòng sông Lô thuộc các xã Chí Đám, Hữu Đô, huyện Đoan Hùng</t>
  </si>
  <si>
    <t>Xã Chí Đám, Hợp Nhất</t>
  </si>
  <si>
    <t>Mỏ đất đắp</t>
  </si>
  <si>
    <t>Khu 2, khu 6</t>
  </si>
  <si>
    <t>Bổ sung, không chạy chu chuyển</t>
  </si>
  <si>
    <t>Đồi Máy Húc khu 1, Gò Phai Ghềnh khu 8</t>
  </si>
  <si>
    <t>Điều chỉnh giảm diện tích 18,9ha xuống 17,8ha</t>
  </si>
  <si>
    <t>bổ sung</t>
  </si>
  <si>
    <t>Khu Song Phượng, Đông Tiệm, Nghinh Lạp, Thượng Khê, Vĩnh Lại</t>
  </si>
  <si>
    <t>Đồi cây khế khu 4, khu 3</t>
  </si>
  <si>
    <t>VIII</t>
  </si>
  <si>
    <t>Dự án đầu tư xây dựng đường cao tốc Tuyên Quang - Phú Thọ kết nối với cao tốc Nội Bài - Lào Cai</t>
  </si>
  <si>
    <t>Xã Chân Mộng, Minh Tiến, Tiêu Sơn, Yên Kiện, Sóc Đăng, Ngọc Quan, Phú Lâm, Vân Du</t>
  </si>
  <si>
    <t>Điều chỉnh loại đất ở xã Chân Mộng</t>
  </si>
  <si>
    <t>ĐT.314E (Tuyến đường từ cầu Kim Xuyên đến Quốc Lộ 2 và đường Hồ Chí Minh)</t>
  </si>
  <si>
    <t>Xã Tiêu Sơn, Vân Đồn, Vụ Quang, Minh Tiến</t>
  </si>
  <si>
    <t>sửa tên CT</t>
  </si>
  <si>
    <t>ĐT.318C (Dự án cải tạo, gia cố và nâng cấp đường Âu Cơ)</t>
  </si>
  <si>
    <t>Xã Minh Phú, Vân Đồn, Chân Mộng, Sóc Đăng</t>
  </si>
  <si>
    <t>sửa tên CT, thêm địa điểm xã Sóc Đăng</t>
  </si>
  <si>
    <t>Nâng cấp, cải tạo đường TL 319 huyện Đoan Hùng</t>
  </si>
  <si>
    <t>Xã Tây Cốc, Phúc Lai, Bằng Doãn, Minh Lương</t>
  </si>
  <si>
    <t>ĐT.322B (Tuyến đường kết nối từ ĐT 322, ĐT 323 và QL.70 với cao tốc Tuyên Quang - Phú Thọ)</t>
  </si>
  <si>
    <t>Xã Phú Lâm, Ngọc Quan, Hùng Xuyên</t>
  </si>
  <si>
    <t>sửa tên công trình, điều chỉnh tăng diện tích, quy mô gộp từ tuyến Mở mới tuyến đường từ Quốc lộ 70 xã Ngọc Quan đi xã Yên Kiện</t>
  </si>
  <si>
    <t>Mở mới tuyến đường từ TL 323I đi TL318</t>
  </si>
  <si>
    <t>Xã Vân Đồn, Vụ Quang, Hùng Long, Hợp Nhất</t>
  </si>
  <si>
    <t>Vẽ theo qh giao thông của huỵen</t>
  </si>
  <si>
    <t>Mở rộng, nâng cấp đường tỉnh 323</t>
  </si>
  <si>
    <t>Đường giao thông kết nối từ nút giao Km 30 cao tốc Tuyên Quang - Phú Thọ đến trung tâm huyện Thanh Ba</t>
  </si>
  <si>
    <t>Mở rộng, nâng cấp đường tỉnh 322 (KM16+700-Km18+105) và nhánh rẽ đi thôn xã Hùng Xuyên</t>
  </si>
  <si>
    <t>Chuyển tiếp (chưa CMĐ)</t>
  </si>
  <si>
    <t xml:space="preserve">Mở rộng, nâng cấp đường huyện ĐH.52 (Từ UBND xã Yên Kiện đi đập Đá Đen) </t>
  </si>
  <si>
    <t>Dân hiến đất
Chuyển tiếp sang ĐC QHSDD giai đoạn 2021-2030</t>
  </si>
  <si>
    <t>Cầu Đoan Hùng</t>
  </si>
  <si>
    <t>Xã Chí Đám, TT Đoan Hùng</t>
  </si>
  <si>
    <t>Cảng Vụ Quang</t>
  </si>
  <si>
    <t>Đất giao thông theo quy hoạch thị trấn Đoan Hùng, theo quy hoạch chung xây dựng thị trấn</t>
  </si>
  <si>
    <t>Xã Ngọc Quan, Sóc Đăng, TT Đoan Hùng</t>
  </si>
  <si>
    <t>Bỏ phú lâm. Tăng diện tích 19,65 lên 22,35 ha</t>
  </si>
  <si>
    <t>Dự án: Phát triển các điểm dân cư tập trung trên địa bàn xã trong quá trình đô thị hoá nông thôn tại xã Chí Đám, huyện Đoan Hùng (Đường giao thông vào khu dân cư trung tâm xã Chí Đám)</t>
  </si>
  <si>
    <t xml:space="preserve">Khu Xuân Áng, Đám 3, Lã Hoàng 2 </t>
  </si>
  <si>
    <t>Hỏi phòng tnmt, hạ tầng đơn vị nào đo đạc</t>
  </si>
  <si>
    <t>Đường giao thông nông thị, nội đồng</t>
  </si>
  <si>
    <t>Các khu</t>
  </si>
  <si>
    <t>Giảm diện tích 4,24 còn 1,54 ha</t>
  </si>
  <si>
    <t>Cải tạo nâng cấp BTXM khu 3 đi khu 6</t>
  </si>
  <si>
    <t>Cải tạo đường giao thông khu 3 đi khu 5</t>
  </si>
  <si>
    <t>Đường giao thông nông thôn, nội đồng</t>
  </si>
  <si>
    <t>Tăng diện tích từ 0,43 ha lên 0,73</t>
  </si>
  <si>
    <t>Mở rộng đường Chằm Linh (GTNT)</t>
  </si>
  <si>
    <t>Mở rộng đường vào khu tổ chức sự kiện lễ hội bưởi</t>
  </si>
  <si>
    <t>Mở rộng đường khu 4 đi khu 2 (GTNT)</t>
  </si>
  <si>
    <t>Khu 4, khu 2</t>
  </si>
  <si>
    <t>Mở rộng đường Khu 6 đi khu 8 (GTNT)</t>
  </si>
  <si>
    <t>Khu 6, khu 8</t>
  </si>
  <si>
    <t>Mở rộng đường khu 3 đi hố Gắm (GTNT)</t>
  </si>
  <si>
    <t>Giảm diện tích từ 3,82 ha xuống 2,0 ha</t>
  </si>
  <si>
    <t>KHSDĐ 2024</t>
  </si>
  <si>
    <t>Mở mới đường từ CCN Sóc Đăng đến QL2</t>
  </si>
  <si>
    <t>Xã Sóc Đăng, Ngọc Quan, Phú Lâm, TT Đoan Hùng</t>
  </si>
  <si>
    <t>Tăng diện tích bổ sung ngọc quan</t>
  </si>
  <si>
    <t>Sửa tên CT, thêm địa điểm xã Phú Lâm, TT Đoan Hùng</t>
  </si>
  <si>
    <t>Đường từ đường trục xã đến trường mầm non</t>
  </si>
  <si>
    <t xml:space="preserve">Đường từ NVH khu 4 đến nhà ông Hải </t>
  </si>
  <si>
    <t>Mở rộng đường từ TL 323 (khu 5) đi TL 323 (Gốc đa - Khu 3)</t>
  </si>
  <si>
    <t>Khu 3, 4, 5</t>
  </si>
  <si>
    <t>Mở mới đường từ cửa ông Lý đến đường nối cầu Kim Xuyên - Quốc lộ 2</t>
  </si>
  <si>
    <t>Khu 4, 5</t>
  </si>
  <si>
    <t>IX</t>
  </si>
  <si>
    <t>Khu xử lý nước thải</t>
  </si>
  <si>
    <t>Trạm xử lý nước thải tập trung</t>
  </si>
  <si>
    <t>Mở rộng, nâng cấp mương từ Trường Thu - Hố Bom</t>
  </si>
  <si>
    <t>Mở rộng, nâng cấp mương từ Đồng Cửa Hồ - QL2</t>
  </si>
  <si>
    <t>Mở rộng, nâng cấp mương từ Tràn Núi Đay - QL2</t>
  </si>
  <si>
    <t>Mở rộng, nâng cấp mương từ QL2 - Cầu Hiểu</t>
  </si>
  <si>
    <t>Mở rộng, nâng cấp mương từ Dốc Cọ - Bàn Cờ</t>
  </si>
  <si>
    <t>Mở rộng, nâng cấp mương từ QL2 - Cầu Ông Định</t>
  </si>
  <si>
    <t>Cải tạo, nâng cấp các hệ thống kênh mương, hồ đập</t>
  </si>
  <si>
    <t>Kênh Đầm Vịt - Đội 5</t>
  </si>
  <si>
    <t>Kênh Dọc Là - Cây Vình</t>
  </si>
  <si>
    <t>Kênh ông Toàn - ông Vượng</t>
  </si>
  <si>
    <t>Kênh ông Quế - bà Năm</t>
  </si>
  <si>
    <t>Kênh Dộc Ban - Dộc Giềng</t>
  </si>
  <si>
    <t>Kênh Dộc Giềng - Ông Vượng</t>
  </si>
  <si>
    <t>Kênh Dộc Sồi - ông Hoành</t>
  </si>
  <si>
    <t>Kênh ông Lập - ông Hoành</t>
  </si>
  <si>
    <t>Kênh ông Vượng - ông Vinh Huấn</t>
  </si>
  <si>
    <t>Kênh ông Vinh - Đầm Lửa</t>
  </si>
  <si>
    <t>Kênh ông Nhâm - ông Minh</t>
  </si>
  <si>
    <t>Kênh ông Vinh - ông Dẫy</t>
  </si>
  <si>
    <t>Kênh Đung - Kỷ Hương</t>
  </si>
  <si>
    <t xml:space="preserve">Kênh Đung - Chàn Ó </t>
  </si>
  <si>
    <t>Kênh Dộc Dọ - Dộc Là</t>
  </si>
  <si>
    <t>Đập Dục Móc - Chằm</t>
  </si>
  <si>
    <t>Khu Tiền Phong</t>
  </si>
  <si>
    <t>Đập Dục Móc - Bờ Chanh</t>
  </si>
  <si>
    <t>Kênh từ đập Hố Xanh đi cửa Ông Trung</t>
  </si>
  <si>
    <t>Cải tạo, nâng cấp hồ Vĩnh Lại (giai đoạn II của dự án sửa chữa, nâng cao an toàn đập WB8)</t>
  </si>
  <si>
    <t>Khu Hùng Quan</t>
  </si>
  <si>
    <t>Trạm bơm</t>
  </si>
  <si>
    <t>Trạm bơm Đông khê cũ</t>
  </si>
  <si>
    <t>Dự án cải tạo, nâng cấp hồ Nhà Giặc</t>
  </si>
  <si>
    <t>Xã Vân Du, Hùng Xuyên</t>
  </si>
  <si>
    <t>Khu 7, khu 8</t>
  </si>
  <si>
    <t>Bổ sung xã</t>
  </si>
  <si>
    <t>Kênh từ đập Đá chồng đi qua đồng đầu đến nghĩa trang đình làng</t>
  </si>
  <si>
    <t>Kênh từ đập Trại Xá đi theo đường LX - 09 đến khu dân cư khu 3</t>
  </si>
  <si>
    <t>Kênh từ đập Trại Xá đi qua đồng Sài nối vào kênh Đồng Hố Thiều</t>
  </si>
  <si>
    <t>Kênh từ đập Chòi đến khu đồng trước nhá (khu 10, 11, 13)</t>
  </si>
  <si>
    <t>Dự án cải tạo, nâng cấp hồ Núi Đẫu</t>
  </si>
  <si>
    <t>Khu 11</t>
  </si>
  <si>
    <t>Theo trích đo 0,36 ha</t>
  </si>
  <si>
    <t>Kênh khu đồng trước nhà</t>
  </si>
  <si>
    <t>Khu 13</t>
  </si>
  <si>
    <t>Hệ thống cấp nước cụm xã</t>
  </si>
  <si>
    <t>Trạm bơm Gò Vừng</t>
  </si>
  <si>
    <t>Tuyến mương từ Mẫu 2 khu Tây Mỗ 3 đi Cây Quân Tây Mỗ 3</t>
  </si>
  <si>
    <t>Cải tạo, nâng cấp tuyến mương từ Đập Hố Vông đi Dộc Thuần khu Hùng Phú</t>
  </si>
  <si>
    <t>Tuyến mương Hố Gáo đi Đồng Chép khu Hùng Phú</t>
  </si>
  <si>
    <t>Tuyến mương từ trạm xá đi Ô Rô khu Vân Phú</t>
  </si>
  <si>
    <t>Tuyến mương từ trạm bơm khu Tây Mỗ 2 đi Cây Dâu khu Tây Mỗ 2</t>
  </si>
  <si>
    <t xml:space="preserve">Tuyến mương nội đồng Ngọc Lũ đi cống khu An Thái </t>
  </si>
  <si>
    <t>Tuyến mương từ Gò Thùng đi Núi Đá khu Cẩn Độ</t>
  </si>
  <si>
    <t>Tuyến mương Cây Táo đi Gò Xa Nhân khu Cẩn Độ</t>
  </si>
  <si>
    <t>Kênh mương từ Hồ Hào Bình đi Gò Mả</t>
  </si>
  <si>
    <t>Mở rộng, nâng cấp tuyến Gò Mả đi Sông Lô</t>
  </si>
  <si>
    <t>Mở rộng, nâng cấp mương tuyến Bềnh Sim đi Hùng Long</t>
  </si>
  <si>
    <t>Mở rộng, nâng cấp mương tuyến đập Gò Mỡ đi khu 6</t>
  </si>
  <si>
    <t>Mở rộng, nâng cấp mương từ Ngòi Ó-Ô Dậu</t>
  </si>
  <si>
    <t xml:space="preserve">Mở rộng, nâng cấp mương Đầm Mùi </t>
  </si>
  <si>
    <t xml:space="preserve">Mở rộng, nâng cấp mương Đầm Men </t>
  </si>
  <si>
    <t xml:space="preserve">Mở rộng, nâng cấp mương Mầm Giềng - Táng Mài </t>
  </si>
  <si>
    <t>Kênh K1 (150 m)</t>
  </si>
  <si>
    <t>Kênh K5 (300 m)</t>
  </si>
  <si>
    <t>Kênh K15 (3.000 m)</t>
  </si>
  <si>
    <t xml:space="preserve">Mương từ Phai Đồng Quăng đến Tràn Đồng Quăng Dưới </t>
  </si>
  <si>
    <t>Trạm bơm Ông Trường</t>
  </si>
  <si>
    <t>Khu Vân Tiến 3</t>
  </si>
  <si>
    <t>sửa thành Nâng cấp mở rộng Trạm bơm Ông Trường</t>
  </si>
  <si>
    <t>Hệ thống kênh mương</t>
  </si>
  <si>
    <t>Mở rộng, nâng cấp kênh mương</t>
  </si>
  <si>
    <t xml:space="preserve">Mở rộng, nâng cấp mương từ cống Thành Ngạnh khu 1 đến cống Lim </t>
  </si>
  <si>
    <t xml:space="preserve">Khu 1, khu 2 </t>
  </si>
  <si>
    <t xml:space="preserve">Tuyến Ao Dời khu 5 Cổng ông Thùy khu 5 đi trại ông Phúc </t>
  </si>
  <si>
    <t>Cải tạo, nâng cấp hồ Đá Đen, xã Yên Kiện</t>
  </si>
  <si>
    <t>Mở rộng, nâng cấp mương Đồng Hoa Cam</t>
  </si>
  <si>
    <t>Mở rộng, nâng cấp phai dưới Đình Mản</t>
  </si>
  <si>
    <t>X</t>
  </si>
  <si>
    <t>Xây mới Trung tâm văn hóa thể thao huyện</t>
  </si>
  <si>
    <t>Xây mới bia tưởng niệm xã Bằng Doãn</t>
  </si>
  <si>
    <t>Giảm diện tích 0,15 ha để 0,03 ha</t>
  </si>
  <si>
    <t>Xây mới bia tưởng niệm xã Hợp Nhất</t>
  </si>
  <si>
    <t>Khu Đồng Thịnh</t>
  </si>
  <si>
    <t>Xây mới nhà văn hóa xã Bằng Luân</t>
  </si>
  <si>
    <t>Chuyển lên đất sinh hoạt thành đất văn hóa</t>
  </si>
  <si>
    <t>Giảm diện tích 0,35 ha còn 0,1 ha</t>
  </si>
  <si>
    <t>Xây dựng trung tâm văn hóa, thể thao xã Tiêu Sơn</t>
  </si>
  <si>
    <t>giảm diện tích 1,1 ha còn 0,3 ha</t>
  </si>
  <si>
    <t>Xây mới trung tâm văn hóa - thể thao xã Hùng Xuyên</t>
  </si>
  <si>
    <t>Khu Nghinh Lạp</t>
  </si>
  <si>
    <t>Chuyển từ DTT sang DVH</t>
  </si>
  <si>
    <t>XI</t>
  </si>
  <si>
    <t>Mở rộng trung tâm y tế huyện Đoan Hùng</t>
  </si>
  <si>
    <t>Khu Đầu Lô</t>
  </si>
  <si>
    <t>Mở rộng trạm y tế xã Minh Phú</t>
  </si>
  <si>
    <t>Đăng kí mới</t>
  </si>
  <si>
    <t>Mở rộng trạm y tế xã Tiêu Sơn</t>
  </si>
  <si>
    <t>XII</t>
  </si>
  <si>
    <t>Mở rộng trường THCS thị trấn Đoan Hùng</t>
  </si>
  <si>
    <t>Xây mới trường mầm non (theo QH chung)</t>
  </si>
  <si>
    <t>Xây mới trường liên cấp thị trấn</t>
  </si>
  <si>
    <t>Xây mới Trường THCS xã Bằng Doãn</t>
  </si>
  <si>
    <t>Xây mới trường mầm non xã Bằng Luân</t>
  </si>
  <si>
    <t>Đồi các cụ, khu 9</t>
  </si>
  <si>
    <t>Mở rộng trường Tiểu học + THCS xã Ca Đình</t>
  </si>
  <si>
    <t>đang xây dựng</t>
  </si>
  <si>
    <t>Xây mới trường mầm non xã Ca Đình</t>
  </si>
  <si>
    <t>Thêm mới</t>
  </si>
  <si>
    <t>Mở rộng trường mầm non xã Chân Mộng</t>
  </si>
  <si>
    <t>Khu 2 (cạnh UB xã)</t>
  </si>
  <si>
    <t>Mở rộng mầm non Khu A xã Chí Đám</t>
  </si>
  <si>
    <t>Mở rộng trường mầm non khu B xã Chí Đám</t>
  </si>
  <si>
    <t>Khu Gò Măng</t>
  </si>
  <si>
    <t>Mở rộng tiểu học Tân Phượng</t>
  </si>
  <si>
    <t>Mở rộng THCS Tiên Phong</t>
  </si>
  <si>
    <t>Khu Ngọc Chúc 3</t>
  </si>
  <si>
    <t>sửa loại đất lấy vào</t>
  </si>
  <si>
    <t>Mở rộng trường tiểu học xã Hợp Nhất</t>
  </si>
  <si>
    <t>sửa tên công trình</t>
  </si>
  <si>
    <t>Mở rộng trường mầm non xã Hợp Nhất</t>
  </si>
  <si>
    <t>Khu Sông Lô</t>
  </si>
  <si>
    <t>Mở rộng trường mầm non Hùng Xuyên (Đông Khê cũ)</t>
  </si>
  <si>
    <t>Khu Thượng Khê</t>
  </si>
  <si>
    <t>Mở rộng trường tiểu học Hùng Xuyên (Nghinh Xuyên cũ)</t>
  </si>
  <si>
    <t xml:space="preserve">Trường mầm non Hùng Xuyên (Nghinh Xuyên cũ) </t>
  </si>
  <si>
    <t xml:space="preserve">Mở rộng trường THCS Hùng Xuyên (Nghinh Xuyên cũ) </t>
  </si>
  <si>
    <t>Trường tiểu học Hùng Xuyên (Đông Khê cũ)</t>
  </si>
  <si>
    <t>Mở rộng trường mầm non Hùng Quan</t>
  </si>
  <si>
    <t>Mở rộng trường Tiểu học Minh Phú</t>
  </si>
  <si>
    <t>Khu Làng Bắc</t>
  </si>
  <si>
    <t>Mở rộng trường Mầm non Khu A Minh Phú</t>
  </si>
  <si>
    <t>Trường THCS Minh Phú</t>
  </si>
  <si>
    <t>đã mở rộng từ lâu đưa vào cấp GCN</t>
  </si>
  <si>
    <t>Mở rộng mầm non xã Ngọc Quan (Khu A)</t>
  </si>
  <si>
    <t>Hiện trạng 0,26 ha</t>
  </si>
  <si>
    <t>Mở rộng trường THCS xã Ngọc Quan</t>
  </si>
  <si>
    <t>Hiện trạng 0,43 ha</t>
  </si>
  <si>
    <t>Mở rộng trường mầm non xã Phong Phú</t>
  </si>
  <si>
    <t>Đổi loại đất lấy vào</t>
  </si>
  <si>
    <t>Xây mới trường mầm non xã Phú Lâm (Phương Trung cũ)</t>
  </si>
  <si>
    <t>Khu trung tâm</t>
  </si>
  <si>
    <t>Mở rộng trường THCS Phong Phú</t>
  </si>
  <si>
    <t>Khu Tây Mỗ 1</t>
  </si>
  <si>
    <t>Mở rộng trường THCS Quế Lâm</t>
  </si>
  <si>
    <t>Khu Cát Lâm 2</t>
  </si>
  <si>
    <t>Mở rộng trường THPT Quế Lâm</t>
  </si>
  <si>
    <t>Khu Việt Hùng 4</t>
  </si>
  <si>
    <t>Xây mới trường mầm non xã Quế Lâm</t>
  </si>
  <si>
    <t>Xây mới trường mầm non xã Phúc Lai</t>
  </si>
  <si>
    <t>Kh 2024. đưa vào cấp giấy</t>
  </si>
  <si>
    <t>cấp GCN</t>
  </si>
  <si>
    <t>Xây mới trường mầm non</t>
  </si>
  <si>
    <t>Đồng Từa Ngoài, khu Phúc Thịnh</t>
  </si>
  <si>
    <t>Đề xuất tăng 1,0 ha</t>
  </si>
  <si>
    <t>Mở rộng trường THCS xã Tây Cốc</t>
  </si>
  <si>
    <t>Tăng thành 0,30 hs</t>
  </si>
  <si>
    <t xml:space="preserve">Xây mới trường mầm non xã Tiêu Sơn </t>
  </si>
  <si>
    <t>Chuyển tiếp (đã xd xong chưa chuyển mục đích)</t>
  </si>
  <si>
    <t>Mở rộng trường THCS xã Tiêu Sơn</t>
  </si>
  <si>
    <t>Bản đồ kiểm kê là DTT nên ko để công nhận</t>
  </si>
  <si>
    <t>nguồn gốc đất là CLN</t>
  </si>
  <si>
    <t>Mở rộng trường THCS xã Vân Du</t>
  </si>
  <si>
    <t>Khu Nam Đẩu</t>
  </si>
  <si>
    <t>Chuyển tiếp (Đã xây dựng nhưng chưa CMĐ)</t>
  </si>
  <si>
    <t>Mở rộng trường mầm non khu B xã Vân Du</t>
  </si>
  <si>
    <t>Mở rộng trường THCS xã Vân Đồn</t>
  </si>
  <si>
    <t>làm STT của trường đất hoang</t>
  </si>
  <si>
    <t>Mở rộng trường Mầm non xã Vân Đồn</t>
  </si>
  <si>
    <t>hiện trạng 0,33 ha</t>
  </si>
  <si>
    <t>Chuyển tiếp (Chuyển từ đất trường tiểu học sang đất trường MN)</t>
  </si>
  <si>
    <t>Trường THCS xã Vụ Quang</t>
  </si>
  <si>
    <t>Đưa vào cấp GCN</t>
  </si>
  <si>
    <t>HNK; Hiện trạng đã có 1ha, MR thêm 0,10 ha</t>
  </si>
  <si>
    <t>Mở rộng trường Mầm non xã Vụ Quang</t>
  </si>
  <si>
    <t>HT 0,3 ha; mr lấy vào TSC thêm 0,10 ha+LUC 0,05 ha</t>
  </si>
  <si>
    <t>Mở rộng trường THCS xã Yên Kiện</t>
  </si>
  <si>
    <t>Đã xây dựng xong
Chưa chuyển mục đích</t>
  </si>
  <si>
    <t>Mở rộng trường Tiểu học xã Yên Kiện</t>
  </si>
  <si>
    <t>XIII</t>
  </si>
  <si>
    <t>Xây mới sân thể thao thị trấn Đoan Hùng</t>
  </si>
  <si>
    <t>Xây mới sân vận động huyện</t>
  </si>
  <si>
    <t>Xây mới sân thể thao xã Bằng Luân</t>
  </si>
  <si>
    <t>Xây mới sân thể thao xã Ca Đình</t>
  </si>
  <si>
    <t>vẽ theo QHC</t>
  </si>
  <si>
    <t>Xây mới sân thể thao xã Chí Đám</t>
  </si>
  <si>
    <t>Khu Xuân Áng (trụ sở UBND xã)</t>
  </si>
  <si>
    <t>Xây mới sân thể thao xã Hợp Nhất</t>
  </si>
  <si>
    <t>Giảm diên tích từ 1,26 xuống 1,0 ha</t>
  </si>
  <si>
    <t>Xây mới sân thể thao xã Minh Lương</t>
  </si>
  <si>
    <t>Đình Thó, Khu 3</t>
  </si>
  <si>
    <t>Xây mới sân thể thao Đình Thó khu 3 sửa thành Xây mới sân thể thao xã Minh Lương</t>
  </si>
  <si>
    <t>Xây mới sân thể thao xã Minh Phú</t>
  </si>
  <si>
    <t>Xây mới sân thể thao xã Phúc Lai</t>
  </si>
  <si>
    <t>Khu 2 (gần QH mới công an xã)</t>
  </si>
  <si>
    <t>Xây mới sân thể thao xã Vân Đồn</t>
  </si>
  <si>
    <t>Dộc Dài, Khu 8</t>
  </si>
  <si>
    <t>Giảm từ 1 ha còn 0,83 ha</t>
  </si>
  <si>
    <t>Xây mới sân thể thao xã Vụ Quang</t>
  </si>
  <si>
    <t>XIV</t>
  </si>
  <si>
    <t>Triển khai tự động hóa mạch vòng lưới điện trung áp khu vực tỉnh Phú Thọ năm 2024</t>
  </si>
  <si>
    <t>Xã Hợp Nhất, Hùng Long</t>
  </si>
  <si>
    <t>Xây dựng và cải tạo lưới điện trung hạ áp huyện Đoan Hùng tỉnh Phú Thọ</t>
  </si>
  <si>
    <t>Xã Sóc Đăng, Phú Lâm</t>
  </si>
  <si>
    <t>Xây dựng và cải tạo lưới điện trung áp huyện Đoan Hùng tỉnh Phú Thọ</t>
  </si>
  <si>
    <t>Xã Bằng Luân, Tây Cốc, Phú Lâm, Yên Kiện, Tiêu Sơn, Minh Tiến</t>
  </si>
  <si>
    <t>Chống quá tải, giảm bán kính cấp điện, giảm tổn thất điện năng, cải thiện chất lượng điện áp lưới điện khu vực huyện Thanh Ba, Đoan Hùng bổ sung năm 2023</t>
  </si>
  <si>
    <t>Xã Hùng Long, Ca Đình, Minh Lương,  Tiêu Sơn</t>
  </si>
  <si>
    <t>Nâng cao năng lực truyền tải ĐZ 110kV Thác Bà - trạm 220kV Phú Thọ</t>
  </si>
  <si>
    <t>Xã Bằng Luân, Phú Lâm, Tây Cốc, Ngọc Quan, Chân Mộng, Minh Tiến, Tiêu Sơn, Yên Kiện, Sóc Đăng</t>
  </si>
  <si>
    <t>Xuất tuyến 10kV lộ 973 trạm 110kV Đoan Hùng, tỉnh Phú Thọ (0,0103 ha); Chống quá tải lưới điện phân phối huyện Đoan Hùng (0,535 ha); Chống quá tải cấp bách lưới điện tỉnh Phú Thọ (0,002 ha)</t>
  </si>
  <si>
    <t>Xã Ngọc Quan, Vân Du, Hùng Xuyên, Vụ Quang, Tiêu Sơn, Tây Cốc, Chi Đám, Hùng Long, Vân Đồn</t>
  </si>
  <si>
    <t>Chống quá tải TBA</t>
  </si>
  <si>
    <t>Xã Tây Cốc, Vân Du, Minh Lương, Bằng Doãn, Sóc Đăng</t>
  </si>
  <si>
    <t>Chống quá tải, giảm tổn thất điện năng các trạm biến áp Vân Đồn 1, Phú Thứ 1, Vân Đồn 2, Phong Phú 2, Minh Phú 3</t>
  </si>
  <si>
    <t>Xã Vân Đồn, Hợp Nhất, Phú Lâm, Minh Phú</t>
  </si>
  <si>
    <t>Chống quá tải, giảm tổn thất điện năng các trạm biến áp Vân Đồn 4, Nghinh Xuyên 4, Đại Nghĩa 3, Đông Khê 2, Vụ Quang 4</t>
  </si>
  <si>
    <t>Xã Vân Đồn, Hùng Xuyên, Hợp Nhất, Vụ Quang</t>
  </si>
  <si>
    <t>Xây dựng các công trình điện: Chống quá tải: 0,51 ha; Các công trình cải tạo: 0,03 ha</t>
  </si>
  <si>
    <t>Các xã, thị trấn</t>
  </si>
  <si>
    <t>Xuất tuyến 22kV lộ 472, 474 trạm 110kV Đoan Hùng, tỉnh Phú Thọ</t>
  </si>
  <si>
    <t>Xuất tuyến 35kV lộ 372, 374 trạm 110 kV Đoan Hùng, tỉnh Phú Thọ</t>
  </si>
  <si>
    <t>Xuất tuyến 35kV lộ 376, 378 trạm 110 kV Đoan Hùng, tỉnh Phú Thọ</t>
  </si>
  <si>
    <t>Nâng cao độ tin cậy cung cấp điện lưới điện huyện Hạ Hòa, Cẩm Khê, Yên Lập, Thanh Sơn, Đoan Hùng, Tam Nông, tỉnh Phú Thọ theo phương án Đa chia - Đa nối (ĐCĐN)</t>
  </si>
  <si>
    <t>Xây dựng các công trình Đường dây và trạm biến áp</t>
  </si>
  <si>
    <t>Dự án cải tạo đường dây 110kV từ TBA 220kV Phú Thọ - Bãi Bằng - Việt Trì</t>
  </si>
  <si>
    <t>Xã Minh Tiến, Chân Mộng</t>
  </si>
  <si>
    <t>Chuyển đổi cấp điện áp 10kV lộ 971, 973 trạm 110kV Đoan Hùng sang vận hành cấp điện áp 22kV để chống quá tải lộ 971 trạm 110kV Đoan Hùng, tỉnh Phú Thọ</t>
  </si>
  <si>
    <t>Chống quá tải lưới điện phân phối huyện Đoan Hùng năm 2021</t>
  </si>
  <si>
    <t>Cải tạo một số vị trí trên lưới điện trung áp để đảm bảo an toàn và độ tin cậy cung cấp điện</t>
  </si>
  <si>
    <t>Xã Tiêu Sơn, Hợp Nhất, Vân Du, Chí Đám, Ca Đình, Phú Lâm</t>
  </si>
  <si>
    <t>Chuyển đổi cấp điện áp 10kV lộ 975 trạm 110kV Đoan Hùng sang vận hành cấp điện áp 22kV</t>
  </si>
  <si>
    <t>Xã Ngọc Quan, Tây Cốc</t>
  </si>
  <si>
    <t>Xuất tuyến 35kV lộ 372 trạm 110kV Đoan Hùng</t>
  </si>
  <si>
    <t>Xã Ngọc Quan, Sóc Đăng, Hợp Nhất</t>
  </si>
  <si>
    <t>Đường dây 500kV Lào Cai - Vĩnh Yên và mở rộng ngăn lộ 500kV tại TBA 500kV Vĩnh Yên</t>
  </si>
  <si>
    <t>Xã Bằng Luân, Phú Lâm, Phúc Lai, Tây Cốc, Ngọc Quan, Yên Kiện, Tiêu Sơn, Minh Tiến</t>
  </si>
  <si>
    <t>Tăng quy mô, sửa loại đất lấy vào</t>
  </si>
  <si>
    <t>CQT, giảm bán kính cấp điện lưới điện hạ áp, giảm khách hàng điện áp thấp, giảm TTĐN khu vực: Xã Tiêu Sơn, Hữu Đô, Minh Phú, Hùng Quan, Vụ Quang, Sóc Đăng, Minh Lương, Ngọc Quan, Hùng Quang, Nghinh Xuyện, Ca Đình, Vân Đồn, Phong Phú, Hùng Long huyện Đoan Hùng</t>
  </si>
  <si>
    <t>Các xã</t>
  </si>
  <si>
    <t>Chống quá tải lưới điện phân phối huyện Đoan Hùng năm 2022</t>
  </si>
  <si>
    <t>Xã Yên Kiện, Minh Tiến, Minh Phú, Hợp Nhất, Vân Đồn, Phúc Lai, Hùng Long, Vân Du</t>
  </si>
  <si>
    <t>Chống quá tải lưới điện phân phối</t>
  </si>
  <si>
    <t>Nâng cao năng lực truyền tải mạch vòng 22kV giữa lộ 471 trạm 110kV Đoan Hùng và lộ 476 trạm 110kV Đoan Hùng, tỉnh Phú Thọ</t>
  </si>
  <si>
    <t>TT Đoan Hùng, xã Ngọc Quan, Chí Đám, Vân Du</t>
  </si>
  <si>
    <t>Chống quá tải, giảm bán kính cấp điện, giảm tổn thất điện năng, cải thiện chất lượng điện áp lưới điện khu vực huyện Đoan Hùng năm 2024</t>
  </si>
  <si>
    <t>Xã Vân Đồn, Bằng Doãn, Vụ Quang,  Hùng Xuyên, Phú Lâm</t>
  </si>
  <si>
    <t>Nâng cao độ tin cậy cung cấp điện lưới điện huyện Hạ Hòa, Đoan Hùng theo phương án đa chia đa nối (MDMC)</t>
  </si>
  <si>
    <t>Cấp điện cho Khách hàng tại Cụm công nghiệp Sóc Đăng huyện Đoan Hùng, tỉnh Phú Thọ</t>
  </si>
  <si>
    <t>Xây lắp trạm biến áp 250KVA</t>
  </si>
  <si>
    <t>Xây mới mới trạm biến áp 110kv Đoan Hùng 2</t>
  </si>
  <si>
    <t>Xây mới mới trạm biến áp 110kv, sửa tên công trình</t>
  </si>
  <si>
    <t>Xây mới trạm biến áp 110kv Đoan Hùng 3</t>
  </si>
  <si>
    <t>Nhánh rẽ trạm biến áp 110kv Đoan Hùng 2</t>
  </si>
  <si>
    <t>Huyện Đoan Hùng</t>
  </si>
  <si>
    <t>Nhánh rẽ  trạm biến áp 110kv Đoan Hùng 3</t>
  </si>
  <si>
    <t xml:space="preserve">Xuất tuyến 35kV trạm 110kV Phù Ninh 2, tỉnh Phú Thọ </t>
  </si>
  <si>
    <t>Chống quá tải, mở rộng phạm vi cấp điện khu vực huyện Đoan Hùng</t>
  </si>
  <si>
    <t>XV</t>
  </si>
  <si>
    <t>Xây mới bưu điện xã Minh Phú</t>
  </si>
  <si>
    <t>Xây mới bưu điện xã Hùng Xuyên</t>
  </si>
  <si>
    <t>Xây mới bưu điện  xã Vân Đồn</t>
  </si>
  <si>
    <t>Sửa loại đất lấy vài</t>
  </si>
  <si>
    <t>Lúa</t>
  </si>
  <si>
    <t>Thay đổi loại đát</t>
  </si>
  <si>
    <t>XVI</t>
  </si>
  <si>
    <t>Đất có di tích lịch sử - văn hóa</t>
  </si>
  <si>
    <t xml:space="preserve">Khu di tích Bác Hồ </t>
  </si>
  <si>
    <t>Khu Gò Mang Đăng, khu Hưng Tiến</t>
  </si>
  <si>
    <t>XVII</t>
  </si>
  <si>
    <t>Điểm tập kết, trạm trung chuyển rác thải</t>
  </si>
  <si>
    <t>Giảm 0,3 ha còn 0,1 ha</t>
  </si>
  <si>
    <t>Điểm tập kết rác thải tập trung xã Bằng Luân</t>
  </si>
  <si>
    <t>Giảm 0,24 ha còn 0,1 ha</t>
  </si>
  <si>
    <t>Khu Chí</t>
  </si>
  <si>
    <t xml:space="preserve">Khu Việt Hưng </t>
  </si>
  <si>
    <t>Giảm diện tích, loại đất lấy vào</t>
  </si>
  <si>
    <t>Giảm diện tích 2,00 ha thành 1,00 ha</t>
  </si>
  <si>
    <t>Giảm 1,0 ha còn 0,1 ha</t>
  </si>
  <si>
    <t>Gộp của 7 khu với 8 khu và 4 khu</t>
  </si>
  <si>
    <t>Giảm 3,03 ha còn 0,3 ha</t>
  </si>
  <si>
    <t>Giảm 0,32 ha còn 0,1 ha</t>
  </si>
  <si>
    <t>Giảm 0,4 ha còn 0,1 ha</t>
  </si>
  <si>
    <t>Khu 2, khu 3</t>
  </si>
  <si>
    <t>Bãi Sỉ, Khu 7</t>
  </si>
  <si>
    <t>RSX 2,2ha, LUK 0,80</t>
  </si>
  <si>
    <t>Giảm 3 ha còn 0,1 ha</t>
  </si>
  <si>
    <t>Giảm 0,29 ha còn 0,1 ha</t>
  </si>
  <si>
    <t>XVIII</t>
  </si>
  <si>
    <t>Mở rộng nhà thờ Tân Tích</t>
  </si>
  <si>
    <t>Kh 2024. tăng từ 0,10 ha lên 0,12 ha</t>
  </si>
  <si>
    <t>Mở rộng nhà thờ Chuẩn Xứ Cửu Tích</t>
  </si>
  <si>
    <t>Mở rộng chùa An Minh</t>
  </si>
  <si>
    <t>Nhà thờ họ giáo Đồng Đam</t>
  </si>
  <si>
    <t>giam diện tích</t>
  </si>
  <si>
    <t>Mở rộng chùa Bình Sơn</t>
  </si>
  <si>
    <t>Giảm diện tích 4,5 ha xuống 0,95 ha</t>
  </si>
  <si>
    <t>Mở rộng Chùa Phổ Độ</t>
  </si>
  <si>
    <t>Khu Ngọc Chúc 1</t>
  </si>
  <si>
    <t>MR 0,20 ha, hiện trạng 0,43 ha</t>
  </si>
  <si>
    <t>Giảm 0,2 còn 0,1 ha</t>
  </si>
  <si>
    <t>Mở rộng nhà thờ Lã Hoàng 1</t>
  </si>
  <si>
    <t>Khu Lã Hoàng 1</t>
  </si>
  <si>
    <t>Mở rộng khuôn viên chùa Đông Lan</t>
  </si>
  <si>
    <t xml:space="preserve"> Khu Thượng Khê</t>
  </si>
  <si>
    <t>Mở rộng Chùa Đông Lan. Sửa tên CT</t>
  </si>
  <si>
    <t>Mở rộng chùa Minh Tiến</t>
  </si>
  <si>
    <t>Xây dựng chùa Kim Đức</t>
  </si>
  <si>
    <t>Mở rộng Nhà thờ khu Vân Tập</t>
  </si>
  <si>
    <t>Khu Vân Cương 1</t>
  </si>
  <si>
    <t>Giảm diện tích từ 0,51 ha xuống 0,16 ha chuyển từ TIN sang TON</t>
  </si>
  <si>
    <t>Chùa Bưởi</t>
  </si>
  <si>
    <t xml:space="preserve">Xã Phú Lâm </t>
  </si>
  <si>
    <t>Khu Phương Nhuế</t>
  </si>
  <si>
    <t xml:space="preserve">Mở rộng chùa Duỗn Trung </t>
  </si>
  <si>
    <t>Khu Duỗm Trung</t>
  </si>
  <si>
    <t>Mở rộng chùa Phúc Linh</t>
  </si>
  <si>
    <t xml:space="preserve">Mở rộng chùa Tây Long </t>
  </si>
  <si>
    <t>Khu Phúc Thịnh</t>
  </si>
  <si>
    <t>Diện tích tăng thêm là 0,80 ha</t>
  </si>
  <si>
    <t>Mở rộng chùa Phú Lâm</t>
  </si>
  <si>
    <t>đang đo để cấp giấy</t>
  </si>
  <si>
    <t>Chuyển tiếp (đã xây dựng chưa CMĐ)</t>
  </si>
  <si>
    <t>Mở rộng chùa Bảo Vân</t>
  </si>
  <si>
    <t>HT 0,20 ha</t>
  </si>
  <si>
    <t>XIX</t>
  </si>
  <si>
    <t>Mở rộng nghĩa trang nhân dân</t>
  </si>
  <si>
    <t>Mở rộng nghĩa trang nhân dân khu 2</t>
  </si>
  <si>
    <t>Xây mới nghĩa trang nhân dân khu 3</t>
  </si>
  <si>
    <t>Mở rộng nghĩa trang nhân dân khu 4 + 5</t>
  </si>
  <si>
    <t>Mở rộng nghĩa trang nhân dân khu 6</t>
  </si>
  <si>
    <t>Mở rộng nghĩa trang nhân dân khu 7</t>
  </si>
  <si>
    <t>Mở rộng nghĩa trang nhân dân khu 3</t>
  </si>
  <si>
    <t>Mở rộng nghĩa trang nhân dân khu 5</t>
  </si>
  <si>
    <t>Xây mới nghĩa trang nhân dân khu 10</t>
  </si>
  <si>
    <t>Giảm 1 ha còn 0,5 ha</t>
  </si>
  <si>
    <t>Mở rộng nghĩa trang nhân dân khu 4</t>
  </si>
  <si>
    <t>Giảm 2 ha còn 0,5 ha</t>
  </si>
  <si>
    <t>Mở rộng nghĩa trang nhân dân khu 1</t>
  </si>
  <si>
    <t>Mở rộng nghĩa trang nhân dân Lã Hoàng</t>
  </si>
  <si>
    <t>Khu Lã Hoàng 2</t>
  </si>
  <si>
    <t>Mở rộng nghĩa trang nhân dân gò Vườn Mầu thôn 8 (xã Đại Nghĩa cũ)</t>
  </si>
  <si>
    <t xml:space="preserve">Xã Hợp Nhất </t>
  </si>
  <si>
    <t>Mở rộng nghĩa trang nhân dân khu Vân Cương 1</t>
  </si>
  <si>
    <t>Giảm diện tích từ 1 ha xuống 0,5 ha</t>
  </si>
  <si>
    <t>Giảm 0,5 ha còn 0,2 ha</t>
  </si>
  <si>
    <t>Mở rộng nghĩa trang nhân dân khu Non Kê</t>
  </si>
  <si>
    <t>Khu Làng Vải</t>
  </si>
  <si>
    <t>Giảm 0,3 ha còn 0,2 ha</t>
  </si>
  <si>
    <t>Xây mới nghĩa trang nhân dân khu Đồng Táng</t>
  </si>
  <si>
    <t>Mở rộng nghĩa trang nhân dân Vĩnh Lại - Tân Lập</t>
  </si>
  <si>
    <t>Khu Vĩnh Lại - Tân Lập</t>
  </si>
  <si>
    <t>Xây mới nghĩa trang nhân dân khu đồi Tình Anh khu 5, 6</t>
  </si>
  <si>
    <t>Khu 5 + 6</t>
  </si>
  <si>
    <t>Mở rộng nghĩa trang nhân dân khu 7 + 8</t>
  </si>
  <si>
    <t>Khu 7 + 8</t>
  </si>
  <si>
    <t>Giảm 0,4 ha còn 0,2 ha</t>
  </si>
  <si>
    <t>Xây mới nghĩa trang nhân dân Gò Tre</t>
  </si>
  <si>
    <t>SỬA TÊN NGHĨA TRANG GÒ TRE</t>
  </si>
  <si>
    <t>Mở rộng nghĩa trang nhân dân đồng Quyên</t>
  </si>
  <si>
    <t>Đồng Quyên, khu 4</t>
  </si>
  <si>
    <t>Giảm 2 ha xuống 1, ha</t>
  </si>
  <si>
    <t>Giảm 1 ha còn 0,2 ha</t>
  </si>
  <si>
    <t>Xây mới nghĩa trang nhân dân khu 2, 3, 4</t>
  </si>
  <si>
    <t>Giảm diện tích từ 3,1 ha còn 2,0 ha</t>
  </si>
  <si>
    <t>Giảm 2 ha còn 0,6 ha</t>
  </si>
  <si>
    <t>Xây dựng nghĩa trang (di chuyển nghĩa trang An Thái cũ do dự án: Đầu tư xây dựng đường cao tốc Tuyên Quang - Phú Thọ kết nối với đường cao tốc Nội Bài - Lào Cai)</t>
  </si>
  <si>
    <t xml:space="preserve"> Xã Phú Lâm</t>
  </si>
  <si>
    <t>Gò Xa Nhân, Khu Cẩn Độ</t>
  </si>
  <si>
    <t>Xây mới nghĩa trang nhân dân khu Vạng Còng</t>
  </si>
  <si>
    <t>Giảm 1,78 còn 1 ha</t>
  </si>
  <si>
    <t>Mở rộng nghĩa trang nhân dân Chợ Ngà</t>
  </si>
  <si>
    <t>Khu Chợ Ngà</t>
  </si>
  <si>
    <t>giảm 1,2 còn 0,2 ha</t>
  </si>
  <si>
    <t>Mở rộng nghĩa trang nhân dân khu Việt Hùng 1, 2, 3, 4</t>
  </si>
  <si>
    <t>Giảm 1,5 còn 1 ha</t>
  </si>
  <si>
    <t>Giảm 1 ha còn 0,3 ha</t>
  </si>
  <si>
    <t>Mở rộng nghĩa trang nhân dân Thuật Cổ</t>
  </si>
  <si>
    <t>Khu Thuật Cổ</t>
  </si>
  <si>
    <t>Giảm 1,5 còn 0,2 ha</t>
  </si>
  <si>
    <t>Mở rộng nghĩa trang nhân dân Cổ Cò</t>
  </si>
  <si>
    <t>Khu Bằng Tường</t>
  </si>
  <si>
    <t>Giảm 0,5 còn 0,2</t>
  </si>
  <si>
    <t>Mở rộng nghĩa trang nhân dân khu Duỗm Trung</t>
  </si>
  <si>
    <t>Mở rộng nghĩa trang nhân dân khu Phương Nhuế</t>
  </si>
  <si>
    <t>Giảm 1 còn 0,2</t>
  </si>
  <si>
    <t>Mở rộng nghĩa trang nhân dân Đông Lường</t>
  </si>
  <si>
    <t>Giảm 0,6 ha còn 0,3 ha</t>
  </si>
  <si>
    <t>Mở rộng nghĩa trang nhân dân khu 9</t>
  </si>
  <si>
    <t xml:space="preserve">Mở rộng nghĩa trang nhân dân Lũng Kịnh </t>
  </si>
  <si>
    <t>Giảm 0,81 ha còn 0,3 ha</t>
  </si>
  <si>
    <t xml:space="preserve">Mở rộng nghĩa trang nhân dân khu 3  </t>
  </si>
  <si>
    <t>Xây mới ghĩa trang nhân dân xã Vân Du</t>
  </si>
  <si>
    <t>Khu Đông Tiến</t>
  </si>
  <si>
    <t>Giảm 2 ha xuống 1 ha</t>
  </si>
  <si>
    <t>Mở rộng nghĩa trang nhân dân khu 6, 7, 8</t>
  </si>
  <si>
    <t>Hiện trạng 0,3 ha, MR thêm 1,27 ha</t>
  </si>
  <si>
    <t>Giảm 1,27 ha còn 0,6 ha</t>
  </si>
  <si>
    <t>Xây dựng nghĩa trang (thuộc dự án Cụm công nghiệp Nam Đoan Hùng)</t>
  </si>
  <si>
    <t>Đồi Chè, Khu 2</t>
  </si>
  <si>
    <t>Giảm 0,45 ha còn 0,3 ha</t>
  </si>
  <si>
    <t>Mở rộng nghĩa trang nhân dân Vách Thành</t>
  </si>
  <si>
    <t>Giảm diện tích 1,0 ha thành 0,5 ha</t>
  </si>
  <si>
    <t>Giảm 0,5 ha còn 0,25 ha</t>
  </si>
  <si>
    <t>Xây mới nghĩa trang nhân dân khu 1</t>
  </si>
  <si>
    <t>XX</t>
  </si>
  <si>
    <t>Mở rộng chợ Bằng Doãn</t>
  </si>
  <si>
    <t>sửa diện tích hiện trạng</t>
  </si>
  <si>
    <t>Giảm 0,31 còn 0,15 ha</t>
  </si>
  <si>
    <t>Mở rộng chợ Minh Lương</t>
  </si>
  <si>
    <t>Khu trung tâm xã (Khu 4)</t>
  </si>
  <si>
    <t>KH 2024. Sửa diện tích tăng thêm thành 0,29 ha</t>
  </si>
  <si>
    <t>Giảm 0,29 còn 0,15 ha</t>
  </si>
  <si>
    <t>Xây mới chợ xã Minh Phú</t>
  </si>
  <si>
    <t>Khu 5 (Đồng Tâm, Đồng Tành)</t>
  </si>
  <si>
    <t>Giảm 1 ha còn 0,35 ha</t>
  </si>
  <si>
    <t>Xây mới chợ Phúc Lai</t>
  </si>
  <si>
    <t>Khu 4 (đồng gốc thị, đối diện QH mới công an xã)</t>
  </si>
  <si>
    <t>Tăng 0,2 lên 1,0 ha theo qh chung</t>
  </si>
  <si>
    <t>Xây mới chợ xã Sóc Đăng</t>
  </si>
  <si>
    <t xml:space="preserve">Xây mới chợ xã Tây Cốc </t>
  </si>
  <si>
    <t>Đầm Bưỡi, Khu Hợp Lai</t>
  </si>
  <si>
    <t>Diện tích 0,87 ha</t>
  </si>
  <si>
    <t>Giảm 0,87 còn 0,5 ha</t>
  </si>
  <si>
    <t xml:space="preserve">Mở rộng chợ Tiêu Sơn </t>
  </si>
  <si>
    <t>Giảm 0,28 còn 0,15 ha</t>
  </si>
  <si>
    <t>Xây mới chợ xã Vân Đồn</t>
  </si>
  <si>
    <t>Dộc Dài Khu 8</t>
  </si>
  <si>
    <t>Giảm 1,1 ha còn 0,88</t>
  </si>
  <si>
    <t>1,1 ha, Dộc dài khu 8</t>
  </si>
  <si>
    <t>Giảm 0,88 còn 0,4 ha</t>
  </si>
  <si>
    <t>Mở rộng chợ xã Yên Kiện</t>
  </si>
  <si>
    <t>Sửa lại tên Mở rộng</t>
  </si>
  <si>
    <t>Giảm 0,23 còn 0,1 ha</t>
  </si>
  <si>
    <t>XXI</t>
  </si>
  <si>
    <t>Đang lệch chu chuyển 0,04 ha chưa tìm được</t>
  </si>
  <si>
    <t>Xây mới nhà sinh hoạt cộng đồng khu Tân Thịnh</t>
  </si>
  <si>
    <t>Xây mới nhà sinh hoạt cộng đồng Tân Thành</t>
  </si>
  <si>
    <t>Xây mới nhà sinh hoạt cộng đồng khu Đoàn Kết</t>
  </si>
  <si>
    <t>Xây mới nhà sinh hoạt cộng đồng Khu Đầu Lô</t>
  </si>
  <si>
    <t>Sửa loại đất tăng diện tích có trong TĐC tây nam</t>
  </si>
  <si>
    <t>Xây mới nhà sinh hoạt cộng đồng khu 1</t>
  </si>
  <si>
    <t>Giảm 0,2 còn 0,15</t>
  </si>
  <si>
    <t>Mở rộng nhà sinh hoạt cộng đồng khu 3</t>
  </si>
  <si>
    <t>Giảm 0,15 còn 0,11</t>
  </si>
  <si>
    <t>Mở rộng nhà sinh hoạt cộng đồng khu 4</t>
  </si>
  <si>
    <t>Đã xây dựng xong chưa chuyển mục đích sử dụng đất</t>
  </si>
  <si>
    <t>Giảm 0,1 còn 0,06</t>
  </si>
  <si>
    <t>Mở rộng nhà sinh hoạt cộng đồng khu 5</t>
  </si>
  <si>
    <t>Mở rộng nhà sinh hoạt cộng đồng khu 6</t>
  </si>
  <si>
    <t>Mở rộng nhà sinh hoạt cộng đồng khu 2</t>
  </si>
  <si>
    <t>Tăng diện tích từ 0,03-0,08 ha</t>
  </si>
  <si>
    <t>Mở rộng nhà sinh hoạt cộng đồng khu 8</t>
  </si>
  <si>
    <t>Tăng diện tích từ 0,03-0,07 ha</t>
  </si>
  <si>
    <t>Mở rộng nhà sinh hoạt cộng đồng khu 7</t>
  </si>
  <si>
    <t>Xây mới nhà sinh hoạt cộng đồng khu 10</t>
  </si>
  <si>
    <t>Xây mới nhà sinh hoạt cộng đồng khu 12</t>
  </si>
  <si>
    <t>Khu 12</t>
  </si>
  <si>
    <t>Xây mới nhà sinh hoạt cộng đồng khu 3</t>
  </si>
  <si>
    <t>Giảm 0,28 còn 0,15</t>
  </si>
  <si>
    <t>Xây mới nhà sinh hoạt cộng đồng khu 2</t>
  </si>
  <si>
    <t>Xây mới nhà sinh hoạt cộng đồng khu 4</t>
  </si>
  <si>
    <t>Khu 4 (gần trường THPT)</t>
  </si>
  <si>
    <t>Giảm 0,25 còn 0,15</t>
  </si>
  <si>
    <t>Xây mới nhà sinh hoạt cộng đồng khu 5</t>
  </si>
  <si>
    <t xml:space="preserve">Khu 5 </t>
  </si>
  <si>
    <t>Mở rộng nhà sinh hoạt cộng đồng Phượng Hùng 1</t>
  </si>
  <si>
    <t>Khu Phương Hùng 1</t>
  </si>
  <si>
    <t>Giảm 0,2 còn 0,03</t>
  </si>
  <si>
    <t>Mở rộng nhà sinh hoạt cộng đồng Đám 1</t>
  </si>
  <si>
    <t>Giảm 0,1 còn 0,03</t>
  </si>
  <si>
    <t>Xây mới nhà sinh hoạt cộng đồng Khu Lã Hoàng 2</t>
  </si>
  <si>
    <t>Cây Dừa, Khu Lã Hoàng</t>
  </si>
  <si>
    <t>Giảm 0,3 còn 0,15</t>
  </si>
  <si>
    <t>Mở rộng nhà sinh hoạt cộng đồng khu Gò Măng</t>
  </si>
  <si>
    <t>HT 0,11 ha</t>
  </si>
  <si>
    <t>Giảm 0,11 còn 0,04</t>
  </si>
  <si>
    <t>Nhà sinh hoạt cộng đồng Ngọc Chúc 1</t>
  </si>
  <si>
    <t xml:space="preserve">Xây mới nhà sinh hoạt cộng đồng Ngọc Chúc 3 </t>
  </si>
  <si>
    <t>Mở rộng nhà sinh hoạt cộng đồng khu Đám 3</t>
  </si>
  <si>
    <t>Khu Đám 3</t>
  </si>
  <si>
    <t>Giảm 0,12 còn 0,09</t>
  </si>
  <si>
    <t>Xây mới nhà sinh hoạt cộng đồng khu vân Cương 2</t>
  </si>
  <si>
    <t>Xây mới sân thể thao khu vân Cương 2 sửa thành DSH</t>
  </si>
  <si>
    <t>Xây mới nhà sinh hoạt cộng đồng khu Hữu Đô 3</t>
  </si>
  <si>
    <t>Khu Hữu Đô 3 (trụ sở UBND xã Hữu Đô cũ)</t>
  </si>
  <si>
    <t>Mở rộng nhà sinh hoạt cộng đồng khu Dân Chủ</t>
  </si>
  <si>
    <t>Khu Dân Chủ</t>
  </si>
  <si>
    <t>Xây mới nhà sinh hoạt cộng đồng khu Sông Lô</t>
  </si>
  <si>
    <t>Giảm 0,18 còn 0,15</t>
  </si>
  <si>
    <t>Xây mới khu sinh hoạt cộng đồng khu Tiền Phong</t>
  </si>
  <si>
    <t>Khu Tiền Phong (cạnh đền Tiền Phong)</t>
  </si>
  <si>
    <t xml:space="preserve">Mở rộng nhà sinh hoạt cộng đồng khu Lạp Xuyên </t>
  </si>
  <si>
    <t>Khu Lạp Xuyên</t>
  </si>
  <si>
    <t>Giảm 0,24 còn 0,1</t>
  </si>
  <si>
    <t>Mở rộng nhà sinh hoạt cộng đồng khu Bình Minh</t>
  </si>
  <si>
    <t>Khu Bình Minh</t>
  </si>
  <si>
    <t>Xây mới nhà sinh hoạt cộng đồng khu Nhà Hóp</t>
  </si>
  <si>
    <t>Khu Nhà Hóp</t>
  </si>
  <si>
    <t>Mở rộng nhà sinh hoạt cộng đồng khu Nghinh Lạp</t>
  </si>
  <si>
    <t>Giảm 0,1 còn 0,07</t>
  </si>
  <si>
    <t>Xây mới nhà sinh hoạt cộng đồng khu Ánh Hồng</t>
  </si>
  <si>
    <t>Khu Ánh Hồng</t>
  </si>
  <si>
    <t>Xây mới khu sinh hoạt cộng đồng khu Hồng Minh</t>
  </si>
  <si>
    <t>Khu Hồng Minh</t>
  </si>
  <si>
    <t xml:space="preserve">Xây mới khu sinh hoạt cộng đồng khu Minh Giang </t>
  </si>
  <si>
    <t>Khu Minh Giang</t>
  </si>
  <si>
    <t>Xây mới khu sinh hoạt cộng đồng khu Minh Giang Sơn</t>
  </si>
  <si>
    <t>Khu Minh Giang Sơn</t>
  </si>
  <si>
    <t>Giảm 0,16 còn 0,15</t>
  </si>
  <si>
    <t>Xây mới nhà sinh hoạt cộng đồng dân cư thôn 4, thôn 6</t>
  </si>
  <si>
    <t>Giảm 0,17 còn 0,15</t>
  </si>
  <si>
    <t>Mở rộng nhà sinh hoạt cộng đồng khu 1</t>
  </si>
  <si>
    <t>Giảm 0,06 còn 0,04</t>
  </si>
  <si>
    <t>Xây mới khu sinh hoạt cộng đồng khu 7</t>
  </si>
  <si>
    <t>Xây mới khu sinh hoạt cộng đồng khu 8</t>
  </si>
  <si>
    <t>Tăng diện tích 0,05-0,06 ha</t>
  </si>
  <si>
    <t>Xây mới khu sinh hoạt cộng đồng khu 6</t>
  </si>
  <si>
    <t>Mở rộng nhà sinh hoạt cộng đồng khu 1A</t>
  </si>
  <si>
    <t>Khu 1A</t>
  </si>
  <si>
    <t>Xây mới khu sinh hoạt cộng đồng khu 9</t>
  </si>
  <si>
    <t>Xây mới khu sinh hoạt cộng đồng khu 4</t>
  </si>
  <si>
    <t>Mở rộng khu sinh hoạt cộng đồng khu 1B</t>
  </si>
  <si>
    <t>Khu 1B</t>
  </si>
  <si>
    <t>Bổ sung thêm</t>
  </si>
  <si>
    <t>Giảm 0,24 còn 0,09</t>
  </si>
  <si>
    <t>Nhà sinh hoạt cộng đồng + sân thể thao (di chuyển ra khỏi tuyến đường cao tốc Tuyên Quang - Phú Thọ)</t>
  </si>
  <si>
    <t>Giảm 0,1 còn 0,09</t>
  </si>
  <si>
    <t>LUK, LUC</t>
  </si>
  <si>
    <t>Mở rộng nhà sinh hoạt cộng đồng khu 13</t>
  </si>
  <si>
    <t>Giảm diện tích hiện trạng 0,05 ha sang đình ngọc tân</t>
  </si>
  <si>
    <t>Mở rộng nhà sinh hoạt cộng đồng khu Tây Mỗ 1</t>
  </si>
  <si>
    <t>Nhà sinh hoạt cộng đồng khu Tây Mỗ 2</t>
  </si>
  <si>
    <t>Khu Tây Mỗ 2</t>
  </si>
  <si>
    <t>Xây mới nhà sinh hoạt cộng đồng khu Tây Mỗ 2</t>
  </si>
  <si>
    <t>Mở rộng nhà sinh hoạt cộng đồng khu Tây Mỗ 3</t>
  </si>
  <si>
    <t>Khu Tây Mỗ 3</t>
  </si>
  <si>
    <t>Mở rộng nhà sinh hoạt cộng đồng khu Hùng Phú</t>
  </si>
  <si>
    <t>Khu Hùng Phú</t>
  </si>
  <si>
    <t>Giảm 0,26 còn 0,11</t>
  </si>
  <si>
    <t>Mở rộng nhà sinh hoạt cộng đồng khu An Thái</t>
  </si>
  <si>
    <t>Khu An Thái</t>
  </si>
  <si>
    <t>Xây mới nhà sinh hoạt cộng đồng khu Việt Hùng 3</t>
  </si>
  <si>
    <t>Khu Việt Hùng 3</t>
  </si>
  <si>
    <t>Giảm 0,27 còn 0,15</t>
  </si>
  <si>
    <t>Xây mới nhà sinh hoạt cộng đồng khu Việt Hùng 4</t>
  </si>
  <si>
    <t>Giảm 0,26 còn 0,15</t>
  </si>
  <si>
    <t>Mở rộng nhà sinh hoạt cộng đồng khu Chợ Ngà</t>
  </si>
  <si>
    <t>Mở rộng nhà sinh hoạt cộng đồng khu Cát Lâm 2</t>
  </si>
  <si>
    <t>Mở rộng nhà sinh hoạt cộng đồng khu Cát Lâm 1</t>
  </si>
  <si>
    <t>Xây mới nhà sinh hoạt cộng đồng khu Việt Hùng 1</t>
  </si>
  <si>
    <t>Khu Việt Hùng 1</t>
  </si>
  <si>
    <t>Xây mới nhà sinh hoạt cộng đồng khu Việt Hùng 2</t>
  </si>
  <si>
    <t>Khu Việt Hùng 2</t>
  </si>
  <si>
    <t xml:space="preserve">Xây mới nhà sinh hoạt cộng đồng khu Trung Tâm </t>
  </si>
  <si>
    <t>Khu Trung tâm</t>
  </si>
  <si>
    <t>Xây mới nhà sinh hoạt cộng đồng khu Bằng Tường</t>
  </si>
  <si>
    <t>Xây mới nhà sinh hoạt cộng đồng khu Văn Phú</t>
  </si>
  <si>
    <t>Trạm y tế Phong Phú cũ, Khu Văn Phú</t>
  </si>
  <si>
    <t>Khu 2 (gần UBND xã)</t>
  </si>
  <si>
    <t>tăng 0,02 lên 0,1 ha</t>
  </si>
  <si>
    <t>Khu 3 (gần trang trại Vũ Lê Hải)</t>
  </si>
  <si>
    <t>Sửa thành MR. giảm 0,14 còn 0,07</t>
  </si>
  <si>
    <t>Xây mới nhà sinh hoạt cộng đồng khu 7</t>
  </si>
  <si>
    <t>Cấp GCN</t>
  </si>
  <si>
    <t>Mở rộng nhà sinh hoạt cộng đồng khu Thái Hà</t>
  </si>
  <si>
    <t>Khu Thái Hà</t>
  </si>
  <si>
    <t>800 m2</t>
  </si>
  <si>
    <t>Giảm 0,08 còn 0,05</t>
  </si>
  <si>
    <t xml:space="preserve">Xây mới nhà sinh hoạt cộng đồng Khu Phúc Thịnh </t>
  </si>
  <si>
    <t>Mở rộng nhà sinh hoạt cộng đồng khu Hợp Lai</t>
  </si>
  <si>
    <t>500 m2</t>
  </si>
  <si>
    <t xml:space="preserve">Xây mới nhà sinh hoạt cộng đồng khu Phúc Đình </t>
  </si>
  <si>
    <t>Xây mới nhà sinh hoạt cộng đồng Khu Phố</t>
  </si>
  <si>
    <t>Mở rộng nhà sinh hoạt cộng đồng Khu 7</t>
  </si>
  <si>
    <t>sủa diện tích hiện trang</t>
  </si>
  <si>
    <t>Nhà sinh hoạt cộng đồng Khu 9</t>
  </si>
  <si>
    <t>Chuyển tiếp (Đã xây dựng, đưa vào cấp giấy)</t>
  </si>
  <si>
    <t xml:space="preserve">Xây mới khu sinh hoạt cộng đồng khu 1 </t>
  </si>
  <si>
    <t>Xây mới khu sinh hoạt cộng đồng Cựa Gà Khu 3</t>
  </si>
  <si>
    <t>Giảm 0,19 còn 0,15</t>
  </si>
  <si>
    <t>Xây dựng nhà sinh hoạt cộng đồng khu trung tâm</t>
  </si>
  <si>
    <t>Xây dựng nhà văn hóa khu trung tâm</t>
  </si>
  <si>
    <t>Chuyển sang DSH</t>
  </si>
  <si>
    <t>Xây mới nhà sinh hoạt cộng đồng khu Liên Phú</t>
  </si>
  <si>
    <t>Khu Liên Phú</t>
  </si>
  <si>
    <t>Giảm 0,20 còn 0,15</t>
  </si>
  <si>
    <t>Mở rộng nhà sinh hoạt cộng đồng khu Tân Minh</t>
  </si>
  <si>
    <t>Giảm 0,10 còn 0,06</t>
  </si>
  <si>
    <t>Xây mới nhà sinh hoạt cộng đồng khu Tân Thành</t>
  </si>
  <si>
    <t>Xây mới nhà sinh hoạt cộng đồng khu Đông Tiến</t>
  </si>
  <si>
    <t>Xây mới nhà sinh hoạt cộng đồng khu Nam Đẩu</t>
  </si>
  <si>
    <t>Xây mới nhà sinh hoạt cộng đồng khu Vân Tiến 1</t>
  </si>
  <si>
    <t>Khu Vân Tiến 1</t>
  </si>
  <si>
    <t>Mở rộng nhà sinh hoạt cộng đồng khu Vân Tiến 2</t>
  </si>
  <si>
    <t>Khu Vân Tiến 2</t>
  </si>
  <si>
    <t>Giảm 0,20 còn 0,05</t>
  </si>
  <si>
    <t>Xây mới nhà sinh hoạt cộng đồng khu Vân Tiến 3</t>
  </si>
  <si>
    <t>Giảm 0,19 còn 0,10</t>
  </si>
  <si>
    <t>bổ sung đất DGD</t>
  </si>
  <si>
    <t>Xây mới nhà sinh hoạt cộng đồng khu 11</t>
  </si>
  <si>
    <t>Đưa vào giao đất</t>
  </si>
  <si>
    <t>Tăng diện tích từ 0,04 -0,05 ha</t>
  </si>
  <si>
    <t>Tăng diện tích từ 0,02 -0,06 ha</t>
  </si>
  <si>
    <t>Sửa xây mới thành mở rộng, sửa diện tích</t>
  </si>
  <si>
    <t>Giảm 0,18 còn 0,06</t>
  </si>
  <si>
    <t>Xây mới nhà sinh hoạt cộng đồng khu 6</t>
  </si>
  <si>
    <t>Xây mới nhà sinh hoạt cộng đồng khu 8</t>
  </si>
  <si>
    <t>Tăng diện tích từ 0,05-0,10 ha</t>
  </si>
  <si>
    <t>XXII</t>
  </si>
  <si>
    <t>Đất khu vui chơi, giải trí công cộng</t>
  </si>
  <si>
    <t>Khu vui chơi giải trí công cộng</t>
  </si>
  <si>
    <t>BHK</t>
  </si>
  <si>
    <t>Khu Đông Tiệm</t>
  </si>
  <si>
    <t>Khu Tân Long, Đầu Lô</t>
  </si>
  <si>
    <t>Xây mới sân thể thao xã Tây Cốc sửa thành khu vui chơi chuyển từ DTT  xuống DKV</t>
  </si>
  <si>
    <t>XXIII</t>
  </si>
  <si>
    <t>Đất ở tại nông thôn (đất ở 141,45 ha; TMD 5,62 ha; MNC 4,06 ha; TSC 1,79 ha; DCK 50,22 ha; DGD 1,41 ha; DGT 98,03 ha; DSH 0,25 ha; DTL 10,25 ha; DTS 0,62 ha; DVH 0,38 ha; DYT 0,07 ha)</t>
  </si>
  <si>
    <t>A</t>
  </si>
  <si>
    <t>OTC</t>
  </si>
  <si>
    <t>Tràn Đầm Khuôn, Khu 2</t>
  </si>
  <si>
    <t>Đấu giá khu 2 - Tràn Đầm Khuôn</t>
  </si>
  <si>
    <t>Tràn Con Song, Tràn Động, Khu 3</t>
  </si>
  <si>
    <t>Giao đất ở khu 3</t>
  </si>
  <si>
    <t>Tràn Cây Đa, Khu 1</t>
  </si>
  <si>
    <t>Đấu giá QSDĐ khu 1- Tràn Cây Đa</t>
  </si>
  <si>
    <t>Khu chợ Bằng Doãn, Khu 6</t>
  </si>
  <si>
    <t>Đấu giá QSDĐ khu chợ Bằng Doãn</t>
  </si>
  <si>
    <t>Đấu giá QSDĐ Khu 6. Giảm diện tíc 0,13 ha xuống còn 0,05</t>
  </si>
  <si>
    <t>Ao Trai, Khu 1</t>
  </si>
  <si>
    <t>Đấu giá QSDĐ khu 1- Ao Trai</t>
  </si>
  <si>
    <t xml:space="preserve">Khu dân cư nông thôn </t>
  </si>
  <si>
    <t>Tràn Chanh Trên, khu 3</t>
  </si>
  <si>
    <t>Đấu giá QSDĐ khu 3-Tràn Chanh Trên</t>
  </si>
  <si>
    <t>Tràn Chanh dưới, khu 3</t>
  </si>
  <si>
    <t>Đấu giá QSDĐ khu 3-Tràn Chanh dưới</t>
  </si>
  <si>
    <t xml:space="preserve">Chuyển mục đích sang đất ở khu 1 </t>
  </si>
  <si>
    <t>NVH khu 4 cũ, Khu 4</t>
  </si>
  <si>
    <t>Chuyển mục đích đất ở khu 4 - Nhà văn hóa khu 4 cũ</t>
  </si>
  <si>
    <t>Tràn Mạ Làng, Khu 4</t>
  </si>
  <si>
    <t>Thay đổi lại đất lấy vào</t>
  </si>
  <si>
    <t>Chuyển mục đích đất ở khu 4 - Tràn Mạ Làng</t>
  </si>
  <si>
    <t>Tràn Đầm Hứa, khu 1</t>
  </si>
  <si>
    <t>Đấu giá QSDĐ khu 1-Tràn Đầm Hứa</t>
  </si>
  <si>
    <t>Phai Thông, khu 4</t>
  </si>
  <si>
    <t>CMĐ đất ở khu 4</t>
  </si>
  <si>
    <t>Khu 1 (NVH khu 1 cũ)</t>
  </si>
  <si>
    <t>Chuyển mục đích đất ở khu 1 - Nhà văn hóa khu 1 cũ</t>
  </si>
  <si>
    <t>Chuyển mục đích SDĐ đất vườn sang đất ở</t>
  </si>
  <si>
    <t>B</t>
  </si>
  <si>
    <t>Tràn Bóng Si, khu 10</t>
  </si>
  <si>
    <t>Kh 2024. Khu dân cư Tràn Bóng Si, khu 10 (Trong đó: ONT 0,25 ha; DGT 0,32 ha). Tăng diện tích 0,57 lên 3,05 ha</t>
  </si>
  <si>
    <t>Ông Hào, khu 4</t>
  </si>
  <si>
    <t>Hạ tầng khu dân cư đồi ông Hào</t>
  </si>
  <si>
    <t>Đồi hành chính, khu 5</t>
  </si>
  <si>
    <t>Hạ tầng khu dân cư đồi hành chính</t>
  </si>
  <si>
    <t>Đồng Chanh, khu 7</t>
  </si>
  <si>
    <t>Hạ tầng khu dân cư đồng Chanh</t>
  </si>
  <si>
    <t>Chuyển mục đích sử dụng đất vườn sang đất ở</t>
  </si>
  <si>
    <t>C</t>
  </si>
  <si>
    <t>Đồng Trang, khu 5</t>
  </si>
  <si>
    <t>Đấu giá QSDĐ khu 5 - Đồng Trang</t>
  </si>
  <si>
    <t>Cây Gạo, khu 5</t>
  </si>
  <si>
    <t>Đấu giá QSDĐ khu 5 - Cây Gạo</t>
  </si>
  <si>
    <t>Đồng Giữa, khu 5</t>
  </si>
  <si>
    <t>Đấu giá QSDĐ khu 5 - Đồng Giữa</t>
  </si>
  <si>
    <t>Cây Hồng, khu 5</t>
  </si>
  <si>
    <t>Đấu giá QSDĐ khu 5 - Cây Hồng</t>
  </si>
  <si>
    <t>Dọc Cuồng, khu 3</t>
  </si>
  <si>
    <t>Đấu giá QSDĐ khu 3 - Dọc Cuồng</t>
  </si>
  <si>
    <t>Tràn Dé, khu 1</t>
  </si>
  <si>
    <t>Đấu giá QSDĐ khu 1 - Tràn Dé</t>
  </si>
  <si>
    <t>Bờ Hin, khu 3</t>
  </si>
  <si>
    <t>Đấu giá QSDĐ khu 3 - Bờ Hin</t>
  </si>
  <si>
    <t>Bờ Cốc, khu 3</t>
  </si>
  <si>
    <t>Đấu giá QSDĐ khu 3 - Bờ Cốc</t>
  </si>
  <si>
    <t>Đấu giá QSDĐ khu 2</t>
  </si>
  <si>
    <t>Khu 1 (Đầm Bèo)</t>
  </si>
  <si>
    <t xml:space="preserve">Chuyển mục đích SDĐ sang đất ở tại nông thôn </t>
  </si>
  <si>
    <t>Khu 1 (Gò Phòng Không)</t>
  </si>
  <si>
    <t>Tăng diện tích,  sửa tên xứ đồng, CHU CHUYỂN CHƯA TÁCH dgt, dck</t>
  </si>
  <si>
    <t>Khu 1 (Dộc Cuồng)</t>
  </si>
  <si>
    <t>Khu 1 (Gò Nghè)</t>
  </si>
  <si>
    <t>Khu 3 (Bờ Hin)</t>
  </si>
  <si>
    <t>Khu 3 (Ngọn Đồng Trên)</t>
  </si>
  <si>
    <t>D</t>
  </si>
  <si>
    <t>Đối diện NVH thôn 9 cũ, khu 7</t>
  </si>
  <si>
    <t>Khu Nương Ỷ, khu 1</t>
  </si>
  <si>
    <t>Giảm diện tích, thay đổi loại đất lấy vào, bỏ xứ đồng Nương Ỷ</t>
  </si>
  <si>
    <t>Cạnh siêu thị Minh Vân, khu 2</t>
  </si>
  <si>
    <t>Khu xóm mới, khu 6</t>
  </si>
  <si>
    <t>Tái định cư cho các hộ phải di chuyển chỗ ở để thực hiện dự án: Đầu tư Quy hoạch đường cao tốc Tuyên Quang - Phú Thọ kết nối với đường cao tốc Nội Bài - Lào Cai trên địa bàn huyện Đoan Hùng</t>
  </si>
  <si>
    <t>NVH Khu 3 (Thôn 11 cũ)</t>
  </si>
  <si>
    <t>Đồng Quán, Khu 2</t>
  </si>
  <si>
    <t>Ven đường Âu Cơ</t>
  </si>
  <si>
    <t>giảm diện tích</t>
  </si>
  <si>
    <t>Công nhận quyền sử dụng đất</t>
  </si>
  <si>
    <t>Khu 5, khu 1</t>
  </si>
  <si>
    <t>E</t>
  </si>
  <si>
    <t xml:space="preserve">Khu nhà ở Chí Đám </t>
  </si>
  <si>
    <t>Khu Xuân Áng, Đám 3, Lã Hoàng 2</t>
  </si>
  <si>
    <t>Khu Phượng Phùng 1</t>
  </si>
  <si>
    <t>Khu Ngọc Chúc 2</t>
  </si>
  <si>
    <t>Ven hồ Đồng Mầu, khu Đồng Mầu</t>
  </si>
  <si>
    <t>Kho 15, khu Phượng Hùng 2</t>
  </si>
  <si>
    <t>Chuyển mục đích đất ở Khu gia binh</t>
  </si>
  <si>
    <t>tăng diện tích, sửa loại đất lấy vào</t>
  </si>
  <si>
    <t>Trằm Bứa, Khu Đám 1</t>
  </si>
  <si>
    <t>Khu Xuân Áng</t>
  </si>
  <si>
    <t>Ao Na, Khu Gò Măng</t>
  </si>
  <si>
    <t>Dộc Gò Thanh, Khu Gò Măng</t>
  </si>
  <si>
    <t>Đồng Giàn, Khu Ngọc Chúc 3</t>
  </si>
  <si>
    <t>Cây Mận, khu Ngọc Chúc 1</t>
  </si>
  <si>
    <t>Giáp nhà văn hóa Ngọc Chúc 1</t>
  </si>
  <si>
    <t>Đồng Chéo, khu Đám 3</t>
  </si>
  <si>
    <t>Hạ tầng kỹ thuật khu dân cư và giao đất tái định cư cho các hộ phải di chuyển chỗ ở thuộc dự án Khu nhà ở Chí Đám</t>
  </si>
  <si>
    <t>Chuyển mục đích sử dụng đất cho các hộ thu hồi đất để thực hiện dự án xây dựng khu Nhà ở xã Chí Đám</t>
  </si>
  <si>
    <t>Giảm diện tích từ 1,82 ha xuống 1,00 ha</t>
  </si>
  <si>
    <t>F</t>
  </si>
  <si>
    <t>Khu Hữu Đô 3</t>
  </si>
  <si>
    <t xml:space="preserve">Nếu vượt phân khai thì không chạy 4 ha Cây xanh </t>
  </si>
  <si>
    <t>Cơ sở sản xuất, kinh doanh sửa thành khu dân cư nông thôn tăng từ 0,5ha lên  0,78 ha</t>
  </si>
  <si>
    <t>Cửa Khâu, khu Hố Xanh</t>
  </si>
  <si>
    <t>Giảm diện tích từ 2,38 ha xuống 1,98 ha</t>
  </si>
  <si>
    <t>Khu Đại Hội, khu Đại Hộ</t>
  </si>
  <si>
    <t>Kh 2024. Giảm diện tích từ 1,4 ha xuống 1,0 ha</t>
  </si>
  <si>
    <t>Ao Làng, khu Đại Hội</t>
  </si>
  <si>
    <t>Khu dân cư nông thôn (Đấu giá QSD đất)</t>
  </si>
  <si>
    <t xml:space="preserve">Kh 2024. giảm 0,3 còn 0,06 </t>
  </si>
  <si>
    <t>Cây Nhãn, khu Nghĩa Khê</t>
  </si>
  <si>
    <t>Đất đấu giá khu Cây Nhãn</t>
  </si>
  <si>
    <t>Cầu Làng, khu Sông Lô</t>
  </si>
  <si>
    <t>Đất đấu giá khu Cầu Làng</t>
  </si>
  <si>
    <t>Khu Thống Nhất 1</t>
  </si>
  <si>
    <t>Đất đấu giá khu Thống Nhất 1</t>
  </si>
  <si>
    <t>Khu Vân Cương (A)</t>
  </si>
  <si>
    <t>Giao đất ở nông thôn khu Vân Cương A</t>
  </si>
  <si>
    <t>Khu Vân Cương (B)</t>
  </si>
  <si>
    <t>Giao đất ở nông thôn khu Vân Cương B</t>
  </si>
  <si>
    <t>Giáp NVH, khu Vân Cương</t>
  </si>
  <si>
    <t>Giao đất ở nông thôn khu giáp nhà văn hoá</t>
  </si>
  <si>
    <t>Ong Giang, khu Đồng Thịnh</t>
  </si>
  <si>
    <t>Giao đất ở nông thôn khu Ong Giang</t>
  </si>
  <si>
    <t>Cầu Đất, khu Đồng Thịnh</t>
  </si>
  <si>
    <t>Giao đất ở nông thôn khu Cầu Đất. Sửa loại đất lấy vào</t>
  </si>
  <si>
    <t>Miếu, khu Đồng Thịnh</t>
  </si>
  <si>
    <t>Giao đất ở nông thôn khu Miếu</t>
  </si>
  <si>
    <t>Cửa ông Bồi, khu Nghĩa Khê</t>
  </si>
  <si>
    <t xml:space="preserve">Giao đất ở nông thôn khu </t>
  </si>
  <si>
    <t>Bờ Hỗ, khu Làng Vải</t>
  </si>
  <si>
    <t>Gò Mán, khu Tiền Phong</t>
  </si>
  <si>
    <t>Dục Thị, khu Tiền Phong</t>
  </si>
  <si>
    <t>Bậc Đừng, khu Hữu Đô 1</t>
  </si>
  <si>
    <t>Giao đất ở nông thôn khu . Giảm 0,18 ha xuống 0,1 ha</t>
  </si>
  <si>
    <t>Cây Trâm, khu Hữu Đô 2</t>
  </si>
  <si>
    <t>Nhà văn hóa khu Hữu Đô 3 (thôn 6 cũ)</t>
  </si>
  <si>
    <t>G</t>
  </si>
  <si>
    <t>Màn Đá, Gốc Quân, ngã 2 đến cầu ông Nùng, Cửa Ngòi, Cây Nhội, Cầu Ván, khu An Thọ</t>
  </si>
  <si>
    <t>Đất ở khu An Thọ</t>
  </si>
  <si>
    <t>Tân Dân, Ao Chợ, Dộc Làng, khu An Việt</t>
  </si>
  <si>
    <t>Đất ở khu An Việt</t>
  </si>
  <si>
    <t>Đồng Ngòi, Gốc Ngõa, khu Tiền Phong</t>
  </si>
  <si>
    <t>Đất ở khu Tiền Phong</t>
  </si>
  <si>
    <t xml:space="preserve"> Gò Trại Đồng Ao, Khu Tân Việt</t>
  </si>
  <si>
    <t>Đất ở khu Tân Việt</t>
  </si>
  <si>
    <t>Sửa tên khu</t>
  </si>
  <si>
    <t>Hố Nứa, khu An Việt</t>
  </si>
  <si>
    <t>Nhà Chu, khu Đồng Ao</t>
  </si>
  <si>
    <t>Đất ở khu Đồng Ao</t>
  </si>
  <si>
    <t>H</t>
  </si>
  <si>
    <t>Cây Tiêm, Khu Đông Tiệm</t>
  </si>
  <si>
    <t>Khu dân cư nông thôn khu Cây Tiêm</t>
  </si>
  <si>
    <t>Ông Lý Tuy, khu Thượng Khê</t>
  </si>
  <si>
    <t xml:space="preserve">Đấu giá QSDĐ nhà ông Lý Tuy  khu Thượng Khê </t>
  </si>
  <si>
    <t>Mũi Dùi, khu Thượng Khê</t>
  </si>
  <si>
    <t xml:space="preserve">Đấu giá QSDĐ Mũi Dùi khu Thượng Khê </t>
  </si>
  <si>
    <t>Đồng Ré, khu Thượng Khê</t>
  </si>
  <si>
    <t>Đấu giá QSDĐ Đồng Ré khu Thượng Khê</t>
  </si>
  <si>
    <t>Cầu Đất, khu Thượng Khê</t>
  </si>
  <si>
    <t>Đấu giá QSDĐ Cầu Đất khu Thượng Khê</t>
  </si>
  <si>
    <t>Sau Đồng, khu Bình Minh</t>
  </si>
  <si>
    <t>Giao đất ở Sau Đồng khu Bình Minh</t>
  </si>
  <si>
    <t>Điều chỉnh loại đất</t>
  </si>
  <si>
    <t>Đồng Duỗn, khu Nghinh Lạp</t>
  </si>
  <si>
    <t>Khu dân cư Đồng Duỗn khu Nghinh Lạp</t>
  </si>
  <si>
    <t>Giao đất ở khu Lạp Xuyên</t>
  </si>
  <si>
    <t>Hồ Cạn, Gò Cao A, khu Đoàn Kết</t>
  </si>
  <si>
    <t>Giao đất ở  khu Đoàn Kết</t>
  </si>
  <si>
    <t>Tràn Cát, khu Vĩnh Lại</t>
  </si>
  <si>
    <t>Đấu giá QSDĐ Tràn Cát khu Vĩnh Lại</t>
  </si>
  <si>
    <t>Gó Da, khu Vĩnh Lại</t>
  </si>
  <si>
    <t>Đấu giá QSDĐ Gó Da khu Vĩnh Lại. Giảm diện tích từ 0,83 xuống 0,74 ha</t>
  </si>
  <si>
    <t>Ao Gió, khu Cáo Sóc</t>
  </si>
  <si>
    <t>Đấu giá QSDĐ Ao Gió khu Cáo Sóc</t>
  </si>
  <si>
    <t>Đồng Trà, khu Hùng Quan</t>
  </si>
  <si>
    <t>Giao đất ở  Đồng Trà khu Hùng Quan</t>
  </si>
  <si>
    <t>Trạm y tế xã Hùng Quan cũ, khu Hùng Quan</t>
  </si>
  <si>
    <t>Đấu giá QSDĐ trạm y tế xã Hùng Quan cũ</t>
  </si>
  <si>
    <t>Ven làng, khu Hùng Quan</t>
  </si>
  <si>
    <t>Giao đất ở Ven làng khu Hùng Quan</t>
  </si>
  <si>
    <t>Ao Sen, khu Đông Tiệm</t>
  </si>
  <si>
    <t>Khu dân cư nông thôn mới Ao Sen (Trong đó: ONT 0,16 ha; DGT 0,14 ha)</t>
  </si>
  <si>
    <t>Ngả 2 nhà Mốc, khu Đông Tiệm</t>
  </si>
  <si>
    <t>Giao đất ở ngả 2 nhà Mốc khu Đông Tiệm</t>
  </si>
  <si>
    <t>Ngả 2, nền nhà ông Điển, Gò Chè, khu Nhà Hóp</t>
  </si>
  <si>
    <t>Giao đất ở khu Nhà Hóp</t>
  </si>
  <si>
    <t xml:space="preserve"> Dốc Năn, Gò Lỗ Xẻ, khu Song Phượng 2</t>
  </si>
  <si>
    <t>Giao đất ở khu Song Phượng 2</t>
  </si>
  <si>
    <t>Gò Chùa, khu Song Phượng 1</t>
  </si>
  <si>
    <t>Giao đất ở Gò Chùa khu Song Phượng 1</t>
  </si>
  <si>
    <t>Gò Cao C, Gò Mốc, khu Tân Lập</t>
  </si>
  <si>
    <t>Giao đất ở khu Tân Lập</t>
  </si>
  <si>
    <t>Đồng Cạn, khu Minh Giang Sơn</t>
  </si>
  <si>
    <t>Giao đất ở Đồng Cạn, khu Minh Giang Sơn</t>
  </si>
  <si>
    <t>Gò Phan, Khu Đông Dương</t>
  </si>
  <si>
    <t>Giao đất ở Gò Phan Khu Đông Dương</t>
  </si>
  <si>
    <t>Cánh Buồn, khu Thượng Khê</t>
  </si>
  <si>
    <t>Đấu giá QSDĐ khu Cánh Buồm</t>
  </si>
  <si>
    <t>Mầm non bán công Nghinh Xuyên cũ</t>
  </si>
  <si>
    <t>Bổ sung mới, ko chu chuyển vì đã là hiện trạng ONT</t>
  </si>
  <si>
    <t>Giao đất tái định cư cho các hộ phải di chuyển chỗ ở do sạt lở tại khu Hồng Minh, xã Hùng Xuyên (thôn 1, 2 xã Nghinh Xuyên cũ)</t>
  </si>
  <si>
    <t xml:space="preserve">Tái định cư Dộc Tát </t>
  </si>
  <si>
    <t>Giảm 2,2 còn 1,2</t>
  </si>
  <si>
    <t>K</t>
  </si>
  <si>
    <t>Tràn Cạn, Tràn Dộc Hưng, giáp trường mầm non, Khu 4</t>
  </si>
  <si>
    <t>Thay đổi loại đất lấy vào, giảm diện tích</t>
  </si>
  <si>
    <t>Hạ tầng dân cư Khu 4</t>
  </si>
  <si>
    <t>Tràn Đồng Cả, Tràn Dộc Vũ, Khu 7</t>
  </si>
  <si>
    <t>Giảm diện tích, thay đổi loại đất lấy vào, bổ sung địa điểm</t>
  </si>
  <si>
    <t>Hạ tầng dân cư Khu 7</t>
  </si>
  <si>
    <t>Tràn Đầm Soi, Cầu Đá Trắng, Nhà Bà Kỷ, Khu 5</t>
  </si>
  <si>
    <t>Hạ tầng dân cư Khu 5</t>
  </si>
  <si>
    <t>Ngòn Hò, Cầu Dẽo, Khu 1</t>
  </si>
  <si>
    <t>Thay đổi loại đất, bổ sung xứ đồng</t>
  </si>
  <si>
    <t>Hạ tầng dân cư Khu 1</t>
  </si>
  <si>
    <t>Hạ tầng dân cư Khu 2</t>
  </si>
  <si>
    <t>Đình Thó, Tràn Đầm Lãng Khu 3</t>
  </si>
  <si>
    <t>bổ sung xứ đồng, thay doi loai dat lay vao</t>
  </si>
  <si>
    <t>Hạ tầng dân cư Khu 3</t>
  </si>
  <si>
    <t>Trước Làng, khu 4</t>
  </si>
  <si>
    <t>Khu dân cư nông thôn mới khu trước làng (Trong đó: ONT 0,22 ha; DCK 0,04 ha; DGT 0,24 ha)</t>
  </si>
  <si>
    <t>Đồi Tình Anh, Nhà VH khu 6 cũ,  Đồi ông Tiến Khu 6</t>
  </si>
  <si>
    <t>Giảm diện tích, thay đổi loại đất lấy vào, bổ sung xứ đồng</t>
  </si>
  <si>
    <t>Hạ tầng dân cư Khu 6</t>
  </si>
  <si>
    <t>Thay đổi diện tích, loại đất lấy vào</t>
  </si>
  <si>
    <t>Hạ tầng dân cư khu 8</t>
  </si>
  <si>
    <t>Giao đất TĐC cho các hộ bị thu hồi đất ở để thực hiện dự án: Nâng cấp, cải tạo đường tỉnh 319</t>
  </si>
  <si>
    <t>L</t>
  </si>
  <si>
    <t>Cầu Si, khu 10</t>
  </si>
  <si>
    <t>Đấu giá đất ở  Cầu Si - Khu 10</t>
  </si>
  <si>
    <t>Bờ Giềng, khu 4</t>
  </si>
  <si>
    <t>Khu dân cư nông thôn mới Bờ Giếng (Trong đó: ONT 0,48 ha; DGT 0,72 ha)</t>
  </si>
  <si>
    <t>Đồi Chè, khu 10</t>
  </si>
  <si>
    <t>Giao đất ở Đồi Chè - Khu 10</t>
  </si>
  <si>
    <t>Nương Tám, Nương Sim, khu 5</t>
  </si>
  <si>
    <t>Nong Mơn, khu 8</t>
  </si>
  <si>
    <t>Giao đất ở khu Mong Mơn - Khu 8</t>
  </si>
  <si>
    <t>Đồng Tành, khu 5</t>
  </si>
  <si>
    <t>Khu dân cư nông thôn mới Đồng Tành (Trong đó: ONT 0,37 ha; DGT 0,38 ha)</t>
  </si>
  <si>
    <t>Cổ Đất, khu 2</t>
  </si>
  <si>
    <t>Giao đất ở Khu 2 - Cổ Đất</t>
  </si>
  <si>
    <t>Đồng Đeo, khu 1A</t>
  </si>
  <si>
    <t>Đấu giá đất ở khu 1A- Đồng Đeo</t>
  </si>
  <si>
    <t>Bãi Bằng, khu 1B</t>
  </si>
  <si>
    <t>Đấu giá đất ở khu 1B- Bãi Bằng. Tăng 0,6 thành 1,0 ha</t>
  </si>
  <si>
    <t>Giao đất ở khu 1A- Đồng Đeo</t>
  </si>
  <si>
    <t>Xã Minh Phú, Chân Mộng</t>
  </si>
  <si>
    <t>Trằm Cãm, Minh Phú (khu 6), Chân Mộng (khu 7)</t>
  </si>
  <si>
    <t>Giao đất ở xứ đồng Trằm Cãm</t>
  </si>
  <si>
    <t>Đồng Cánh Cung, khu 5</t>
  </si>
  <si>
    <t>Giao đất ở khu 5- Đồng Cánh Cung. Tăng 0,7 lên 0,9 ha</t>
  </si>
  <si>
    <t>Giao đất cho nhân dân làm nhà ở</t>
  </si>
  <si>
    <t>Khu 6, khu 4</t>
  </si>
  <si>
    <t>Xây dựng hạ tầng khu tái định cư - Giai đoạn II (Thuộc dự án Cải tạo, gia cố và nâng cấp đường Âu Cơ)</t>
  </si>
  <si>
    <t>Khu Đồng Chùa</t>
  </si>
  <si>
    <t>Giảm diện tích 3,8 còn 1,12 ha</t>
  </si>
  <si>
    <t>Khu 8, khu 9, xóm mới</t>
  </si>
  <si>
    <t>M</t>
  </si>
  <si>
    <t>Bổi Thượng khu 1, Bồng Hạ khu 2</t>
  </si>
  <si>
    <t xml:space="preserve">Giao đất khu 2 - </t>
  </si>
  <si>
    <t>Giảm 2,22 còn 2,14 ha</t>
  </si>
  <si>
    <t>Khu dân cư nông thôn khu 4</t>
  </si>
  <si>
    <t>Giảm 1,03 còn 0,43 ha</t>
  </si>
  <si>
    <t>Đồng Mĩn, khu 5</t>
  </si>
  <si>
    <t>Đấu giá khu 5 - Đồng Mĩn</t>
  </si>
  <si>
    <t>Giảm 0,69 ha còn 0,28 ha</t>
  </si>
  <si>
    <t>Giao đất khu 4- trước Làng</t>
  </si>
  <si>
    <t>Nhà Giao, khu 2</t>
  </si>
  <si>
    <t>Giao đất khu 2 - Nhà Giao</t>
  </si>
  <si>
    <t>Nhà Lan Lan đến nhà ông Huy, khu 2</t>
  </si>
  <si>
    <t>Giao đất khu 1 - Nhà Lan Lan đến nhà ông Huy</t>
  </si>
  <si>
    <t>Tái định cư cho các hộ phải di chuyển chỗ ở để thực hiện dự án: Đầu tư xây dựng đường cao tốc Tuyên Quang - Phú Thọ kết nối với đường cao tốc Nội Bài - Lào Cai trên địa bàn huyện Đoan Hùng</t>
  </si>
  <si>
    <t>Khu 4, khu 5</t>
  </si>
  <si>
    <t>Chuyển mục đích cho các hộ phải di chuyển chỗ ở để thực hiện dự án: xây dựng tuyến đường từ cầu Kim Xuyên đến QL2 và đường Hồ Chí Minh</t>
  </si>
  <si>
    <t>N</t>
  </si>
  <si>
    <t>Bãi Bằng, khu 6</t>
  </si>
  <si>
    <t>Sửa loại đất lấy vào và giảm diện tích</t>
  </si>
  <si>
    <t>Giếng Đình, Khu 10</t>
  </si>
  <si>
    <t>Cạnh nhà văn hóa khu 4</t>
  </si>
  <si>
    <t>Đồng Phai Quan, khu 4</t>
  </si>
  <si>
    <t>Đối diện nhà văn hóa khu 1</t>
  </si>
  <si>
    <t>Dự án Tái định cư cụm công nghiệp Ngọc Quan</t>
  </si>
  <si>
    <t>Khu 8, 11</t>
  </si>
  <si>
    <t>Không chạy chu chuyển vì trên DSH đã có rồi</t>
  </si>
  <si>
    <t>không chạy chu chuyển trùng danh mục</t>
  </si>
  <si>
    <t>Ông Thành, Khu 10</t>
  </si>
  <si>
    <t>Chuyển mục đích sang đất ở Khu gia binh</t>
  </si>
  <si>
    <t>O</t>
  </si>
  <si>
    <t>Khu Trung Tâm</t>
  </si>
  <si>
    <t>Giảm 3,28 còn 0,65</t>
  </si>
  <si>
    <t>Giảm 3,12 còn 1,32. trước lấy vào ONT chính nó xem lại</t>
  </si>
  <si>
    <t>Giảm 3,04 còn 0,35</t>
  </si>
  <si>
    <t>Giảm 2,81 còn 1,85</t>
  </si>
  <si>
    <t>Giảm 1,87 còn 0,55</t>
  </si>
  <si>
    <t>Giảm 1,82 còn 0,8</t>
  </si>
  <si>
    <t>Ruộng Quán, Khu Thuật Cổ</t>
  </si>
  <si>
    <t>Giảm 1,75 còn 0,5</t>
  </si>
  <si>
    <t>Giảm 1,38 còn 0,46</t>
  </si>
  <si>
    <t>Giảm 1,2 còn 0,98</t>
  </si>
  <si>
    <t>Cây Quân, khu Duỗn Trung</t>
  </si>
  <si>
    <t>Giảm 0,46 còn 0,27 ha</t>
  </si>
  <si>
    <t>Ba Giăng, ku An Thái</t>
  </si>
  <si>
    <t>Đồng Chủng, khu An Thái</t>
  </si>
  <si>
    <t>P</t>
  </si>
  <si>
    <t>Khu 3, Đồng Nếp, Cầu Kè</t>
  </si>
  <si>
    <t>Bổ sung xứ đồng</t>
  </si>
  <si>
    <t>Chân Mạ, Khu 1</t>
  </si>
  <si>
    <t>Gốc Thị, khu 2</t>
  </si>
  <si>
    <t>Vọng Thẹp, khu 2</t>
  </si>
  <si>
    <t>Ao đối diện trường mầm non, khu 4</t>
  </si>
  <si>
    <t>Mặt QL 70B, cạnh QH SKC mới, khu 5</t>
  </si>
  <si>
    <t>Q</t>
  </si>
  <si>
    <t>Chuyển RST thành CLN</t>
  </si>
  <si>
    <t>Giảm 3,5 còn 3,3 ha</t>
  </si>
  <si>
    <t>Điều chỉnh giảm diện tích 3,3-1,8 ha</t>
  </si>
  <si>
    <t>Giảm diện tích từ  còn 2,85 ha</t>
  </si>
  <si>
    <t>Cây Trôi Ngoài, Khu 1</t>
  </si>
  <si>
    <t>Khu dân cư mới tại xã Sóc Đăng và thị trấn Đoan Hùng</t>
  </si>
  <si>
    <t>Xã Sóc Đăng, TT Đoan Hùng</t>
  </si>
  <si>
    <t>KHÔNG CHẠY CHU CHUYỂN VÌ CÓ DANH MỤC Ở TSC RỒI</t>
  </si>
  <si>
    <t>Không chu chuyển trùng có danh mục rồi</t>
  </si>
  <si>
    <t>Cửa ông Đức, khu 6</t>
  </si>
  <si>
    <t>GIẢM DIỆN TÍCH TỪ 0,9 CÒN 0,8 ha</t>
  </si>
  <si>
    <t>ĐIỀU CHỈNH LOẠI ĐẤT</t>
  </si>
  <si>
    <t>Đc tăng diện tích 0,47-0,55 ha, thay đổi loại đất lấy vào</t>
  </si>
  <si>
    <t>Gần nhà văn hóa, khu 6</t>
  </si>
  <si>
    <t>Cây Quân, khu 8</t>
  </si>
  <si>
    <t>TĂNG DIỆN TÍCH ẬP NHẬT THIẾU</t>
  </si>
  <si>
    <t>Điều chỉnh tăng diện tích 1,74-2,24</t>
  </si>
  <si>
    <t>Đồng Sào, khu 8</t>
  </si>
  <si>
    <t>SAI TÊN KHU, SỬA LOẠI ĐÂT</t>
  </si>
  <si>
    <t>Ba Trãng, khu 1</t>
  </si>
  <si>
    <t xml:space="preserve">Xã Sóc Đăng </t>
  </si>
  <si>
    <t>GIẢM DIỆN TÍCH TỪ 0,71 CÒN 0,5 ha</t>
  </si>
  <si>
    <t xml:space="preserve">Cổng trường tiểu học, khu 7 </t>
  </si>
  <si>
    <t>Dự án tái định cư cụm công nghiệp Làng nghề Sóc Đăng tại thôn 4, 5 xã Sóc Đăng</t>
  </si>
  <si>
    <t xml:space="preserve">Khu 4, 5 </t>
  </si>
  <si>
    <t>Giao đất tái định cư cho các hộ phải di chuyển chỗ ở để thực hiện dự án xây dựng khu dân cư mới phía Tây Nam thị trấn Đoan Hùng</t>
  </si>
  <si>
    <t xml:space="preserve">Chuyển mục đích sử dụng đất cho các hộ phải di chuyển chỗ ở để thực hiện dự án xây dựng khu dân cư mới phía Tây Nam thị trấn Đoan Hùng (Tái định cư tại chỗ) </t>
  </si>
  <si>
    <t>KH 2024. Giảm 0,06 còn 0,03</t>
  </si>
  <si>
    <t>Chuyển mục đích cho các hộ tự lo chỗ ở để thực hiện dự án khu dân cư mới phía Tây Nam thị trấn Đoan Hùng</t>
  </si>
  <si>
    <t>Kh2024. Tăng 0,06 thành 0,09</t>
  </si>
  <si>
    <t>Đấu giá quyền sử dụng đất xã Sóc Đăng</t>
  </si>
  <si>
    <t>Trạm kiểm lâm Đầu Lô, Khu 7</t>
  </si>
  <si>
    <t>Chuyển từ 0,42 DKV sang ONT</t>
  </si>
  <si>
    <t>thay đổi loaij đất</t>
  </si>
  <si>
    <t>BỎ SUNG</t>
  </si>
  <si>
    <t>Khu 8, giáp cụm công nghiệp</t>
  </si>
  <si>
    <t>R</t>
  </si>
  <si>
    <t>Đồng Chũ, Khu Hợp Lai</t>
  </si>
  <si>
    <t>Trước làng, Khu Tân Long</t>
  </si>
  <si>
    <t>Ngã ba đi Phúc Lai, khu Hợp Lai</t>
  </si>
  <si>
    <t>Sửa 0,39 ha thành 0,29 ha</t>
  </si>
  <si>
    <t>Đồng Năng, khu Thái Hà</t>
  </si>
  <si>
    <t>Hố Cạn, khu Phúc Khuê</t>
  </si>
  <si>
    <t>Giảm diện tích 3,1 ha xuống 1,1 ha</t>
  </si>
  <si>
    <t>S</t>
  </si>
  <si>
    <t>Ven quốc lộ 2, giáp xã Minh Tiến</t>
  </si>
  <si>
    <t>Đấu giá QSDĐ sửa diện tích</t>
  </si>
  <si>
    <t>Nhà Hoai, khu 9</t>
  </si>
  <si>
    <t>Đấu giá QSDĐ nhà Hoai</t>
  </si>
  <si>
    <t>Khu dân cư nông thôn mới khu 9 (Trong đó: ONT 0,17 ha; DGT 0,18 ha)</t>
  </si>
  <si>
    <t>Ngã tư khu 7</t>
  </si>
  <si>
    <t>Giáp nhà văn hoá khu 1</t>
  </si>
  <si>
    <t>Ô Hưởng - Ô Liệu, khu 5</t>
  </si>
  <si>
    <t>Hạ tầng khu dân cư (CMĐ đất nhà văn hoá cũ)</t>
  </si>
  <si>
    <t>Giao đất ở khu ô Hoàn Quý</t>
  </si>
  <si>
    <t xml:space="preserve"> Nhà ông Mậu (khu 1), Cổng nhà máy gạch Tuynel (khu 8)</t>
  </si>
  <si>
    <t>giảm diện tích từ 0,67 ha xuống còn 0,07 ha</t>
  </si>
  <si>
    <t>Xây dựng khu Tái định cư thuộc dự án Cụm công nghiệp Nam Đoan Hùng</t>
  </si>
  <si>
    <t>Đối diện cổng nhà máy gạch, khu 8</t>
  </si>
  <si>
    <t>Khu 8, đối diện cổng phân vi sinh</t>
  </si>
  <si>
    <t>Bài Lang, khu 7</t>
  </si>
  <si>
    <t>Bài Lang, Khu 13</t>
  </si>
  <si>
    <t>T</t>
  </si>
  <si>
    <t>Gò Tre, khu Nam Đẩu</t>
  </si>
  <si>
    <t>Đấu giá QSDĐ tại Gò Tre khu Nam Đẩu, Giảm diện tích xuống 1,20 thành 0,65 ha</t>
  </si>
  <si>
    <t>Cây Khế, khu Vân Tiến 2</t>
  </si>
  <si>
    <t>Giao đất ở mới khu Cây Khế khu Vân Tiến 2</t>
  </si>
  <si>
    <t>Gò Danh (đối diện ông Hồng), khu Tân Thành</t>
  </si>
  <si>
    <t>Giao đất ở mới khu Gò ông Danh (đối diện ông Hồng) khu Tân Thành</t>
  </si>
  <si>
    <t>Tràn Xim, khu Tân Thành</t>
  </si>
  <si>
    <t>Giao đất ở mới khu Tràn Xim khu Tân Thành</t>
  </si>
  <si>
    <t>Cây Táo (của ông Hải, khu Tân Thành</t>
  </si>
  <si>
    <t>Giao đất ở mới khu Cây Táo (của ông Hải) khu Tân Thành</t>
  </si>
  <si>
    <t>Dốc Ngà, khu Tân Thành</t>
  </si>
  <si>
    <t>Giao đất ở mới khu Dốc Ngà khu Tân Minh</t>
  </si>
  <si>
    <t>Cửa ông Ta, khu Tân Minh</t>
  </si>
  <si>
    <t>Giao đất ở mới khu Của ông Ta khu Tân Minh</t>
  </si>
  <si>
    <t>Chằm Trên, khu Liên Phú</t>
  </si>
  <si>
    <t>Giao đất ở mới khu Chằm Trên khu Nam Đẩu</t>
  </si>
  <si>
    <t>Chằm Cua, khu Nam Đẩu</t>
  </si>
  <si>
    <t>Giao đất ở mới khu Chằm Cua khu Nam Đẩu</t>
  </si>
  <si>
    <t>Hó Ngõa, khu Nam Đẩu</t>
  </si>
  <si>
    <t>Giao đất ở mới khu Hố Ngõa khu Vân Tiến 3. Diện tích tăng từ 0,06 lên 0,15 ha</t>
  </si>
  <si>
    <t>Chằm Sâu, khu Vân Tiến 3</t>
  </si>
  <si>
    <t>Giao đất ở mới khu Chằm Sâu khu Vân Tiến 3 (ven TL322). Diện tích tăng từ 0,08 lên 0,25 ha</t>
  </si>
  <si>
    <t>Gò Đàn Anh, khu Vân Tiến 3</t>
  </si>
  <si>
    <t>Giao đất ở mới khu gò Đàn Anh khu Vân Tiến 3</t>
  </si>
  <si>
    <t>Dộc bà Dần (cửa nhà bà Chinh Năm)Vân Tiến 3</t>
  </si>
  <si>
    <t>Giao đất ở mới khu dộc bà Dần (cửa nhà bà Chinh Năm) khu Vân Tiến 3</t>
  </si>
  <si>
    <t>Đồng Sòi, khu Liên Phú</t>
  </si>
  <si>
    <t>Đấu giá đất Đồng Sòi khu Liên Phú</t>
  </si>
  <si>
    <t>Cầu Chợ, khu Đông Tiến</t>
  </si>
  <si>
    <t>Đấu giá QSDĐ khu Cầu chợ khu Đông Tiến. Giảm diện tích 0,8 ha xuống 0,15 ha</t>
  </si>
  <si>
    <t>Lò Lồi, Khu Vân Tiến 3</t>
  </si>
  <si>
    <t>Khu Đồng Sòi Trên</t>
  </si>
  <si>
    <t>Ao Trại, khu Vân Tiến 1</t>
  </si>
  <si>
    <t>Chuyển mục đích sang đất ở Ao Trại</t>
  </si>
  <si>
    <t>Gò Giáo, khu Vân Tiến 1</t>
  </si>
  <si>
    <t>Chuyển mục đích sang đất ở Gò Giáo</t>
  </si>
  <si>
    <t>Mâm Sôi, khu Tân Minh</t>
  </si>
  <si>
    <t>Chuyển mục đích sang đất ở đồng Mâm Sôi</t>
  </si>
  <si>
    <t>Bổ sung mới, chưa tách ont, dgt, dck</t>
  </si>
  <si>
    <t>Gò Bom, khu Tân Thành; Gò Da, khu Nam Đẩu; cây Đăng, đồng Giếng, hố Cao, gò Cao, khu Đồng Tiến</t>
  </si>
  <si>
    <t>Giao đất tái định cư cho hộ thuộc đối tượng 3 - Khu Cây Đăng</t>
  </si>
  <si>
    <t>Khu Cây Đăng</t>
  </si>
  <si>
    <t>Giao đất tái định cư cho hộ thuộc đối tượng 3 - Khu Bên Trình</t>
  </si>
  <si>
    <t>Khu Bến Trình</t>
  </si>
  <si>
    <t>Giao đất tái định cư cho hộ thuộc đối tượng 3 - Khu Cầu Chợ</t>
  </si>
  <si>
    <t>Khu Cầu Chợ</t>
  </si>
  <si>
    <t>Giao đất tái định cư cho hộ thuộc đối tượng 3 - Khu Gò Gia</t>
  </si>
  <si>
    <t>Khu Gò Gia</t>
  </si>
  <si>
    <t>U</t>
  </si>
  <si>
    <t>Khu dân cư nông thôn tại các xã Vân Đồn, Tiêu Sơn</t>
  </si>
  <si>
    <t>Đồi Máy Húc, Khu 1</t>
  </si>
  <si>
    <t>Xưởng Sắn, Khu 11</t>
  </si>
  <si>
    <t>Cửa Đình, Khu 8</t>
  </si>
  <si>
    <t>Đồng Thó, Khu 6</t>
  </si>
  <si>
    <t>Chợ cũ, khu 8</t>
  </si>
  <si>
    <t>HTRANG CÓ 0,17 HA DCH</t>
  </si>
  <si>
    <t>Cầu Chặng, Khu 10</t>
  </si>
  <si>
    <t>Gò Chè, Khu 6</t>
  </si>
  <si>
    <t>Tràn Ao, Khu 11</t>
  </si>
  <si>
    <t>Khu 2, 3</t>
  </si>
  <si>
    <t>Giảm 2,2 còn 1,5 ha</t>
  </si>
  <si>
    <t>Rừng Vầu, khu 6</t>
  </si>
  <si>
    <t>Đấu giá khu Rừng Vầu</t>
  </si>
  <si>
    <t>Cửa Đình, khu 3</t>
  </si>
  <si>
    <t>Giao đất khu Cửa Đình</t>
  </si>
  <si>
    <t>Đầu Đồng, khu 2</t>
  </si>
  <si>
    <t>Đấu giá khu Đầu Đồng</t>
  </si>
  <si>
    <t>Mầm non khu B, Khu 2</t>
  </si>
  <si>
    <t>Đấu giá trường Mầm non khu B</t>
  </si>
  <si>
    <t>Bà Hợi, khu 3</t>
  </si>
  <si>
    <t>Đấu giá khu cửa bà Hợi</t>
  </si>
  <si>
    <t>Dộc Khế, khu 3</t>
  </si>
  <si>
    <t>Đấu giá khu Dộc Khế</t>
  </si>
  <si>
    <t>Gò ông Vơ, khu 5</t>
  </si>
  <si>
    <t>Đấu giá khu Gò Ông Vơ</t>
  </si>
  <si>
    <t>Trường mầm non khu A, khu 6</t>
  </si>
  <si>
    <t>Đấu giá trường Mầm non khu A</t>
  </si>
  <si>
    <t>Cửa bà Hợi, khu 2</t>
  </si>
  <si>
    <t>Giao đất khu cửa bà Hợi</t>
  </si>
  <si>
    <t>Rộc Mé 1, khu 3</t>
  </si>
  <si>
    <t>Giao đất khu Rộc Mé 1</t>
  </si>
  <si>
    <t>Rộc Mé 2, khu 3</t>
  </si>
  <si>
    <t>Giao đất khu Rộc Mé 2</t>
  </si>
  <si>
    <t>Rộc số 2, khu 4</t>
  </si>
  <si>
    <t>Giao đất khu Rộc số 2</t>
  </si>
  <si>
    <t>Gò Chè, khu 5</t>
  </si>
  <si>
    <t>Giao đất khu Gò Chè</t>
  </si>
  <si>
    <t>Cửa ông Vịnh, khu 5</t>
  </si>
  <si>
    <t>Giao đất Soi Cửa ông Vịnh</t>
  </si>
  <si>
    <t>Rộc Xoan, khu 5</t>
  </si>
  <si>
    <t>Giao đất khu Rộc Xoang</t>
  </si>
  <si>
    <t>Cửa ông Nha, khu 8</t>
  </si>
  <si>
    <t>Giao đất khu cửa ông Nha</t>
  </si>
  <si>
    <t>Gò Tròn, khu 8</t>
  </si>
  <si>
    <t>Giao đất khu Gò Tròn</t>
  </si>
  <si>
    <t>Rừng Lớn, khu 8</t>
  </si>
  <si>
    <t>Giao đất khu Rừng Lớn</t>
  </si>
  <si>
    <t>Xóm Chợ</t>
  </si>
  <si>
    <t>Khu dân cư khu Chợ Rợm (Trong đó: ONT 0,23 ha; DCK 0,04 ha; DGT 0,13 ha)</t>
  </si>
  <si>
    <t>Bắc Mây, Khu 3</t>
  </si>
  <si>
    <t>Giảm diện tích 2,08 xuống còn 1,08 ha</t>
  </si>
  <si>
    <t>Khu Tự Lực, khu 4</t>
  </si>
  <si>
    <t>Giao đất ở khu 4 (Khu Tự Lực), sửa diện tích 1,38 ha thành 0,83 ha</t>
  </si>
  <si>
    <t>Đá Ngang (đá vôi), Khu 5</t>
  </si>
  <si>
    <t>Tăng diện tích, loại đất lấy vào</t>
  </si>
  <si>
    <t>Đất ở nông thôn khu Đá Ngang (đá vôi). Tăng diện tích 0,77 ha thành 1,05 ha</t>
  </si>
  <si>
    <t>Đồi số, khu Rộc Mo, khu 6</t>
  </si>
  <si>
    <t>Giao đất ở khu 6 (đồi số, khu Rộc Mo). Tăng diện tích từ 0,2 ha lên 1,76 ha</t>
  </si>
  <si>
    <t>Cửa ông Tiên, khu 5</t>
  </si>
  <si>
    <t>Giao đất ở khu cửa ông Tiên. Giảm 0,46 ha xuống 0,27 ha</t>
  </si>
  <si>
    <t>Cầu sắt trên, khu 2</t>
  </si>
  <si>
    <t>Đấu giá đất ở Cầu sắt trên</t>
  </si>
  <si>
    <t>Dộc Day, khu 4</t>
  </si>
  <si>
    <t>Đồng Mánh, khu 3</t>
  </si>
  <si>
    <t>Cây Đa, khu 1</t>
  </si>
  <si>
    <t>Khu dân cư nông thôn mới (Trong đó: ONT 0,18 ha; DGT 0,22 ha)</t>
  </si>
  <si>
    <t>Đồng Ván Se, Dộc Ông Phạt, khu 7</t>
  </si>
  <si>
    <t xml:space="preserve"> Dọc Ông Dị, khu 7</t>
  </si>
  <si>
    <t>Giao đất ở cho các hộ có đất ở bị thu hồi để thực hiện dự án: Đầu tư Quy hoạch đường cao tốc Tuyên Quang - Phú Thọ kết nối với đường cao tốc Nội Bài - Lào Cai trên địa bàn huyện Đoan Hùng</t>
  </si>
  <si>
    <t>Giếng Sen, Khu 4</t>
  </si>
  <si>
    <t>Chuyển mục đích sử dụng đất rừng sản xuất sang đất ở</t>
  </si>
  <si>
    <t>Giao đất xen ghép cho các hộ phải di chuyển chỗ ở tại các xã Chân Mộng, Minh Tiến, Tiêu Sơn, Phú Lâm, Ngọc Quan và Vân Du</t>
  </si>
  <si>
    <t>Giảm diện tích của ngọc quan 0,3 ha. Bỏ yên kiện 0,32 ha. Bỏ phú lâm 0,43 ha đã xong. Bỏ sóc đăng đã xong. còN 1,75 HA</t>
  </si>
  <si>
    <t>XXIV</t>
  </si>
  <si>
    <t>Đất ở tại đô thị (đất ở 33,68 ha; TMD 1,13 ha; MNC 2,37 ha; DCK 17,91 ha; DGT 26,84 ha; DGD 0,59 ha; DTL 1,10 ha; DTS 0,11 ha; NTD 0,49 ha)</t>
  </si>
  <si>
    <t>Khu dân cư mới phía Tây Nam</t>
  </si>
  <si>
    <t>Khu 2, 9 xã Sóc Đăng; khu 7, 8 TT Đoan Hùng</t>
  </si>
  <si>
    <t>Nhà ở đô thị tại thị trấn Đoan Hùng</t>
  </si>
  <si>
    <t>Dự án Điểm dân cư đô thị Khu Hưng Tiến</t>
  </si>
  <si>
    <t>Dự án Điểm dân cư đô thị Khu Đoàn Kết</t>
  </si>
  <si>
    <t>Đất ở khu Đầu Lô</t>
  </si>
  <si>
    <t>Đất ở mới khu Gò Ông Bối</t>
  </si>
  <si>
    <t>Khu dân cư đô thị khu Tân Long</t>
  </si>
  <si>
    <t>Đất ở khu Hưng Tiến</t>
  </si>
  <si>
    <t>Đồng Chùa Trong, khu Hưng Tiến</t>
  </si>
  <si>
    <t>Gần nhà văn hóa khu Hưng Tiến</t>
  </si>
  <si>
    <t>Đất ở khu Thọ Sơn</t>
  </si>
  <si>
    <t>Dộc Vụ, khu Thọ Sơn</t>
  </si>
  <si>
    <t>Đất ở khu Phú Thịnh</t>
  </si>
  <si>
    <t>Đất ở khu Tân Tiến</t>
  </si>
  <si>
    <t>Khu Tân Tiến</t>
  </si>
  <si>
    <t>Khu dân cư đô thị khu Tân Tiến</t>
  </si>
  <si>
    <t>Khu dân cư đô thị</t>
  </si>
  <si>
    <t>Khu Phú Thịnh, khu trạm y tế TT cũ</t>
  </si>
  <si>
    <t>Dự án xây dựng khu dân cư đô thị</t>
  </si>
  <si>
    <t>Khu đường đi xã Phú Lâm (khu Hưng Tiến)</t>
  </si>
  <si>
    <t>Đấu giá QSDĐ cửa Ô Năm + Gốc Da khu Tân Long và Tân Thịnh</t>
  </si>
  <si>
    <t>Khu Tân Long, khu Tân Thịnh</t>
  </si>
  <si>
    <t>Khu dân cư Hưng Tiến</t>
  </si>
  <si>
    <t>Đất ở khu Tân Thành</t>
  </si>
  <si>
    <t>Đất ở đô thị khu Chân Quần</t>
  </si>
  <si>
    <t>Đất ở đô thị (hợp thức hóa) Tràn Ô Rô khu Đoàn Kết liền ngân hàng</t>
  </si>
  <si>
    <t>Đất ở đô thị khu Dộc Nứa Sau nhà ông Sâm</t>
  </si>
  <si>
    <t>Đấu giá khu Thọ Sơn</t>
  </si>
  <si>
    <t>Khu Thọ Sơn</t>
  </si>
  <si>
    <t>Khu dân cư mới Gốc Quế</t>
  </si>
  <si>
    <t>Đấu giá khu Trầm Bia khu Tân Long</t>
  </si>
  <si>
    <t>Đấu giá đất ở hạt 3 giao thông cũ</t>
  </si>
  <si>
    <t>Để về Ht đã có qđ cmđ chưa đấu giá</t>
  </si>
  <si>
    <t>Đất ở Khu Tân Long - Tân Thịnh</t>
  </si>
  <si>
    <t>Khu Tân Long, Tân Thịnh</t>
  </si>
  <si>
    <t>Chuyển mục đích sử dụng đất cho các hộ phải di chuyển chỗ ở để thực hiện dự án xây dựng khu dân cư mới phía Tây Nam thị trấn Đoan Hùng (Tái định cư tại chỗ)</t>
  </si>
  <si>
    <t>Khu Đầu Lô, Đoàn Kết</t>
  </si>
  <si>
    <t>Sửa quy mô loại đất chạy lại chu chuyên</t>
  </si>
  <si>
    <t>Không chạy chu chuyển vì ở DSH đã có</t>
  </si>
  <si>
    <t xml:space="preserve">Khu dân cư đô thị </t>
  </si>
  <si>
    <t>Đồi Danh, khu Thọ Sơn</t>
  </si>
  <si>
    <t>Ngã 3, đường vào đền Gò Giáp , khu Tho Sơn</t>
  </si>
  <si>
    <t>XXV</t>
  </si>
  <si>
    <t>Đất xây dựng trụ sở cơ quan, đơn vị</t>
  </si>
  <si>
    <t>Tòa án nhân dân huyện Đoan Hùng</t>
  </si>
  <si>
    <t>Viện kiểm sát huyện Đoan Hùng</t>
  </si>
  <si>
    <t>Mở rộng trụ sở UBND thị trấn Đoan Hùng</t>
  </si>
  <si>
    <t>Mở rộng Trụ sở làm việc Huyện uỷ Đoan Hùng</t>
  </si>
  <si>
    <t>Xây dựng trụ sở làm việc và kho vật chứng cho Chi cục Thi hành án huyện Đoan Hùng</t>
  </si>
  <si>
    <t>Mở rộng trụ sở UBND xã Bằng Doãn</t>
  </si>
  <si>
    <t>Xây mới trụ sở UBND xã Ca Đình</t>
  </si>
  <si>
    <t xml:space="preserve">Trụ sở UBND xã Chí Đám </t>
  </si>
  <si>
    <t>Mở rộng trụ sở UBND xã Hùng Xuyên</t>
  </si>
  <si>
    <t>Xây mới trụ sở UBND xã Minh Phú</t>
  </si>
  <si>
    <t>Mở rộng UBND xã Phúc Lai</t>
  </si>
  <si>
    <t>Xây mới chi cục quản lý thị trường</t>
  </si>
  <si>
    <t>Xây mới trụ sở UBND xã Vân Đồn</t>
  </si>
  <si>
    <t>BỔ SUNG do sát nhập xã</t>
  </si>
  <si>
    <t>Trụ sở UBND xã Vụ Quang</t>
  </si>
  <si>
    <t>HNK 0,56+LUC 0,3 HA</t>
  </si>
  <si>
    <t>XXVI</t>
  </si>
  <si>
    <t>Mở rộng đình Cả</t>
  </si>
  <si>
    <t>Mở rộng đình khu Thượng Khê</t>
  </si>
  <si>
    <t>Gò Đình - Khu Thượng Khê</t>
  </si>
  <si>
    <t>Mở rộng đình Đông Dương</t>
  </si>
  <si>
    <t>Mở rộng đình Phú Yên</t>
  </si>
  <si>
    <t>Đình Lương Bằng</t>
  </si>
  <si>
    <t>Mở rộng đình Ngọc Tân (khu tổ chức lễ hội)</t>
  </si>
  <si>
    <t>Thay đổi loại đât lấy vào</t>
  </si>
  <si>
    <t>Giảm diện tích từ 2 ha xuống 0,50 ha</t>
  </si>
  <si>
    <t>LUC, DSH 0,05 ha</t>
  </si>
  <si>
    <t>Phòng văn hóa đề xuất 0,22 ha</t>
  </si>
  <si>
    <t>Sửa diện tích loại đất lấy vào</t>
  </si>
  <si>
    <t>Xây dựng khuôn viên Đình Thượng</t>
  </si>
  <si>
    <t>Phục dựng Đình Kè</t>
  </si>
  <si>
    <t>Khu 3 (gần đồng Đình)</t>
  </si>
  <si>
    <t xml:space="preserve">Đình Cốc </t>
  </si>
  <si>
    <t>Sửa 0,1 ha thành 0,2 ha</t>
  </si>
  <si>
    <t>Mở rộng đình Châm Nhị</t>
  </si>
  <si>
    <t>HT 0,33 ha</t>
  </si>
  <si>
    <t>Mở rộng đình Mản</t>
  </si>
  <si>
    <t>XXVII</t>
  </si>
  <si>
    <t>Cải tạo nâng cấp hồ Gò núi Chùa, Cây Rùa</t>
  </si>
  <si>
    <t>Khu Liên Hợp, Liên Phương, Tân Thành</t>
  </si>
  <si>
    <t>Đập và hồ (Gềnh Đồng, Cây Da, Hố Bom)</t>
  </si>
  <si>
    <t>Cải tạo nâng cấp hồ Ba Trãng</t>
  </si>
  <si>
    <t>XXVIII</t>
  </si>
  <si>
    <t>Chuyển đất rừng phòng hộ sang rừng sản xuất (theo QĐ số 3813/QĐ-UBND ngày 28/12/2018)</t>
  </si>
  <si>
    <t>Xã Hợp Nhất, Phú Lâm, Yên Kiện, Vụ Quang</t>
  </si>
  <si>
    <t>XXIX</t>
  </si>
  <si>
    <t>Dự án Chuyển đổi đất rừng sản xuất sang đất trồng cây lâu năm (thu hồi 309.31 ha của Cty Lâm Nghiệp Đoan Hùng)</t>
  </si>
  <si>
    <t>Xã Bằng Doãn, Bằng Luân, Ca Đình, Minh Lương, Ngọc Quan, Phú Lâm, Tây Cốc</t>
  </si>
  <si>
    <t>Hỏi lại phòng TNMT QH chung là NKH</t>
  </si>
  <si>
    <t>Liên kết sản xuất, xây dựng khu giao dịch tiêu thụ tập trung bưởi đặc sản Đoan Hùng, huyện Đoan Hùng</t>
  </si>
  <si>
    <t>Chuyển mục đích sang đất trồng cây lâu năm</t>
  </si>
  <si>
    <t>Các Khu</t>
  </si>
  <si>
    <t>XXX</t>
  </si>
  <si>
    <t>Đất nuôi trồng thủy sản</t>
  </si>
  <si>
    <t>Chuyển mục đích sang đất nuôi trồng thủy sản</t>
  </si>
  <si>
    <t>XXXI</t>
  </si>
  <si>
    <t>Trang trại chăn nuôi của HGĐ Bùi Thị Hiền</t>
  </si>
  <si>
    <t>Trang trại chăn nuôi của HGĐ Trịnh Hồng Quý</t>
  </si>
  <si>
    <t>Trang trại chăn nuôi của HGĐ Mai Thế Văn</t>
  </si>
  <si>
    <t>Trang trại chăn nuôi của HGĐ Nguyễn Văn Cương</t>
  </si>
  <si>
    <t>Khu 3 (Đá Máng)</t>
  </si>
  <si>
    <t>Trang trại chăn nuôi tập trung</t>
  </si>
  <si>
    <t>Khu chăn nuôi tập trung</t>
  </si>
  <si>
    <t>Khu chăn nuôi tập trung Đặng Tùng Lâm</t>
  </si>
  <si>
    <t>Khu Phượng Hùng 1</t>
  </si>
  <si>
    <t>Khu trang trại</t>
  </si>
  <si>
    <t>Điều chỉnh giảm diện tích 3,84-2,11 ha</t>
  </si>
  <si>
    <t>Trang trại chăn nuôi khu Gò Tre</t>
  </si>
  <si>
    <t>Trang trại chăn nuôi khu Gò Kim La</t>
  </si>
  <si>
    <t>Trang trại chăn nuôi khu Đồng Táng Cao</t>
  </si>
  <si>
    <t>Khu Hữu Đô 1</t>
  </si>
  <si>
    <t>Trang trại chăn nuôi khu Ao Lươn</t>
  </si>
  <si>
    <t>Tiểu thủ công nghiệp Hữu Đô 1 chuyển xuống NKH</t>
  </si>
  <si>
    <t>Trang trại chăn nuôi</t>
  </si>
  <si>
    <t>Trang trại nuôi gà</t>
  </si>
  <si>
    <t>Chuyển Tiếp</t>
  </si>
  <si>
    <t>Khu trồng rau sạch và nuôi trồng thủy sản</t>
  </si>
  <si>
    <t>Trang trại Hoàng Quang Minh</t>
  </si>
  <si>
    <t xml:space="preserve">Khu chăn nuôi tập trung </t>
  </si>
  <si>
    <t>Khu 3 (gần QH mới nhà văn hóa khu 3)</t>
  </si>
  <si>
    <t>Trang trại Vũ Lê Hải</t>
  </si>
  <si>
    <t>kh 24</t>
  </si>
  <si>
    <t>Trang trại Hùng Vương</t>
  </si>
  <si>
    <t>Sửa trang trại chăn nuôi thành nông nghiệp khác</t>
  </si>
  <si>
    <t>Hố Lim, khu Thái Hòa</t>
  </si>
  <si>
    <t>NTS 0,2, BHK 0,8, RSX 3,0</t>
  </si>
  <si>
    <t>thay đổi loại đất lấy vào</t>
  </si>
  <si>
    <t>Gò Dui, khu 9</t>
  </si>
  <si>
    <t>Bỏ  khu Gò Bao Lam khu 1 10,5 ha</t>
  </si>
  <si>
    <t>Gò Rừng Giang, khu 7</t>
  </si>
  <si>
    <t>Khu Khán Đào, Khu 1</t>
  </si>
  <si>
    <t xml:space="preserve"> Khu rừng Lim, khu 8</t>
  </si>
  <si>
    <t>Khu Lý Đại, Khu 1</t>
  </si>
  <si>
    <t>Gò Cây Mít, Khu 8</t>
  </si>
  <si>
    <t>Tổng</t>
  </si>
  <si>
    <t>ĐÁNH GIÁ DANH MỤC CÔNG TRÌNH, DỰ ÁN TRONG QUY HOẠCH SỬ DỤNG ĐẤT GIAI ĐOẠN 2021 - 2030</t>
  </si>
  <si>
    <t>DT quy hoạch (ha)</t>
  </si>
  <si>
    <t>DT hiện trạng (ha)</t>
  </si>
  <si>
    <t>Vị trí trên bản đồ địa chính (tờ bản đồ số, thửa số)</t>
  </si>
  <si>
    <t>Đơn vị đăng ký nhu cầu</t>
  </si>
  <si>
    <t>Năm
thực
hiện</t>
  </si>
  <si>
    <t>Đánh giá</t>
  </si>
  <si>
    <t>Sử dụng vào loại đất</t>
  </si>
  <si>
    <t>Xã/thị trấn</t>
  </si>
  <si>
    <t>Vị trí</t>
  </si>
  <si>
    <t>đã TH</t>
  </si>
  <si>
    <t>hủy bỏ</t>
  </si>
  <si>
    <t>chưa TH-Ct</t>
  </si>
  <si>
    <t>Đang TH-CT</t>
  </si>
  <si>
    <t>Sở chỉ huy Ban chỉ huy quân sự huyện</t>
  </si>
  <si>
    <t>Ban CHQS huyện</t>
  </si>
  <si>
    <t>Đang thực hiện</t>
  </si>
  <si>
    <t>Đang mở rộng. Chuyển tiếp ĐCQH 2021-2030. Điều chỉnh tên thành Mở rộng doanh trại Ban CHQS huyện Đoan Hùng</t>
  </si>
  <si>
    <t>Trận địa phòng không số 1</t>
  </si>
  <si>
    <t>2022 - 2030</t>
  </si>
  <si>
    <t>Đã xây dựng xong, chưa CMĐ. Chuyển tiếp ĐCQH 2021-2030. Điều chỉnh tên thành Xây dựng trận địa súng máy phòng không 12,7mm; điều chỉnh tăng diện tích lên 0,1 ha</t>
  </si>
  <si>
    <t>Núi Đẫu, khu 15</t>
  </si>
  <si>
    <t>Chưa thực hiện</t>
  </si>
  <si>
    <t>Chuyển tiếp ĐCQH 2021-2030</t>
  </si>
  <si>
    <t>Đồi Hố Vông (Điểm cao 118)</t>
  </si>
  <si>
    <t>Chuyển tiếp ĐCQH 2021 - 2030</t>
  </si>
  <si>
    <t>Núi Nghè (Điểm cao 211)</t>
  </si>
  <si>
    <t>Chuyển tiếp ĐCQH 2021-2030. Điều chỉnh tên thành Trận địa phòng không số 6</t>
  </si>
  <si>
    <t>Đã GPMB, chưa xây dựng. Chuyển tiếp ĐCQH 2021-2030</t>
  </si>
  <si>
    <t>Công an huyện</t>
  </si>
  <si>
    <t>Hủy bỏ do chuyển vị trí</t>
  </si>
  <si>
    <t>Xây dựng trụ sở công an các xã, thị trấn</t>
  </si>
  <si>
    <t>Quy hoạch trụ sở công an thị trấn Đoan Hùng</t>
  </si>
  <si>
    <t xml:space="preserve">Hủy bỏ, chuyển về TSC Sóc Đăng  khi sáp nhập </t>
  </si>
  <si>
    <t>Quy hoạch trụ sở công an xã Bằng Doãn</t>
  </si>
  <si>
    <t>Quy hoạch trụ sở công an xã Bằng Luân</t>
  </si>
  <si>
    <t>Quy hoạch trụ sở công an xã Ca Đình</t>
  </si>
  <si>
    <t>Chuyển tiếp ĐCQH 2021-2030 (Giảm diện tích còn 0,63 ha)</t>
  </si>
  <si>
    <t>Quy hoạch trụ sở công an xã Chân Mộng</t>
  </si>
  <si>
    <t>Khu 3 (gần bưu điện)</t>
  </si>
  <si>
    <t>Quy hoạch trụ sở công an xã Chí Đám</t>
  </si>
  <si>
    <t>Quy hoạch trụ sở công an xã Hợp Nhất</t>
  </si>
  <si>
    <t>Huỷ bỏ do thay đổi vị trí</t>
  </si>
  <si>
    <t>Quy hoạch trụ sở công an xã Hùng Long</t>
  </si>
  <si>
    <t>Khu Đồng Ao</t>
  </si>
  <si>
    <t>Quy hoạch trụ sở công an xã Hùng Xuyên</t>
  </si>
  <si>
    <t>Chuyển tiếp ĐCQH 2021-2030 (điều chỉnh diện tích 0,15 ha)</t>
  </si>
  <si>
    <t>Quy hoạch trụ sở công an xã Minh Lương</t>
  </si>
  <si>
    <t>Quy hoạch trụ sở công an xã Minh Phú</t>
  </si>
  <si>
    <t>Hủy bỏ (chuyển vị trí mới)</t>
  </si>
  <si>
    <t>Quy hoạch trụ sở công an xã Minh Tiến</t>
  </si>
  <si>
    <t>Hủy bỏ do chuyển vị trí mới</t>
  </si>
  <si>
    <t>Quy hoạch trụ sở công an xã Ngọc Quan</t>
  </si>
  <si>
    <t>Quy hoạch trụ sở công an xã Phú Lâm</t>
  </si>
  <si>
    <t>Quy hoạch trụ sở công an xã Phúc Lai</t>
  </si>
  <si>
    <t>đăng ký mới</t>
  </si>
  <si>
    <t>Quy hoạch trụ sở công an xã Sóc Đăng</t>
  </si>
  <si>
    <t>Hủy bỏ do điều chỉnh vị trí</t>
  </si>
  <si>
    <t>Xây dựng trụ sở công an xã Tây Cốc</t>
  </si>
  <si>
    <t>Quy hoạch trụ sở công an xã Tiêu Sơn</t>
  </si>
  <si>
    <t>Huỷ bỏ (Chuyển vị trí, đăng ký mới)</t>
  </si>
  <si>
    <t>Khu 1 vị trí mới</t>
  </si>
  <si>
    <t>Quy hoạch trụ sở công an xã Vân Du</t>
  </si>
  <si>
    <t>Quy hoạch trụ sở công an xã Vân Đồn</t>
  </si>
  <si>
    <t>Xây dựng trụ sở công an xã Vụ Quang</t>
  </si>
  <si>
    <t>Quy hoạch trụ sở công an xã Yên Kiện</t>
  </si>
  <si>
    <t>Khu công nghiệp</t>
  </si>
  <si>
    <t>Khu công nghiệp Đoan Hùng</t>
  </si>
  <si>
    <t>Tiêu Sơn, Yên Kiện, Ngọc Quan</t>
  </si>
  <si>
    <t>2021 - 2030</t>
  </si>
  <si>
    <t>Hủy bỏ</t>
  </si>
  <si>
    <t>Cụm công nghiệp Ngọc Quan</t>
  </si>
  <si>
    <t xml:space="preserve">Đang thực hiện </t>
  </si>
  <si>
    <t>Đang GPMB. Chuyển tiếp ĐCQH 2021-2030</t>
  </si>
  <si>
    <t xml:space="preserve"> Đang GPMB. Chuyển tiếp ĐCQH 2021-2030</t>
  </si>
  <si>
    <t>Đang giải phóng mặt bằng.</t>
  </si>
  <si>
    <t xml:space="preserve"> Chuyển tiếp ĐCQH 2021-2030. Điều chỉnh giảm diện tích xuống 65 ha</t>
  </si>
  <si>
    <t>Cụm công nghiệp Tiêu Sơn, Vân Đồn</t>
  </si>
  <si>
    <t>Khu 2, xã Vân Đồn; khu 8, xã Tiêu Sơn</t>
  </si>
  <si>
    <t>Chuyển tiếp ĐCQH 2021-2030. Điều chỉnh tên thành Cụm công nghiệp Nam Đoan Hùng</t>
  </si>
  <si>
    <t>Chuyển tiếp ĐCQH 2021-2030 (đổi tên thành cụm CN Nam Đoan Hùng)</t>
  </si>
  <si>
    <t>Khu 2 (vân đồn), khu 8 (tiêu sơn)</t>
  </si>
  <si>
    <t xml:space="preserve"> Chuyển tiếp ĐCQH 2021-2030</t>
  </si>
  <si>
    <t>Trung tâm giới thiệu, kinh doanh sản phẩm vật liệu xây dựng và đồ nội thất</t>
  </si>
  <si>
    <t>Công ty TNHH thương mại Ngọc Ninh</t>
  </si>
  <si>
    <t>Đã thực hiện</t>
  </si>
  <si>
    <t>Nhà trưng bày sản phẩm nông sản</t>
  </si>
  <si>
    <t>Ngọc Chúc 1</t>
  </si>
  <si>
    <t>Hủy bỏ do trùng dự án Khu nhà ở Chí Đám</t>
  </si>
  <si>
    <t>Nhà trưng bày sản phẩm rau, củ, quả sạch</t>
  </si>
  <si>
    <t>Ngân hàng NN&amp;PTNT chi nhánh Phú Thọ 2</t>
  </si>
  <si>
    <t>UBND Chân Mộng</t>
  </si>
  <si>
    <t>Hợp tác xã dịch vụ nông nghiệp</t>
  </si>
  <si>
    <t>Khu trung tâm dịch vụ</t>
  </si>
  <si>
    <t>UBND xã Tây Cốc</t>
  </si>
  <si>
    <t>Chuyển tiếp ĐCQH 2021-2030. Điều chỉnh giảm diện tích xuống 4,24 ha</t>
  </si>
  <si>
    <t>Thương mại dịch vụ</t>
  </si>
  <si>
    <t>Cửa hàng xăng dầu</t>
  </si>
  <si>
    <t>Xã Ca Đình, Hợp Nhất, Minh Lương, Minh Phú, Phú Lâm</t>
  </si>
  <si>
    <t>Huỷ bỏ xã Minh Phú, Phú Lâm do không có nhu cầu. Chuyển tiếp ĐCQH 2021-2030</t>
  </si>
  <si>
    <t>Hủy bỏ (không còn nhu cầu)</t>
  </si>
  <si>
    <t>Hủy do không khả thi</t>
  </si>
  <si>
    <t>Xã Chí Đám, Hùng Long, Hùng Xuyên, Phú Lâm, Vụ Quang</t>
  </si>
  <si>
    <t>Chuyển tiếp ĐCQH 2021 - 2030 xã Hùng Long, Vụ Quang. Hủy bỏ xã Chí Đám, Hùng Xuyên, Phú Lâm</t>
  </si>
  <si>
    <t>Chuyển tiếp ĐCQH 2021-2030 2,3 ha (Đã thực hiện 0,61 ha)</t>
  </si>
  <si>
    <t>Đang thực hiện 1,87 ha, Chuyển tiếp ĐCQH 2021-2030 2,48 ha, hủy bỏ 1,51 ha</t>
  </si>
  <si>
    <t>Huỷ bỏ do chuyển sang mục đích sản xuất kinh doanh</t>
  </si>
  <si>
    <t>Xã Hùng Long, Phú Lâm, Vụ Quang</t>
  </si>
  <si>
    <t>Chuyển tiếp ĐCQH 2021-2030 xã Hùng Long. Hủy bỏ xã Phú Lâm, Vụ Quang</t>
  </si>
  <si>
    <t>Huỷ bỏ do chuyển sang giao đất ở</t>
  </si>
  <si>
    <t>Khu thương mại, dịch vụ</t>
  </si>
  <si>
    <t>Đã thực hiện (0,60 ha), còn lại hủy bỏ</t>
  </si>
  <si>
    <t>Khu 11, khu 6</t>
  </si>
  <si>
    <t>Huỷ bỏ</t>
  </si>
  <si>
    <t>Khu 1, Ngã 3 đường rẽ Đồng Xuân, Khu Nương Ỷ, Khu 3, Cầu Quyên dưới</t>
  </si>
  <si>
    <t>Đã thực hiện (0,87 ha). Chuyển tiếp ĐCQH 2021-2030 (2,49 ha)</t>
  </si>
  <si>
    <t>Đám 1</t>
  </si>
  <si>
    <t>UBND xã Chí Đám</t>
  </si>
  <si>
    <t>Chuyển tiếp ĐCQH 2021-2030. Điều chỉnh giảm diện tích xuống 0,56 ha</t>
  </si>
  <si>
    <t xml:space="preserve">Chuyển tiếp ĐCQH 2021-2030. Điều chỉnh giảm diện tích xuống 2,5 ha, hủy bỏ 32,93 ha </t>
  </si>
  <si>
    <t>Đồng Cả, Khu 7</t>
  </si>
  <si>
    <t>UBND xã Minh Lương</t>
  </si>
  <si>
    <t>Chuyển tiếp ĐCQH 2021-2030. Điều chỉnh giảm diện tích xuống 0,40 ha. Hủy bỏ (1,00 ha)</t>
  </si>
  <si>
    <t>Chuyển tiếp ĐCQH 2021-2030, điều chỉnh tăng diện tích 0,45 ha</t>
  </si>
  <si>
    <t>Hủy bỏ, không có vị trí trên bản đồ</t>
  </si>
  <si>
    <t>Chi cục quản lý đường bộ I.3 thuộc Cục quản lý đường bộ I; khu 10</t>
  </si>
  <si>
    <t>Đã thực hiện Chi cục quản lý đường bộ I.3 thuộc Cục quản lý đường bộ I (0,05 ha). Chuyển tiếp ĐCQH 2021-2030 khu 10 (0,08 ha). Hủy bỏ 1,82 ha</t>
  </si>
  <si>
    <t>Khu5, Khu 6, Khu 8, Khu 1, đường vào Khu 6</t>
  </si>
  <si>
    <t>Chuyển tiếp ĐCQH 2021-2030. Điều chỉnh giảm diện tích xuống 3,17 ha</t>
  </si>
  <si>
    <t>Đồng nhà Mưa, đồng nhà Xam, khu 6</t>
  </si>
  <si>
    <t>Chuyển tiếp ĐCQH 2021-2030 Đông nhà Mưa (1,00 ha). Huỷ bỏ Đồng nhà Xam 0,74 ha</t>
  </si>
  <si>
    <t>Bềnh Hố Nứa, khu Vân Tiến 3; Soi Hủy, khu Vân Tiến 4, Thôn 2</t>
  </si>
  <si>
    <t>Đã thực hiện 0,18 ha. Hủy bỏ khu Soi Hủy, khu Vân Tiến 4, Thôn 2 (0,52 ha); khu Bềnh Hố Nứa (1,00 ha). Chuyển tiếp ĐCQH 2021-2030 (3,31 ha)</t>
  </si>
  <si>
    <t xml:space="preserve"> Xứ Đá Nung, Gò Mít, Khu 6</t>
  </si>
  <si>
    <t>Huỷ bỏ do chuyển vị trí</t>
  </si>
  <si>
    <t>Chuyển tiếp ĐCQH 2021-2030. Điều chỉnh giảm diện tích xuống 0,53 ha. Hủy bỏ (0,85 ha)</t>
  </si>
  <si>
    <t>Hệ thống cấp nước huyện Đoan Hùng</t>
  </si>
  <si>
    <t>Các xã Phú Lâm, Tây Cốc, Vân Du, Ngọc Quan, Sóc Đăng</t>
  </si>
  <si>
    <t>biểu đánh giá ko thấy</t>
  </si>
  <si>
    <t>Vân Du</t>
  </si>
  <si>
    <t>Huỷ bỏ do không có vị trí</t>
  </si>
  <si>
    <t xml:space="preserve">Trạm cấp nước sạch </t>
  </si>
  <si>
    <t>Xã Vụ Quang, Ca Đình, Phúc Lai</t>
  </si>
  <si>
    <t>Huỷ bỏ do không khả thi thực hiện</t>
  </si>
  <si>
    <t xml:space="preserve">Huỷ bỏ </t>
  </si>
  <si>
    <t>Trạm xử lý nước thải</t>
  </si>
  <si>
    <t>Cơ sở sản xuất, kinh doanh</t>
  </si>
  <si>
    <t>Chuyển tiếp ĐCQH 2021-2030. Điều chỉnh giảm diện tích xuống 0,67 ha. Hủy bỏ 15,06 ha</t>
  </si>
  <si>
    <t>Khu 2 - đồng Lũng</t>
  </si>
  <si>
    <t>xem lại diện tích so với biểu 4</t>
  </si>
  <si>
    <t>Khu 3, Khu 1, Khu 4, Khu 5</t>
  </si>
  <si>
    <t>Chuyển tiếp ĐCQH 2021-2030. Điều chỉnh giảm diện tích xuống 0,76 ha. Hủy bỏ (7,59 ha)</t>
  </si>
  <si>
    <t>Khu Đồng Mo, Khu 2</t>
  </si>
  <si>
    <t>Khu Cây Chanh 1+2, Khu Cống ông Hồ (Đầm Đò), Đồi Hang Khay, Phượng Hùng 1, khu Mẫu tư, Phượng Hùng 1</t>
  </si>
  <si>
    <t>Đang thực hiện (đã giao năm 2024 khu Xuân Áng 1 diện tích 0,46 ha)</t>
  </si>
  <si>
    <t>Chuyển tiếp ĐCQH 2021-2030 (khu Xuân Áng 1,00 ha). Huỷ bỏ do không khả thi Khu Cống ông Hồ (Đầm Đò), Đồi Hang Khay, Phượng Hùng 1, khu Mẫu tư, Phượng Hùng 1</t>
  </si>
  <si>
    <t>Cống ông Hồ (Đầm Đò), khu Lã Hoàng 2</t>
  </si>
  <si>
    <t>Hủy bỏ do không khả thi</t>
  </si>
  <si>
    <t>Đã giao 0,46 ha. Chuyển tiếp Chuyển tiếp ĐCQH 2021-2030 (0,54 ha)</t>
  </si>
  <si>
    <t>Đồi Hang Khay, khu Ngọc Chúc 2</t>
  </si>
  <si>
    <t>Mẫu Tư, khu Phượng Hùng 1</t>
  </si>
  <si>
    <t>Thôn 8, Hữu Đô 1</t>
  </si>
  <si>
    <t>Chuyển tiếp ĐCQH 2021-2030. Điều chỉnh giảm diện tích xuống 0,70 ha, còn lại hủy bỏ</t>
  </si>
  <si>
    <t xml:space="preserve"> Đồng Cây Tiêm - Khu Đông Tiệm, Gốc Gạo - Khu Hùng Quan</t>
  </si>
  <si>
    <t xml:space="preserve">Chuyển tiếp ĐCQH 2021-2030  Đồng Cây Tiêm - Khu Đông Tiệm (2,15 ha). Huỷ bỏ 2,27 ha </t>
  </si>
  <si>
    <t>Chuyển tiếp ĐCQH 2021 - 2030. Điều chỉnh giảm diện tích xuống 3 ha, còn lại hủy bỏ</t>
  </si>
  <si>
    <t>Khu Gò Núi Chùa, Khu 4</t>
  </si>
  <si>
    <t>Chuyển tiếp ĐCQH 2021-2030. Điều chỉnh giảm diện tích xuống 4,68 ha</t>
  </si>
  <si>
    <t>Chuyển tiếp ĐCQH 2021-2030. Điều chỉnh tăng diện tích lên 1,83 ha</t>
  </si>
  <si>
    <t>Gò ông Quang, Khu 1, Khu 8</t>
  </si>
  <si>
    <t>Đang san gạt mặt bằng. Chuyển tiếp ĐCQH 2021-2030. Điều chỉnh giảm diện tích xuống 1,15 ha, còn lại hủy bỏ</t>
  </si>
  <si>
    <t>Khu Trầm Hà, Khu Phúc Thịnh, Khu Phúc Khuê, khu Phúc Đình</t>
  </si>
  <si>
    <t>Chuyển tiếp ĐCQH 2021-2030. Điều chỉnh giảm diện tích xuống 5,85 ha</t>
  </si>
  <si>
    <t>Chuyển tiếp ĐCQH 2021-2030 (8,00 ha)</t>
  </si>
  <si>
    <t>Chuyển tiếp ĐCQH 2021-2030. Điều chỉnh giảm diện tích xuống 2,95 ha</t>
  </si>
  <si>
    <t>Vân Tiến 3, khu Liên Phú</t>
  </si>
  <si>
    <t>Huỷ bỏ do không khả thi thực hiện 0,67 ha. Chuyển tiếp ĐCQH 2021-2030 (6,19 ha). Còn lại hủy bỏ</t>
  </si>
  <si>
    <t>Hủy bỏ (do không khả thi thực hiện)</t>
  </si>
  <si>
    <t>Mở rộng nhà máy gỗ Thanh Bình</t>
  </si>
  <si>
    <t>Khu 11, Khu 6, Khu 2, Gò Phai Ghềnh khu 2, Khu 3, Khu Cầu Chặn, Khu 10</t>
  </si>
  <si>
    <t>Chuyển tiếp ĐCQH 2021-2030. Điều chỉnh giảm diện tích xuống 4,75 ha. Còn lại hủy bỏ</t>
  </si>
  <si>
    <t>UBND xã Vụ Quang</t>
  </si>
  <si>
    <t>Đồi Vị Đồng, Khu 4, Khu 10</t>
  </si>
  <si>
    <t>Đông Khê cũ, Nghinh Xuyên cũ</t>
  </si>
  <si>
    <t>Mỏ đá</t>
  </si>
  <si>
    <t>Xã Chí Dám</t>
  </si>
  <si>
    <t>Đất làm vật liệu xây dựng, vận tải</t>
  </si>
  <si>
    <t>Gò Các Cụ, Khu 8</t>
  </si>
  <si>
    <t>Đầu tư khai thác và chế biến đá làm vật liệu xây dựng thông thường</t>
  </si>
  <si>
    <t>Mỏ đất san nền</t>
  </si>
  <si>
    <t>Đường cao tốc Tuyên Quang - Phú Thọ kết nối với cao tốc nội bài Lào Cai</t>
  </si>
  <si>
    <t>Xã Chân Mộng, Xã Minh Tiến, Xã Tiêu Sơn, Xã Yên Kiện, Xã Sóc Đăng, Xã Ngọc Quan, Xã Phú Lâm, Xã Vân Du</t>
  </si>
  <si>
    <t>Đã THĐ xong. Chuyển tiếp ĐCQH 2021-2030</t>
  </si>
  <si>
    <t>Đã thu hồi chưa CMĐSDĐ. Chuyển tiếp ĐCQH 2021-2030</t>
  </si>
  <si>
    <t>Văn Phú, An Thái</t>
  </si>
  <si>
    <t>Đã thu hồi sổ chỉnh lý biến động, đã xong và trả sổ cho dân</t>
  </si>
  <si>
    <t>Đã thu hồi chỉnh lý biến động GCN</t>
  </si>
  <si>
    <t>Đang xây dựng, chưa chuyển mục đích</t>
  </si>
  <si>
    <t>Tuyến đường từ cầu Kim Xuyên đến QL 2 và đường HCM (bao gồm cả đập Khán Đào)</t>
  </si>
  <si>
    <t>Xã Tiêu Sơn, Vân Đồn, Vụ Quang, xã Minh Tiến</t>
  </si>
  <si>
    <t>UBND huyện Đoan Hùng</t>
  </si>
  <si>
    <t>Đã xây dựng xong, chưa CMĐSDĐ. Chuyển tiếp ĐCQH 2021-2030</t>
  </si>
  <si>
    <t>Đã thu hồi, GPMB. Chuyển tiếp ĐCQH 2021-2030</t>
  </si>
  <si>
    <t>Đã GPMB. Chuyển tiếp ĐCQH 2021-2030</t>
  </si>
  <si>
    <t>Mở mới đường Âu Cơ</t>
  </si>
  <si>
    <t>Xã Minh Phú, Yên Kiện, Vân Đồn, Chân Mộng</t>
  </si>
  <si>
    <t>Đang GPMB. Chuyển tiếp ĐCQH 2021-2030. Điều chỉnh tên thành ĐT.318C (Dự án cải tạo, gia cố và nâng cấp đường Âu Cơ)</t>
  </si>
  <si>
    <t>Không thực hiện trên địa bàn xã Yên Kiện</t>
  </si>
  <si>
    <t>Đang làm đường đổ nhựa</t>
  </si>
  <si>
    <t>Phòng TCKH</t>
  </si>
  <si>
    <t>Đã Thực hiện</t>
  </si>
  <si>
    <t>Khu 1, 2, 3</t>
  </si>
  <si>
    <t>Đã xây dựng xong, chưa CMĐ. Chuyển tiếp ĐCQH 2021-2030</t>
  </si>
  <si>
    <t>Nâng cấp, mở rộng đường tỉnh 323</t>
  </si>
  <si>
    <t>Nâng cấp, mở rộng đường tỉnh 318B, huyện Đoan Hùng</t>
  </si>
  <si>
    <t>Xã Minh Phú, xã Chân Mộng</t>
  </si>
  <si>
    <t>Khu 5, 2, 6, 7</t>
  </si>
  <si>
    <t>Mở mới tuyến đường từ TL 322 đi Minh Tiến</t>
  </si>
  <si>
    <t>Xã Minh Tiến, Tiêu Sơn, Yên Kiện, Ngọc Quan, Phú Lâm, Hùng Xuyên</t>
  </si>
  <si>
    <t xml:space="preserve">Cải tạo, nâng cấp đường huyện ĐH.52 (Từ UBND xã Yên Kiện đi đập Đá Đen) </t>
  </si>
  <si>
    <t>Xã Chí Đám, thị trấn Đoan Hùng</t>
  </si>
  <si>
    <t>Đã giải phóng mặt bằng, chưa CMĐSDĐ. Chuyển tiếp ĐCQH 2021-2030</t>
  </si>
  <si>
    <t>Đường giao thông vào khu dân cư trung tâm xã Chí Đám - Dự án: Phát triển các điểm dân cư tập trung trên địa bàn xã trong quá trình đô thị hóa nông thôn tại xã Chí Đám</t>
  </si>
  <si>
    <t>Xã Ngọc Quan, Sóc Đăng, Phú Lâm, thị trấn Đoan Hùng</t>
  </si>
  <si>
    <t>Chuyển tiếp ĐCQH 2021-2031</t>
  </si>
  <si>
    <t>khu 1</t>
  </si>
  <si>
    <t>LUK 0,2; HNK 0,06; CLN 0,02</t>
  </si>
  <si>
    <t>Mở rộng mương Đồng Hoa Cam</t>
  </si>
  <si>
    <t>Mở rộng phai dưới Đình Mản</t>
  </si>
  <si>
    <t>Công ty CP cấp nước Phú Thọ</t>
  </si>
  <si>
    <t>Đang làm thủ tục CMĐ. Chuyển tiếp ĐCQH 2021-2030</t>
  </si>
  <si>
    <t>UBND xã</t>
  </si>
  <si>
    <t>Đập Bãi Sỉ</t>
  </si>
  <si>
    <t>Hủy bỏ không khả thi thực hiện</t>
  </si>
  <si>
    <t>Không khả thi thực hiện</t>
  </si>
  <si>
    <t>Đập Nhà Phen</t>
  </si>
  <si>
    <t>Đập là ở phù ninh</t>
  </si>
  <si>
    <t>Đập Máng Đào</t>
  </si>
  <si>
    <t>không thấy ở biểu 4</t>
  </si>
  <si>
    <t>Vân Tiến 3</t>
  </si>
  <si>
    <t>Dự án cải tạo, nâng cấp các hệ thống kênh mương, hồ đập trên địa bàn huyện Đoan Hùng</t>
  </si>
  <si>
    <t>Mở rông nâng cấp mương từ Trường Thu - Hố Bom</t>
  </si>
  <si>
    <t>Mở rông nâng cấp mương từ Đồng Cửa Hồ - QL2</t>
  </si>
  <si>
    <t>Mở rông nâng cấp mương từ Tràn Núi Đay - QL2</t>
  </si>
  <si>
    <t>Mở rông nâng cấp mương từ QL2 - Cầu Hiểu</t>
  </si>
  <si>
    <t>Mở rông nâng cấp mương từ Dốc Cọ - Bàn Cờ</t>
  </si>
  <si>
    <t>Mở rông nâng cấp mương từ QL2 - Cầu Ông Định</t>
  </si>
  <si>
    <t>Quy hoạch 1 tuyến từ đập Hố Xanh đi cửa Ông Trung</t>
  </si>
  <si>
    <t>Nâng cấp, mở rộng tuyến Ruộng Hủm - Cây Sau</t>
  </si>
  <si>
    <t>Nâng cấp, mở rộng tuyến Trái Ấu</t>
  </si>
  <si>
    <t xml:space="preserve">Nâng cấp, mở rộng tuyến cống Cầu Ván- Trằm Trương </t>
  </si>
  <si>
    <t>Nâng cấp, mở rộng tuyến mương Cầu Da</t>
  </si>
  <si>
    <t>Nâng cấp, mở rộng tuyến bềnh Quân Đoàn</t>
  </si>
  <si>
    <t xml:space="preserve">Nâng cấp, mở rộng tuyến Hố Phảng </t>
  </si>
  <si>
    <t>Nâng cấp, mở rộng tuyến ông Mạnh- soi Ngã Hai</t>
  </si>
  <si>
    <t>Nâng cấp, mở rộng tuyến mương xây - cầu Chử</t>
  </si>
  <si>
    <t xml:space="preserve">Nâng cấp, mở rộng tuyến Gốc Khế - Màn Đá </t>
  </si>
  <si>
    <t>Nâng cấp, mở rộng tuyến Dui Xanh</t>
  </si>
  <si>
    <t xml:space="preserve">Nâng cấp, mở rộng tuyến cửa ông Hải - Dộc Đầm - Giêng Xẻn </t>
  </si>
  <si>
    <t>Nâng cấp, mở rộng tuyến ao chợ - mương Nổi</t>
  </si>
  <si>
    <t>Nâng cấp, mở rộng tuyến Hố Ráy - Hoàn Đương</t>
  </si>
  <si>
    <t>Nâng cấp, mở rộng cổng bà Hợp - Bờ Ấu</t>
  </si>
  <si>
    <t>Nâng cấp, mở rộng Giếng Sẻn - Hố Bom</t>
  </si>
  <si>
    <t>Nâng cấp, mở rộng tuyến Hố Ngõa - Cầu Da</t>
  </si>
  <si>
    <t>Nâng cấp, mở rộng tuyến Hố Mây - cổng ông An</t>
  </si>
  <si>
    <t>Nâng cấp, mở rộng tuyến ông Ngo - cổng bà Thiêm</t>
  </si>
  <si>
    <t>Nâng cấp, mở rộng tuyến dộc bà Chanh - giữa đồng</t>
  </si>
  <si>
    <t>Nâng cấp, mở rộng tuyến dộc bà Thông</t>
  </si>
  <si>
    <t xml:space="preserve">Nâng cấp, mở rộng tuyến gốc Dọc - ông Thanh </t>
  </si>
  <si>
    <t xml:space="preserve">Nâng cấp, mở rộng tuyến Móc Nâu- Hảo Lụa </t>
  </si>
  <si>
    <t xml:space="preserve">Nâng cấp, mở rộng ông Trường - cầu Dạt </t>
  </si>
  <si>
    <t>Nâng cấp, mở rộng tuyến ông Trùy - gò ông Sơn</t>
  </si>
  <si>
    <t>Nâng cấp, mở rộng tuyến khe bà Mười - mương Cái</t>
  </si>
  <si>
    <t xml:space="preserve">Nâng cấp, mở rộng tuyến ruộng Dương - Ven Núi - Bềnh sâu </t>
  </si>
  <si>
    <t xml:space="preserve">Nâng cấp, mở rộng tuyến Gốc Ngõa - Mẫu 6 </t>
  </si>
  <si>
    <t xml:space="preserve">Nâng cấp, mở rộng tuyến TL 323 - bà Chừng - mương chính </t>
  </si>
  <si>
    <t>Cải tạo, nâng cấp hồ Vĩnh Lại (giai đoạn II của dự án Sửa chữa, nâng cao an toàn đập WB8)</t>
  </si>
  <si>
    <t>Khu Vĩnh Lại</t>
  </si>
  <si>
    <t>Quy hoạch kênh từ đập Đá chồng đi qua đồng đầu đến nghĩa trang đình làng</t>
  </si>
  <si>
    <t>Quy hoạch kênh từ đập Trại Xá đi theo đường LX - 09 đến khu dân cư khu 3</t>
  </si>
  <si>
    <t>Quy hoạch kênh từ đập Trại Xá đi qua đồng Sài nối vào kênh Đồng Hố Thiều</t>
  </si>
  <si>
    <t>Quy hoạch kênh từ đập Chòi đến khu đồng trước nhá (khu 10, 11, 13)</t>
  </si>
  <si>
    <t>Quy hoạch kênh khu đồng trước nhà</t>
  </si>
  <si>
    <t>Quy hoạch tuyến mương từ Mẫu 2 khu Tây Mỗ 3 đi Cây Quân Tây Mỗ 3</t>
  </si>
  <si>
    <t>Cải tạo nâng cấp tuyến mương từ Đập Hố Vông đi Dộc Thuần khu Hùng Phú</t>
  </si>
  <si>
    <t>Quy hoạch tuyến mương Hố Gáo đi Đồng Chép khu Hùng Phú</t>
  </si>
  <si>
    <t>Quy hoạch tuyến mương từ trạm xá đi Ô Rô khu Vân Phú</t>
  </si>
  <si>
    <t>Quy hoạch tuyến mương từ trạm bơm khu Tây Mỗ 2 đi Cây Dâu khu Tây Mỗ 2</t>
  </si>
  <si>
    <t xml:space="preserve">Quy hoạch tuyến mương nội đồng Ngọc Lũ đi cống khu An Thái </t>
  </si>
  <si>
    <t>Quy hoạch tuyến mương từ Gò Thùng đi Núi Đá khu Cẩn Độ</t>
  </si>
  <si>
    <t>Quy hoạch tuyến mương Cây Táo đi Gò Xa Nhân khu Cẩn Độ</t>
  </si>
  <si>
    <t>Mở rộng tuyến mương Cây xanh đi Gò phe</t>
  </si>
  <si>
    <t>Hủy bỏ do trùng quy hoạch cụm công nghiệp</t>
  </si>
  <si>
    <t>Quy hoạch kênh mương từ Hồ Hào Bình đi Gò Mả</t>
  </si>
  <si>
    <t>Mở rộng tuyến Gò Mả đi Sông Lô</t>
  </si>
  <si>
    <t>Mở rộng mương tuyến Bềnh Sim đi Hùng Long</t>
  </si>
  <si>
    <t>Mở rộng mương tuyến đập Gò Mỡ đi khu 6</t>
  </si>
  <si>
    <t>Nâng cấp mở rộng mương từ Ngòi Ó-Ô Dậu</t>
  </si>
  <si>
    <t xml:space="preserve">Quy hoạch nâng cấp mở rộng mương Đầm Mùi </t>
  </si>
  <si>
    <t xml:space="preserve">Quy hoạch nâng cấp mương Đầm Men </t>
  </si>
  <si>
    <t xml:space="preserve">Quy hoạch nâng cấp mở rộng mương Mầm Giềng - Táng Mài </t>
  </si>
  <si>
    <t>Quy hoạch kênh K1 (Quy hoạch 150m)</t>
  </si>
  <si>
    <t>Quy hoạch kênh K5 (Quy hoạch 300m)</t>
  </si>
  <si>
    <t>Quy hoạch kênh K15 (Quy hoạch 3000 m)</t>
  </si>
  <si>
    <t xml:space="preserve">Quy hoạch mương từ Phai Đồng Quăng đến Tràn Đồng Quăng Dưới </t>
  </si>
  <si>
    <t>Quy hoạch mương tưới T1, T3. T4</t>
  </si>
  <si>
    <t>Nâng cấp, mở rộng kênh mương</t>
  </si>
  <si>
    <t>Quy hoạch tuyến mương đập Khán Đào dài 2km rộng 1m</t>
  </si>
  <si>
    <t xml:space="preserve">Khu 1, 2 </t>
  </si>
  <si>
    <t>Mở rộng tuyến mương từ đầm Trắng khu 5 đến cống cây sung</t>
  </si>
  <si>
    <t>Huỷ bỏ do không khả thi, không cần mở rộng</t>
  </si>
  <si>
    <t xml:space="preserve">Mở rộng mương từ cống Thành Ngạnh khu 1 đến cống Lim </t>
  </si>
  <si>
    <t xml:space="preserve">Quy hoạch tuyến Ao Dời khu 5 Cổng ông Thùy khu 5 đi trại Ô.Phúc </t>
  </si>
  <si>
    <t>Quảng trường trung tâm</t>
  </si>
  <si>
    <t>Xây dựng Trung tâm văn hoá, thể thao</t>
  </si>
  <si>
    <t>Chuyển tiếp ĐCQH 2021-2030. Điều chỉnh giảm diện tích xuống 0,3 ha</t>
  </si>
  <si>
    <t>Xây dựng bia tưởng niệm</t>
  </si>
  <si>
    <t>Quy hoạch bia tưởng niệm xã Bằng Doãn</t>
  </si>
  <si>
    <t xml:space="preserve">Quy hoạch bia tưởng niệm </t>
  </si>
  <si>
    <t>Đã xây dựng chưa CMĐSDĐ. Chuyển tiếp ĐCQH 2021-2030</t>
  </si>
  <si>
    <t>Quy hoạch bia tưởng niệm xã Hợp Nhất</t>
  </si>
  <si>
    <t>Quy hoạch bia tưởng niệm, nhà văn hóa</t>
  </si>
  <si>
    <t>cấp giấy</t>
  </si>
  <si>
    <t>Quy hoạch khu nhà bia tưởng niệm xã Minh Lương</t>
  </si>
  <si>
    <t>Hủy bỏ do sát nhập xã</t>
  </si>
  <si>
    <t>Quy hoạch bia tưởng niệm xã Vân Đồn</t>
  </si>
  <si>
    <t>Đài tưởng niệm</t>
  </si>
  <si>
    <t>Đã xây dựng xong, chưa cấp GCN. Chuyển tiếp ĐCQH 2021-2030</t>
  </si>
  <si>
    <t>Xây mới, mở rộng trạm y tế</t>
  </si>
  <si>
    <t>Mở rộng trạm y tế xã Hợp Nhất</t>
  </si>
  <si>
    <t>Huỷ bỏ do vừa xây mới Trạm y tế, không khả thi mở rộng</t>
  </si>
  <si>
    <t>Mở rộng trạm y tế xã Hùng Xuyên</t>
  </si>
  <si>
    <t>Quy hoạch trạm y tế xã Minh Lương</t>
  </si>
  <si>
    <t>Mở rộng trạm y tế Vân Đồn</t>
  </si>
  <si>
    <t>Trường CLC Đoan Hùng</t>
  </si>
  <si>
    <t>Hủy bỏ do chuyển sang quy hoạch khu đô thị theo quy hoạch chung</t>
  </si>
  <si>
    <t>Xây mới, mở rộng trường mầm non, tiểu học, THCS</t>
  </si>
  <si>
    <t>Mở rộng trường mầm non thị trấn</t>
  </si>
  <si>
    <t>Chuyển tiếp ĐCQH 2021-2030 cấp GCN</t>
  </si>
  <si>
    <t>Quy hoạch mầm non Hương Bưởi</t>
  </si>
  <si>
    <t>Mở rộng trường THCS thị trấn</t>
  </si>
  <si>
    <t>Chuyển tiếp ĐCQH 2021-2030, điều chỉnh diện tích 0,18 ha</t>
  </si>
  <si>
    <t>Trường TH thị trấn</t>
  </si>
  <si>
    <t>Khu Phu Thịnh</t>
  </si>
  <si>
    <t>Chuyển tiếp ĐCQH 2021-2030, điều chỉnh diện tích 0,10 ha</t>
  </si>
  <si>
    <t>Trường THCS xã Bằng Doãn</t>
  </si>
  <si>
    <t>Hủy bỏ để quy hoạch mới</t>
  </si>
  <si>
    <t>Quy hoạch trường mầm non xã Bằng Luân</t>
  </si>
  <si>
    <t>đồi các cụ, khu 9</t>
  </si>
  <si>
    <t>Chuyển tiếp ĐCQH 2021-2030, điều chỉnh giảm diện tích (1 ha)</t>
  </si>
  <si>
    <t>Mở rộng trường mầm non xã Ca Đình</t>
  </si>
  <si>
    <t>Mở rộng trường mầm non xã</t>
  </si>
  <si>
    <t>Mở rộng mầm non Khu A</t>
  </si>
  <si>
    <t>Mở rộng trường mầm non khu B</t>
  </si>
  <si>
    <t>Mở rộng trường THCS Phú Thứ</t>
  </si>
  <si>
    <t>Huỷ bỏ do đã chuyển quỹ đất cho trường Mầm non</t>
  </si>
  <si>
    <t>Quy hoạch trường mầm non xã Hợp Nhất</t>
  </si>
  <si>
    <t>Khu Đại Hộ</t>
  </si>
  <si>
    <t>Huỷ bỏ do đã lấy quỹ đất của trường THCS Phú Thứ cũ</t>
  </si>
  <si>
    <t>Quy hoạch trường học Tư Thục</t>
  </si>
  <si>
    <t>Khu Hữu Đô 1+2</t>
  </si>
  <si>
    <t>Chuyển tiếp ĐCQH 2021-2030 chưa CMĐ, điều chỉnh diện tích</t>
  </si>
  <si>
    <t>Chuyển tiếp ĐCQH 2021-2030 chưa CMĐ</t>
  </si>
  <si>
    <t xml:space="preserve">Quy hoạch trường mầm non Hùng Xuyên (Nghinh Xuyên cũ) </t>
  </si>
  <si>
    <t>Chuyển tiếp ĐCQH 2021-2030 chưa CMĐ, điểu chỉnh diện tích</t>
  </si>
  <si>
    <t>Quy hoạch Mầm non khu B - Phai Long - thôn 1B</t>
  </si>
  <si>
    <t>Chuyển tiếp ĐCQH 2021-2030, chưa CMĐ</t>
  </si>
  <si>
    <t>Mở rộng trường mầm non khu A Minh Phú</t>
  </si>
  <si>
    <t>Hủy Bỏ</t>
  </si>
  <si>
    <t>Do trùng với trường MN Khu A Minh Phú</t>
  </si>
  <si>
    <t>Mở rộng Trường mầm non Minh Phú</t>
  </si>
  <si>
    <t>Mở rộng trường THCS Minh Phú</t>
  </si>
  <si>
    <t>Mở rộng mầm non Ngọc Quan (Khu A)</t>
  </si>
  <si>
    <t>Trường THCS xã Ngọc Quan</t>
  </si>
  <si>
    <t>Dự án mở rộng trường mầm non Phong Phú</t>
  </si>
  <si>
    <t>Quy hoạch trường mầm non xã Phú Lâm (Phương Trung cũ)</t>
  </si>
  <si>
    <t>Trường THCS Phong Phú</t>
  </si>
  <si>
    <t>Trường THCS Quế Lâm</t>
  </si>
  <si>
    <t>Trường THPT Quế Lâm</t>
  </si>
  <si>
    <t>Trường mầm non Quế Lâm</t>
  </si>
  <si>
    <t>Quy hoạch trường mầm non Phúc Lai</t>
  </si>
  <si>
    <t>Chuyển tiếp ĐCQH 2021-2030 cấp giấy CNQSDĐ</t>
  </si>
  <si>
    <t>Trường mầm non tư thục Tây Cốc</t>
  </si>
  <si>
    <t>Trường THCS Tây Cốc</t>
  </si>
  <si>
    <t xml:space="preserve">Quy hoạch trường mầm non xã Tiêu Sơn </t>
  </si>
  <si>
    <t>Chuyển tiếp ĐCQH 2021-2030 (đã xd xong chưa chuyển mục đích)</t>
  </si>
  <si>
    <t>Mở rộng trường THCS Tiêu Sơn</t>
  </si>
  <si>
    <t>Trường TH Tiêu Sơn</t>
  </si>
  <si>
    <t>Mở rộng trường THCS Vân Du</t>
  </si>
  <si>
    <t>Đang thực hiên</t>
  </si>
  <si>
    <t>Chuyển tiếp ĐCQH 2021-2030 (Đã xây dựng nhưng chưa CMĐ)</t>
  </si>
  <si>
    <t>Đang trích đo</t>
  </si>
  <si>
    <t>Quy hoạch trường mầm non Vân Du</t>
  </si>
  <si>
    <t>Hủy Bỏ (không còn nhu cầu)</t>
  </si>
  <si>
    <t>Mở rộng trường THCS</t>
  </si>
  <si>
    <t>Đã xây dựng. Chuyển tiếp ĐCQH 2021-2030</t>
  </si>
  <si>
    <t>Trường Mầm non Vân Đồn</t>
  </si>
  <si>
    <t>Chuyển tiếp ĐCQH 2021-2030 (Chuyển từ đất trường tiểu học sang đất trường MN)</t>
  </si>
  <si>
    <t>Mở rộng Trường THCS Vụ Quang</t>
  </si>
  <si>
    <t>Đã mở rộng rồi, đưa vào Cấp GCN. Chuyển tiếp ĐCQH 2021-2030</t>
  </si>
  <si>
    <t>Mở rộng Trường Mầm non Vụ Quang</t>
  </si>
  <si>
    <t>Quy hoạch Trường Tiểu học Vụ Quang</t>
  </si>
  <si>
    <t>Huỷ bỏ do trường cũ đã xây dựng rồi, không khả thi quy hoạch mới</t>
  </si>
  <si>
    <t>Mở rộng trường TH Yên Kiện</t>
  </si>
  <si>
    <t>Mở rộng khuôn viên trường mầm non xã Yên Kiện</t>
  </si>
  <si>
    <t>Hủy bỏ (mở rộng đường chứ không phải đất trường)</t>
  </si>
  <si>
    <t>Đất xây dựng cơ sở thể dục, thể thao</t>
  </si>
  <si>
    <t>Sân thể thao xã, thị trấn</t>
  </si>
  <si>
    <t>Quy hoạch sân thể thao trung tâm xã Bằng Luân</t>
  </si>
  <si>
    <t>Chuyển tiếp ĐCQH 2021-2030 (1 ha)</t>
  </si>
  <si>
    <t>khu 9</t>
  </si>
  <si>
    <t>Quy hoạch sân thể thao trung tâm xã</t>
  </si>
  <si>
    <t>Chuyển tiếp ĐCQH 2021-2030, điều chỉnh tăng diện tích 0,63 ha</t>
  </si>
  <si>
    <t>Quy hoạch sân vận động trung tâm xã</t>
  </si>
  <si>
    <t>HNK 0,17; NTS 0,23</t>
  </si>
  <si>
    <t>Quy hoạch sân thể thao Xã Hùng Long</t>
  </si>
  <si>
    <t>đã xong thủ tục về đất</t>
  </si>
  <si>
    <t>Quy hoạch sân thể thao Khu Hồng Minh</t>
  </si>
  <si>
    <t>Quy hoạch sân thể thao khu Lạp Xuyên</t>
  </si>
  <si>
    <t>Khu Lap Xuyên</t>
  </si>
  <si>
    <t>Quy hoạch sân thể thao Khu Ánh Hồng</t>
  </si>
  <si>
    <t xml:space="preserve">Quy hoạch khu thể thao khu Minh Giang </t>
  </si>
  <si>
    <t>Quy hoạch sân thể thao Khu Minh Giang Sơn</t>
  </si>
  <si>
    <t>Quy hoạch sân thể thao xã Minh Tiến</t>
  </si>
  <si>
    <t>Quy hoạch sân thể thao xã Ngọc Quan</t>
  </si>
  <si>
    <t>Quy hoạch sân thể thao xã Phúc Lai</t>
  </si>
  <si>
    <t>đã khoanh vẽ</t>
  </si>
  <si>
    <t>Quy hoạch sân thể thao xã Sóc Đăng (theo ĐC Quy hoạch CT khu đô thị Tây Nam thị trấn)</t>
  </si>
  <si>
    <t>Khu 2, 7, 9</t>
  </si>
  <si>
    <t>Huỷ bỏ do chuyển sang đấu giá đất ở tại nông thôn</t>
  </si>
  <si>
    <t xml:space="preserve">Quy hoạch mới sân thể thao trung tâm xã Tây Cốc </t>
  </si>
  <si>
    <t>Hủy bỏ chuyển sang DKV</t>
  </si>
  <si>
    <t>Quy hoạch sân thể thao khu trung tâm</t>
  </si>
  <si>
    <t>Chuyển tiếp ĐCQH 2021-2030 1,00 ha thành sân thể thao khu 9</t>
  </si>
  <si>
    <t>Sân thể thao khu</t>
  </si>
  <si>
    <t xml:space="preserve">Quy hoạch khu thể thao thị trấn </t>
  </si>
  <si>
    <t>Quy hoạch sân thể thao</t>
  </si>
  <si>
    <t>Quy hoạch sân thể thao xã Ca Đình</t>
  </si>
  <si>
    <t>Quy hoạch khu thể thao khu 1</t>
  </si>
  <si>
    <t>Hủy bỏ (Do không khả thi để thực hiện)</t>
  </si>
  <si>
    <t>Quy hoạch khu thể thao khu 5</t>
  </si>
  <si>
    <t xml:space="preserve">Quy hoạch sân thể thao khu Dân Chủ </t>
  </si>
  <si>
    <t xml:space="preserve">Khu Dân Chủ </t>
  </si>
  <si>
    <t>Huỷ bỏ do sử dụng chung với sân NVH, không quy hoạch mới</t>
  </si>
  <si>
    <t>Quy hoạch sân thể thao Khu Thống Nhất</t>
  </si>
  <si>
    <t>Huỷ bỏ giữ nguyên làm NVH thôn vì đang sử dụng</t>
  </si>
  <si>
    <t>Quy hoạch sân thể thao khu Tiền Phong</t>
  </si>
  <si>
    <t>Quy hoạch sân thể thao Đình Thó</t>
  </si>
  <si>
    <t>Quy hoạch khu thể thao khu 7</t>
  </si>
  <si>
    <t>Hủy bỏ do Chuyển vị trí</t>
  </si>
  <si>
    <t>Quy hoạch khu thể thao khu 8</t>
  </si>
  <si>
    <t>Quy hoạch sân thể thao Phai Long thôn 1B</t>
  </si>
  <si>
    <t>Đã xây dựng CSHT nhưng chưa CMĐ</t>
  </si>
  <si>
    <t>Quy hoạch sân thể thao Nương Chè thôn 5</t>
  </si>
  <si>
    <t>Hủy bỏ (không có nhu cầu)</t>
  </si>
  <si>
    <t>(Nương Sim, Nương Tám)</t>
  </si>
  <si>
    <t>Quy hoạch khu thể thao khu 3</t>
  </si>
  <si>
    <t>Hủy bỏ do chuyển sang làm NVH khu 3</t>
  </si>
  <si>
    <t>Mở rộng khu thể thao khu 2</t>
  </si>
  <si>
    <t>Quy hoạch khu thể thao khu 13</t>
  </si>
  <si>
    <t>Quy hoạch khu thể thao khu 2</t>
  </si>
  <si>
    <t>Quy hoạch khu thể thao khu 4</t>
  </si>
  <si>
    <t xml:space="preserve">Mở rộng sân thể thao Phong Phú </t>
  </si>
  <si>
    <t>Quy hoạch sân thể thao khu Hùng Phú</t>
  </si>
  <si>
    <t xml:space="preserve">Quy hoạch sân thể thao khu 1 </t>
  </si>
  <si>
    <t>Quy hoạch Sân thể dục - thể thao Cựa Gà Khu 3</t>
  </si>
  <si>
    <t xml:space="preserve">Quy hoạch sân thể thao khu 9 </t>
  </si>
  <si>
    <t>Quy hoạch sân thể thao khu</t>
  </si>
  <si>
    <t>Quy hoạch sân thể thao trung tâm xã Yên Kiện</t>
  </si>
  <si>
    <t>Công ty Điện lực Phú Thọ</t>
  </si>
  <si>
    <t>Chuyển đổi cấp điện áp10kV lộ 975 trạm 110kV Đoan Hùng sang vận hành cấp điện áp 22kV</t>
  </si>
  <si>
    <t>Xã Ngọc Quan,
Tây Cốc</t>
  </si>
  <si>
    <t>Xuất tuyến 35kV lộ 372 trạm 110kV Đoan Hùng,tỉnh Phú Thọ</t>
  </si>
  <si>
    <t>Đường dây 500kV Lào Cai - Vĩnh Yên và mở rộng ngăn lộ 500kv tại TBA500kv Vĩnh Yên</t>
  </si>
  <si>
    <t>Các xã Minh Tiến, Chân Mộng</t>
  </si>
  <si>
    <t>Chống quá tải, nhà trực vận hành, trạm biếp áp, mở rộng phạm vi cấp điện khu vực huyện Đoan Hùng</t>
  </si>
  <si>
    <t>Nhà trực vận hành, trạm biến áp</t>
  </si>
  <si>
    <t>Xây dựng, nâng cấp, sửa chữa hệ thống cấp điện</t>
  </si>
  <si>
    <t>Chuyển đổi cấp điện áp10kV lộ 975 trạm 110kV Đoan Hùng sang vận hành cấp điện áp 22kV và Xuất tuyến 35kV lộ 372 trạm 110kV Đoan Hùng,tỉnh Phú Thọ</t>
  </si>
  <si>
    <t>Xã Hợp Nhất, Ngọc Quan, Sóc Đăng, Tây Cốc</t>
  </si>
  <si>
    <t>Đang chi trả tiền. Chuyển tiếp ĐCQH 2021-2030</t>
  </si>
  <si>
    <t>Đã thực hiện 0,02 ha. Chuyển tiếp ĐCQH 2021-2030 (0,03 ha)</t>
  </si>
  <si>
    <t>Bưu điện văn hóa xã</t>
  </si>
  <si>
    <t>Xã Minh Lương, Vân Đồn</t>
  </si>
  <si>
    <t>Khu 4, Khu 3</t>
  </si>
  <si>
    <t>Chuyển tiếp ĐCQH 2021-2030. Hủy bỏ 0,03 ha xã Minh Lương do sáp nhập xã</t>
  </si>
  <si>
    <t>Quy hoạch bưu điện xã Minh Lương</t>
  </si>
  <si>
    <t>Hủy bỏ do sáp nhập xã</t>
  </si>
  <si>
    <t>Bưu điện văn hóa xã Vân Đồn</t>
  </si>
  <si>
    <t>Khu Gò Mang Đăng, Khu Hưng Tiến</t>
  </si>
  <si>
    <t>UBND TT Đoan Hùng</t>
  </si>
  <si>
    <t>Mở rộng khuôn viên Tượng Đài chiến thắng</t>
  </si>
  <si>
    <t>Hủy bỏ do nằm trong Đường giao thông kết nối từ nút giao Km 30 cao tốc Tuyên Quang - Phú Thọ đến trung tâm huyện Thanh Ba</t>
  </si>
  <si>
    <t>Dự án mở rộng khu di tích Bác Hồ</t>
  </si>
  <si>
    <t>biểu 4 ko có</t>
  </si>
  <si>
    <t>Bãi rác tập trung</t>
  </si>
  <si>
    <t>Bãi rác tập trung xã Ca Đình</t>
  </si>
  <si>
    <t>Bãi rác tập trung xã Minh Lương</t>
  </si>
  <si>
    <t>Bãi tập kết rác thải tập trung xã Sóc Đăng</t>
  </si>
  <si>
    <t>Mở rộng điểm tập kết rác thải</t>
  </si>
  <si>
    <t>Điểm tập kết rác thải</t>
  </si>
  <si>
    <t xml:space="preserve">Điểm tập kết rác thải tại 10 khu </t>
  </si>
  <si>
    <t>Xã  Hợp Nhất</t>
  </si>
  <si>
    <t xml:space="preserve">LUC 0,06; HNK 0,09 </t>
  </si>
  <si>
    <t>Điểm thu gom rác thải 7 khu</t>
  </si>
  <si>
    <t xml:space="preserve">LUK 0,14; HNK 0,09 </t>
  </si>
  <si>
    <t>Bãi rác xã Hùng Xuyên</t>
  </si>
  <si>
    <t>hủy bỏ do không khả thi</t>
  </si>
  <si>
    <t>Điểm tập kết rác thải các khu xã Minh Lương</t>
  </si>
  <si>
    <t>Điểm tập kết rác thải 7 khu</t>
  </si>
  <si>
    <t>Điểm tập kết rác thải tại 8 khu</t>
  </si>
  <si>
    <t>Điểm tập kết rác thải tại 4 khu</t>
  </si>
  <si>
    <t>Điểm tập kết bãi rác thải tại 10 khu</t>
  </si>
  <si>
    <t>Quy hoạch điểm tập kết rác thải khu khu 2,3</t>
  </si>
  <si>
    <t>Điểm tập kết rác 8 khu</t>
  </si>
  <si>
    <t>Điểm tập kết rác thải tập trung khu 4, 5, 7</t>
  </si>
  <si>
    <t>Hủy bỏ (thay đổi vị trí quy hoạch mới)</t>
  </si>
  <si>
    <t>Xây dựng nhà thờ Tân Tích</t>
  </si>
  <si>
    <t>Chưa thực hiên</t>
  </si>
  <si>
    <t>Chuyển tiếp ĐCQH 2021-2030, điều chỉnh tăng diện tích lên 0,18 ha</t>
  </si>
  <si>
    <t>Chùa Phổ Độ</t>
  </si>
  <si>
    <t>Đã xây dựng. Chuyển tiếp ĐCQH 2021-2030, điều chỉnh giảm diện tích xuống 0,10 ha</t>
  </si>
  <si>
    <t>Chùa Đông Lan</t>
  </si>
  <si>
    <t>Chuyển tiếp ĐCQH 2021-2030, điều chỉnh tên, tăng diện tích lên 0,77 ha</t>
  </si>
  <si>
    <t>Chùa Kim Đức</t>
  </si>
  <si>
    <t>Duẫn Trung</t>
  </si>
  <si>
    <t>UBND tỉnh Phú Thọ</t>
  </si>
  <si>
    <t>Chuyển tiếp ĐCQH 2021-2030, điều chỉnh tăng diện tích lên 0,30 ha</t>
  </si>
  <si>
    <t>Chuyển tiếp ĐCQH 2021-2030, điều chỉnh tăng diện tích lên 1,00 ha</t>
  </si>
  <si>
    <t>Đã xây dựng, chưa CMĐSDĐ. Chuyển tiếp ĐCQH 2021-2030</t>
  </si>
  <si>
    <t>Xây dựng nghĩa trang (di chuyển nghĩa trang An Thái cũ do dự án: Đầu tư xây dựng đường cao tốc Tuyên Quang - Phú Thọ kết nối với cao tốc Nội Bài - Lào Cai)</t>
  </si>
  <si>
    <t>Cấn Độ</t>
  </si>
  <si>
    <t>Nghĩa trang nhân dân</t>
  </si>
  <si>
    <t>Đã mở rộng, chưa CMĐ, điều chỉnh diện tích (4 ha), Chuyển tiếp ĐCQH 2021-2030</t>
  </si>
  <si>
    <t>Mở rộng nghĩa trang khu 2</t>
  </si>
  <si>
    <t>Quy hoạch nghĩa trang khu 3</t>
  </si>
  <si>
    <t>Mở rộng nghĩa trang khu 4+5</t>
  </si>
  <si>
    <t>Mở rộng nghĩa trang khu 6</t>
  </si>
  <si>
    <t>Mở rộng nghĩa trang khu 9</t>
  </si>
  <si>
    <t>Mở rộng nghĩa trang khu 8</t>
  </si>
  <si>
    <t>khu 8</t>
  </si>
  <si>
    <t>Mở rộng nghĩa trang khu 7</t>
  </si>
  <si>
    <t>khu 7</t>
  </si>
  <si>
    <t>Mở rộng nghĩa trang khu 3</t>
  </si>
  <si>
    <t>Mở rộng nghĩa trang , nghĩa địa khu 2 (Khu 3+4 cũ)</t>
  </si>
  <si>
    <t>khu 2</t>
  </si>
  <si>
    <t>Mở rộng nghĩa trang khu 5</t>
  </si>
  <si>
    <t>khu 5</t>
  </si>
  <si>
    <t>Quy hoạch nghĩa trang, nghĩa địa khu 6</t>
  </si>
  <si>
    <t>khu 6</t>
  </si>
  <si>
    <t>Quy hoạch nghĩa trang, nghĩa địa khu 10</t>
  </si>
  <si>
    <t>khu 10</t>
  </si>
  <si>
    <t>Mở rộng nghĩa trang khu 4</t>
  </si>
  <si>
    <t>Chuyển tiếp ĐCQH 2021-2030 (Giảm diện tích còn 2,0 ha)</t>
  </si>
  <si>
    <t>Quy hoạch nghĩa trang khu 2</t>
  </si>
  <si>
    <t>Nghĩa trang làng trang, khu 6</t>
  </si>
  <si>
    <t>Mở rộng nghĩa trang, nghĩa địa Lã Hoàng</t>
  </si>
  <si>
    <t>Đất nghĩa địa gò Vườn Mầu thôn 8 xã Đại Nghĩa cũ</t>
  </si>
  <si>
    <t>Mở rộng nghĩa trang khu Vân Cương 1</t>
  </si>
  <si>
    <t>Khu Vân Cương</t>
  </si>
  <si>
    <t>Mở rộng nghĩa trang khu Non Kê</t>
  </si>
  <si>
    <t>Quy hoạch đất nghĩa trang, nghĩa địa gò Ba Mai</t>
  </si>
  <si>
    <t>Quy hoạch đất nghĩa trang, nghĩa địa làng Vải</t>
  </si>
  <si>
    <t>Huỷ bỏ do trùng dự án mở rộng nghĩa trang khu Non Kê</t>
  </si>
  <si>
    <t>Nghĩa địa khu đồi Tình Anh khu 5,6</t>
  </si>
  <si>
    <t>Mở rộng nghĩa trang khu 7-8</t>
  </si>
  <si>
    <t>Quy hoạch nghĩa địa đồi Tre</t>
  </si>
  <si>
    <t>Mở rộng nghĩa trang đồng Quyên</t>
  </si>
  <si>
    <t>Quy hoạch nghĩa địa khu 2, 3, 4</t>
  </si>
  <si>
    <t>Quy hoạch nghĩa địa khu Vạng Còng</t>
  </si>
  <si>
    <t>Mở rộng nghĩa địa Chợ Ngà</t>
  </si>
  <si>
    <t>Mở rộng nghĩa địa Việt Hùng 1,2,3,4</t>
  </si>
  <si>
    <t>Quy hoạch nghĩa địa Thuật Cổ</t>
  </si>
  <si>
    <t>Mở rộng NTD Cổ Cò</t>
  </si>
  <si>
    <t>Mở rộng NTD Duẫn Trung</t>
  </si>
  <si>
    <t>Mở rộng NTD Phương Nhuế</t>
  </si>
  <si>
    <t>Mở rộng nghĩa địa Đông Lường</t>
  </si>
  <si>
    <t>Mở rộng nghĩa trang khu 1</t>
  </si>
  <si>
    <t xml:space="preserve">Mở rộng nghĩa trang Lũng Kịnh </t>
  </si>
  <si>
    <t xml:space="preserve">Mở rộng nghĩa trang khu 3  </t>
  </si>
  <si>
    <t>Quy hoạch nghĩa trang khu 7</t>
  </si>
  <si>
    <t>Quy hoạch nghĩa trang Gò Mít khu Tân Thành</t>
  </si>
  <si>
    <t>Hủy bỏ (chuyển sang vị trí mới)</t>
  </si>
  <si>
    <t>Mở rộng nghĩa trang khu 6, 7, 8</t>
  </si>
  <si>
    <t>Quy hoạch nghĩa trang Khu 2</t>
  </si>
  <si>
    <t>Mở rộng nghĩa trang, nghĩa địa khu 5</t>
  </si>
  <si>
    <t>Mở rộng nghĩa trang, nghĩa địa Vách Thành</t>
  </si>
  <si>
    <t>Quy hoạch nghĩa trang, nghĩa địa khu 1</t>
  </si>
  <si>
    <t>Mở rộng nghĩa trang, nghĩa địa khu 7</t>
  </si>
  <si>
    <t>Nghĩa trang, nghĩa địa Đồi Hòa Bình</t>
  </si>
  <si>
    <t>Đã xây dựng đưa vào sử dụng</t>
  </si>
  <si>
    <t>Xây mới chợ Chí Đám</t>
  </si>
  <si>
    <t>Hủy bỏ trùng dự án khu dân cư Chí Đám</t>
  </si>
  <si>
    <t>Xây mới chợ Vân Đồn</t>
  </si>
  <si>
    <t>Xây mới chợ Vụ Quang</t>
  </si>
  <si>
    <t>Xây mới chợ Yên Kiện</t>
  </si>
  <si>
    <t>Chuyển tiếp ĐCQH 2021-2030. Điều chỉnh thành mở rộng, giảm diện tích xuống 0,10 ha</t>
  </si>
  <si>
    <t>Xây mới, mở rộng chợ</t>
  </si>
  <si>
    <t>Quy hoạch chợ trung tâm xã Hợp Nhất</t>
  </si>
  <si>
    <t>Chợ Minh Lương</t>
  </si>
  <si>
    <t>Quy hoạch chợ Minh Phú</t>
  </si>
  <si>
    <t>Quy hoạch chợ khu đồng Dõn dưới</t>
  </si>
  <si>
    <t>Quy hoạch chợ Phúc Lai</t>
  </si>
  <si>
    <t xml:space="preserve">Quy hoạch chợ Tây Cốc </t>
  </si>
  <si>
    <t>Đầm Bưỡi,Khu Hợp Lai</t>
  </si>
  <si>
    <t>Chuyển tiếp ĐCQH 2021-2030 0,87 ha</t>
  </si>
  <si>
    <t>Quy hoạch nhà văn hóa Tân Thành</t>
  </si>
  <si>
    <t>Chưa CMĐ, Chuyển tiếp ĐCQH 2021-2030</t>
  </si>
  <si>
    <t>Quy hoạch nhà văn hóa khu Đoàn Kết</t>
  </si>
  <si>
    <t>Đã thu hồi chưa xây dựng, Chuyển tiếp ĐCQH 2021-2030</t>
  </si>
  <si>
    <t>Quy hoạch nhà văn hóa Khu Đầu Lô</t>
  </si>
  <si>
    <t>Quy hoạch nhà văn hóa khu 1</t>
  </si>
  <si>
    <t>Xẫ Bằng Doãn</t>
  </si>
  <si>
    <t>Quy hoạch nhà văn hóa khu 2</t>
  </si>
  <si>
    <t>Mở rộng nhà văn hóa khu 3</t>
  </si>
  <si>
    <t>Hủy bỏ để xây vị trị mới</t>
  </si>
  <si>
    <t>Quy hoạch nhà văn hóa khu 4</t>
  </si>
  <si>
    <t>Mở rộng nhà văn hóa khu 5</t>
  </si>
  <si>
    <t>Quy hoạch nhà văn hóa khu 6</t>
  </si>
  <si>
    <t>Quy hoạch nhà văn hóa xã Bằng Luân</t>
  </si>
  <si>
    <t>Chuyển tiếp ĐCQH 2021-2030 0,35 ha. Chuyển lên đất văn hóa</t>
  </si>
  <si>
    <t>Mở rộng nhà văn hoá thôn 4 cũ</t>
  </si>
  <si>
    <t>Chuyển tiếp ĐCQH 2021-2030 (đổi tên thành khu 2)</t>
  </si>
  <si>
    <t>Mở rộng nhà văn hoá thôn 8</t>
  </si>
  <si>
    <t>Mở rộng nhà văn hoá thôn 12 cũ khu 7</t>
  </si>
  <si>
    <t>Mở rộng nhà văn hóa khu 1</t>
  </si>
  <si>
    <t>Hủy bỏ (Không có nhu cầu mở rộng)</t>
  </si>
  <si>
    <t>Quy hoạch mới nhà văn hóa khu 4</t>
  </si>
  <si>
    <t>Quy hoạch mới nhà văn hóa khu 5</t>
  </si>
  <si>
    <t>Công nhận QSDĐ nhà văn hóa khu 7</t>
  </si>
  <si>
    <t>Mở rộng nhà văn hóa Phượng Hùng 1</t>
  </si>
  <si>
    <t>Mở rộng nhà văn hóa Đám 1</t>
  </si>
  <si>
    <t xml:space="preserve">Quy hoạch nhà văn hóa Ngọc Chúc 3 </t>
  </si>
  <si>
    <t>Giao đất nhà văn hóa khu Chí</t>
  </si>
  <si>
    <t>Mở rộng nhà văn hóa khu Hữu Đô 3</t>
  </si>
  <si>
    <t>Mở rộng nhà văn hóa khu Dân Chủ</t>
  </si>
  <si>
    <t>Quy hoạch nhà văn hóa khu Sông Lô</t>
  </si>
  <si>
    <t>Là TSC Phú Thứ cũ</t>
  </si>
  <si>
    <t>Quy hoạch nhà văn hóa khu Liên Hợp + sân thể thao</t>
  </si>
  <si>
    <t>Khu Liên Hợp</t>
  </si>
  <si>
    <t xml:space="preserve">Mở rộng nhà văn hóa khu Lạp Xuyên </t>
  </si>
  <si>
    <t>Hủy bỏ, chuyển vị trí</t>
  </si>
  <si>
    <t>Quy hoạch nhà văn hóa khu Thượng Khê</t>
  </si>
  <si>
    <t>Chuyển tiếp ĐCQH 2021-2030, điểu chỉnh diện tích</t>
  </si>
  <si>
    <t>Mở rộng nhà văn hóa khu Bình Minh</t>
  </si>
  <si>
    <t>Quy hoạch nhà văn hóa khu Nhà Hóp</t>
  </si>
  <si>
    <t>Chuyển tiếp ĐCQH 2021-2030, điều chỉnh diện tích</t>
  </si>
  <si>
    <t>Mở rộng nhà văn hóa khu Nghinh Lạp</t>
  </si>
  <si>
    <t>Quy hoạch nhà văn hóa khu Ánh Hồng</t>
  </si>
  <si>
    <t>Quy hoạch nhà cộng đồng dân cư thôn 4, thôn 6, xã Minh Lương</t>
  </si>
  <si>
    <t>Mở rộng nhà văn hóa thôn 1A</t>
  </si>
  <si>
    <t>Quy hoạch nhà văn hóa thôn 6</t>
  </si>
  <si>
    <t>Quy hoạch nhà văn hóa khu 3</t>
  </si>
  <si>
    <t>Đã GPMB chưa xây dựng</t>
  </si>
  <si>
    <t>Mở rộng nhà văn hóa khu 2</t>
  </si>
  <si>
    <t>Quy hoạch nhà văn hóa khu 10</t>
  </si>
  <si>
    <t>Mở rộng nhà văn hóa khu Tây Mỗ 1</t>
  </si>
  <si>
    <t>Mở rộng nhà văn hóa khu Tây Mỗ 2</t>
  </si>
  <si>
    <t>Mở rộng nhà văn hóa khu Tây Mỗ 3</t>
  </si>
  <si>
    <t>Mở rộng nhà văn hóa khu Hùng Phú</t>
  </si>
  <si>
    <t>Mở rộng nhà văn hóa khu An Thái</t>
  </si>
  <si>
    <t>Quy hoạch nhà văn hóa khu Việt Hùng 3</t>
  </si>
  <si>
    <t>Quy hoạch nhà văn hóa khu Việt Hùng 4</t>
  </si>
  <si>
    <t>Hủy do chuyển vị trí quy hoạch</t>
  </si>
  <si>
    <t>Mở rộng nhà văn hóa khu Chợ Ngà</t>
  </si>
  <si>
    <t>Mở rộng nhà văn hóa Cát Lâm 2</t>
  </si>
  <si>
    <t>Mở rộng nhà văn hóa Cát Lâm 1</t>
  </si>
  <si>
    <t>Quy hoạch nhà văn hóa Việt Hùng 1</t>
  </si>
  <si>
    <t>Quy hoạch nhà văn hóa Việt Hùng 2</t>
  </si>
  <si>
    <t xml:space="preserve">Quy hoạch nhà văn hóa Trung Tâm </t>
  </si>
  <si>
    <t>Quy hoạch nhà văn hóa Bằng Tường</t>
  </si>
  <si>
    <t>hủy bỏ vị trí cũ chuyển mở rộng 600m2</t>
  </si>
  <si>
    <t>mở rộng 400 m2</t>
  </si>
  <si>
    <t>Quy hoạch nhà văn hóa khu 7</t>
  </si>
  <si>
    <t xml:space="preserve">Đã xây dựng xong chưa cấp GCNQSDĐ. </t>
  </si>
  <si>
    <t>Mở rộng nhà văn hóa khu Thái Hà</t>
  </si>
  <si>
    <t>Đang thực hiện (đã xây dựng xong chưa CMĐSDĐ)</t>
  </si>
  <si>
    <t xml:space="preserve">Nhà văn hóa Khu Phúc Thịnh </t>
  </si>
  <si>
    <t>Mở rộng nhà văn hóa khu Hợp Lai</t>
  </si>
  <si>
    <t xml:space="preserve">Quy hoạch nhà văn hóa khu Phúc Đình </t>
  </si>
  <si>
    <t>Mở rộng nhà văn hóa Khu 2</t>
  </si>
  <si>
    <t>Mở rộng nhà văn hóa Khu 3</t>
  </si>
  <si>
    <t>Mở rộng nhà văn hóa Khu 7</t>
  </si>
  <si>
    <t>Mở rộng nhà văn hóa Khu 9</t>
  </si>
  <si>
    <t>Chuyển tiếp ĐCQH 2021-2030 (Đã xây dựng, đưa vào cấp giấy)</t>
  </si>
  <si>
    <t>Mở rộng 5 nhà văn hoá</t>
  </si>
  <si>
    <t>Chuyển vị trí nhà văn hóa khu Liên Phú sang khu vực mới</t>
  </si>
  <si>
    <t>Quy hoạch nhà văn hóa khu Tân Thành</t>
  </si>
  <si>
    <t>Quy hoạch nhà văn hóa khu Vân Tiến 1</t>
  </si>
  <si>
    <t>Mở rộng nhà văn hóa khu Nam Đẩu</t>
  </si>
  <si>
    <t>Mở rộng  nhà văn hóa khu 1</t>
  </si>
  <si>
    <t>Quy hoạch nhà văn hóa khu 5</t>
  </si>
  <si>
    <t>Quy hoạch nhà văn hóa khu 11</t>
  </si>
  <si>
    <t>Mở rộng nhà văn hóa khu 4</t>
  </si>
  <si>
    <t>Huỷ bỏ do xung quanh là đất ở hiện trạng, không mở rộng được</t>
  </si>
  <si>
    <t>Đã mở rộng, chưa cấp GCN, điều chỉnh tăng diện tích 0,03 ha</t>
  </si>
  <si>
    <t>Mở rộng nhà văn hóa khu 6</t>
  </si>
  <si>
    <t>TT Đoan Hùng, xã Chí Đám, Minh Lương, Sóc Đăng</t>
  </si>
  <si>
    <t>Khu văn hóa + cây xanh</t>
  </si>
  <si>
    <t>Huỷ bỏ do điều chỉnh chuyển sang đất khu vui chơi, giải trí công cộng</t>
  </si>
  <si>
    <t>Quy hoạch sân vui chơi khu 7</t>
  </si>
  <si>
    <t>Hủy bỏ do trùng quy hoạch sân thể thao</t>
  </si>
  <si>
    <t>Quy hoạch sân vui chơi khu 8</t>
  </si>
  <si>
    <t xml:space="preserve">Đất ở </t>
  </si>
  <si>
    <t>Dự án khu đô thị, khu dân cư</t>
  </si>
  <si>
    <t>Khu dân cư mới (Trong đó: ONT 5,7 ha; Đất khác 4,41 ha)</t>
  </si>
  <si>
    <t>OCT</t>
  </si>
  <si>
    <t xml:space="preserve">Đang GPMB. Chuyển tiếp ĐCQH 2021-2030 </t>
  </si>
  <si>
    <t xml:space="preserve">Đang đền bù GPMB. </t>
  </si>
  <si>
    <t>Khu dân cư mới phía Tây Nam (Trong đó: ODT 6,73 ha; ONT 6,64 ha; Đất khác 13,95 ha)</t>
  </si>
  <si>
    <t>Đang thu hồi. Chuyển tiếp ĐCQH 2021-2030</t>
  </si>
  <si>
    <t>Khu dân cư đô thị Phúc Đình (Trong đó: ONT 14,5 ha; Đất khác 4,8 ha)</t>
  </si>
  <si>
    <t xml:space="preserve">Chuyển tiếp ĐCQH 2021-2030 </t>
  </si>
  <si>
    <t>Khu dân cư Sóc Đăng</t>
  </si>
  <si>
    <t>Khu dân cư Minh Tiến</t>
  </si>
  <si>
    <t>Khu dân cư Hợp Nhất (Trong đó: ONT 4,1 ha; Đất khác 4,5 ha)</t>
  </si>
  <si>
    <t>Khu dân cư Ngọc Quan (Trong đó: ONT 8,5 ha; Đất khác 10,4 ha)</t>
  </si>
  <si>
    <t xml:space="preserve">Khu dân cư Minh Phú (Trong đó: ONT 11,6 ha; Đất khác 8,1 ha </t>
  </si>
  <si>
    <t>Thôn 6</t>
  </si>
  <si>
    <t xml:space="preserve">Hủy bỏ do không khả thi thực hiện </t>
  </si>
  <si>
    <t>Khu nhà ở Chí Đám (Trong đó: ONT 6,24 ha; Đất khác 7,16 ha)</t>
  </si>
  <si>
    <t>Dự án: Phát triển các điểm dân cư tập trung trên địa bàn xã trong quá trình đô thị hóa nông thôn (Trong đó: ONT 31,14 ha; Đất khác 17,84 ha)</t>
  </si>
  <si>
    <t>Đang quy hoạch chi tiết. Chuyển tiếp ĐCQH 2021-2030</t>
  </si>
  <si>
    <t>Soi Tuần, Khu Lã Hoàng</t>
  </si>
  <si>
    <t>Khu dân cư nông thôn (Trong đó: ONT 176,28; Đất khác 90,17)</t>
  </si>
  <si>
    <t>Tái định cư</t>
  </si>
  <si>
    <t>Tái định cư các xã</t>
  </si>
  <si>
    <t xml:space="preserve">Các xã </t>
  </si>
  <si>
    <t>02 hộ. Bàn giao mặt bằng chưa xong thủ tục về đất</t>
  </si>
  <si>
    <t>Tái định cư Khu công nghiệp và đường Âu Cơ khu Cây Vải</t>
  </si>
  <si>
    <t>Chuyển tiếp ĐCQH 2021-2030, điều chỉnh tăng diện tích 1,14 ha</t>
  </si>
  <si>
    <t>Đang san gạt mặt bằng</t>
  </si>
  <si>
    <t>TĐC cụm công nghiệp Ngọc Quan</t>
  </si>
  <si>
    <t>Khu 11, 8</t>
  </si>
  <si>
    <t>Đã thực hiện được 3 khu. Chuyển tiếp ĐCQH 2021-2030 khu 10 (0,35 ha)</t>
  </si>
  <si>
    <t>Dự án tái định cư cụm công nghiệp Làng nghề Sóc Đăng tại khu 4,5 xã Sóc Đăng</t>
  </si>
  <si>
    <t>Đã chuyển mục đích</t>
  </si>
  <si>
    <t>Xã Chân Mộng, Minh Tiến, Ngọc Quan, Phú Lâm, Sóc Đăng, Vân Du, Tiêu Sơn, Yên Kiên</t>
  </si>
  <si>
    <t>Có 01 hộ. Đã xong</t>
  </si>
  <si>
    <t>Chuyển mục đích SDĐ và giao đất xen ghép</t>
  </si>
  <si>
    <t>Khu gia binh</t>
  </si>
  <si>
    <t>Chuyển mục đích SDĐ sang đất ở đô thị</t>
  </si>
  <si>
    <t>Chuyển mục đích SDĐ sang đất ở nông thôn</t>
  </si>
  <si>
    <t>Chuyển mục đích SDĐ đất vườn sang đất ở nông thôn</t>
  </si>
  <si>
    <t>Đã thực hiện 0,07 ha. Chuyển tiếp ĐCQH 2021-2030 (0,98 ha)</t>
  </si>
  <si>
    <t>Chuyển mục đích sang đất ở</t>
  </si>
  <si>
    <t>Chuyển mục đích SDĐ đất vườn sang đất ở nông thôn 21 xã</t>
  </si>
  <si>
    <t>Xin hồ sơ bên số liệu PTN</t>
  </si>
  <si>
    <t>Đã thực hiện 0,38 ha. Chuyển tiếp ĐCQH 2021-2030 (1,82 ha)</t>
  </si>
  <si>
    <t>Đã thực hiện 0,25 ha. Chuyển tiếp ĐCQH 2021-2030 (0,61 ha)</t>
  </si>
  <si>
    <t>Chuyển tiếp ĐCQH 2021-2030 0,82 ha (Đã thực hiện 0,13 ha)</t>
  </si>
  <si>
    <t>Chuyển tiếp ĐCQH 2021-2030, điều chỉnh tăng diện tích 1,0 ha</t>
  </si>
  <si>
    <t>Đã thực hiện 0,16 ha. Chuyển tiếp ĐCQH 2021-2030 (0,54 ha)</t>
  </si>
  <si>
    <t>Phú Lâm</t>
  </si>
  <si>
    <t>Đã thực hiện 0,02 ha. Chuyển tiếp ĐCQH 2021-2030</t>
  </si>
  <si>
    <t>Đã thực hiện 0,78 ha. Chuyển tiếp ĐCQHSDĐ 2021 - 2030 (0,02 ha)</t>
  </si>
  <si>
    <t>Chuyển mục đích sử dụng đất cho các hộ phải di chuyển chỗ ở để thực hiện dự án Quy hoạch Khu dân cư mới (Tái định cư tại chỗ)</t>
  </si>
  <si>
    <t>Đã thực hiện 0,10 ha. Chuyển tiếp ĐCQH 2021-2030 (3,10 ha)</t>
  </si>
  <si>
    <t>Đã thực hiện 0,12 ha. Chuyển tiếp ĐCQH 2021-2030 (2,08 ha)</t>
  </si>
  <si>
    <t>Giao đất ở cho các hộ có đất ở bị thu hồi để thực hiện dự án</t>
  </si>
  <si>
    <t>Tòa án nhân dân huyện</t>
  </si>
  <si>
    <t>Đất giáo dục</t>
  </si>
  <si>
    <t>Mở rộng viện kiểm sát</t>
  </si>
  <si>
    <t>UBND xã Sóc Đăng</t>
  </si>
  <si>
    <t>Xây mới, mở rộng trụ sở UBND</t>
  </si>
  <si>
    <t>Quy hoạch UBND xã Ca Đình</t>
  </si>
  <si>
    <t>Chuyển tiếp ĐCQH 2021-2030, điều chỉnh giảm diện tích 0,63 ha</t>
  </si>
  <si>
    <t xml:space="preserve">Quy hoạch trụ sở UBND xã Chí Đám </t>
  </si>
  <si>
    <t>Cải tạo, mở rộng di tích đình làng</t>
  </si>
  <si>
    <t>Quy hoạch trụ sở UBND xã Phú Lâm</t>
  </si>
  <si>
    <t>Mở rộng trụ sở UBND xã Vân Du</t>
  </si>
  <si>
    <t>do sắp sáp nhập xã</t>
  </si>
  <si>
    <t>Chưa cấp GCN. Chuyển tiếp ĐCQH 2021-2030, điều chỉnh giảm diện tích còn 0,86  ha</t>
  </si>
  <si>
    <t>Chuyển tiếp ĐCQHSDĐ 2021 - 2030</t>
  </si>
  <si>
    <t>Mở rộng đình Bằng Tường</t>
  </si>
  <si>
    <t>Bằng Tường</t>
  </si>
  <si>
    <t>Xây dựng Đình Kè</t>
  </si>
  <si>
    <t xml:space="preserve">Xây dựng Đình Cốc </t>
  </si>
  <si>
    <t>Hồ chứa nước</t>
  </si>
  <si>
    <t>Bên danh mục không thấy thể hiện</t>
  </si>
  <si>
    <t>Chuyển tiếp ĐCQH 2021-2030, điều chỉnh giảm diện tích xuống 0,50 ha</t>
  </si>
  <si>
    <t>Cải tạo nâng cấp hồ Đầu Mầu, Đồng Máng, Trăm Cọ (Vân Du), Hồ Núi Đẫu</t>
  </si>
  <si>
    <t>Các xã Chí Đám, Vân Du, Ngọc Quan</t>
  </si>
  <si>
    <t>Đã thực hiện Hồ Trằm Cọ, xã Vân Du. Còn lại huỷ bỏ</t>
  </si>
  <si>
    <t>Cải tạo nâng cấp hồ Đồng Mầu (Chí Đám)</t>
  </si>
  <si>
    <t>Khu Đồng Mầu</t>
  </si>
  <si>
    <t>Hồ Chằm Cọ (xã Vân Du)</t>
  </si>
  <si>
    <t>sửa tên trằm cọ  đã thực hiện</t>
  </si>
  <si>
    <t>Dự án cải tạo, nâng cấp hồ Nhà Giặc, xã Vân Du (3,57 ha); dự án cải tạo, nâng cấp hồ Núi Đẫu xã Ngọc Quan (2,86 ha)</t>
  </si>
  <si>
    <t>Các xã Vân Du, Ngọc Quan</t>
  </si>
  <si>
    <t>Đã thực hiện hồ Nhà Giặc, xã Vân Du. Đã thu hồi chưa CMĐSDĐ hồ Núi Đẫu. Chuyển tiếp ĐCQH 2021-2030</t>
  </si>
  <si>
    <t>Chuyển tiếp sang đất thủy lợi</t>
  </si>
  <si>
    <t>Dự án cải tạo, nâng cấp hồ Núi Đẫu xã Ngọc Quan (2,86 ha)</t>
  </si>
  <si>
    <t>Đã thu hồi chưa CMĐSDĐ hồ Núi Đẫu. Chuyển tiếp ĐCQH 2021-2030</t>
  </si>
  <si>
    <t>Dự án cải tạo, nâng cấp hồ Nhà Giặc, xã Vân Du (3,57 ha)</t>
  </si>
  <si>
    <t>Hồ Nhà Giặc (xã Vân Du)</t>
  </si>
  <si>
    <t>Dự án Chuyển đổi đất rừng sản xuất sang đất trồng cây lâu năm (thu hồi 309.31 ha của Cty Lâm nghiệp Đoan Hùng)</t>
  </si>
  <si>
    <t>Dự án Chuyển đổi đất rừng sản xuất sang đất trồng cây lâu năm</t>
  </si>
  <si>
    <t>Khu Tân Việt</t>
  </si>
  <si>
    <t>Liên kết sản xuất, xây dựng khu giao dịch tiêu thụ tập trung bưởi đặc sản Đoan Hùng</t>
  </si>
  <si>
    <t>Chuyển mục đích sang cây lâu năm</t>
  </si>
  <si>
    <t>Chuyển tiếp ĐCQH 2021-2030 10,0 ha</t>
  </si>
  <si>
    <t>LUC: 12,62; LUK: 10; RST 59</t>
  </si>
  <si>
    <t>Đã thực hiện 0,27 ha. Chuyển tiếp ĐCQH 2021-2030 (2,69 ha)</t>
  </si>
  <si>
    <t xml:space="preserve">Đã thực hiện ..... ha. </t>
  </si>
  <si>
    <t>Đã thực hiện 0,27 ha. Chuyển tiếp ĐCQH 2021-2030 (9,26 ha)</t>
  </si>
  <si>
    <t>Chuyển mục đích đất trồng lúa sang đất nuôi trồng thủy sản thôn 1 Úng Thủy, Dộc Đọ, Mỏ Son, Cây Quếc, Cây Xoan, Dộc Điếm, Đồi Tre, Dộc Ao</t>
  </si>
  <si>
    <t>Hủy bỏ do không khả thi dân không có nhu cầu</t>
  </si>
  <si>
    <t>Chuyển mục đích đất trồng lúa sang đất nuôi trồng thủy sản thôn 2 Dộc Điếm, Mỏ Tôm, Mom Danh, Nghè Hương</t>
  </si>
  <si>
    <t>Chuyển mục đích đất trồng lúa sang đất nuôi trồng thủy sản thôn 3 Nhà Yên, Một Dây, Cây Quýt</t>
  </si>
  <si>
    <t>Chuyển mục đích đất trồng lúa sang đất nuôi trồng thủy sản thôn 4 Cầu Quên, Đầm Chui, Nương Khuyến</t>
  </si>
  <si>
    <t>Chuyển mục đích đất trồng lúa sang đất nuôi trồng thủy sản thôn 5 Gò Cốc, Cầu Mũ, Động Tánh, Là Tắng</t>
  </si>
  <si>
    <t>Chuyển mục đích đất lúa sang đất nuôi trồng thủy sản thôn 6 Dộc Mộ, Gò Kiêu, Cà Cuống, Bến Bưởi, Đồng Muỗm, Đồng Con</t>
  </si>
  <si>
    <t>Chuyển mục đích đất trồng lúa sang đất nuôi trồng thủy sản thôn 7 Đồng Muỗm, ĐỒng Mụn</t>
  </si>
  <si>
    <t>Chuyển mục đích đất trồng lúa sang đất nuôi trồng thủy sản thôn 8 Nhà Nho, Đồng Trò</t>
  </si>
  <si>
    <t>Chuyển mục đích đất trồng lúa sang đất nuôi trồng thủy sản thôn 9 Dộc Dưỡng, Ao cả, Bóng Chẹt, Dọc ông Đặng, Bềnh Cỏ</t>
  </si>
  <si>
    <t>Chuyển mục đích đất trồng lúa sang đất nuôi trồng thủy sản thôn 10 Đồng Chừng, Mỏ Hoan, Làng Dẻo, Hố Ông Hòe</t>
  </si>
  <si>
    <t>Chuyển mục đích đất trồng lúa sang đất nuôi trồng thủy sản thôn 11 Đồm Dui, Cây Sữa</t>
  </si>
  <si>
    <t>Chuyển mục đích đất trồng lúa sang đất nuôi trồng thủy sản</t>
  </si>
  <si>
    <t>Khu 1, 2</t>
  </si>
  <si>
    <t>Dự án xây dựng trang trại trồng rau</t>
  </si>
  <si>
    <t>Không thấy bên danh mục điều chỉnh</t>
  </si>
  <si>
    <t>Đất nông nghiệp khác (vườn ươm)</t>
  </si>
  <si>
    <t>Trang trại</t>
  </si>
  <si>
    <t>Hộ gia đình, cá nhân</t>
  </si>
  <si>
    <t>Hủy bỏ do không khả thi để thực hiện</t>
  </si>
  <si>
    <t>Chưa xong TT về đất</t>
  </si>
  <si>
    <t>Chuyển tiếp ĐCQH 2021-2030, điều chỉnh giảm diện tích xuống 2,11 ha</t>
  </si>
  <si>
    <t>Huỷ bỏ 1,50 ha do chuyển sang giao đất ở. Chuyển tiếp ĐCQH 2021-2030 (16,98 ha)</t>
  </si>
  <si>
    <t>Huỷ bỏ do chuyển một phần sang giao đất ở</t>
  </si>
  <si>
    <t>LUC 0,42; HNK 1,53; RST 10,05</t>
  </si>
  <si>
    <t xml:space="preserve"> Chưa CMĐ. Chuyển tiếp ĐCQHSDĐ 2021 - 2030, điều chỉnh giảm diện tích xuống 7,70 ha</t>
  </si>
  <si>
    <t>Gò Bao Lan, Khu 1; Gò Dui, khu 9</t>
  </si>
  <si>
    <t>Chuyển tiếp ĐCQH 2021-2030, điều chỉnh giảm diện tích xuống 3,50 ha (hủy bỏ Gò Bao Lan, khu 1)</t>
  </si>
  <si>
    <t>Khán Đào, Khu 1; Khu rừng Lim, Khu 8</t>
  </si>
  <si>
    <t>Khu rừng Lim, Khu 8</t>
  </si>
  <si>
    <t>Phụ biểu 01:</t>
  </si>
  <si>
    <t>Đất xây dựng cơ sở giáo dục - đào tạo</t>
  </si>
  <si>
    <t>So sánh</t>
  </si>
  <si>
    <t>PHỤ LỤC</t>
  </si>
  <si>
    <t>Danh mục công trình, dự án thực hiện trong năm 2024 huyện Đoan Hùng</t>
  </si>
  <si>
    <t>Chu chuyển đất đai trong kế hoạch sử dụng đất năm 2024 huyện Đoan Hùng</t>
  </si>
  <si>
    <t>Diện tích cấp tỉnh phân bổ</t>
  </si>
  <si>
    <t>(6)=(4)+(5)</t>
  </si>
  <si>
    <t>Kế hoạch đưa đất chưa sử dụng vào sử dụng năm 2024 huyện Đoan Hùng</t>
  </si>
  <si>
    <t xml:space="preserve">Trong đó: Đất chuyên trồng lúa </t>
  </si>
  <si>
    <t>Đất trồng cây hằng năm khác</t>
  </si>
  <si>
    <t>Đất trồng cây hằng năm khác chuyển sang đất nuôi trồng thủy sản</t>
  </si>
  <si>
    <t>Đất chăn nuôi tập trung</t>
  </si>
  <si>
    <t>Đất trồng cây hằng năm khác chuyển sang Đất chăn nuôi tập trung</t>
  </si>
  <si>
    <t>(a) gồm đất trồng lúa, Đất trồng cây hằng năm khác, đất trồng cây lâu năm, đất nuôi trồng thủy sản, Đất chăn nuôi tập trung và đất nông nghiệp khác</t>
  </si>
  <si>
    <t>CNT</t>
  </si>
  <si>
    <t>CNT/PNN</t>
  </si>
  <si>
    <t>LUA/CNT</t>
  </si>
  <si>
    <t>HNK/CNT</t>
  </si>
  <si>
    <t>1.9</t>
  </si>
  <si>
    <t>Đất công trình giao thông</t>
  </si>
  <si>
    <t>Đất công trình thủy lợi</t>
  </si>
  <si>
    <t>Đất công trình năng lượng, chiếu sáng công cộng</t>
  </si>
  <si>
    <t>Đất công trình hạ tầng bưu chính, viễn thông, công nghệ thông tin</t>
  </si>
  <si>
    <t>Đất xây dựng cơ sở môi trường</t>
  </si>
  <si>
    <t>DMT</t>
  </si>
  <si>
    <t>Đất có di tích - lịch sử văn hóa, danh lam thắng cảnh, di sản thiên nhiên</t>
  </si>
  <si>
    <t>DDD</t>
  </si>
  <si>
    <t>Đất công trình xử lý chất thải</t>
  </si>
  <si>
    <t>Đất tôn giáo</t>
  </si>
  <si>
    <t>Đất nghĩa trang, nhà tang lễ, cơ sở hỏa táng; đất cơ sở lưu trữ tro cốt</t>
  </si>
  <si>
    <t>Đất xây dựng cơ sở xã hội</t>
  </si>
  <si>
    <t>Đất chợ dân sinh, chợ đầu mối</t>
  </si>
  <si>
    <t>Đất công trình cấp nước, thoát nước</t>
  </si>
  <si>
    <t>DCT</t>
  </si>
  <si>
    <t>Đất công trình phòng, chống thiên tai</t>
  </si>
  <si>
    <t>DPC</t>
  </si>
  <si>
    <t>Đất khu vui chơi, giải trí công cộng, sinh hoạt cộng đồng</t>
  </si>
  <si>
    <t>Đất xây dựng cơ sở khí tượng thủy văn</t>
  </si>
  <si>
    <t>DKT</t>
  </si>
  <si>
    <t>Đất tín ngưỡng</t>
  </si>
  <si>
    <t>Đất có mặt nước dạng sông, ngòi, kênh, rạch, suối</t>
  </si>
  <si>
    <t>Đất có mặt nước chuyên dùng dạng ao, hồ, đầm, phá</t>
  </si>
  <si>
    <t>Khu sản xuất nông nghiệp (khu vực chuyên trồng lúa, khu vực chuyên trồng cây công nghiệp lâu năm)</t>
  </si>
  <si>
    <t>Khu sản xuất nông nghiệp (khu vực chuyên trồng lúa, khu vực chuyên trồng cây lâu năm)</t>
  </si>
  <si>
    <t>TVC</t>
  </si>
  <si>
    <t>HIỆN TRẠNG SỬ DỤNG ĐẤT NĂM 2023 HUYỆN LỘC BÌNH - TỈNH LẠNG SƠN</t>
  </si>
  <si>
    <t>Đơn vị tính: Ha</t>
  </si>
  <si>
    <t>Tổng diện tích (ha)</t>
  </si>
  <si>
    <r>
      <t>Cơ cấu</t>
    </r>
    <r>
      <rPr>
        <b/>
        <sz val="12"/>
        <color indexed="8"/>
        <rFont val="Times New Roman"/>
        <family val="1"/>
      </rPr>
      <t xml:space="preserve"> (%)</t>
    </r>
  </si>
  <si>
    <t xml:space="preserve">Diện tích phân theo đơn vị hành chính </t>
  </si>
  <si>
    <t>Thị trấn Lộc Bình</t>
  </si>
  <si>
    <t>Thị trấn Na Dương</t>
  </si>
  <si>
    <t>Xã Ái Quốc</t>
  </si>
  <si>
    <t>Xã Đồng Bục</t>
  </si>
  <si>
    <t>Xã Đông Quan</t>
  </si>
  <si>
    <t>Xã Hữu Khánh</t>
  </si>
  <si>
    <t>Xã Hữu Lân</t>
  </si>
  <si>
    <t>Xã Khánh Xuân</t>
  </si>
  <si>
    <t>Xã Khuất Xá</t>
  </si>
  <si>
    <t>Xã Lợi Bác</t>
  </si>
  <si>
    <t>Xã Mẫu Sơn</t>
  </si>
  <si>
    <t>Xã Minh Hiệp</t>
  </si>
  <si>
    <t>Xã Nam Quan</t>
  </si>
  <si>
    <t>Xã Sàn Viên</t>
  </si>
  <si>
    <t>Xã Tam Gia</t>
  </si>
  <si>
    <t>Xã Thống Nhất</t>
  </si>
  <si>
    <t>Xã Tĩnh Bắc</t>
  </si>
  <si>
    <t>Xã Tú Đoạn</t>
  </si>
  <si>
    <t>Xã Tú Mịch</t>
  </si>
  <si>
    <t>Xã Xuân Dương</t>
  </si>
  <si>
    <t>Xã Yên Khoái</t>
  </si>
  <si>
    <t>(4)=(5)+...+(19)</t>
  </si>
  <si>
    <t>Tổng diện tích tự nhiên</t>
  </si>
  <si>
    <t>Đất chuyên trồng lúa</t>
  </si>
  <si>
    <t>Trong đó: Đất chuyên trồng lúa</t>
  </si>
  <si>
    <t>Trong đó: đất có rừng sản xuất là rừng tự nhiên</t>
  </si>
  <si>
    <t>Trong đó</t>
  </si>
  <si>
    <t xml:space="preserve">Trong đó: </t>
  </si>
  <si>
    <t xml:space="preserve"> -</t>
  </si>
  <si>
    <t>Đất công trình bưu chính, viễn thông</t>
  </si>
  <si>
    <t>Đất làm nghĩa trang, nhà tang lễ, nhà hỏa táng</t>
  </si>
  <si>
    <t>Đất xây dựng cơ sở khoa học công nghệ</t>
  </si>
  <si>
    <t>2.22</t>
  </si>
  <si>
    <t>KẾT QUẢ THỰC HIỆN QUY HOẠCH SỬ DỤNG ĐẤT KỲ TRƯỚC CỦA HUYỆN LỘC BÌNH</t>
  </si>
  <si>
    <t>Tăng (+), giảm (-) ha</t>
  </si>
  <si>
    <t>(7)=(5)/(4)*100%</t>
  </si>
  <si>
    <t>DIỆN TÍCH CHUYỂN MỤC ĐÍCH SỬ DỤNG ĐẤT TRONG KỲ ĐIỀU CHỈNH QUY HOẠCH PHÂN BỔ ĐẾN TỪNG ĐƠN VỊ HÀNH CHÍNH CẤP XÃ CỦA HUYỆN LỘC BÌNH</t>
  </si>
  <si>
    <t>DIỆN TÍCH ĐẤT CHƯA SỬ DỤNG ĐƯA VÀO SỬ DỤNG TRONG KỲ ĐIỀU CHỈNH QUY HOẠCH PHÂN BỔ ĐẾN TỪNG ĐƠN VỊ HÀNH CHÍNH CẤP XÃ CỦA HUYỆN LỘC BÌNH</t>
  </si>
  <si>
    <t>DIỆN TÍCH, CƠ CẤU SỬ DỤNG ĐẤT CÁC KHU CHỨC NĂNG HUYỆN LỘC BÌNH</t>
  </si>
  <si>
    <t>CHU CHUYỂN ĐẤT ĐAI TRONG KỲ ĐIỀU CHỈNH QUY HOẠCH SỬ DỤNG ĐẤT ĐẾN NĂM 2030 HUYỆN LỘC BÌNH</t>
  </si>
  <si>
    <t>Diện tích năm 2020 (ha)</t>
  </si>
  <si>
    <t>Diện tích năm 2023 (ha)</t>
  </si>
  <si>
    <t>Biến động 2023/2020</t>
  </si>
  <si>
    <t>Trong đó: Đất chuyên trồng lúa nước</t>
  </si>
  <si>
    <t>Tăng (+), giảm (-) (ha)</t>
  </si>
  <si>
    <t xml:space="preserve">ĐIỀU CHỈNH QUY HOẠCH SỬ DỤNG ĐẤT ĐẾN NĂM 2030 CỦA HUYỆN LỘC BÌNH
</t>
  </si>
  <si>
    <t>Diện tích cấp huyện xác định, xác định bổ sung</t>
  </si>
  <si>
    <t xml:space="preserve">Tổng diện tích </t>
  </si>
  <si>
    <t>Diện tích phân theo đơn vị hành chính</t>
  </si>
  <si>
    <t>Hiện trạng SDĐ năm 2023</t>
  </si>
  <si>
    <t>Diện tích ĐCQHSDĐ đến năm 2030 được duyệt tại QĐ số 2102/QĐ-UBND ngày 31/12/2022 của UBND tỉnh Lạng Sơn</t>
  </si>
  <si>
    <t>Diện tích cấp tỉnh phân bổ (ha)</t>
  </si>
  <si>
    <t>Điều chỉnh Quy hoạch SDĐ đến năm 2030</t>
  </si>
  <si>
    <t>So sánh ĐCQHSDĐ 2030/HT 2022 (ha)</t>
  </si>
  <si>
    <t>SS VỚI BIỂU 12CH TỔNG ĐẾN NĂM 2030</t>
  </si>
  <si>
    <t xml:space="preserve">KIỂM TRA </t>
  </si>
  <si>
    <t>ĐC QHSDĐ/ĐC QHSDD được duyệt (ha)</t>
  </si>
  <si>
    <t>ĐC QHSDĐ 2030/DT cấp tỉnh phân bổ (ha)</t>
  </si>
  <si>
    <t>(11)=(9)-(4)</t>
  </si>
  <si>
    <t>(12)=(9)-(6)</t>
  </si>
  <si>
    <t>(13)=(9)-(8)</t>
  </si>
  <si>
    <t>0,00</t>
  </si>
  <si>
    <t>0,0</t>
  </si>
  <si>
    <t>Loại đất</t>
  </si>
  <si>
    <t>Khu chức năng</t>
  </si>
  <si>
    <t>Đất khu đô thị</t>
  </si>
  <si>
    <t xml:space="preserve"> KDV</t>
  </si>
  <si>
    <t>Ghi chú: Khu chức năng không tổng hợp khi tính tổng diện tích tự nhiên</t>
  </si>
  <si>
    <t>(4)=(5)+…+(19)</t>
  </si>
  <si>
    <t xml:space="preserve">Đất nông nghiệp chuyển sang phi nông nghiệp </t>
  </si>
  <si>
    <t>2</t>
  </si>
  <si>
    <t xml:space="preserve">Chuyển đổi cơ cấu sử dụng đất trong nội bộ đất nông nghiệp </t>
  </si>
  <si>
    <t>Đất trồng lúa chuyển sang dất chăn nuôi tập trung</t>
  </si>
  <si>
    <t>Đất trồng lúa chuyển sang đất trồng cây hằng năm khác</t>
  </si>
  <si>
    <t>LUA/HNK</t>
  </si>
  <si>
    <t>Đất trồng lúa chuyển sang đất nông nghiệp khác</t>
  </si>
  <si>
    <t>LUA/NKH</t>
  </si>
  <si>
    <t>Đất trồng cây hàng năm khác chuyển sang Đất chăn nuôi tập trung</t>
  </si>
  <si>
    <t>Đất rừng phòng hộ chuyển sang đất nông nghiệp không phải rừng</t>
  </si>
  <si>
    <r>
      <t>RPH/NKR</t>
    </r>
    <r>
      <rPr>
        <vertAlign val="superscript"/>
        <sz val="12"/>
        <rFont val="Times New Roman"/>
        <family val="1"/>
      </rPr>
      <t>(a)</t>
    </r>
  </si>
  <si>
    <t>Đất rừng đặc dụng chuyển sang đất nông nghiệp không phải rừng</t>
  </si>
  <si>
    <r>
      <t>RDD/NKR</t>
    </r>
    <r>
      <rPr>
        <vertAlign val="superscript"/>
        <sz val="12"/>
        <rFont val="Times New Roman"/>
        <family val="1"/>
      </rPr>
      <t>(a)</t>
    </r>
  </si>
  <si>
    <t>Đất rừng sản xuất chuyển sang đất nông nghiệp không phải rừng</t>
  </si>
  <si>
    <r>
      <t>RSX/NKR</t>
    </r>
    <r>
      <rPr>
        <vertAlign val="superscript"/>
        <sz val="12"/>
        <rFont val="Times New Roman"/>
        <family val="1"/>
      </rPr>
      <t>(a)</t>
    </r>
  </si>
  <si>
    <r>
      <t>RSN/NKR</t>
    </r>
    <r>
      <rPr>
        <i/>
        <vertAlign val="superscript"/>
        <sz val="12"/>
        <rFont val="Times New Roman"/>
        <family val="1"/>
      </rPr>
      <t>(a)</t>
    </r>
  </si>
  <si>
    <t>3</t>
  </si>
  <si>
    <t>Đất phi nông nghiệp không phải là đất ở chuyển sang đất ở</t>
  </si>
  <si>
    <t>Ghi chú: - (a) gồm đất sản xuất nông nghiệp, đất nuôi trồng thủy sản, Đất chăn nuôi tập trung và đất nông nghiệp khác</t>
  </si>
  <si>
    <t xml:space="preserve"> - PKO là đất phi nông nghiệp không phải đất ở</t>
  </si>
  <si>
    <t>DIỆN TÍCH, CƠ CẤU SỬ DỤNG ĐẤT CÁC KHU CHỨC NĂNG CỦA HUYỆN LỘC BÌNH</t>
  </si>
  <si>
    <t>Khu công nghệ cao</t>
  </si>
  <si>
    <t>1</t>
  </si>
  <si>
    <t>ĐẤT NÔNG NGHIỆP</t>
  </si>
  <si>
    <t>Trong đó:đất có rừng sản xuất là rừng tự nhiên</t>
  </si>
  <si>
    <t>Đất nuôi  trồng thuỷ sản</t>
  </si>
  <si>
    <t>ĐẤT PHI NÔNG NGHIỆP</t>
  </si>
  <si>
    <t>CHU CHUYỂN ĐẤT ĐAI TRONG KỲ ĐIỀU CHỈNH QUY HOẠCH SỬ DỤNG ĐẤT 10 NĂM (2021-2030) CỦA HUYỆN LỘC BÌNH</t>
  </si>
  <si>
    <t>Thứ tự</t>
  </si>
  <si>
    <t>CHỈ TIÊU</t>
  </si>
  <si>
    <t>Diện tích năm 2020</t>
  </si>
  <si>
    <t>Chu chuyển đất đai đến năm 2023</t>
  </si>
  <si>
    <t>Biến động
tăng(+), giảm(-)</t>
  </si>
  <si>
    <t>Tăng giảm
khác (-,+)</t>
  </si>
  <si>
    <t>Diện tích năm 2030</t>
  </si>
  <si>
    <t xml:space="preserve"> DIỆN TÍCH ĐẤT TỰ NHIÊN</t>
  </si>
  <si>
    <t>Trong đó: Đất có rừng là rừng sản xuất tự nhiên</t>
  </si>
  <si>
    <t xml:space="preserve"> Đất có rừng sản xuất là rừng trồng</t>
  </si>
  <si>
    <t>Đất thuỷ lợi</t>
  </si>
  <si>
    <t>Đất xây dựng cơ sở thể dục - thể thao</t>
  </si>
  <si>
    <t>Đất cơ sở dịch vụ về xã hội</t>
  </si>
  <si>
    <t>Diện  tích cuối kỳ, năm 2030</t>
  </si>
  <si>
    <t>Cấp tỉnh phân bổ</t>
  </si>
  <si>
    <t>Cấp huyện xác định bổ sung</t>
  </si>
  <si>
    <t>Diện tích ĐCQHSDĐ đến năm 2030 (ha)</t>
  </si>
  <si>
    <t>So sánh phương án được duyệt tại QĐ số 2102/QĐ-UBND ngày 30/12/2022 của UBND tỉnh Lạng Sơn</t>
  </si>
  <si>
    <t>Diện tích hiện trạng đến ngày 31/12/2023</t>
  </si>
  <si>
    <t>(8)=(6)-(7)</t>
  </si>
  <si>
    <t>(10)=(6)-(9)</t>
  </si>
  <si>
    <t>Cấp tỉnh phân bổ (ha)</t>
  </si>
  <si>
    <t>Cấp huyện xác định, xác định bổ sung (ha)</t>
  </si>
  <si>
    <t>Phụ biểu 1</t>
  </si>
  <si>
    <t>Phụ biểu 2</t>
  </si>
  <si>
    <t>Phụ biểu 4</t>
  </si>
  <si>
    <t>- </t>
  </si>
  <si>
    <t>Trong đó: đất rừng sản xuất là rừng tự nhiên</t>
  </si>
  <si>
    <t>(7)=(8)-(6)</t>
  </si>
  <si>
    <t>Kết quả thực hiện quy hoạch sử dụng đất so với chỉ tiêu được UBND tỉnh phân bổ</t>
  </si>
  <si>
    <t>Diện tích ha</t>
  </si>
  <si>
    <t>Tỷ lệ</t>
  </si>
  <si>
    <t>(%)</t>
  </si>
  <si>
    <t>(7)=(5)/(4) *100%</t>
  </si>
  <si>
    <t>Diện tích CMĐ theo quy hoạch được duyệt (ha)</t>
  </si>
  <si>
    <t>Diện tích CMĐ đã thực hiện (ha)</t>
  </si>
  <si>
    <t>1,468.26</t>
  </si>
  <si>
    <t>Đất trồng lúa chuyển sang đất nuôi trồng thủy sản</t>
  </si>
  <si>
    <t>RPH/NKR</t>
  </si>
  <si>
    <t>RSX/NKR</t>
  </si>
  <si>
    <t>1,457.84</t>
  </si>
  <si>
    <t>RSN/NKR(a)</t>
  </si>
  <si>
    <t>Kết quả chuyển mục đích sử dụng đất</t>
  </si>
  <si>
    <t>Diện tích đưa đất chưa sử dụng vào sử dụng theo quy hoạch được duyệt (ha)</t>
  </si>
  <si>
    <t>Diện tích đưa đất chưa sử dụng vào sử dụng đã thực hiện được (ha)</t>
  </si>
  <si>
    <t>Đất có di tích lịch sử - văn hóa, danh lam thắng cảnh di sản thiên nhiên</t>
  </si>
  <si>
    <t>Kết quả đưa đất chưa sử dụng vào sử dụng</t>
  </si>
  <si>
    <t>So sánh ĐCQHSDĐ 2030/HT 2023 (ha)</t>
  </si>
  <si>
    <t xml:space="preserve"> Đất nông nghiệp </t>
  </si>
  <si>
    <t xml:space="preserve"> Trong đó: </t>
  </si>
  <si>
    <t xml:space="preserve"> 1.1 </t>
  </si>
  <si>
    <t xml:space="preserve"> 1.2 </t>
  </si>
  <si>
    <t xml:space="preserve"> 1.3 </t>
  </si>
  <si>
    <t xml:space="preserve"> 1.4 </t>
  </si>
  <si>
    <t xml:space="preserve"> 1.5 </t>
  </si>
  <si>
    <t xml:space="preserve"> RDD </t>
  </si>
  <si>
    <t xml:space="preserve"> 1.6 </t>
  </si>
  <si>
    <t xml:space="preserve"> RSX </t>
  </si>
  <si>
    <t xml:space="preserve"> RSN </t>
  </si>
  <si>
    <t xml:space="preserve"> 1.7 </t>
  </si>
  <si>
    <t xml:space="preserve"> NTS </t>
  </si>
  <si>
    <t xml:space="preserve"> 1.8 </t>
  </si>
  <si>
    <t xml:space="preserve"> NKH </t>
  </si>
  <si>
    <t xml:space="preserve"> Đất phi nông nghiệp </t>
  </si>
  <si>
    <t xml:space="preserve"> PNN </t>
  </si>
  <si>
    <t xml:space="preserve"> 2.1 </t>
  </si>
  <si>
    <t xml:space="preserve"> CQP </t>
  </si>
  <si>
    <t xml:space="preserve"> 2.2 </t>
  </si>
  <si>
    <t xml:space="preserve"> CAN </t>
  </si>
  <si>
    <t xml:space="preserve"> 2.3 </t>
  </si>
  <si>
    <t xml:space="preserve"> SKK </t>
  </si>
  <si>
    <t xml:space="preserve"> SKN </t>
  </si>
  <si>
    <t xml:space="preserve"> 2.4 </t>
  </si>
  <si>
    <t xml:space="preserve"> TMD </t>
  </si>
  <si>
    <t xml:space="preserve"> 2.5 </t>
  </si>
  <si>
    <t xml:space="preserve"> SKC </t>
  </si>
  <si>
    <t xml:space="preserve"> 2.6 </t>
  </si>
  <si>
    <t xml:space="preserve"> SKS </t>
  </si>
  <si>
    <t xml:space="preserve"> 2.7 </t>
  </si>
  <si>
    <t xml:space="preserve"> DHT </t>
  </si>
  <si>
    <t xml:space="preserve"> - </t>
  </si>
  <si>
    <t xml:space="preserve"> DGT </t>
  </si>
  <si>
    <t xml:space="preserve"> DTL </t>
  </si>
  <si>
    <t xml:space="preserve"> DVH </t>
  </si>
  <si>
    <t xml:space="preserve"> DYT </t>
  </si>
  <si>
    <t xml:space="preserve"> DGD </t>
  </si>
  <si>
    <t xml:space="preserve"> DTT </t>
  </si>
  <si>
    <t xml:space="preserve"> 2.8 </t>
  </si>
  <si>
    <t xml:space="preserve"> 2.9 </t>
  </si>
  <si>
    <t xml:space="preserve"> 2.10 </t>
  </si>
  <si>
    <t xml:space="preserve"> 2.11 </t>
  </si>
  <si>
    <t xml:space="preserve"> 2.17 </t>
  </si>
  <si>
    <t xml:space="preserve"> 2.18 </t>
  </si>
  <si>
    <t xml:space="preserve"> 2.19 </t>
  </si>
  <si>
    <t xml:space="preserve"> 2.12 </t>
  </si>
  <si>
    <t xml:space="preserve"> 2.13 </t>
  </si>
  <si>
    <t xml:space="preserve"> 2.14 </t>
  </si>
  <si>
    <t xml:space="preserve"> 2.15 </t>
  </si>
  <si>
    <t xml:space="preserve"> Đất phi nông nghiệp khác </t>
  </si>
  <si>
    <t xml:space="preserve"> PNK </t>
  </si>
  <si>
    <t xml:space="preserve"> Đất chưa sử dụng </t>
  </si>
  <si>
    <t xml:space="preserve"> CSD </t>
  </si>
  <si>
    <t>Chỉ tiêu sử dụng đất cấp tỉnh phân bổ đến năm 2030</t>
  </si>
  <si>
    <t>Khu đô thị thương mại - dịch vụ</t>
  </si>
  <si>
    <t>Đất trồng lúa chuyển sang đất chăn nuôi tập trung</t>
  </si>
  <si>
    <t>Diện tích kế hoạch được duyệt (ha)</t>
  </si>
  <si>
    <t>Diện tích đầu kỳ năm 2024</t>
  </si>
  <si>
    <t>Diện tích cuối kỳ, năm 2025</t>
  </si>
  <si>
    <t>Diện tích cuối kỳ năm 2025</t>
  </si>
  <si>
    <t>Hiện trạng sử dụng đất năm 2024 huyện Bình Gia</t>
  </si>
  <si>
    <t>Kết quả thực hiện kế hoạch sử dụng đất kỳ trước huyện Bình Gia</t>
  </si>
  <si>
    <t>Kế hoạch sử dụng đất năm 2025 huyện Bình Gia</t>
  </si>
  <si>
    <t>Kế hoạch chuyển mục đích sử dụng đất năm 2025 huyện Bình Gia</t>
  </si>
  <si>
    <t>Kế hoạch đưa đất chưa sử dụng vào sử dụng năm 2025 huyện Bình Gia</t>
  </si>
  <si>
    <t>Danh mục công trình, dự án thực hiện trong năm 2025 huyện Bình Gia</t>
  </si>
  <si>
    <t>Chu chuyển đất đai trong kế hoạch sử dụng đất năm 2025 huyện Bình Gia</t>
  </si>
  <si>
    <t>Diện tích, cơ cấu sử dụng đất các khu chức năng của huyện Bình Gia</t>
  </si>
  <si>
    <t>Chu chuyển đất đai trong kỳ điều chỉnh quy hoạch sử dụng đất đến năm 2030 huyện Bình Gia</t>
  </si>
  <si>
    <t>Đánh giá danh mục công trình, dự án trong kỳ điều chỉnh quy hoạch sử dụng đất đến năm 2030 huyện Bình Gia</t>
  </si>
  <si>
    <t>Đánh giá danh mục công trình, dự án thực hiện cấp giấy chứng nhận quyền sử dụng đất trong kỳ điều chỉnh quy hoạch sử dụng đất đến năm 2030 huyện Bình Gia</t>
  </si>
  <si>
    <t xml:space="preserve">Danh mục công trình, dự án thực hiện trong kỳ điều chỉnh quy hoạch đến năm 2030 huyện Bình Gia </t>
  </si>
  <si>
    <t>Danh mục công trình, dự án đăng ký cấp giấy chứng nhận quyền sử dụng đất trong kỳ điều chỉnh quy hoạch sử dụng đất đến năm 2030 huyện Bình Gia</t>
  </si>
  <si>
    <t>Danh mục công trình, dự án hủy bỏ trong kỳ điều chỉnh quy hoạch sử dụng đất đến năm 2030 huyện Bình Gia</t>
  </si>
  <si>
    <t>HỆ THỐNG BIỂU TRONG KẾ HOẠCH SỬ DỤNG ĐẤT NĂM 2025 HUYỆN BÌNH GIA</t>
  </si>
  <si>
    <t>HIỆN TRẠNG SỬ DỤNG ĐẤT NĂM 2024 HUYỆN BÌNH GIA</t>
  </si>
  <si>
    <t>Thị trấn Bình Gia</t>
  </si>
  <si>
    <t>Xã Bình La</t>
  </si>
  <si>
    <t xml:space="preserve"> Xã Hoà Bình</t>
  </si>
  <si>
    <t>Xã Hoàng Văn Thụ</t>
  </si>
  <si>
    <t>Xã Hoa Thám</t>
  </si>
  <si>
    <t>Xã Hồng Phong</t>
  </si>
  <si>
    <t>Xã Hồng Thái</t>
  </si>
  <si>
    <t>Xã Hưng Đạo</t>
  </si>
  <si>
    <t>Xã Minh Khai</t>
  </si>
  <si>
    <t>Xã Mông Ân</t>
  </si>
  <si>
    <t>Xã Quang Trung</t>
  </si>
  <si>
    <t>Xã Quý Hoà</t>
  </si>
  <si>
    <t>Xã Tân Hoà</t>
  </si>
  <si>
    <t>Xã Tân Văn</t>
  </si>
  <si>
    <t>Xã Thiện Hoà</t>
  </si>
  <si>
    <t>Xã Thiện Long</t>
  </si>
  <si>
    <t>Xã Thiện Thuật</t>
  </si>
  <si>
    <t>Xã Vĩnh Yên</t>
  </si>
  <si>
    <t>Xã Yên Lỗ</t>
  </si>
  <si>
    <t>KẾ HOẠCH SỬ DỤNG ĐẤT NĂM 2025 HUYỆN BÌNH GIA</t>
  </si>
  <si>
    <t>KẾ HOẠCH CHUYỂN MỤC ĐÍCH SỬ DỤNG ĐẤT NĂM 2025 HUYỆN BÌNH GIA</t>
  </si>
  <si>
    <t>KẾ HOẠCH ĐƯA ĐẤT CHƯA SỬ DỤNG VÀO SỬ DỤNG NĂM 2025 HUYỆN BÌNH GIA</t>
  </si>
  <si>
    <t>CHU CHUYỂN ĐẤT ĐAI TRONG KẾ HOẠCH SỬ DỤNG ĐẤT NĂM 2025 HUYỆN BÌNH GIA</t>
  </si>
  <si>
    <t>KẾT QUẢ THỰC HIỆN KẾ HOẠCH SỬ DỤNG ĐẤT KỲ TRƯỚC CỦA HUYỆN BÌNH GIA</t>
  </si>
  <si>
    <t>KẾ HOẠCH THU HỒI ĐẤT NĂM 2025 HUYỆN BÌNH GIA</t>
  </si>
  <si>
    <t>(4)=(5)+… + (23)</t>
  </si>
  <si>
    <t>(4)=(5)+…+(23)</t>
  </si>
  <si>
    <t>Biểu 08/CH</t>
  </si>
  <si>
    <t>Kế hoạch thu hồi đất năm 2025 huyện Bình Gia</t>
  </si>
  <si>
    <t>Chu chuyển đất đai đến năm 2025</t>
  </si>
  <si>
    <t xml:space="preserve"> </t>
  </si>
  <si>
    <t>DANH MỤC CÔNG TRÌNH, DỰ ÁN THỰC HIỆN TRONG NĂM 2025</t>
  </si>
  <si>
    <t>HUYỆN BÌNH GIA - TỈNH LẠNG SƠN</t>
  </si>
  <si>
    <t>Huyện</t>
  </si>
  <si>
    <t xml:space="preserve">Mã loại đất </t>
  </si>
  <si>
    <t>Diện tích KH (ha)</t>
  </si>
  <si>
    <t>Diện tích HT (ha)</t>
  </si>
  <si>
    <t>Tăng thêm</t>
  </si>
  <si>
    <t>Địa điểm (đến cấp xã)</t>
  </si>
  <si>
    <t>Vị trí trên bản đồ địa chính (tờ bản đồ số, thửa số); trường hợp không có bản đồ địa chính thì sử dụng trên nền bản đồ hiện trạng sử dụng đất cấp xã</t>
  </si>
  <si>
    <t>Quyết định phê duyệt, văn bản chấp thuận, giấy chứng nhận đầu tư,…</t>
  </si>
  <si>
    <t>Đếm công trình</t>
  </si>
  <si>
    <t xml:space="preserve">Nghị quyết </t>
  </si>
  <si>
    <t>Ghi chú NQ</t>
  </si>
  <si>
    <t>Phòng ban</t>
  </si>
  <si>
    <t>(1)</t>
  </si>
  <si>
    <t>(2)</t>
  </si>
  <si>
    <t>(31)</t>
  </si>
  <si>
    <t>(3)=
(4)+(5)</t>
  </si>
  <si>
    <t>(4)</t>
  </si>
  <si>
    <t>(6)</t>
  </si>
  <si>
    <t>(7)</t>
  </si>
  <si>
    <t>(8)</t>
  </si>
  <si>
    <t>(9)</t>
  </si>
  <si>
    <t>(11)</t>
  </si>
  <si>
    <t>(10)</t>
  </si>
  <si>
    <t>(14)</t>
  </si>
  <si>
    <t>(15)</t>
  </si>
  <si>
    <t>(12)</t>
  </si>
  <si>
    <t>(13)</t>
  </si>
  <si>
    <t>(17)</t>
  </si>
  <si>
    <t>(16)</t>
  </si>
  <si>
    <t>(18)</t>
  </si>
  <si>
    <t>(19)</t>
  </si>
  <si>
    <t>(20)</t>
  </si>
  <si>
    <t>(21)</t>
  </si>
  <si>
    <t>(22)</t>
  </si>
  <si>
    <t>(23)</t>
  </si>
  <si>
    <t>(24)</t>
  </si>
  <si>
    <t>(25)</t>
  </si>
  <si>
    <t>(26)</t>
  </si>
  <si>
    <t>(29)</t>
  </si>
  <si>
    <t>(30)</t>
  </si>
  <si>
    <t>Công trình, dự án trong kế hoạch sử dụng đất cấp tỉnh</t>
  </si>
  <si>
    <t>A.1</t>
  </si>
  <si>
    <t>Công trình dự án mục đích quốc phòng, an ninh</t>
  </si>
  <si>
    <t>Công trình C1 huyện Bình Gia</t>
  </si>
  <si>
    <t>Huyện Bình Gia</t>
  </si>
  <si>
    <t>Thôn Bản Quần, xã Quang Trung</t>
  </si>
  <si>
    <t>Tờ LN 2 thửa 908, 929, 966, 992, 993,..</t>
  </si>
  <si>
    <t>Đề án số 223/ĐA-UBND ngày 03/11/2019 của UBND tỉnh</t>
  </si>
  <si>
    <t>Chuyển tiếp KHSDĐ năm 2025</t>
  </si>
  <si>
    <t>Chưa có NQ</t>
  </si>
  <si>
    <t>Xây mới trụ sở công an xã Vĩnh Yên</t>
  </si>
  <si>
    <t>Thôn Vằng Mần, xã Vĩnh Yên</t>
  </si>
  <si>
    <t>Tờ 68, thửa 04; Tờ 01, thửa 203, 216</t>
  </si>
  <si>
    <t>Quyết định số 2048/QĐ-UBND ngày 09/12/2023 của UBND tỉnh Quyết định ban hành Đề án đảm bảo cơ sở vật chất cho công an xã chính quy trên địa bàn tỉnh Lạng Sơn</t>
  </si>
  <si>
    <t>Đang san lấp mặt bằng. Chuyển tiếp KHSDĐ năm 2025</t>
  </si>
  <si>
    <t>Xây mới trụ sở công an xã Hoàng Văn Thụ</t>
  </si>
  <si>
    <t>Thôn Thuần Như 1, xã Hoàng Văn Thụ</t>
  </si>
  <si>
    <t>Tờ 80 thửa 225, 227; tờ 81</t>
  </si>
  <si>
    <t>Hủy bỏ (do chuyển vị trí)</t>
  </si>
  <si>
    <t>Xây mới trụ sở công an xã Tân Văn</t>
  </si>
  <si>
    <t>Thôn Nà Vước, xã Tân Văn</t>
  </si>
  <si>
    <t>Tờ 30 thửa số 65, 66, 73, 74, 104, 87</t>
  </si>
  <si>
    <t>Đang thi công. Chuyển tiếp KHSDĐ năm 2025</t>
  </si>
  <si>
    <t>Nghị quyết số 54/NQ-HĐND ngày 08/12/2023 của HĐND tỉnh Lạng Sơn</t>
  </si>
  <si>
    <t>LUA (0,04)</t>
  </si>
  <si>
    <t>Có NQ</t>
  </si>
  <si>
    <t>Xây mới trụ sở công an xã Hồng Phong</t>
  </si>
  <si>
    <t>Thôn Kim Liên, xã Hồng Phong</t>
  </si>
  <si>
    <t>Tờ 03 LN thửa 233, 269</t>
  </si>
  <si>
    <t>Xây mới trụ sở công an xã Hòa Bình</t>
  </si>
  <si>
    <t>Xã Hòa Bình</t>
  </si>
  <si>
    <t>Thôn Tà Chu, xã Hòa Bình</t>
  </si>
  <si>
    <t>Tờ LN 2 thửa 136. Tờ 56 thửa 56, 66, 74</t>
  </si>
  <si>
    <t>Xây mới trụ sở công an xã Quang Trung</t>
  </si>
  <si>
    <t>Thôn Nà Tèo, xã Quang Trung</t>
  </si>
  <si>
    <t>Tờ 84, 96 thửa 284, 264, 45, 3</t>
  </si>
  <si>
    <t>Đã GPMB, chưa xây dựng. Chuyển tiếp KHSDĐ năm 2025</t>
  </si>
  <si>
    <t>Xây mới trụ sở công an xã Yên Lỗ</t>
  </si>
  <si>
    <t>Thôn Bản Mè, xã Yên Lỗ</t>
  </si>
  <si>
    <t>Tờ 174 thửa 37, 38, 43, 55, 54,…</t>
  </si>
  <si>
    <t>Xây mới trụ sở công an xã Hưng Đạo</t>
  </si>
  <si>
    <t>Thôn Bản Chu, xã Hưng Đạo</t>
  </si>
  <si>
    <t>Tờ 91 thửa 56, 59, 60</t>
  </si>
  <si>
    <t>Nghị quyết số 33/NQ-HĐND ngày 14/9/2024 của HĐND tỉnh Lạng Sơn</t>
  </si>
  <si>
    <t>LUA(1.200)</t>
  </si>
  <si>
    <t>Xây mới trụ sở công an xã Minh Khai</t>
  </si>
  <si>
    <t>Thôn Nà Mạ, xã Minh Khai</t>
  </si>
  <si>
    <t>Tờ LN 01 thửa 496; Tờ 31 thửa 68, 69, 70, 71, 72, 60, 86</t>
  </si>
  <si>
    <t>Xây mới trụ sở công an xã Bình La</t>
  </si>
  <si>
    <t>Thôn Bản Piòa, xã Bình La</t>
  </si>
  <si>
    <t>Tờ 63 thửa 264</t>
  </si>
  <si>
    <t>LUA (900)</t>
  </si>
  <si>
    <t>Xây mới trụ sở công an xã Hồng Thái</t>
  </si>
  <si>
    <t>Thôn Bản Huấn, xã Hồng Thái</t>
  </si>
  <si>
    <t>Tờ 60 thửa 259, 260, 276, 277, 298, 299, 300, 217, 321,…</t>
  </si>
  <si>
    <t>A.2</t>
  </si>
  <si>
    <t>Công trình, dự án để phát triển kinh tế - xã hội vì lợi ích quốc gia, công cộng</t>
  </si>
  <si>
    <t>Công trình, dự án quan trọng quốc gia do Quốc hội QĐ chủ trương đầu tư mà phải thu hồi đất</t>
  </si>
  <si>
    <t>Công trình, dự án do Thủ tướng Chính phủ chấp thuận, quyết định đầu tư mà phải thu hồi đất</t>
  </si>
  <si>
    <t xml:space="preserve">Các công trình, dự án còn lại </t>
  </si>
  <si>
    <t>B.1</t>
  </si>
  <si>
    <t>Công trình, dự án do HĐND cấp tỉnh chấp thuận mà phải thu hồi đất</t>
  </si>
  <si>
    <t>Cụm công nghiệp Tân Văn, huyện Bình Gia</t>
  </si>
  <si>
    <t>Thôn Kéo Coong, xã Tân Văn</t>
  </si>
  <si>
    <t xml:space="preserve">Tờ 47, 48, 49, 60, 61, 62; Tờ LN 05 </t>
  </si>
  <si>
    <t xml:space="preserve">Đầu tư xây dựng tuyến đường tránh ĐT.226 (đoạn qua thị trấn Bình Gia, Văn Mịch và khu tái định cư, dân cư Thị trấn Bình Gia) </t>
  </si>
  <si>
    <t>DGT.</t>
  </si>
  <si>
    <t>TT Bình Gia, xã Hồng Phong</t>
  </si>
  <si>
    <t>TT Bình Gia tờ 38, 45, 46, 51, 52 TH cũ; Hồng Phong tờ LN 03</t>
  </si>
  <si>
    <t>Nghị quyết 46/NQ-HĐND ngày 25/11/2021 của HĐND tỉnh Lạng Sơn. Quyết định 1206/QĐ-UBND ngày 19/7/2022 của UBND tỉnh Lạng Sơn phê duyệt KH PT nhà ở tỉnh Lạng Sơn giai đoạn 2021-2025</t>
  </si>
  <si>
    <t>Đang GPMB. Chuyển tiếp KHSDĐ năm 2025</t>
  </si>
  <si>
    <t>NGHỊ QUYẾT SỐ 33/NQ-HĐND NGÀY 14/9/2023 CỦA HĐND tỉnh</t>
  </si>
  <si>
    <t xml:space="preserve"> LUA (67.519,4); HNK(31.535,2); CLN (17.582,4); RSX (55.849,1); NTS (8.510,5);  NTD (184,6); TIN (1.113,4); DVH (279,5); TSC (70,1); DGD (22,5) SON (92,2); ODT(11.779,1); DGT (8.000,4); DTL (970,6); CSD (6.591)</t>
  </si>
  <si>
    <t>TT Bình Gia</t>
  </si>
  <si>
    <t>Hạng mục Đường Khuổi Con - Nà Nưa, xã Minh Khai - Bản Hoay xã Hồng Thái huyện Bình Gia thuộc dự án Cải tạo, nâng cấp hạ tầng phục vụ chuỗi giá trị nông nghiệp thuộc Hợp phần 3 (Cơ sở hạ tầng chuỗi giá trị nông nghiệp) dự án BIIG1-TDA tỉnh Lạng Sơn</t>
  </si>
  <si>
    <t>Thôn Bản Hoay, xã Hồng Thái; thôn Nà Nưa xã Minh Khai</t>
  </si>
  <si>
    <t>Quyết định số 1727/QĐ-UBND ngày 31/10/2022 của UBND tỉnh Lạng Sơn về việc phê duyệt dự án đầu tư xây dựng công trình Cái tạo, nâng cấp hạ tầng phục vụ chuỗi giá trị nông nghiệp thuộc Hợp phần 3 (Cơ sở hạ tầng chuỗi giá trị nông nghiệp) dự án BIIG1-TDA tỉnh Lạng Sơn</t>
  </si>
  <si>
    <t>Đã GPMB, chuẩn bị thi công. Chuyển tiếp KHSDĐ năm 2025</t>
  </si>
  <si>
    <t>điều chỉnh loại đất lấy vào</t>
  </si>
  <si>
    <t>Điều chỉnh Nghị quyết số 27/NQ-HĐND ngày 30/05/2024 của HĐND tỉnh Lạng Sơn</t>
  </si>
  <si>
    <t>LUC(2.394); LUK(2.553);
NHK(2.706); CLN(6.662);
RSX(76.802); NTS(115);
DGT(52.567); ONT(1.181);
SON(421); DTL(316); DGD(72); DSH(15); DNL(33); CSD(2.753)</t>
  </si>
  <si>
    <t>Mở rộng đường nội thị (19/4), thị trấn Bình Gia, huyện Bình Gia</t>
  </si>
  <si>
    <t>Khối phố 6A, TT Bình Gia</t>
  </si>
  <si>
    <t>Tờ 9, 14, 15, 22, 23, 29, 30</t>
  </si>
  <si>
    <t>Quyết định số 1579/QĐ-UBND ngày 08/10/2014 của UBND tỉnh về việc phê duyệt dự án ĐTXD công trình; Quyết định số 412/QĐ-UBND ngày 12/3/2020 của UBND tỉnh Lạng Sơn v/v phê duyệt điều chỉnh dự án ĐTXD công trình: đường nội thị (19/4), thị trấn Bình Gia, huyện Bình Gia</t>
  </si>
  <si>
    <t>chưa tìm thấy trong NQ</t>
  </si>
  <si>
    <t>Đường nội thị (19/4), thị trấn Bình Gia, huyện Bình Gia (Đường nội thị 19/4 kéo dài)</t>
  </si>
  <si>
    <t>Khối Phố Tòng Chu, khối phố 2, TT Bình Gia</t>
  </si>
  <si>
    <t>Tờ 91 HVT; Tờ 6, 7 TT</t>
  </si>
  <si>
    <t>Quyết định số 1579/QĐ-UBND ngày 08/10/2014 của UBND tỉnh về việc phê duyệt dự án đầu tư xây dựng công trình; Quyết định số 412/QĐ-UBND ngày 12/3/2020 của UBND tỉnh về việc phê duyệt điều chỉnh dự án đầu tư xây dựng công trình; Quyết định số 3969/QĐ-UBND ngày 16/12/2022 của UBND huyện Bình Gia về việc giao mục tiêu nhiệm vụ, kế hoạch vốn ngân sách nhà nước thực hiện các chương trình mục tiêu Quốc gia trên địa bàn huyện Bình Gia năm 2023</t>
  </si>
  <si>
    <t>NGHỊ QUYẾT SỐ 12/NQ-HĐND NGÀY 19/4/2023 CỦA HĐND tỉnh, Điều chỉnh Nghị quyết số 54/NQ-HĐND ngày 08/12/2023 của HĐND tỉnh Lạng Sơn</t>
  </si>
  <si>
    <t>LUC(2.728,5); HNK(1.315); CLN(3067,7); NTS(421,1); ODT(494,4); TSC(1.698,2); DGT(813,9); DTL(113,5)</t>
  </si>
  <si>
    <t>Cầu Pác Khuông, Viên Minh, xã Thiện Thuật</t>
  </si>
  <si>
    <t>Thôn Pác Khuông, xã Thiện Thuật</t>
  </si>
  <si>
    <t xml:space="preserve">Nghị quyết số 46/NQ-HĐND ngày 30/9/2024 của HĐND tỉnh  Lạng Sơn Về việc dự kiến Kế hoạch đầu tư công trung hạn vốn ngân sách nhà nước giai đoạn 2026 - 2030 </t>
  </si>
  <si>
    <t>Hạng mục đất giao thông</t>
  </si>
  <si>
    <t>Hạng mục bãi đổ thải</t>
  </si>
  <si>
    <t>Cầu Kim Liên, Nà ven, xã Hồng Phong</t>
  </si>
  <si>
    <t xml:space="preserve">Hạng mục: Xây dựng Cầu treo vượt sông Bắc Giang; đường dẫn hai đầu cầu, điểm đầu tuyến nối với đường ĐH.61 tại Km22+170; Đường đi thôn Khuổi Ngành, xã Quý Hòa; Đường đi thôn Khuổi Lùng; Đường đi thôn Khuổi Luông (Thuộc công trình xây dựng, cải tạo nâng cấp đường Hoa Thám- Quý Hòa - Vĩnh Yên huyện Bình Gia, tỉnh Lạng Sơn) </t>
  </si>
  <si>
    <t>Thôn Khuổi Ngành, Khuổi Lùng xã Quý Hòa; Thôn Khuổi Luông xã Vĩnh Yên, xã Yên Lỗ</t>
  </si>
  <si>
    <t>Công văn số 1025/UBND-KT ngày 31/8/2022 của UBND tỉnh Lạng Sơn về việc đồng ý chủ trương bổ sung một số hạng mục công trình xây dựng, cải tạo nâng cấp đường Hoa Thám- Quý Hòa - Vĩnh Yên huyện Bình Gia, tỉnh Lạng Sơn</t>
  </si>
  <si>
    <t>Hết hạn NQ</t>
  </si>
  <si>
    <t>NGHỊ QUYẾT SỐ 40/NQ-HĐND NGÀY 10/12/2022 CỦA HĐND tỉnh</t>
  </si>
  <si>
    <t>HNK(1.400); CLN (1.300); RSX (2.500); CSD (300)</t>
  </si>
  <si>
    <t>Xã Quý Hòa</t>
  </si>
  <si>
    <t>LS-01-ĐR1: Cải tạo, nâng cấp đường đến trung tâm xã Tân Hòa, huyện Bình Gia</t>
  </si>
  <si>
    <t>Xã Tân Hòa, Hòa Bình</t>
  </si>
  <si>
    <t>Quyết định số 576/QD-TTg ngày 11/5/2022 của Thủ tướng Chính phủ Phê duyệt chủ trương đầu tư Dự án "Phát triển cơ sở hạ tầng thích ứng với biến đổi khí hậu để hỗ trợ sản xuất cho đồng bào dân tộc các tỉnh</t>
  </si>
  <si>
    <t xml:space="preserve">Đang thi công. Điều chỉnh diện tích tăng lên 8,15 ha. Chuyển tiếp KHSDĐ năm 2025 </t>
  </si>
  <si>
    <t xml:space="preserve">Chuyển tiếp </t>
  </si>
  <si>
    <t>Chuyển tiếp, điểu chỉnh tên</t>
  </si>
  <si>
    <t>LUC(1.100); LUK(1.300); HNK(1.800); CLN(2.400); RSX(22.300); DGD(600); ONT(1.900); TSC(100)</t>
  </si>
  <si>
    <t xml:space="preserve">Bên hòa bình chưa thực hiện </t>
  </si>
  <si>
    <t>Hạng mục đường giao thông</t>
  </si>
  <si>
    <t>Xã Tân Hòa</t>
  </si>
  <si>
    <t>Đường liên xã Quang Trung - Yên Lỗ - Quý Hòa, huyện Bình Gia</t>
  </si>
  <si>
    <t>Các xã: Quang Trung, Yên Lỗ, Quý Hòa</t>
  </si>
  <si>
    <t>Dự án Bố trí ổn định dân cư vùng đặc biệt khó khăn tại thôn Nà Khuông, xã Minh Khai</t>
  </si>
  <si>
    <t>Thôn Nà Khuông, xã Minh Khai</t>
  </si>
  <si>
    <t>Tờ 23, 30</t>
  </si>
  <si>
    <t>Nghị quyết số 14/NQ-HĐND ngày 07/9/2022 của HĐND huyện Bình Gia V/v phân bổ KH vốn đầu tư phát triển nguồn NSNN thực hiện các CTMTQG trên địa bàn huyện Bình Gia, giai đoạn (2021-2025)</t>
  </si>
  <si>
    <t xml:space="preserve"> HNK(1.300); CLN(400); RSX(6.000)</t>
  </si>
  <si>
    <t>Đang thực hiện. Đang thi công. Chuyển tiếp KHSDĐ 2025</t>
  </si>
  <si>
    <t>Dự án Bố trí sắp xếp dân cư vùng đặc biệt khó khăn tại thôn Khuổi Bổng, xã Tân Hòa, huyện Bình Gia</t>
  </si>
  <si>
    <t>Thôn Khuổi Bổng, xã Tân Hòa</t>
  </si>
  <si>
    <t>Nghị quyết số 05/NQ-HĐND ngày 12/7/2023 của HĐND huyện Bình Gia về điều chỉnh vốn đầu tư phát triển nguồn ngân sách nhà nước thực hiện các chương trình mục tiêu quốc gia trên địa bàn huyện Bình Gia giai đoạn 2021-2025 (lần 2)</t>
  </si>
  <si>
    <t>LUC(300); LUK(1.100); HNK(2.700); CLN(2.200); RSX(12.100); CSD(400)</t>
  </si>
  <si>
    <t>Dự án bố trí ổn định dân cư vùng đặc biệt khó khăn tại Bản Nà Slâu, thôn Khuổi Sắp, xã Yên Lỗ, huyện Bình Gia</t>
  </si>
  <si>
    <t>Thôn Khuổi Sắp, xã Yên Lỗ</t>
  </si>
  <si>
    <t>Nghị quyết số 05/NQ-HĐND ngày 12/7/2023 của HĐND huyện Bình Gia về điều chỉnh vốn đầu tư phát triển nguồn ngân sách nhà nước thực hiện các CTMTQG trên địa bàn huyện Bình Gia giai đoạn 2021-2025 (lần 2)</t>
  </si>
  <si>
    <t>LUC(1.400); LUK(1.200); HNK(3.600); CLN(2.900); RSX( 9.400); CSD(700)</t>
  </si>
  <si>
    <t>Đường Tân Tiến - Khuổi Bổng, xã Tân Hòa, huyện Bình Gia</t>
  </si>
  <si>
    <t>Quyết định số 449/QĐ-UBND ngày 14/3/2022 của UBND tỉnh Lạng Sơn phê duyệt điều chỉnh BC nghiên cứu khả thi Hợp phần 3: Cơ sở hạ tầng cho chuỗi giá trị nông nghiệp thuộc dự án “Hạ tầng cơ bản phát triển toàn diện các tỉnh Đông Bắc: Hà Giang, Cao Bằng, Bắc Kạn, Lạng Sơn”- Tiểu Dự án tỉnh Lạng Sơn, vay vốn Ngân hàng Phát triển Châu Á (ADB)</t>
  </si>
  <si>
    <t>LUC(300); LUK(100); HNK(300); CLN(500); RSX(4.100); DTL(300); ONT(200); CSD(400)</t>
  </si>
  <si>
    <t xml:space="preserve"> Đường đến thôn Bản Khoang</t>
  </si>
  <si>
    <t>Thôn Bản Khoang, xã Bình La</t>
  </si>
  <si>
    <t xml:space="preserve">Mở rộng đường liên thôn Tà Chu - Bản Duộc </t>
  </si>
  <si>
    <t>Thôn Tà Chu, Bản Duộc, xã Hòa Bình</t>
  </si>
  <si>
    <t>Quyết định số 1491/QĐ-UBND ngày 11/06/2024 về phê duyệt báo cáo kinh tế - kỹ thuật đầu tư xây dựng công trình đường Tà Chu-Bản Dộc, xã Hòa Bình (giai đoạn 1)</t>
  </si>
  <si>
    <t>LUC(300); HNK(700); CLN(1.000); RSX(500)</t>
  </si>
  <si>
    <t>Mở rộng đường đến thôn Bản Tăn, xã Minh Khai</t>
  </si>
  <si>
    <t>Thôn Khuổi Con, Bản Tăn xã Minh Khai</t>
  </si>
  <si>
    <t>Tờ LN 01, 02</t>
  </si>
  <si>
    <t>Nghị quyết số 03/NQ-HĐND ngày 20/5/2020 của HĐND huyện Bình Gia về việc dự kiến kế hoạch và danh mục đầu tư công năm 2021</t>
  </si>
  <si>
    <t>Đang triển khai thực hiện. Chuyển tiếp KHSDĐ năm 2025</t>
  </si>
  <si>
    <t>Nghị quyết số 29/NQ-HĐND ngày 17/7/2021 của HĐND tỉnh Lạng Sơn</t>
  </si>
  <si>
    <t>Phòng ban đánh giá chuyển tiếp. ĐTC 24 (đất dân hiến)</t>
  </si>
  <si>
    <t>Đường từ thôn Mò Mè đến giáp ranh xã Yên Lỗ, huyện Bình Gia</t>
  </si>
  <si>
    <t>Thôn Mò Mè, xã Quang Trung</t>
  </si>
  <si>
    <t>Tờ LN01</t>
  </si>
  <si>
    <t>Quyết định số 4547/QĐ-UBND ngày 14/12/2021 của UBND huyện Bình Gia về việc phê duyệt hồ sơ xây dựng công trình: Đường từ thôn Mò Mè đến giáp ranh xã Yên Lỗ, huyện Bình Gia</t>
  </si>
  <si>
    <t>Điều chỉnh Nghị quyết số 54/NQ-HĐND ngày 08/12/2023 của HĐND tỉnh Lạng Sơn</t>
  </si>
  <si>
    <t>HNK(300); CLN(1.200) RSX(3.500)</t>
  </si>
  <si>
    <t>Đường Bản Trang - Pắc Giắm</t>
  </si>
  <si>
    <t>Thôn Pắc Giắm, xã Quang Trung</t>
  </si>
  <si>
    <t>Nghị quyết số 05/NQ-HĐND ngày 12/7/2023 của HĐND huyện Bình Gia về điều chỉnh vốn đầu tư phát triển nguồn NSNN thực hiện các CTMTQG trên địa bàn huyện Bình Gia giai đoạn 2021-2025 (lần 2)</t>
  </si>
  <si>
    <t>LUC(400); HNK(2.000); RSX(5.000); DTL(200); ONT(200)</t>
  </si>
  <si>
    <t>Đường Bản Tăm - Nà Tồng, xã Quang Trung, huyện Bình Gia</t>
  </si>
  <si>
    <t>Thôn Nà Trang, xã Quang Trung</t>
  </si>
  <si>
    <t>Quyết định số 449/QĐ-UBND ngày 14/3/2022 của UBND tỉnh Lạng Sơn Phê duyệt điều chỉnh Báo cáo nghiên cứu khả thi Hợp phần 3: CSHT cho chuỗi giá trị nông nghiệp thuộc dự án “Hạ tầng cơ bản phát triển toàn diện các tỉnh Đông Bắc: Hà Giang, Cao Bằng, Bắc Kạn, Lạng Sơn”- Tiểu Dự án tỉnh Lạng Sơn, vay vốn Ngân hàng Phát triển Châu Á (ADB)</t>
  </si>
  <si>
    <t>LUC (100); LUK(900); HNK(1.200); CLN(1000); RSX(3.300);DTL(2.000); ONT(300)</t>
  </si>
  <si>
    <t xml:space="preserve">Đường Pò Mầm - Khuổi Hắp (GĐ1) </t>
  </si>
  <si>
    <t>Thôn Pò Mầm, xã Yên Lỗ</t>
  </si>
  <si>
    <t>RSX(4.000)</t>
  </si>
  <si>
    <t>Đường Cốc Lùng - Kéo Lầm (đường Tân Hoa - Đội Cấn 1 - Đội Cấn 2) GĐ3</t>
  </si>
  <si>
    <t>Thôn Tân Hoa, Đội Cấn II, xã Hoa Thám</t>
  </si>
  <si>
    <t xml:space="preserve"> HNK(800); CLN(1.300); RST(1.400); CSD(1.500)</t>
  </si>
  <si>
    <t>Đường Pác Khuông - Pác Là (GĐ3)</t>
  </si>
  <si>
    <t>Thôn Pác Là, xã Thiện Thuật</t>
  </si>
  <si>
    <t>Mở mới, cải tạo, nâng cấp hệ thống đường giao thông nông thôn trên huyện Bình Gia</t>
  </si>
  <si>
    <t>Đường Bản Chang - Pắc Giắm, xã Quang Trung</t>
  </si>
  <si>
    <t>Nghị quyết số 25/NQ-HĐND ngày 20/9/2024 của HĐND huyện Bình Gia</t>
  </si>
  <si>
    <t>Đường Nà Tèo - Nà Ngần (GĐ3), xã Quang Trung</t>
  </si>
  <si>
    <t>Đường Kéo Giểng - Khuổi Cọ, xã Quang Trung</t>
  </si>
  <si>
    <t>Sửa chữa đường Khuổi Pàn - Vĩnh Quang, xã Hoa Thám</t>
  </si>
  <si>
    <t>Tờ trình số 346/TTr-BQL ngày 26/9/2025 của Ban QLDA đầu tư xây dựng huyện</t>
  </si>
  <si>
    <t xml:space="preserve"> Sửa chữa đường vào di tích Khau Kham, xã Hoa Thám </t>
  </si>
  <si>
    <t>Quyết định số 3319/QĐ-UBND ngày 14/11/2024 của UBND huyện Bình Gia</t>
  </si>
  <si>
    <t>Đường Khuổi Nhuần - Mạy Đẩy, xã Hòa Bình</t>
  </si>
  <si>
    <t>Đường Nà Quãng - Nà Kéo (GĐ 3), xã Yên Lỗ</t>
  </si>
  <si>
    <t>Đường Pò Mầm - Khuổi Hắp (GD2), xã Yên Lỗ</t>
  </si>
  <si>
    <t>Cứng hóa mặt đường BTXM thôn khuổi Sắp xã Yên Lỗ, huyện Bình Gia (GD3)</t>
  </si>
  <si>
    <t>Đường Nà Bưa - Khuổi Buông (GD2), xã Hưng Đạo</t>
  </si>
  <si>
    <t>Đường Bản Chu - Khuổi Dầy, xã Hưng Đạo</t>
  </si>
  <si>
    <t>Đường Bản Bây - Nà Kéo (GĐ3), xã Quý Hòa</t>
  </si>
  <si>
    <t>Sửa chữa đường Pác Khuông - Pác Là (GĐ4), xã Thiện Thuật</t>
  </si>
  <si>
    <t xml:space="preserve"> Sửa chữa đường pác Dạ, xã Thiện Thuật </t>
  </si>
  <si>
    <t>Sửa chữa đập Đông Đăm</t>
  </si>
  <si>
    <t>Thôn Tân Hoa, xã Hoa Thám</t>
  </si>
  <si>
    <t>Quyết định số 1727/QĐ-UBND ngày 31/10/2022 của UBND tỉnh Lạng Sơn về việc phê duyệt dự án đầu tư xây dựng công trình Cải tạo, nâng cấp hạ tầng phục vụ chuỗi giá trị nông nghiệp thuộc Hợp phần 3 (Cơ sở hạ tầng chuỗi giá trị nông nghiệp) dự án BIIG1-TDA tỉnh Lạng Sơn</t>
  </si>
  <si>
    <t xml:space="preserve">Đã xây dựng xong công trình, sửa tên: Sửa chữa đập Đông Đăm. Chuyển tiếp KHSDĐ năm 2025 </t>
  </si>
  <si>
    <t>RSX (3.200)</t>
  </si>
  <si>
    <t>Cấp nước sinh hoạt tập trung thôn Nà Bưa</t>
  </si>
  <si>
    <t>Thôn Nà Bưa, xã Hưng Đạo</t>
  </si>
  <si>
    <t>Đã hoàn thiện, chưa nghiệm thu. Chuyển tiếp KHSDĐ năm 2025</t>
  </si>
  <si>
    <t>RSX(100)</t>
  </si>
  <si>
    <t>Cấp nước sinh hoạt tập trung thôn Pác Khiếc</t>
  </si>
  <si>
    <t>Cấp nước sinh hoạt Bằng Giang, xã Hoa Thám, huyện Bình Gia</t>
  </si>
  <si>
    <t>Thôn Bằng Giang, xã Hoa Thám</t>
  </si>
  <si>
    <t>Kế hoạch số 51/KH-UBND ngày 02/3/2023 của UBND tỉnh Lạng Sơn về việc thực hiện Chiến lược quốc gia cấp nước sạch và vệ sinh nông thôn đến năm 2030, tầm nhìn đến 2045 trên địa bàn tỉnh Lạng Sơn</t>
  </si>
  <si>
    <t>Nhà văn hóa xã Hòa Bình</t>
  </si>
  <si>
    <t>Tờ LN 2 thửa 136</t>
  </si>
  <si>
    <t>Đang xây dựng. Chuyển tiếp KHSDĐ năm 2025</t>
  </si>
  <si>
    <t>RSX(2.500)</t>
  </si>
  <si>
    <t>Nhà văn hóa xã Minh Khai, huyện Bình Gia</t>
  </si>
  <si>
    <t>Thôn Nà Mạ, Xã Minh Khai</t>
  </si>
  <si>
    <t>Tờ 31 thửa 86, 105, 106, 107, 108, 127, 128, 129, 130, 131, 164, 165, 167, 169, 170, 191</t>
  </si>
  <si>
    <t>Quyết định số 3052/QĐ-UBND ngày 06/9/2022 của UBND huyện Bình Gia về Kế hoạch đầu tư trung hạn giai đoạn 2021 - 2025 vốn các Chương trình mục tiêu quốc gia</t>
  </si>
  <si>
    <t>Theo NQ</t>
  </si>
  <si>
    <t>Nhà văn hóa xã Quang Trung, huyện Bình Gia</t>
  </si>
  <si>
    <t>Thôn Nà Tèo, Xã Quang Trung</t>
  </si>
  <si>
    <t>Tờ 96 thửa 03; tờ 84 thửa 283, 261, 260, 258, 259, 249, 248, 247, 244</t>
  </si>
  <si>
    <t>Nghị quyết số 15/NQ-HĐND ngày 18/7/2024 của HĐND huyện Bình Gia về việc điều chỉnh vốn đầu tư phát triển nguồn ngân sách nhà nước thực hiện các chương trình mục tiêu quốc gia trên địa bàn huyện giai đoạn 2021-2025</t>
  </si>
  <si>
    <t>Nhà văn hóa xã Hưng Đạo (gồm cả san nền), huyện Bình Gia</t>
  </si>
  <si>
    <t>Thôn Bản Chu, Xã Hưng Đạo</t>
  </si>
  <si>
    <t>Tờ 91 thửa 150, 131, 132</t>
  </si>
  <si>
    <t>Nhà văn hóa xã Yên Lỗ, huyện Bình Gia</t>
  </si>
  <si>
    <t>Tờ 162 thửa 8, 11, 14, 16</t>
  </si>
  <si>
    <t>Xây mới sân thể thao xã Hồng Phong</t>
  </si>
  <si>
    <t>Thôn Đoàn Kết, xã Hồng Phong</t>
  </si>
  <si>
    <t>Tờ 140 thửa 110, 113, 146</t>
  </si>
  <si>
    <t>Chương trình nông thôn mới</t>
  </si>
  <si>
    <t>Đang đo đạc xác định diện tích. Chuyển tiếp KHSDĐ năm 2025</t>
  </si>
  <si>
    <t>Sân thể thao xã Hồng Phong</t>
  </si>
  <si>
    <t>NGHỊ QUYẾT SỐ 12/NQ-HĐND NGÀY 19/4/2023 CỦA HĐND tỉnh</t>
  </si>
  <si>
    <t>LUA(1.200); HNK(2.700);
DGT(400); ONT(700)</t>
  </si>
  <si>
    <t>Cải tạo nhà bếp, nhà ăn và các HM phụ trợ, Trường PTDTBT TH Thiện Thuật (Điểm trường chính)</t>
  </si>
  <si>
    <t>Thôn Pác Khuông, Xã Thiện Thuật</t>
  </si>
  <si>
    <t>Tờ 196 thửa 85, 86, 87, 101, 102,…</t>
  </si>
  <si>
    <t>Điều chỉnh loại đất cần thu hồi</t>
  </si>
  <si>
    <t>Điều chỉnh Nghị quyết số 27/NQ-HĐND ngày 30/5/2024 của HĐND tỉnh Lạng Sơn</t>
  </si>
  <si>
    <t>LUC (800); HNK (700)</t>
  </si>
  <si>
    <t>Xây mới trường mầm non Quý Hòa</t>
  </si>
  <si>
    <t>Tờ 51 thửa 148, 149, 150, 151, 186, 188, 216, 153, 211, 212, 191, 192, 213, 214, 216</t>
  </si>
  <si>
    <t>LUK(3.300); CSD(700)</t>
  </si>
  <si>
    <t>Điều chỉnh diện tích theo ĐCQH. Chuyển tiếp</t>
  </si>
  <si>
    <t>Mở rộng trường PTDTBT TH Yên Lỗ (Trường chính)</t>
  </si>
  <si>
    <t>Tờ LN 3 thửa 477</t>
  </si>
  <si>
    <t>Nghị quyết số 05/NQ-HĐND ngày 12/7/2023 của HĐND huyện Bình Gia về điều chỉnh KH vốn đầu tư phát triển nguồn NSNN thực hiện các CTMTQG trên địa bàn huyện Bình Gia, giai đoạn (2021-2025) lần 2</t>
  </si>
  <si>
    <t>bổ sung dự án theo nghị quyết số 27/NQ-HĐND ngày 30/5/2024</t>
  </si>
  <si>
    <t>Bổ sung Nghị quyết số 27/NQ-HĐND ngày 30 tháng 5 năm 2024 của HĐND tỉnh Lạng Sơn</t>
  </si>
  <si>
    <t>RST(4.000)</t>
  </si>
  <si>
    <t>Mở rộng trường PTDTBT THCS Yên Lỗ (Trường chính)</t>
  </si>
  <si>
    <t>Tờ LN 3, thửa 477</t>
  </si>
  <si>
    <t>RST(2.000)</t>
  </si>
  <si>
    <t>Đường dây TBA 110KV Bình Gia - Võ Nhai (Thái Nguyên)</t>
  </si>
  <si>
    <t>DNL.</t>
  </si>
  <si>
    <t>Xã Tân Văn, Hoàng Văn Thụ và TT Bình Gia</t>
  </si>
  <si>
    <t>Quy hoạch số 1210/QĐ-BCT ngày 29/3/20166 của Bộ trưởng Bộ Công thương trạm được XD năm 2020 và trạm 110KV Bình Gia vào vận hành</t>
  </si>
  <si>
    <t>Đường dây và TBA 110KV Bình Gia</t>
  </si>
  <si>
    <t>Quyết định giao A: 3718/QĐ-EVNNPC, phê duyệt FS: 880/QĐ-BCT</t>
  </si>
  <si>
    <t xml:space="preserve">Điều chỉnh loại đất theo Nghị Quyết số 33. Chuyển tiếp KHSDĐ năm 2025 </t>
  </si>
  <si>
    <t>LUC(2.070); HNK(1.000); CLN(1.600); RSX(15.000); NTS (30); ODT (500)</t>
  </si>
  <si>
    <t>Nâng cao độ tin cậy cung cấp điện của lưới điện trung áp 35KV tỉnh Lạng Sơn theo phương án đa chia, đa nốt (MDMC) khu vực Văn Quan, Bình Gia, Bắc Sơn</t>
  </si>
  <si>
    <t>Các xã Hoa Thám, Thiện Thuật, Thiện Long, Bình La</t>
  </si>
  <si>
    <t>Theo định hướng đề cương quy hoạch lưới điện trung, hạ áp 2021-2025 Tại VB 1486/EVNNPC-KH ngày 31/3/2020</t>
  </si>
  <si>
    <t>LUC(220); HNK(200); CLN(220); RSX(180); ONT(60)</t>
  </si>
  <si>
    <t>Cải tạo mạch vòng 35Kv Văn Quan, Bình Gia, Bắc Sơn</t>
  </si>
  <si>
    <t>Đăng ký danh mục ĐTXD</t>
  </si>
  <si>
    <t>Chống quá tải lưới điện</t>
  </si>
  <si>
    <t>Công văn số 2150/PCLS QLDA+KT+TTBVPC ngày 04/10/2023 của Công ty Điện lực Lạng Sơn V/v đăng kí KHSDĐ năng lượng năm 2024</t>
  </si>
  <si>
    <t>LUC(300); HNK(300); CLN(300); RSX(300); DGT(200); ONT(100); ODT(100); NTD(200); CSD(200)</t>
  </si>
  <si>
    <t>Xã Thiện Hòa</t>
  </si>
  <si>
    <t>ĐZ trung áp, TBA và ĐZ hạ áp</t>
  </si>
  <si>
    <t>Công trình năng lượng</t>
  </si>
  <si>
    <t>Cải tạo nâng cấp lộ 971 Hoàng Văn Thụ - Thiện Thuật, Bình Gia vận hành cấp điện áp 35kV</t>
  </si>
  <si>
    <t>Quyết định 2461/QĐ-EVNNPC ngày 21/10/2023 của Tổng Công ty điện lực miền Bắc về việc duyệt danh mục và tạm giao KHV công trình ĐTXD bổ sung năm 2023 cho Công ty Điện lực Lạng Sơn</t>
  </si>
  <si>
    <t>Đã thi công xong. Chuyển tiếp KHSDĐ năm 2025</t>
  </si>
  <si>
    <t>LUC(110); HNK(100); CLN(100); RSX(100); DGT(50); ONT(30); ODT(30); NTD(30); CSD(50)</t>
  </si>
  <si>
    <t>Cải tạo nâng cấp lộ 971 Thiện Thuật- Thiện Hòa- Yên Lỗ, Bình Gia vận hành cấp điện áp 35kV</t>
  </si>
  <si>
    <t>Xuất tuyến trung áp 35kV lộ 371 sau trạm biến áp 110kV Bình Gia</t>
  </si>
  <si>
    <t>TT Bình Gia, xã Hoàng Văn Thụ</t>
  </si>
  <si>
    <t>Quyết định số 989/QĐ-EVN-NPC ngày 4/5/2023 của Tổng công ty Điện lực miền Bắc về phê duyệt danh mục và tạm giao KHV công trình ĐTXD bổ sung năm 2023</t>
  </si>
  <si>
    <t>LUC(200); HNK(60); CLN(60); RSX(50); DGT (30); ONT(30)</t>
  </si>
  <si>
    <t>Xuất tuyến trung áp 35kV lộ 375, 377, 379 sau trạm biến áp 110kV Bình Gia</t>
  </si>
  <si>
    <t>Các xã: Hoàng Văn Thụ, Tân Văn và TT Bình Gia</t>
  </si>
  <si>
    <t>LUC(150); HNK(150); CLN(100); RSX(20); DGT (30); ONT(150); ODT(50)</t>
  </si>
  <si>
    <t>Xuất tuyến trung áp 35kV lộ 373 sau trạm biến áp 110kV Bình Gia</t>
  </si>
  <si>
    <t>LUC(200); HNK(60); CLN(50); RSX(50); DGT (20); ONT(20)</t>
  </si>
  <si>
    <t>Nâng cao độ tin cậy cung cấp điện lưới điện trung áp 35kV Khu vực Chi Lăng, Bình Gia, Bắc Sơn theo phương án đa chia đa nối (MDMC)</t>
  </si>
  <si>
    <t>Xã Tân Hòa, Thiện Hòa</t>
  </si>
  <si>
    <t>Quyết định số 782/QĐ-EVN-NPC ngày 13/4/2023 của Tổng công ty Điện lực miền Bắc phê duyệt danh mục và tạm giao KHV công trình ĐTXD bổ sung năm 2023</t>
  </si>
  <si>
    <t>LUC(80); HNK(80); CLN(90); RSX(200); DGT (50); ONT(30)</t>
  </si>
  <si>
    <t>Cải tạo lưới điện ha thế nông thôn các xã Trấn Yên, Tân Thành huyện Bắc Sơn; xã Quang Trung, Thiện Thuật, Hồng Thái, Bình La, Mông Ân huyện Bình Gia, tỉnh Lạng Sơn năm 2023</t>
  </si>
  <si>
    <t>Các xã: Quang Trung, Thiện Thuật, Hồng Thái, Bình La, Mông Ân</t>
  </si>
  <si>
    <t>Quyết định 2392/QĐ-EVNNPC ngày 16/10/2023 của Tổng Công ty điện lực miền Bắc về việc duyệt danh mục và tạm giao KHV công trình ĐTXD bổ sung năm 2023 cho Công ty Đện lực Lạng Sơn</t>
  </si>
  <si>
    <t>LUC(100); HNK(100); CLN(100); RSX(100); DGT(30); ONT(20); ODT(20); CSD(30)</t>
  </si>
  <si>
    <t>Cấy TBA CQT giảm bán kính, giảm tổn thất điện năng khu vực huyện Bình Gia, Bắc Sơn năm 2024</t>
  </si>
  <si>
    <t>Các xã: Hoàng Văn Thụ, Hồng Thái, TT Bình Gia</t>
  </si>
  <si>
    <t>Quyết định 1296/QĐ-EVNNPC ngày 15/6/2023 của Tổng công ty điện lực miền Bắc về duyệt danh mục và tạm giao KHV công trình ĐTXD năm 2024</t>
  </si>
  <si>
    <t>LUC(50); HNK(30); CLN(40); RSX(200); DGT(20);ONT(80); ODT(100)</t>
  </si>
  <si>
    <t>Nâng cao độ tin cậy cung cấp điện lưới điện trung áp 35kV Khu vực Bình Gia, Văn Lãng, Tràng Định theo phương án đa chia đa nối (MDMC) năm 2025</t>
  </si>
  <si>
    <t>Các xã: Hồng Thái, Bình La</t>
  </si>
  <si>
    <t>Quyết định số 1123/QĐ-PCLS ngày 30/10/2024 của Công ty điện lực Lạng Sơn về việc phê duyệt phương án đầu tư xây dựng tên danh mục: Nâng cao độ tin cậy cung cấp điện lưới điện trung áp 35kV Khu vực Bình Gia, Văn Lãng, Tràng Định theo phương án đa chia đa nối (MDMC) năm 2025</t>
  </si>
  <si>
    <t>Điểu chỉnh tại NQ …/…/2024</t>
  </si>
  <si>
    <t>LUC(140); HNK(360); CLN(60); RSX(50); ONT(50)</t>
  </si>
  <si>
    <t xml:space="preserve">Cấp điện 3 thôn xã Quang Trung </t>
  </si>
  <si>
    <t>LUC (500); HNK (500); CLN (500); RSX (500)</t>
  </si>
  <si>
    <t>Cấy TBA CQT giảm bản kính, giảm tổn thất điện năng khu vực các huyện Văn Quan, Bình Gia, Bắc Sơn năm 2025</t>
  </si>
  <si>
    <t>Xã Mông Ân, Quang Trung</t>
  </si>
  <si>
    <t>LUA (160); HNK(50); CLN(50); RSX(50); DCS (40); DNT(20); DGT(100); ONT(60); CSD(50); NTS(100)</t>
  </si>
  <si>
    <t>Nâng cao độ tin cậy cung cấp điện lưới điện trung áp 35kV Khu vực Bắc Sơn, Bình Gia, Văn Quan theo phương án đa chia đa nối (MDMC) năm 2025</t>
  </si>
  <si>
    <t xml:space="preserve"> Xã Hồng Thái</t>
  </si>
  <si>
    <t>Quyết định số 1128/QĐ-PCLS ngày 30/10/2024 của Công ty Điện lực Lạng Sơn về việc phê duyệt phương án đầu tư xây dựng công trình</t>
  </si>
  <si>
    <t>Giảm khách hàng điện áp thấp khu vực huyện Tràng Định, Bình Gia tỉnh Lạng Sơn năm 2025</t>
  </si>
  <si>
    <t xml:space="preserve"> Các xã: Quang Trung, Hồng Thái, Hòa Bình</t>
  </si>
  <si>
    <t>Quyết định số 1119/QĐ-PCLS ngày 30/10/2024 của Công ty Điện lực Lạng Sơn về việc phê duyệt phương án đầu tư xây dựng công trình</t>
  </si>
  <si>
    <t>Mở rộng nghĩa trang liệt sỹ huyện</t>
  </si>
  <si>
    <t>Khối Phố Ngọc Quyến, TT Bình Gia</t>
  </si>
  <si>
    <t>Tờ 59 thửa 31, 32, 33, 34, 40, 48, 50, 68,…; Tờ 03 LN thửa 6</t>
  </si>
  <si>
    <t>Công văn số 268/LĐTBXH ngày 25/8/2024</t>
  </si>
  <si>
    <t>Đất có di tích lịch sử - văn hóa, danh lam thắng cảnh, di sản thiên nhiên</t>
  </si>
  <si>
    <t>Khu di tích hang Thẩm Khuyên, Thẩm Hai huyện Bình Gia, tỉnh Lạng Sơn</t>
  </si>
  <si>
    <t xml:space="preserve"> Thôn Còn Nưa, xã Tân Văn</t>
  </si>
  <si>
    <t>Tờ 16 thửa 70, 71, 72, 73, 74, 75, 76...</t>
  </si>
  <si>
    <t>Quyết định số 197-QĐ/TU  ngày 23/01/2021 của Tỉnh ủy Lạng Sơn về việc phê duyệt nhiệm vụ trọng tâm lãnh đạo, chỉ đạo và tổ chức thực hiện năm 2021</t>
  </si>
  <si>
    <t>Đã xây dựng bãi đỗ xe, đường vào. Chuyển tiếp KHSDĐ năm 2025</t>
  </si>
  <si>
    <t>Đang thực hiện. Đã xây dựng bãi đỗ xe, đường vào. Chuyển tiếp KHSDĐ 2025</t>
  </si>
  <si>
    <t>Đầu tư xây dựng tuyến đường tránh ĐT.226 (đoạn qua thị trấn Bình Gia, Văn Mịch) và Khu tái định cư, dân cư thị trấn Bình Gia (bổ sung diện tích Bãi đổ thải)</t>
  </si>
  <si>
    <t>Thôn Văn Mịch, xã Hồng Phong</t>
  </si>
  <si>
    <t>Tờ 149 thửa 285, 322; BDLN 03 thửa 327, 339, 322, 295, 267</t>
  </si>
  <si>
    <t>Nghị quyết số 46/NQ-HĐND ngày 25/11/2021 của HĐND tỉnh Lạng Sơn về chủ trương đầu tư DA: Đầu tư xây dựng tuyến đường tránh ĐT.226 (đoạn qua TT Bình Gia, Văn Mịch) và Khu TĐC, dân cư TT Bình Gia</t>
  </si>
  <si>
    <t>LUA(300); RSX(4.700)</t>
  </si>
  <si>
    <t>Hạng mục Đường Khuổi Con - Nà Nưa, xã Minh Khai - Bản Hoay xã Hồng Thái huyện Bình Gia thuộc dự án Cải tạo, nâng cấp hạ tầng phục vụ chuỗi giá trị nông nghiệp thuộc Hợp phần 3 (Cơ sở hạ tầng chuỗi giá trị nông nghiệp) dự án BIIG1-TDA tỉnh Lạng Sơn (bổ sung diện tích bãi đổ thải)</t>
  </si>
  <si>
    <t>Thôn Bản Hoay, xã Hồng Thái; thôn Nà Nưa, xã Minh Khai</t>
  </si>
  <si>
    <t>Tờ LN 01, thửa 272, 282, 191 (Hồng Thái); Tờ LN 02, thửa 735 (Minh Khai)</t>
  </si>
  <si>
    <t>RSX(17.000)</t>
  </si>
  <si>
    <t>TT Bình Gia tờ 38, 45, 46, 51, 52 TH cũ</t>
  </si>
  <si>
    <t>Nghị quyết số 46/NQ-HĐND ngày 25/11/2021 của HĐND tỉnh Lạng Sơn. Quyết định số 1206/QĐ-UBND ngày 19/7/2022 của UBND tỉnh Lạng Sơn Phê duyệt KH PT nhà ở tỉnh lạng sơn giai đoạn 2021 - 2025</t>
  </si>
  <si>
    <t>Trụ sở UBND xã Hoàng Văn Thụ, huyện Bình Gia</t>
  </si>
  <si>
    <t>Tờ 75 thửa 21, 22, 23, 28, 29,…</t>
  </si>
  <si>
    <t>Quyết định số 3585/QĐ-UBND ngày 18/12/2023 của UBND huyện Bình Gia về việc phân bổ chi tiết kế hoạch vốn đầu tư công nguồn cân đối ngân sách địa phương năm 2024</t>
  </si>
  <si>
    <t>Trạm lắp đặt khí tượng thủy văn tự động</t>
  </si>
  <si>
    <t>Tờ LN 2 thửa 692</t>
  </si>
  <si>
    <t>Quyết định số 90/QĐ-TTg ngày 12/1/2016 của Thủ tướng chính phủ về việc phê duyệt Quy hoạch mạng lưới quan trắc Tài nguyên và Môi trường Quốc gia giai đoạn 2016-2020, tầm nhìn đến năm 2030</t>
  </si>
  <si>
    <t>Hỏi lại xã</t>
  </si>
  <si>
    <t>B.2</t>
  </si>
  <si>
    <t>Công trình, dự án chuyển mục đích sử dụng đất</t>
  </si>
  <si>
    <t xml:space="preserve">Trang trại chăn nuôi lợn thương phẩm và sản xuất giống lợn tại xã Hồng Phong </t>
  </si>
  <si>
    <t>Thôn Nà Ven, xã Hồng Phong</t>
  </si>
  <si>
    <t>Tờ LN2 thửa 367 và tờ 94 từ thửa 01 đến thửa 36</t>
  </si>
  <si>
    <t>Văn bản số 2821/SKHĐT-QLĐTNNS ngày 31/10/2023 của sở Kế hoạch và Đầu tư tỉnh Lạng Sơn V/v tiếp tục hoàn thiện hồ sơ đề xuất dự án trang trại chăn nuôi lợn nái sinh sản và lợn thương phẩm miền bắc</t>
  </si>
  <si>
    <t>Đang khảo sát. Chuyển tiếp KHSDĐ năm 2025</t>
  </si>
  <si>
    <t>Nghị quyết số 29/HĐND-ngày 17/7/2021 của HĐND tỉnh Lạng Sơn</t>
  </si>
  <si>
    <t>LUA(4.500)</t>
  </si>
  <si>
    <t>có trích đo xin lại NQ</t>
  </si>
  <si>
    <t>Dự án PT đàn lợn nái sinh sản trên địa bàn Tô Hiệu</t>
  </si>
  <si>
    <t>Khối phố Pác Nàng, TT Bình Gia</t>
  </si>
  <si>
    <t>Tờ 40 thửa 4, 5, 11, 12, 13, 21, 24, 27, 22, 23, 26, 35; Tờ LN 1 thửa 125, 128, 130</t>
  </si>
  <si>
    <t>Báo cáo số 728/BC-SKHĐT ngày 29/12/2027của sở Kế hoạch và Đầu tư tỉnh Lạng Sơn báo cáo kết quả thẩm định đề xuất chủ trương đầu tư Dự án Phát triển đàn lợn nái sinh sản trên địa bàn Tô Hiệu</t>
  </si>
  <si>
    <t>Đã xây dựng cơ sở hạ tầng, chưa bàn giao. Chuyển tiếp KHSDĐ năm 2025</t>
  </si>
  <si>
    <t>LUA(3.800)</t>
  </si>
  <si>
    <t>B.3</t>
  </si>
  <si>
    <t>Các khu vực sử dụng đất khác (Các công trình dự án giao đất, không phải BT, GPMB do dân hiến đất, các công trình dôi dư sau sáp nhập,...)</t>
  </si>
  <si>
    <t xml:space="preserve">Khu du lịch sinh thái núi Nàng Tiên </t>
  </si>
  <si>
    <t>Thôn Lân Luông, xã Thiện Hòa</t>
  </si>
  <si>
    <t>BĐLN 2 thửa 288</t>
  </si>
  <si>
    <t>Quyết định số197-QĐ/TU, ngày 23/01/2021 của Ban Thường vụ Tỉnh ủy Lạng Sơn về phê duyệt các nhiệm vụ trọng tâm lãnh đạo, chỉ đạo và tổ chức thực hiện năm 2021 của Huyện uỷ Bình Gia</t>
  </si>
  <si>
    <t>Đang thực hiện. Đang khảo sát. Chuyển tiếp KHSDĐ 2025</t>
  </si>
  <si>
    <t>Khu chế biến nông sản (HTX Dịch vụ &amp; Nông nghiệp Quế Thạch - Tân Hòa)</t>
  </si>
  <si>
    <t>Thôn Tân Tiến, xã Tân Hòa</t>
  </si>
  <si>
    <t>Tờ 34 thửa 50, 51, 52, 99, 65, 63, 28,  66, 67, 62, 77, 99</t>
  </si>
  <si>
    <t>Tờ trình 01/TTr-HTX ngày 31/3/2023 của HTX SX và DV nông nghiệp quế thạch Tân Hòa xin Quy hoạch đất xây dựng khu chưng cất tinh dầu quế và chế biến hàng nông sản cho hợp tác xã</t>
  </si>
  <si>
    <t>Cơ sở sản xuất phi nông nghiệp xã Thiện Thuật</t>
  </si>
  <si>
    <t>Thôn Khuổi Lù, xã Thiện Thuật</t>
  </si>
  <si>
    <t>Tờ 03 LN, thửa 546</t>
  </si>
  <si>
    <t>Quyết định số 2009/QĐ-UBND ngày 20/12/2022 của chủ tịch UBND tỉnh Lạng Sơn về việc phê duyệt danh mục đề án khuyến công địa phương năm 2023</t>
  </si>
  <si>
    <t>Đang tiến hành san lấp mặt bằng. Chuyển tiếp KHSDĐ năm 2025</t>
  </si>
  <si>
    <t>Nhà điều hành sản xuất Điện lực Bình Gia</t>
  </si>
  <si>
    <t>Thôn Thuần Như 1, Xã Hoàng văn Thụ</t>
  </si>
  <si>
    <t>Tờ 81</t>
  </si>
  <si>
    <t>Quyết định số 1331/QĐ-EVNNPC V/v duyệt danh mục và tạm giao KHV công trình ĐTXD bổ sung năm 2020 cho Công ty Điện lực Lạng Sơn</t>
  </si>
  <si>
    <t xml:space="preserve">Đấu giá đất ở đường Nà Nát - Pắc Giắm </t>
  </si>
  <si>
    <t>Tờ LN 3 thửa 191, 233</t>
  </si>
  <si>
    <t>Văn bản 4951/VP-KT ngày 16/11/2021 của UBND tỉnh về việc đồng ý địa điểm bố trí giao đất cho các hộ gia đình, cá nhân bị thu hồi đất, phải di chuyển chỗ ở tại dự án Đường liên xã Hồng Phong - Quang Trung (Nà Nát - Pắc Giắm), Huyện Bình Gia</t>
  </si>
  <si>
    <t>Sửa số vị trí thành Tờ LN 3 thửa 191, 233. Chuyển tiếp KHSDĐ năm 2025</t>
  </si>
  <si>
    <t>Bố trí tái định cư cho hộ dân do thu hồi đất để xây dựng trụ sở công an xã</t>
  </si>
  <si>
    <t>Thôn Bản Duộc, xã Hòa Bình</t>
  </si>
  <si>
    <t>Tờ 56 thửa 56</t>
  </si>
  <si>
    <t>TTr số 463/TTr-UBND của UBND xã Hòa Bình V/v xin chủ trương đầu tư xây dựng trụ sở công xã Hòa Bình</t>
  </si>
  <si>
    <t>Chuyển mục đích sử dụng đất sang đất ở tại nông thôn</t>
  </si>
  <si>
    <t>Các thôn xã Thiện Long</t>
  </si>
  <si>
    <t>Tờ 26 thửa 241; Tờ 49 thửa 120; Tờ 35 thửa 241; Tờ 91 thửa 165; tờ LN 2 thửa 113, 87, tờ 91 thửa 162, 163, tờ 100 thửa 11, tờ 77 thửa 8, 86, 98, 107, 38, 58, 110, 122; Tờ 130 thửa 22, 27; Tờ 100 thửa 25, 34, 37, 55; Tờ 23 thửa 47, 225; Tờ 25 thửa 36; Tờ 35 thửa 77; Tờ 100 thửa 37; Tờ 61 thửa 63, 66; Tờ 65 thửa 191, 165, Tờ 77 thửa 26, 39; Tờ 78 thửa 47, 48, 79; Tờ 100 thửa  28, 35; Tờ 49 thửa 80, 82, Tờ 35 thửa 241; Tờ số 7, thửa số 141; Tờ 23, thửa  65;  tờ 65, thửa  180; tờ 78, thửa 96, 97, 98 46,  49, 51, 61, 62</t>
  </si>
  <si>
    <t>Đăng ký nhu cầu của hộ gia đình, cá nhân</t>
  </si>
  <si>
    <t>Các thôn xã Hồng Phong</t>
  </si>
  <si>
    <t>Tờ 111 thửa 2,146. Tờ 126 thửa 121, 146, 181, 148, 202, 203. Tờ 93 thửa 151, 149. Tờ 138 thửa 130, 131, 132, 140, 141, 143, 164, 168. Tờ 139 thửa 57, 48. Tờ 197 thửa 220. Tờ 149 thửa 364, 345; Tờ 10 thửa 16; Tờ 93 thửa 149, 150, 146, 151; Tờ 111 thửa 2; Tờ 112 thửa 133, 134; Tờ 125 thửa 20, 23, 24, 35, 36, 37, 38, 40, 44; Tờ 126 thửa 17, 121, 146, 159, 160, 237, 206; Tờ 187 thửa 84; Tờ 182 thửa 2 (tách từ thửa 103); Tờ 126 thửa 202, 203; Tờ 139 thửa 314, 315; Tờ 149 thửa 110, 112, 113, 114, 364; Tờ 3 LN thửa 1134; Tờ 171 thửa 177 (tách từ thửa 48).  Thửa đất số.2-7.9,16,20,22-27; tờ bản đồ số 110; Tờ 125 thửa 85; Tờ 126 thửa 242; Tờ 10 thửa 16; Tờ 68 thửa 69; Tờ 92 thửa 45, Tờ 122 thửa 148</t>
  </si>
  <si>
    <t>Các thôn xã Vĩnh Yên</t>
  </si>
  <si>
    <t xml:space="preserve">Tờ 26 thửa 2, 9; BDLN 1 thửa 141, 162, 202, 221, 199; BDLN 2 thửa 44, 114; Tờ LN 1 thửa 172, 230. Tờ 98 thửa 47; </t>
  </si>
  <si>
    <t>Các thôn xã Mông Ân</t>
  </si>
  <si>
    <t>Tờ 34 thửa 219, 201, 202, 203, 186, 81. Tờ 33 thửa 108. Tờ 41 thửa 229, 232, 110, 111, 112, 124, 123, 136, 177, 280, 264. Tờ 21 thửa 56; Tờ LN1 thửa 896, 898, 899,  901, 902, 903, 904, 905,  906, 907, 908; Tờ 27  47, 48, 86, 87, 100, 121; Tờ 28 thửa 5; Tờ 37 thửa 96, tờ 60 thửa  92, 105, 106, 107</t>
  </si>
  <si>
    <t xml:space="preserve"> Các thôn xã Hoa Thám</t>
  </si>
  <si>
    <t xml:space="preserve">  Tờ 245 thửa 210, 228; Tờ 256 thửa 172, 402 , 211;  Tờ 281 thửa 98; Tờ 131 thửa 29, 30, 31; Tờ 256 thửa 234; Tờ 131 thửa 119, Tờ 265 thửa 175</t>
  </si>
  <si>
    <t>Các thôn xã Tân Văn</t>
  </si>
  <si>
    <t>Tờ 10 thửa 28. Tờ 22 thửa 375, 376; Tờ 73 thửa 95, 118. Tờ 13 thửa 44. Tờ 60 thửa 58. Tờ 6 thửa 127. Tờ 7 thửa 337, 155, 341, 380; Tờ 10 thửa 11, 363; Tờ 7 thửa 270, 152, 173, 194, 195; Tờ 101 thửa 95; Tờ 105 thửa 185, 186; Tờ 81 thửa 49, 51;  Tờ 16 thửa 150, 166; Tờ 13 thửa 124, 167; Tờ 7 thửa 129;  Tờ 90 thửa 87, 53; Tờ 10 thửa 10, 162, 163; Tờ 96 thửa 2, 80; Tờ 101 thửa 190, 191, 192; Tờ 91 thửa 259, 261; Tờ 7 thửa 78, 79, 80; Tờ 46 thửa 126; Tờ 26 thửa 387; Tờ 13 thửa 83; Tờ 81 thửa 213, Tờ 14 thửa 151; Tờ 10 thửa 173; Tờ 13 thửa 83;  Tờ 10 thửa 314, 315 (tách từ thửa 173); Tờ 10 thửa 194, 195, 253, 312, 313; Tờ BĐĐC số 105, thửa đất số 207; Tờ BĐĐC số 105, thửa đất số 207; Tờ BĐĐC số 46, thửa đất số 210 (thửa 18 cũ); Tờ 36 thửa 106; tờ 7 thửa 123, 152</t>
  </si>
  <si>
    <t>Đã thực hiện 0,04 ha. Chuyển tiếp KHSDĐ năm 2025 0,89 ha.</t>
  </si>
  <si>
    <t>Các thôn xã Hoàng Văn Thụ</t>
  </si>
  <si>
    <t>Tờ 75 thửa 358, 359 ( tách từ thửa 4); Tờ 86 thửa 90, 86, 291, 292, 308, 309, 310, 331, 124, 203, 215, (374, 375, 376 tách từ thửa 111); Tờ LN1 thửa 516, 517, 518, 519, 520, 521, 523, 524, 525 526; Tờ 68 thửa 164, 165, 166 (tách từ thửa 112); Tờ 75 thửa 356, 367, 368 ( tách từ thửa  113), 125, 142, 177, 180, 202, 206, 224, 204, (362, 363 tách từ thửa 226), 258, 256, 90, 292, 299; Tờ 86 thửa 197, (359 tách từ thửa 196), 235, 246, (320, 321 tách từ thửa 257), 167, 223, 237;  Tờ 81 thửa 102; Tờ 86 thửa  355; Tờ 82 thửa 29, Tờ 75 thửa 331; Thửa đất số 302, 283,11, 35, 374, 301, 231, 358 Tờ BDĐC số 86, 91, 81; Thửa đất số 224, 207, 208, 214, 115 Tờ BDĐC số 81, 76; Thửa đất số 253, 252, 41, 222 Tờ BDĐC số 81</t>
  </si>
  <si>
    <t>Đã thực hiện 0,01 ha. Chuyển tiếp KHSDĐ năm 2025 0,96 ha.</t>
  </si>
  <si>
    <t>Các thôn xã Hòa Bình</t>
  </si>
  <si>
    <t>Tờ 28 thửa 93, 119; Tờ 56 thửa 64, 69, 95; Tờ LN2 thửa 56; Tờ 44 thửa 103, 125, 108, 164; Tờ 68 thửa 18, 21; Tờ 44 thửa 126, 107, 219; Tờ 56 thửa 80; Tờ 57 thửa 35, 36; BDLN 2 thửa 175; Thửa số 13,14,15, 20 tờ 68; Thửa số 219 , 126 tờ 44; Thửa số 192, BĐ LN 02; Thửa số 418, tờ 61</t>
  </si>
  <si>
    <t>Đã thực hiện 0,04 ha. Chuyển tiếp KHSDĐ năm 2025 0,73 ha.</t>
  </si>
  <si>
    <t>Các thôn, xã Hồng Thái</t>
  </si>
  <si>
    <t>Tờ LN 02 thửa 123; Tờ 60 thửa 404, Tờ 49 thửa 80, 95, 96</t>
  </si>
  <si>
    <t>Đã thực hiện 0,04 ha</t>
  </si>
  <si>
    <t>Các thôn, xã Hưng Đạo</t>
  </si>
  <si>
    <t>Tờ 80 thửa 12, 14, 15, 16, 19, 22; Tờ 91 thửa 120; BDLN 2 thửa 509; tờ 57 thửa 137; Tờ 71 thửa 60, 61 ,62, 59, 58, 74; Tờ 72 thửa 88, 86, 90, 70; Tờ 86 thửa 347, 348, 338, 04, 205, 182, 177, 159; tờ 64 thửa 24, 25</t>
  </si>
  <si>
    <t>Các thôn, xã Minh Khai</t>
  </si>
  <si>
    <t>Tờ 53 thửa 210, 211, 212, 213; Tờ LN 1 thửa 817; Tờ 2 thửa 431; Tờ 99 thửa 171; Tờ 107 thửa 9, 10, (295, 296 tách từ thửa 137); Tờ 84 thửa 139; Tờ LN2 thửa 428; Tờ 31 thửa 222; Tờ 44 thửa 157; Tờ 12 thửa 72, 73,  74, 75, 76, 85, 97</t>
  </si>
  <si>
    <t>Các thôn, xã Quang Trung</t>
  </si>
  <si>
    <t>Tờ 23 thửa 90, 107, 137, 138; Tờ 10 thửa 73, 92, 105; Tờ 9 thửa 60; Tờ 34 thửa 44; Tờ 53 thửa 146, 246, 247, 304, 321, 326; Tờ 62 thửa 9, 10;  Tờ 62 thửa 107, 136; Tờ 84 thửa 68, 69, 189; Tờ 85 thửa 166, 167; Tờ 95 thửa 142, 157, 403; Tờ LN2 thửa 274; Tờ 112 thửa 18, 24, 216.</t>
  </si>
  <si>
    <t>Các thôn, xã Quý Hòa</t>
  </si>
  <si>
    <t>Tờ LN3 thửa 390; Tờ 105 thửa 67; Tờ 106 thửa 5, 6, 7, 8, 21; Tờ 51 thửa 28; Tờ 52 thửa 93, 94, 73, 142; Tờ 63 thửa 74, 75, 67, 71, 69, 70, 72 ; Tờ 82 thửa 207; Tờ 105 thửa  144, 147, 148, 149, 263 ; Tờ 106 thửa  63, 104, 48, 97, 165, 22, 23 ;Tờ 118 thửa 60; Tờ LN 03 thửa  390, 400; Tờ 05 thửa 67; Tờ LN 03 thửa  268</t>
  </si>
  <si>
    <t>Các thôn, xã Tân Hòa</t>
  </si>
  <si>
    <t>Tờ 39 thửa 14, Tờ 33 thửa 43; Tờ 12 thửa 7; Tờ 67 thửa 21; Tờ 47 thửa 13, 15, 16; Tờ 34 thửa 40, 57, 58</t>
  </si>
  <si>
    <t>Các thôn, xã Thiện Thuật</t>
  </si>
  <si>
    <t>Tờ  196 thửa 312, 183, 30, 234, 213, 206,  314, 212, 34, 379 (53), 229,  246, 334, 323, 182, 184, 236, 276, 118, 207, 255, 210,  75, 275, 267, 299, 74, 180, 21, 10, 264, 281, 270, 181, 232, 72, 287, 266, 313, 127, 211, 254, 251, 204, 205, 308, 119, 247, 248, 240, 32, 235, 310 ; Tờ 213 thửa 1; Tờ 214 thửa 4, 5, 6, 8, 14, 24, 23, 21, 10, 1, 13, 39, 6, 18, 37, 33, 3, 317, 18, 37 ; Tờ 178 thửa 69; tờ 187 thửa 224, 225, 226; Tờ 216 thửa 51; Tờ 242 thửa 21; Tờ 205 thửa 19, 21; Tờ 47 thửa 116; Tờ 131 thửa 4; Tờ 160 thửa 20; Tờ 164 thửa, 189; Tờ 197 thửa 7,8; Tờ 201 thửa 216; Tờ 202 thửa 113; Tờ 213 thửa 3; Tờ 240 thửa 93; Tờ LN3 thửa 877, 886, 887, 907, 868, 908, 910, 911, 912, 913, 914, 915, 916, 917, 918, 919, 922, 927, 931, 935, 939, 943, 944, 947, 948, 951, 964, 894, 894, 895, 896, 897, 898, 899, 900, 971, 974; Tờ 178 thửa 69, 67,66, 64, 61; Tờ 196 thửa 182, 184; Tờ LN2 thửa 338, 375, 399</t>
  </si>
  <si>
    <t>Các thôn xã Bình La</t>
  </si>
  <si>
    <t>Tờ 75 thửa 10, 11, 3, 19, 159; Tờ 87 thửa 132</t>
  </si>
  <si>
    <t>Các thôn xã Thiện Hòa</t>
  </si>
  <si>
    <t>Tờ 81 thửa 103, 87 ; tờ 164 thửa 57, 205, 325, 332, 333; tờ 142 thửa 160, tờ 106 thửa 65; tờ 141 thửa 35; tờ 103 thửa 127, 215, 182; tờ 104 thửa 15; tờ 120 thửa 39; tờ 119 thửa 24, 47, 65; tờ 75 thửa 72; Tờ 113 thửa 132, 10, 101, 15, 9; tờ 132 thửa 17; tờ 131 thửa 11; tờ 71 thửa 101; tờ 39 thửa 169...179; tờ 38 thửa 34; tờ 28 thửa 174</t>
  </si>
  <si>
    <t>Các thôn xã Yên Lỗ</t>
  </si>
  <si>
    <t>Tờ 115 thửa 179;…</t>
  </si>
  <si>
    <t xml:space="preserve">V </t>
  </si>
  <si>
    <t>Đấu giá đất ở đô thị</t>
  </si>
  <si>
    <t>Nhà công vụ của trụ sở kho bạc nhà nước, trụ sở Trạm Khuyến nông, trụ sở Trạm BVTV TT Bình Gia</t>
  </si>
  <si>
    <t>Tờ 8 thửa 215,101; Tờ 30 thửa 141</t>
  </si>
  <si>
    <t>Văn bản số 205/UBND-KTN ngày 09/3/2018 của UBND tỉnh Lạng Sơn về việc chấp nhận phương án xử lý đất, tài sản công trên địa bàn huyện Bình Gia và các thử đất công bị thu hồi mới</t>
  </si>
  <si>
    <t>Đấu giá đất ở đô thị (đường 19/4)</t>
  </si>
  <si>
    <t>Khối phố Cam Thủy, Trần Hưng Đạo, TT Bình Gia</t>
  </si>
  <si>
    <t>Tờ 14, 15, 8</t>
  </si>
  <si>
    <t>Quyết định số 1849/QĐ-UBND ngày 26/7/2023 của UBND huyện Bình Gia phê duyệt phương án đấu giá QSDĐ tại khu TĐC đường nội thị (19/4), TT Bình Gia, huyện Bình Gia</t>
  </si>
  <si>
    <t>Chuyển mục đích sử dụng đất sang đất ở tại đô thị</t>
  </si>
  <si>
    <t>Tờ 52 thửa 335. Tờ 58 thửa 115. Tờ 46 thửa 271, 63, 245 ( tách từ thửa 64). Tờ 91 thửa 438 (tách từ thửa 88); Tờ 38; 44; 45; 46; 51; 58; 59; 60 Tô Hiệu; tờ 91 Hoàng Văn Thụ; tờ 08; 14;15; 22; 25; 29; 30; 32; 33; 34; 35 thị trấn; Tờ 38 thửa 228; Tờ 25 thửa 66, 72; Tờ 59 thửa 242</t>
  </si>
  <si>
    <t>Đã thực hiện 0,10 ha. Chuyển tiếp KHSDĐ năm 2025 0,24 ha.</t>
  </si>
  <si>
    <t>Đã thực hiện 0,34 ha</t>
  </si>
  <si>
    <t>Tờ 10 (TH cũ) thửa 90; tờ 15 thửa 85; tờ 23 thửa 119, 120, 121, 128, 138; tờ 24 TH cũ thửa 71; tờ 30 thửa 129, 191; tờ 34 thửa 71, 119, 187; tờ 35 thửa 216 tách từ thửa 53; tờ 38 thửa 316, 363, 368, 181, 180, 150, 122, 100, 101, 121, 128 ; tờ 45, 6; tờ 51 thửa 409, 509, 218, 219, 340, 341 ; tờ 54 thửa 76; tờ 58 thửa  123, 117, 95, 96, 97, 205, 206 (tách từ thửa 86) 61, 62, 70, 88, 89, 91, 92, 213; tờ 59 thửa 140,  275...; tờ 60 thửa 320 tách từ thửa 232, 304 tách từ thửa 78, (294, 295, 296, tách từ thửa 156), 155,  146, 136...; tờ 66 thửa 112, 113 tách từ thửa 33; tờ 67; tờ 68 tờ 69 thửa 72, 265, 320, 327, 241, 242, (368, 369 tách từ thửa 230) ; Tờ 60 thửa 349,350 (tách từ thửa 232); tờ 77 thửa 105; tờ 91 thửa 118,  426, 246, (419, 420 tách từ thửa 195), 311, 59, 65, (383, 342, 433 tách từ thửa 345); Tờ 96 thửa 90, 103, 118, 104, 471, 129; tờ 95 thửa 8; tờ 100 thửa (307, 308 tách từ thửa 195); tờ 101 thửa 274; Tờ 59 thửa 275; Tờ 59 thửa 140, 288; Tờ 30 thửa 129 (tách từ thửa 129, 17); Tờ 60 thửa 78, tờ 95 thửa 8, tờ 30 thửa 258, tờ 8 thửa 229, tờ 58 thửa 7 , tờ 45 thửa 480, tờ 60 thửa 360 (thửa 304 trên bản đồ), tờ 59 thửa 242; Tờ 23 thửa 149</t>
  </si>
  <si>
    <t>Tờ BĐ 06, thửa đất số 257; Tờ BĐ 08; thửa đất số 226; Tờ BĐ 100 HVT, thửa đất số 96, 312, 201, 209, 113, 310, 311, 322, 156, 194, 293, 293,  294 , 199, 200, 104 ; tờ 101 HVT thửa 75, 98, 114, 265, 255, 74, 100, 238, 150,151, 114, 240; Tờ BĐ 13, thửa đất số 37; Tờ BĐ 14 thửa 123, 202; Tờ BĐ 21, thửa  34; tờ 23 thửa 138; Tờ BĐ 24,thửa 186, 210; Tờ BĐ 29, thửa  12; Tờ BĐ 30, thửa  35; Tờ BĐ 33, thửa số 95, 97; Tờ BĐ 34, thửa  số 119, 71, 124, 141, 189, 12, 128, 163, 159, 160, 142; tờ 35 thửa số 92, 65 ((thửa 200, 201 mới), 177, 185, 187; Tờ 36, thửa 29, 36, 37; Tờ 44 thửa 7, 14, 57; Tờ 45 thửa 353, 409, 439, 457; Tờ 51 thửa 6, 279; Tờ 59 thửa  331, 144, 269, 249, 202, 306, 284; Tờ 60 thửa 84, 90, 91;  Tờ  66, thửa  số 98, 38, 98; Tờ 67  thửa  316; Tờ 68 thửa 305, 252; Tờ BĐ 70 thửa 114, 115; Tờ  78,  thửa  232, 233; Tờ 91 thửa 215, 219, 235, 419, 286, 287, 357, 184, 223, 85, 413, 397, 157; Tờ BĐ 96, thửa số 439, 438 (thửa 56 cũ), 313, 397, 407;445 Tờ 97 thửa 56, 71 ,tờ 68 thửa 195, tờ 46 thửa 121, ; thửa 383,410 tờ 91; tờ 67 thửa 232, 233; tờ 101 thửa 240</t>
  </si>
  <si>
    <t>Ven đường QL 1B, TT Bình Gia</t>
  </si>
  <si>
    <t>Tờ 33, 34 (TT), 66 (Tô Hiệu cũ)</t>
  </si>
  <si>
    <t xml:space="preserve">Dự án đầu tư trồng rừng cây gỗ lớn, trồng cây dược liệu dưới tán rừng và chăn nuôi động vật hoang dã tại xã Quý Hòa huyện Bình Gia, tỉnh Lạng Sơn </t>
  </si>
  <si>
    <t>Thông báo số 205/TB-SKHĐT ngày 05/6/2023 của Sở Kế hoạch và Đầu tư  Kết quả thẩm định hồ sơ đề xuất dự án Đầu tư trồng rừng cây gỗ lớn, trồng cây dược liệu dưới tán rừng và chăn nuôi động vật hoang dã tại xã Quý Hòa, huyện Bình Gia</t>
  </si>
  <si>
    <t>Đang triển khai. Chuyển tiếp KHSDĐ năm 2025</t>
  </si>
  <si>
    <t>Xin bản vẽ</t>
  </si>
  <si>
    <t>Đang thực hiện. Đang chuẩn bị trình. Chuyển tiếp KHSDĐ 2025</t>
  </si>
  <si>
    <t>Trang trại chăn nuôi của HGĐ, cá nhân tại thôn Bản Pát, xã Bình La</t>
  </si>
  <si>
    <t>Thôn Bản Pát, xã Bình La</t>
  </si>
  <si>
    <t>Tờ 101 thửa 17, 24, 10, 11, 12, 14, 15, 16, 20, 21</t>
  </si>
  <si>
    <t>Hủy bỏ 0,52 ha. Chuyển tiếp KHSDĐ năm 2025 4,01 ha.</t>
  </si>
  <si>
    <t>Trang trại chăn nuôi của HGĐ, cá nhân tại thôn Bản Hoay xã Hồng Thái</t>
  </si>
  <si>
    <t>Thôn Bản Hoay, xã Hồng Thái</t>
  </si>
  <si>
    <t>Tờ LN 01 thửa 53</t>
  </si>
  <si>
    <t>Xây mới Trụ sở bảo hiểm xã hội huyện</t>
  </si>
  <si>
    <t>Tờ 86</t>
  </si>
  <si>
    <t>Quyết định số 1516/QĐ-BHXH ngày 24/11/2020 của Bảo hiểm xã hội Việt Nam  về phê duyệt chủ trương đầu tư dự án xây dựng Trụ sở Bảo hiểm xã hội huyện Bình Gia, tỉnh Lạng Sơn</t>
  </si>
  <si>
    <t>Dự án đất trồng cây dược liệu</t>
  </si>
  <si>
    <t xml:space="preserve"> Các xã</t>
  </si>
  <si>
    <t>UBND xã đăng ký nhu cầu</t>
  </si>
  <si>
    <t>Thôn Nà Kéo, xã Quý Hòa</t>
  </si>
  <si>
    <t>Tờ LN 01 thửa 9, 10, 11, 12; Tờ LN 02 thửa 169, 251, 276</t>
  </si>
  <si>
    <t xml:space="preserve">Đầu tư và phát triển cây nông lâm nghiệp và cây dược liệu kết hợp với chăn nuôi trên địa bàn tỉnh Lạng Sơn (trồng rừng keo; cây sa nhân tím, Trà hoa vàng dưới tán rừng) </t>
  </si>
  <si>
    <t>Thôn Đội Cấn I, xã Hoa Thám</t>
  </si>
  <si>
    <t>Văn bản số 395/SKHĐT-QLĐTNNS ngày 15/3/2021  của  Sở Kế hoạch và Đầu tư tỉnh Lạng Sơn về việc tham gia ý kiến thẩm định đề xuất Đầu tư và phát triển cây nông lâm nghiệp và cây dược liệu  kết hợp với chăn nuôi trên địa bàn tỉnh Lạng Sơn</t>
  </si>
  <si>
    <t xml:space="preserve">Dự án đầu tư trồng rừng tại huyện Bình Gia và huyện Tràng Định </t>
  </si>
  <si>
    <t>Quyết định số 1151/QĐ-UBND ngày 09/7/2016 của UBND tỉnh Lạng Sơn về việc phê duyệt chủ trương đầu tư Dự án đầu tư trồng rừng tại huyện Bình Gia và huyện Tràng Định , tỉnh Lạng Sơn</t>
  </si>
  <si>
    <t>Dự án đầu tư bảo vệ và phát triển rừng, trồng cây dược liệu dưới tán rừng theo hướng bền vững trên địa bàn tỉnh Lạng Sơn</t>
  </si>
  <si>
    <t>Thôn Nà Nưa, xã Minh Khai; Thôn Nà Mèo và Khuổi Nhuần xã Hòa Bình</t>
  </si>
  <si>
    <t>Thửa đất  423, 636, 735 tờ LN 02 (Minh Khai); thửa đất  33, 52, 58 tờ LN 01
 thửa đất  11, 320, 333 tờ LN 02 (Hòa Bình)</t>
  </si>
  <si>
    <t>Thông báo số 385/TB-SKHĐT ngày 27/12/2023 của Sở Kế hoạch và Đầu tư  Kết quả thẩm định hồ sơ đề nghị thực hiện dự án Dự án đầu tư bảo vệ và phát triển rừng, trồng cây dược liệu dưới tán rừng theo hướng bền vững trên địa bàn tỉnh Lạng Sơn.</t>
  </si>
  <si>
    <t>Đầu tư phát triển cây gỗ lớn tại xã Minh Khai, huyện Bình Gia, tỉnh Lạng Sơn</t>
  </si>
  <si>
    <t>Thôn Nà nưa, xã Minh Khai</t>
  </si>
  <si>
    <t xml:space="preserve">Thửa 735 tờ LN 02 </t>
  </si>
  <si>
    <t>Công văn số 02/CV-HTX ngày 19/7/2023 của hợp tác xã Đức Thảo V/v đăng ký công trình dự án Đầu tư phát triển cây gỗ lớn tại xã Minh Khai, huyện Bình Gia, tỉnh Lạng Sơn</t>
  </si>
  <si>
    <t>Công trình, dự án giao đất</t>
  </si>
  <si>
    <t>Xây mới trụ sở công an xã Quý Hòa</t>
  </si>
  <si>
    <t>Thôn Khuổi Lùng, xã Quý Hòa</t>
  </si>
  <si>
    <t>Tờ 81 thửa 155, 156</t>
  </si>
  <si>
    <t>Quyết định số 827/QĐ-UBND ngày 12/5/2022 UBND tỉnh Lạng Sơn ban hành đề án đảm bảo cơ sở vật chất cho Công an xã chính quy trên địa bàn tỉnh Lạng Sơn</t>
  </si>
  <si>
    <t>Điều chỉnh giảm diện tích xuống 0,12ha. Chuyển tiếp KHSDĐ năm 2025</t>
  </si>
  <si>
    <t>Xây mới trụ sở công an xã Hoa Thám</t>
  </si>
  <si>
    <t>Thôn Nà Pàn, xã Hoa Thám</t>
  </si>
  <si>
    <t xml:space="preserve"> BĐĐC Tờ 256 thửa 318, 319, 320</t>
  </si>
  <si>
    <t>Xây mới trụ sở công an xã Thiện Hòa</t>
  </si>
  <si>
    <t>Thôn Ba Biển, xã Thiện Hòa</t>
  </si>
  <si>
    <t>Tờ 120 thửa 6</t>
  </si>
  <si>
    <t>Đang làm hồ sơ chuyển mục đích, điều chỉnh diện tích tăng lên 0,14 ha. Chuyển tiếp KHSDĐ năm 2025</t>
  </si>
  <si>
    <t>Theo xã đăng ký thì tăng diện tích lên 0,02. Lấy vào đất CSD</t>
  </si>
  <si>
    <t>Xây mới trụ sở công an xã Mông Ân</t>
  </si>
  <si>
    <t>Thôn Nà Vường, xã Mông Ân</t>
  </si>
  <si>
    <t>Tờ 41 thửa 56, 57, 71, 81, 82, 83, 100,48</t>
  </si>
  <si>
    <t>Xây mới trụ sở công an xã Tân Hòa</t>
  </si>
  <si>
    <t>Tờ LN2 thửa 94; Tờ 34 thửa 102</t>
  </si>
  <si>
    <t>Đã xây dựng xong</t>
  </si>
  <si>
    <t xml:space="preserve">Xây mới sân thể thao xã Thiện Hòa </t>
  </si>
  <si>
    <t>Thôn Lân Luông, Xã Thiện Hòa</t>
  </si>
  <si>
    <t>Tờ 66 thửa 56</t>
  </si>
  <si>
    <t>Đang làm hồ sơ chuyển mục đích. Chuyển tiếp KHSDĐ năm 2025</t>
  </si>
  <si>
    <t>Mở rộng trường PTDTBT THCS Hòa Bình</t>
  </si>
  <si>
    <t>Thôn Tà Chu xã Hòa Bình</t>
  </si>
  <si>
    <t>Tờ 57 thửa 38</t>
  </si>
  <si>
    <t>Phòng GD &amp; ĐT</t>
  </si>
  <si>
    <t>Trường Mầm non Hoa Thám</t>
  </si>
  <si>
    <t>Tờ 256 thửa 93</t>
  </si>
  <si>
    <t>Mở rộng trường PTDTBT TH Hưng Đạo (Hạng mục: Cải tạo phòng học và các hạng mục phụ trợ trường PTDTBT TH Hưng Đạo)</t>
  </si>
  <si>
    <t>Thôn Bản Nghĩu, Xã Hưng Đạo (thuộc địa giới hành chính xã Hoa Thám)</t>
  </si>
  <si>
    <t>Tờ 57 thửa 68, 69, 72</t>
  </si>
  <si>
    <t>CLN (1.000)</t>
  </si>
  <si>
    <t>Chưa thực hiện. Chuyển tiếp KHSDĐ 2025</t>
  </si>
  <si>
    <t>Công trình, dự án cấp GCN QSDĐ</t>
  </si>
  <si>
    <t>Xây mới trụ sở công an xã Thiện Long</t>
  </si>
  <si>
    <t>Thôn Bắc Hóa, xã Thiện Long</t>
  </si>
  <si>
    <t>Tờ 64 thửa 107</t>
  </si>
  <si>
    <t>Dự án khai thác, chế biến than bùn mỏ Trầm Ải, TT Bình Gia</t>
  </si>
  <si>
    <t>Khối phố Tòng Chu, TT Bình Gia</t>
  </si>
  <si>
    <t>Tờ 108 thửa 2, 4. Tờ 105 thửa 9 (HVT)</t>
  </si>
  <si>
    <t>Quyết định số 418/QĐ-UBND ngày 7/4/2014 của UBND tỉnh Lạng Sơn về việc cho Công ty Khoáng sản và Thương mại Tiến Hiếu thuê đất để thực hiện dự án: Khai thác, chế biến than bùn mỏ Trầm Ải, xã Hoàng Văn Thụ, huyện Bình Gia</t>
  </si>
  <si>
    <t>Nhà văn hóa thôn Tân Tiến, Hợp Thành</t>
  </si>
  <si>
    <t>Nhà văn hóa thôn Tân Tiến</t>
  </si>
  <si>
    <t>Tờ 33 thửa 128</t>
  </si>
  <si>
    <t xml:space="preserve">Nhà văn hóa thôn Hợp Thành </t>
  </si>
  <si>
    <t>Thôn Hợp Thành, xã Tân Hòa</t>
  </si>
  <si>
    <t>BĐĐC Tờ 47 thửa 68; BDLN 1 thửa 131</t>
  </si>
  <si>
    <t>Nhà văn hóa thôn Tân Tiến, Nà Pái, Còn Tẩư, Còn Nưa, Trà Lẩu, Nà Vước, Bản Đao, Suối Cáp, Bản Nâng, Nà Dài, Nà Đồng, Kéo Coong</t>
  </si>
  <si>
    <t>Các thôn xã Tấn Văn</t>
  </si>
  <si>
    <t>Nhà văn hóa thôn Nà Pái</t>
  </si>
  <si>
    <t>Thôn Nà Pái</t>
  </si>
  <si>
    <t>Tờ 105 thửa 140</t>
  </si>
  <si>
    <t>Nhà văn hóa thôn Còn Tẩu</t>
  </si>
  <si>
    <t>Thôn Còn Tẩu</t>
  </si>
  <si>
    <t>BĐĐC tờ 13, thửa 89</t>
  </si>
  <si>
    <t>Điều chỉnh tên thôn thành "thôn Còn Tẩư". Chuyển tiếp KHSDĐ năm 2025</t>
  </si>
  <si>
    <t>Nhà văn hóa thôn Còn Nưa</t>
  </si>
  <si>
    <t>Thôn Cờn Nưa</t>
  </si>
  <si>
    <t>BĐĐC tờ 13, thửa 108</t>
  </si>
  <si>
    <t>Nhà văn hóa thôn Trà Lẩu</t>
  </si>
  <si>
    <t>Thôn Trà Lẩu</t>
  </si>
  <si>
    <t>BĐĐC tờ 16, thửa 94</t>
  </si>
  <si>
    <t>Nhà văn hóa thôn Nà Vước</t>
  </si>
  <si>
    <t>Thôn Nà Vước</t>
  </si>
  <si>
    <t>BĐĐC tờ 30, thửa 122</t>
  </si>
  <si>
    <t>Nhà văn hóa thôn Bản Đao</t>
  </si>
  <si>
    <t>Thôn Bản Đao</t>
  </si>
  <si>
    <t>BĐĐC tờ 81, thửa 168, 64, 65</t>
  </si>
  <si>
    <t>Nhà văn hóa thôn Suối Cáp</t>
  </si>
  <si>
    <t>Thôn Suối Cáp</t>
  </si>
  <si>
    <t>Tờ 96 thửa 115, 116</t>
  </si>
  <si>
    <t>Nhà văn hóa thôn Bản Nâng</t>
  </si>
  <si>
    <t>Thôn Bản Nâng</t>
  </si>
  <si>
    <t>BĐĐC tờ 85, thửa 82</t>
  </si>
  <si>
    <t>Nhà văn hóa thôn Nà Dài</t>
  </si>
  <si>
    <t>Thôn Nà Dài</t>
  </si>
  <si>
    <t>BĐLN 06 thửa 278</t>
  </si>
  <si>
    <t>Nhà văn hóa thôn Nà Đồng</t>
  </si>
  <si>
    <t>Thôn Nà Đồng</t>
  </si>
  <si>
    <t>Tờ 74 thửa 189, 190</t>
  </si>
  <si>
    <t>Tờ 83 thửa 37, 65</t>
  </si>
  <si>
    <t>Điều chỉnh tên thôn thành "thôn Nà Đồng". Chuyển tiếp KHSDĐ năm 2025</t>
  </si>
  <si>
    <t>Nhà văn hóa thôn Kéo Coong</t>
  </si>
  <si>
    <t xml:space="preserve">Thôn Kéo Coong </t>
  </si>
  <si>
    <t>BĐĐC tờ 46 thửa 31</t>
  </si>
  <si>
    <t>Xây mới Nhà bia ghi tên Liệt sĩ xã Thiện Hòa</t>
  </si>
  <si>
    <t>Thôn Ba Biển, Xã Thiện Hòa</t>
  </si>
  <si>
    <t>Tờ LN 01 thửa 334</t>
  </si>
  <si>
    <t>Xây mới nhà văn hóa xã Thiện Hòa</t>
  </si>
  <si>
    <t>Nghị quyết số  05/NQ-HĐND ngày 12/7/2023 của HĐND huyện V/v điều chỉnh kế hoạch đầu tư công và KH vốn thực hiện các CTMTQG năm 2023 huyện Bình Gia</t>
  </si>
  <si>
    <t>Xây mới nhà văn hóa thôn Lân Luông, Nà Lẹng, Thâm Khôn, Yên Hùng, Nà Tàn, Nà Đảng</t>
  </si>
  <si>
    <t>Thôn Lân Luông, Nà Lẹng, Thâm Khôn, Yên Hùng, Nà Tàn, Nà Đảng xã Thiện Hòa</t>
  </si>
  <si>
    <t>Tờ 66 thửa 50; Tờ LN 3 thửa 799; Tờ LN 2 thửa 500; Tờ 78 thửa 134; Tờ 27 thửa 11; Tờ 152 thửa 04</t>
  </si>
  <si>
    <t>Nhà văn hóa thôn Nà Đảng</t>
  </si>
  <si>
    <t>Thôn Nà Đảng, xã Thiện Hòa</t>
  </si>
  <si>
    <t>Tờ 152 thửa 04</t>
  </si>
  <si>
    <t>Xây mới nhà văn hóa thôn  Ba Biển, Nà Tàn</t>
  </si>
  <si>
    <t>Tờ 120 thửa 16; Tờ 27 thửa 11, 26, 27</t>
  </si>
  <si>
    <t>UBND xã Thiện Hòa</t>
  </si>
  <si>
    <t>Nhà văn hóa xã Thiện Long</t>
  </si>
  <si>
    <t xml:space="preserve"> Xã Thiện Long</t>
  </si>
  <si>
    <t>tờ LN2 thửa 100, 116</t>
  </si>
  <si>
    <t>Nhà văn hóa thôn Thanh Bình, Tồng Nộc, Khuổi Hẩu, Bắc Hóa</t>
  </si>
  <si>
    <t>Thôn Thanh Bình, Tồng Nộc, Khuổi Hẩu, Bắc Hóa, Nà Lù, Khuổi Kiếc xã Thiện Long</t>
  </si>
  <si>
    <r>
      <t xml:space="preserve">Tờ 58 thửa 28, 29; Tờ LN 1 thửa 472; Tờ 128 thửa 73; Tờ 90 thửa 166, 105; </t>
    </r>
    <r>
      <rPr>
        <sz val="10"/>
        <color theme="1"/>
        <rFont val="Times New Roman"/>
        <family val="1"/>
      </rPr>
      <t>Tờ 70 thửa 58; Tờ 71 thửa 89, 122</t>
    </r>
    <r>
      <rPr>
        <sz val="10"/>
        <color theme="1"/>
        <rFont val="Times New Roman"/>
        <family val="1"/>
        <charset val="163"/>
      </rPr>
      <t>; Tờ 11 thửa 29; Tờ LN2 thửa 146, 147</t>
    </r>
  </si>
  <si>
    <t>Nhà văn hóa thôn Thanh Bình, hủy bỏ do chuyển vị trí. Nhà văn hóa Tồng Nộc, Khuổi Hầu, Bắc Hóa điều chỉnh bổ sung vị trí. Chuyển tiếp KHSDĐ năm 2025</t>
  </si>
  <si>
    <t>cập nhật vị trí theo ĐCQH. Nhà văn hóa thôn Thanh Bình đăng ký vị trí mới theo điều chỉnh QH</t>
  </si>
  <si>
    <t>Nhà văn hóa thôn Nà Lù</t>
  </si>
  <si>
    <t>Thôn Nà Lù</t>
  </si>
  <si>
    <t>Tờ 11 thửa 29</t>
  </si>
  <si>
    <t xml:space="preserve"> Chuyển tiếp KHSDĐ năm 2025</t>
  </si>
  <si>
    <t xml:space="preserve"> Chuyển tiếp</t>
  </si>
  <si>
    <t>Nhà văn hóa thôn Khuổi Kiếc</t>
  </si>
  <si>
    <t>Thôn Khuổi Kiếc</t>
  </si>
  <si>
    <t>Tờ LN2 thửa 146, 147</t>
  </si>
  <si>
    <t>Nhà văn hóa thôn Pàn Slèo</t>
  </si>
  <si>
    <t>Thôn Pàn Slèo, xã Hưng Đạo</t>
  </si>
  <si>
    <t>Tờ 46 thửa 107, 108, 113, 114,115, 116 (BĐ xã Hoa Thám)</t>
  </si>
  <si>
    <t>Nhà văn hóa xã Quý Hòa, huyện Bình Gia</t>
  </si>
  <si>
    <t>Tờ 81 thửa 156</t>
  </si>
  <si>
    <t>Quyết định số 3750a/QĐ-UBND ngày 05/12/2022 của UBND huyện Bình Gia về việc phê duyệt hồ sơ xây dựng công trình: Nhà văn hóa xã Quý Hòa, huyện Bình Gia</t>
  </si>
  <si>
    <t>Nhà văn hóa thôn Vằng Mần, Vằng Ún, Khuổi Luông, Khuổi Màn</t>
  </si>
  <si>
    <t>Thôn Vằng Mần, Vằng Ún, Khuổi Luông, Khuổi Màn, xã Vĩnh Yên</t>
  </si>
  <si>
    <t>Tờ LN2 thửa 7; Tờ LN 02 thửa 129; Tờ 47 thửa 98; Tờ LN 1 thửa 79</t>
  </si>
  <si>
    <t>Nhà bia tưởng niệm các anh hùng liệt sỹ xã Thiện Thuật</t>
  </si>
  <si>
    <t>Thôn Pắc Khuông, xã Thiện Thuật</t>
  </si>
  <si>
    <t>Tờ LN 02 thửa 813</t>
  </si>
  <si>
    <t>UBND xã Thiện Thuật</t>
  </si>
  <si>
    <t>Xây dựng mới nhà văn hóa thôn Khuổi Hắp, Pác Luống, Pác Là</t>
  </si>
  <si>
    <t>Thôn Khuổi Khắp, xã Thiện Thuật</t>
  </si>
  <si>
    <t>Tờ BĐLN 1 thửa 163</t>
  </si>
  <si>
    <t>Nghị quyết số 05/NQ-HĐND ngày 12/7/2023 của HĐND huyện Bình Gia V/v điều chỉnh vốn đầu tư phát triển nguồn ngân sách nhà nước thực hiện các chương trình mục tiêu quốc gia trên địa bàn huyện Bình Gia giai đoạn 2021-2025 (lần 2)</t>
  </si>
  <si>
    <t>Nhà văn hóa thôn Pác Luống , Pác Là</t>
  </si>
  <si>
    <t>ThônPác Luống , Pác Là xã Thiện Thuật</t>
  </si>
  <si>
    <t>Tờ LN 1 thửa 317; Tờ 83 thửa 01; Tờ LN1 thửa 497</t>
  </si>
  <si>
    <t xml:space="preserve">Nhà văn hóa thôn Pác Luống </t>
  </si>
  <si>
    <t>Thôn Pác Luống</t>
  </si>
  <si>
    <t>Tờ LN 1 thửa 317</t>
  </si>
  <si>
    <t>Quyết định số 3052/QĐ-UBND ngày 06/9/2022 của UBND huyện Bình Gia về việ giao mục tiêu, nhiệm vụ, kế hoạch vốn đầu tư phát triển nguồn ngân sách trung ương thực hiện các chương trình mục tiêu Quốc gia trên địa bàn huyện Bình Gia giai đoạn 2021-2025</t>
  </si>
  <si>
    <t>Xin trích đo</t>
  </si>
  <si>
    <t>Xây dựng nhà văn hóa thôn Pác Là</t>
  </si>
  <si>
    <t>Thôn Pác Là</t>
  </si>
  <si>
    <t>Tờ 83 thửa 01; Tờ LN1 thửa 497</t>
  </si>
  <si>
    <t>Nghị quyết số 05/NQ-HĐND ngày 12/7/2023 của HĐND huyện Bình Gia về điều chỉnh kế hoạch vốn đầu tư phát triển nguồn ngân sách nhà nước thực hiện các CTMTQG trên địa bàn huyện Bình Gia, giai đoạn (2021-2025) lần 2</t>
  </si>
  <si>
    <t>Đã xây dựng, chưa chuyển mục đích. Điều chỉnh tên thành " Xây dựng nhà văn hóa thôn Pác Là". Chuyển tiếp KHSDĐ năm 2025</t>
  </si>
  <si>
    <t>Nhà văn hóa thôn Cốc Mặn, Đồng Hương, Viên Minh, Nà Cướm</t>
  </si>
  <si>
    <t>Thôn Cốc Mặn, Đồng Hương,  Viên Minh, Nà Cướm xã Mông Ân</t>
  </si>
  <si>
    <t>Tờ 37 thửa 68; Tờ 31 thửa 160, 213, 211; Tờ 2 thửa 130, 140; BĐLN 02 thửa 50</t>
  </si>
  <si>
    <t>Nhà văn hóa thôn Cốc Mặn</t>
  </si>
  <si>
    <t>Thôn Cốc Mặn</t>
  </si>
  <si>
    <t>Tờ 37 thửa 68</t>
  </si>
  <si>
    <t>Nhà văn hóa thôn Đồng Hương</t>
  </si>
  <si>
    <t>Thôn Đồng Hương</t>
  </si>
  <si>
    <t>Tờ 31 thửa 160, 213, 211</t>
  </si>
  <si>
    <t>Nhà văn hóa thôn Viên Minh</t>
  </si>
  <si>
    <t>Thôn Viên Minh</t>
  </si>
  <si>
    <t>Tờ 2 thửa 130, 140</t>
  </si>
  <si>
    <t>Bổ sung 64, 150</t>
  </si>
  <si>
    <t>Nhà văn hóa thôn Nà Cướm</t>
  </si>
  <si>
    <t xml:space="preserve">Thôn Nà Cướm </t>
  </si>
  <si>
    <t>BĐLN 02 thửa 50</t>
  </si>
  <si>
    <t>sửa thửa 50 thành thừa 273</t>
  </si>
  <si>
    <t>Nhà văn hóa thị trấn Bình Gia</t>
  </si>
  <si>
    <t>Tô hiệu cũ - Tờ 21 thửa 56</t>
  </si>
  <si>
    <t>Văn bản số 205/UBND-KTN ngày 09/3/2018 của UBND tỉnh Lạng Sơn về việc chấp nhận phương án xử lý đất, tài sản công trên địa bàn huyện Bình Gia; Nghị quyết số 48/NQ-HĐND ngày 14/12/2020 của HĐND tỉnh Lạng Sơn</t>
  </si>
  <si>
    <t>Nhà văn hóa khối phố Yên Bình, Tân Yên, Tân Thành, Pá Nim, Ngã Tư, Pác Nàng, 6B, Tòng Chu</t>
  </si>
  <si>
    <t>Nhà văn hóa khối phố Yên Bình</t>
  </si>
  <si>
    <t xml:space="preserve">BĐĐC TH - Tờ 21 thửa 56; </t>
  </si>
  <si>
    <t>Nhà Văn Hóa khối phố Tân Yên</t>
  </si>
  <si>
    <t>Tờ 68 TH cũ- thửa 267</t>
  </si>
  <si>
    <t>UBND TT Bình Gia</t>
  </si>
  <si>
    <t>Nhà Văn Hóa khối phố Tân Thành</t>
  </si>
  <si>
    <t>Tờ 68 TH cũ- thửa 162</t>
  </si>
  <si>
    <t>Nhà Văn Hóa khối phố Pá Nim</t>
  </si>
  <si>
    <t>Tờ 66 TH cũ - thửa 17</t>
  </si>
  <si>
    <t>Nhà Văn Hóa khối phố Ngã Tư</t>
  </si>
  <si>
    <t>Tờ 45 thửa 116</t>
  </si>
  <si>
    <t>Nhà Văn Hóa khối phố Pác Nàng</t>
  </si>
  <si>
    <t>Thửa đất số 222, 223, 225; tờ bản đồ số 25</t>
  </si>
  <si>
    <t>Nhà Văn Hóa khối phố 6B</t>
  </si>
  <si>
    <t>Tờ 35 thửa 32</t>
  </si>
  <si>
    <t>Nhà Văn Hóa khối phố Tòng Chu</t>
  </si>
  <si>
    <t>Tờ 95 thửa 79</t>
  </si>
  <si>
    <t>Nhà bia ghi tên Liệt sỹ xã Hoàng Văn Thụ</t>
  </si>
  <si>
    <t>Thôn Thuần Như 1, xã Hoàng văn Thụ</t>
  </si>
  <si>
    <t>Tờ 81 thửa 228</t>
  </si>
  <si>
    <t>UBND xã Hoàng Văn Thụ</t>
  </si>
  <si>
    <t>Nhà văn hóa xã Hoàng Văn Thụ</t>
  </si>
  <si>
    <t>Thôn Thuần Như 2, xã Hoàng văn Thụ</t>
  </si>
  <si>
    <t>Tờ 75 thửa 338, 339, 340</t>
  </si>
  <si>
    <t>Nghị quyết số 05/NQ-HĐND ngày 12/7/2023 của HĐND huyện Bình Gia về điều chỉnh kế hoạch vốn đầu tư phát triển nguồn ngân sách nhà nước thực hiện các Chương trình MTQG trên địa bàn huyện Bình Gia, giai đoạn (2021-2025) lần 2</t>
  </si>
  <si>
    <t>Nhà văn hóa thôn Thuần Như 1, Liên Hợp, Phai Danh</t>
  </si>
  <si>
    <t>Thôn Thuần Như 1, Liên Hợp, Phai Danh xã Hoàng văn Thụ</t>
  </si>
  <si>
    <t>Tờ 86 thửa 324, 326, 325; Tờ 86 thửa 324, 326, 325; Tờ 82 thửa 6, 14</t>
  </si>
  <si>
    <t>Nhà văn hóa thôn Thuần Như 1</t>
  </si>
  <si>
    <t>Thôn Thuần Như 1</t>
  </si>
  <si>
    <t>Tờ 86 thửa 324, 326, 325</t>
  </si>
  <si>
    <t xml:space="preserve">Điều chỉnh tăng diện tích lên 0,04 ha. </t>
  </si>
  <si>
    <t>Nhà văn hóa thôn Liên Hợp</t>
  </si>
  <si>
    <t>Thôn Liên Hợp</t>
  </si>
  <si>
    <t>Tờ 35 thửa 05</t>
  </si>
  <si>
    <t>Nhà Văn hóa thôn Phai Danh</t>
  </si>
  <si>
    <t>Thôn Phai Danh</t>
  </si>
  <si>
    <t>Tờ 82 thửa 6, 14</t>
  </si>
  <si>
    <t>Xây mới nhà văn hóa thôn Thẳm Sáng, Nà Cốc, Thuần Như 2</t>
  </si>
  <si>
    <t>Thôn Thẳm Sáng, Nà Cốc, Thuần Như 2 xã Hoàng Văn Thụ</t>
  </si>
  <si>
    <t>Tờ 53 thửa 110, 116, 108, 117, 109,…; Tờ 50 thửa 19, 21, 39; Tờ 76 thửa 106, 90</t>
  </si>
  <si>
    <t>Xây mới nhà văn hóa thôn Thẳm Sáng</t>
  </si>
  <si>
    <t>Thôn Thẳm Sáng, xã Hoàng Văn Thụ</t>
  </si>
  <si>
    <t>Tờ 53 thửa 110, 116, 108, 117, 109,…</t>
  </si>
  <si>
    <t>Xây mới nhà văn hóa thôn Nà Cốc</t>
  </si>
  <si>
    <t>Thôn Nà Cốc, xã Hoàng Văn Thụ</t>
  </si>
  <si>
    <t>Tờ 50 thửa 19, 21, 39</t>
  </si>
  <si>
    <t>Mở rộng nhà văn hóa thôn Thuần Như 2</t>
  </si>
  <si>
    <t>Tờ 76 thửa 106, 90</t>
  </si>
  <si>
    <t>Nhà văn hóa xã Bình La</t>
  </si>
  <si>
    <t>tờ 75 thửa 172, 173, 174, 175, 177, 179, 181</t>
  </si>
  <si>
    <t>Nhà văn hóa thôn Nà Tèo, Nà Ngần,  Pắc Giắm</t>
  </si>
  <si>
    <t>Thôn Nà Tèo, Nà Ngần,  Pắc Giắm xã Quang Trung</t>
  </si>
  <si>
    <t>Tờ 95 thửa 234; Tờ LN 02 thửa 919; tờ 23 thửa 333</t>
  </si>
  <si>
    <t>Nhà văn hóa thôn Nà Tèo</t>
  </si>
  <si>
    <t>Tờ 95 thửa 234</t>
  </si>
  <si>
    <t>Cập nhật vị trí theo điều chỉnh QH</t>
  </si>
  <si>
    <t>Nhà văn hóa thôn Nà Ngần</t>
  </si>
  <si>
    <t>Thôn Nà Ngần, Xã Quang Trung</t>
  </si>
  <si>
    <t>Tờ LN 02 thửa 919</t>
  </si>
  <si>
    <t>Nhà văn hóa thôn Pắc Giắm</t>
  </si>
  <si>
    <t>tờ 23 thửa 333</t>
  </si>
  <si>
    <t>Nhà văn hóa thôn Bản Chang</t>
  </si>
  <si>
    <t>Thôn Bản Chang, xã Quang Trung</t>
  </si>
  <si>
    <t>Tờ 126 thửa 32</t>
  </si>
  <si>
    <t>Nhà văn hóa xã Hồng Thái</t>
  </si>
  <si>
    <t>Thôn Bản Huấn, Xã Hồng Thái</t>
  </si>
  <si>
    <t>Tờ 58 thửa 228, 183, 256, 255, 254, 261, 264, 260, 227; Tờ LN 2 thửa 123</t>
  </si>
  <si>
    <t>Nhà văn hóa thôn Nam Tiến</t>
  </si>
  <si>
    <t>Thôn Nam Tiến xã Hồng Thái</t>
  </si>
  <si>
    <t>Tờ 25 thửa 118</t>
  </si>
  <si>
    <t>Xây mới Nhà bia ghi tên Liệt sĩ xã Yên Lỗ</t>
  </si>
  <si>
    <t>LN3 thửa 423</t>
  </si>
  <si>
    <t>Nhà bia ghi tên Liệt sỹ xã Hồng Phong</t>
  </si>
  <si>
    <t>Thôn Nhất Tiến, xã Hồng Phong</t>
  </si>
  <si>
    <t>Tờ 171 thửa 172</t>
  </si>
  <si>
    <t>Xây mới nhà văn hóa thôn Kim Liên, Văn Mịch, Vằng Phya, Khuổi Khuy, Nà Sla, Nhất Tiến, Đoàn Kết, Bản Đáp, Nà Ven</t>
  </si>
  <si>
    <t>Thôn Kim Liên,Văn Mịch, Vằng Phya, Khuổi Khuy, Nà Sla, Nhất Tiến, Đoàn Kết, Bản Đáp, Nà Ven xã Hồng Phong</t>
  </si>
  <si>
    <r>
      <t xml:space="preserve"> Tờ LN 2 thửa 505; Tờ  149 thửa 144; Tờ LN 01 thửa 390; Tờ LN 02 thửa 84, 94; </t>
    </r>
    <r>
      <rPr>
        <sz val="10"/>
        <color theme="1"/>
        <rFont val="Times New Roman"/>
        <family val="1"/>
      </rPr>
      <t>Tờ 01 thửa 55, 70</t>
    </r>
    <r>
      <rPr>
        <sz val="10"/>
        <color theme="1"/>
        <rFont val="Times New Roman"/>
        <family val="1"/>
        <charset val="163"/>
      </rPr>
      <t>; Tờ 161 thửa 93; Tờ 142 thửa 59; Tờ 105 thửa 140; Tờ 139 thửa 5</t>
    </r>
  </si>
  <si>
    <t>Xây mới nhà văn hóa thôn Kim Liên, Văn Mịch, Vằng Phya, Khuổi Khuy, Nà Sla, Nhất Tiến</t>
  </si>
  <si>
    <t>Thôn Kim Liên,Văn Mịch, Vằng Phya, Khuổi Khuy, Nà Sla, Nhất Tiến, xã Hồng Phong</t>
  </si>
  <si>
    <t xml:space="preserve"> Tờ LN 2 thửa 505; Tờ  149 thửa 144; Tờ LN 01 thửa 390; Tờ LN 02 thửa 84, 94; Tờ 01 thửa 55, 70; Tờ 161 thửa 93</t>
  </si>
  <si>
    <t>sửa thành Tờ LN 01 thửa 69, 70</t>
  </si>
  <si>
    <t>Xây mới nhà văn hóa thôn Đoàn Kết</t>
  </si>
  <si>
    <t>Thôn Đoàn Kết</t>
  </si>
  <si>
    <t>Tờ 142 thửa 59</t>
  </si>
  <si>
    <t>Đã xây dựng, chưa chuyển mục đích. Chuyển tiếp KHSDĐ năm 2025</t>
  </si>
  <si>
    <t>Nhà văn hóa thôn Bản Đáp</t>
  </si>
  <si>
    <t>Thôn Bản Đáp</t>
  </si>
  <si>
    <t>Nhà văn hóa thôn Nà Ven</t>
  </si>
  <si>
    <t>Thôn Nà Ven</t>
  </si>
  <si>
    <t>Tờ 139 thửa 5</t>
  </si>
  <si>
    <t>Nhà văn hóa thôn Văn Can</t>
  </si>
  <si>
    <t>ThônVăn Can, xã Hồng Phong</t>
  </si>
  <si>
    <t>Tờ 188 thửa 201</t>
  </si>
  <si>
    <t>Nhà văn hóa xã Hoa Thám</t>
  </si>
  <si>
    <t>Tờ 245 thửa 192, 193, 194, 213, 214, 215,216...tờ 256 thửa 23, 24, 25...</t>
  </si>
  <si>
    <t>Xây mới nhà văn hóa thôn Nà Pàn, Bản Thẳm, Đội Cấn I, Đội Cấn II, Tân Lập, Bằng Giang, Tân Hoa</t>
  </si>
  <si>
    <t>Các thôn xã Hoa Thám</t>
  </si>
  <si>
    <t>Tờ 256 thửa 292, 293, 320, 322, 325, 323,  291, 289; Tờ LN 3 thửa 87, 88;  Tờ 136 thửa 11;  Tờ 32 thửa 5; Tờ 275 thửa 43; Tờ LN 3 thửa 551, 537; Tờ 213 thửa 41, 42, 43, 44, 45, 46, 60, 61, 62</t>
  </si>
  <si>
    <t>Xây mới nhà văn hóa thôn Nà Pàn</t>
  </si>
  <si>
    <t>Thôn Nà Pàn</t>
  </si>
  <si>
    <t>Tờ 256 thửa 292, 293, 320, 322, 325, 323,  291, 289</t>
  </si>
  <si>
    <t>Nhà văn hóa thôn Bản Thẳm</t>
  </si>
  <si>
    <t>Thôn Bản Thẳm</t>
  </si>
  <si>
    <t>Tờ LN 3 thửa 87, 88</t>
  </si>
  <si>
    <t>Đã xây dựng, chưa chuyển mục đích. Đưa vào đăng ký cấp GCN QSDĐ</t>
  </si>
  <si>
    <t>Xây mới nhà văn hóa thôn Đội Cấn I</t>
  </si>
  <si>
    <t>Thôn Đội Cấn I</t>
  </si>
  <si>
    <t xml:space="preserve"> Tờ 136 thửa 11</t>
  </si>
  <si>
    <t>Xây mới nhà văn hóa thôn Đội Cấn II</t>
  </si>
  <si>
    <t>Thôn Đội Cấn II</t>
  </si>
  <si>
    <t xml:space="preserve"> Tờ 32 thửa 5</t>
  </si>
  <si>
    <t>Nhà văn hóa thôn Tân Lập</t>
  </si>
  <si>
    <t>Thôn Tân Lập</t>
  </si>
  <si>
    <t>Tờ 275 thửa 43</t>
  </si>
  <si>
    <t>Xây mới nhà văn hóa thôn Bằng Giang</t>
  </si>
  <si>
    <t>Thôn Bằng Giang</t>
  </si>
  <si>
    <t>Tờ LN 3 thửa 551, 537</t>
  </si>
  <si>
    <t>Xây mới nhà văn hóa thôn Tân Hoa</t>
  </si>
  <si>
    <t>Thôn Tân Hoa</t>
  </si>
  <si>
    <t>Tờ 213 thửa 41, 42, 43, 44, 45, 46, 60, 61, 62</t>
  </si>
  <si>
    <t>Nhà văn hóa thôn Nà Tồng, Bản Mè, Bản Pe, Khuổi Sắp, Pò Mầm, Khuổi Cọ</t>
  </si>
  <si>
    <t xml:space="preserve"> Thôn Nà Tồng, Bản Mè, Bản Pe, Khuổi Sắp, Pò Mầm, Khuổi Cọ xã Yên Lỗ</t>
  </si>
  <si>
    <t>Tờ 57 thửa 170, 145, 143, 144, 146; Tờ LN 03 thửa 462; Tờ LN 01 thửa 281, 301; Tờ LN 01 thửa 68; Tờ 141 thửa 134; Tờ 52 thửa 284, 183, 185, 206,…</t>
  </si>
  <si>
    <t>UBND xã Yên Lỗ</t>
  </si>
  <si>
    <t>Nhà văn hóa thôn Nà Tồng</t>
  </si>
  <si>
    <t>Thôn Nà Tồng</t>
  </si>
  <si>
    <t>Tờ 57 thửa 170, 145, 143, 144, 146</t>
  </si>
  <si>
    <t>Nhà văn hóa thôn Bản Mè</t>
  </si>
  <si>
    <t>Thôn Bản Mè</t>
  </si>
  <si>
    <t>Tờ LN 03 thửa 462</t>
  </si>
  <si>
    <t>Nhà văn hóa thôn Bản Pe</t>
  </si>
  <si>
    <t>Thôn Bản Pe</t>
  </si>
  <si>
    <t>Tờ LN 01 thửa 281, 301</t>
  </si>
  <si>
    <t>Nhà văn hóa thôn Khuổi Sắp</t>
  </si>
  <si>
    <t>Thôn Khuổi Sắp</t>
  </si>
  <si>
    <t>Tờ LN 01 thửa 68</t>
  </si>
  <si>
    <t>Nhà văn hóa thôn Pò Mầm</t>
  </si>
  <si>
    <t>Thôn Pò Mầm</t>
  </si>
  <si>
    <t>Tờ 141 thửa 134</t>
  </si>
  <si>
    <t>Mở rộng nhà văn hóa thôn Khuổi Cọ</t>
  </si>
  <si>
    <t>Thôn Khuổi Cọ</t>
  </si>
  <si>
    <t>Tờ 52 thửa 284, 183, 185, 206,…</t>
  </si>
  <si>
    <t>Xây mới sân thể thao thôn Nà Cướm</t>
  </si>
  <si>
    <t>Thôn Nà Cướm, xã Mông Ân</t>
  </si>
  <si>
    <t>Tờ 61 thửa 143</t>
  </si>
  <si>
    <t>UBND xã Mông Ân</t>
  </si>
  <si>
    <t>Theo ĐCQH mới</t>
  </si>
  <si>
    <t>Phù hợp QH đã được phê duyệt</t>
  </si>
  <si>
    <t>Xây mới sân thể thao thôn Nà Tèo</t>
  </si>
  <si>
    <t>Tờ 95 thửa 329</t>
  </si>
  <si>
    <t>Trung tâm Y tế huyện Bình Gia, sáp nhập Trung tâm Dân số KHHGĐ</t>
  </si>
  <si>
    <t>Khối phố 6b, TT Bình Gia</t>
  </si>
  <si>
    <t>Tờ 37 thửa 2, 5, 6, 7, 8, 9, 11; Tờ 35 thửa 111, 112</t>
  </si>
  <si>
    <t>Trạm y tế thị trấn Bình Gia</t>
  </si>
  <si>
    <t>Khối Phố Tân Thành TT Bình Gia</t>
  </si>
  <si>
    <t>Tờ 68 thửa 202</t>
  </si>
  <si>
    <t>Trạm y tế xã Hoàng Văn Thụ</t>
  </si>
  <si>
    <t>Thôn Thuần Như 2, xã Hoàng Văn Thụ</t>
  </si>
  <si>
    <t>tờ 75 thửa 341, 342, 343, 344</t>
  </si>
  <si>
    <t>Trạm y tế xã Vĩnh Yên</t>
  </si>
  <si>
    <t>tờ 68 thửa 89</t>
  </si>
  <si>
    <t>Trạm y tế xã Hòa Bình</t>
  </si>
  <si>
    <t>Tờ 56 thửa 91</t>
  </si>
  <si>
    <t>Trạm y tế xã Hồng Thái</t>
  </si>
  <si>
    <t>Tờ 58 thửa 45, 46, 41, 40, 74, 38, 39, 42, 44, 43, 79</t>
  </si>
  <si>
    <t>Trạm y tế xã Tân Văn</t>
  </si>
  <si>
    <t>Tờ 30 thửa 87</t>
  </si>
  <si>
    <t>Trạm y tế xã Bình La</t>
  </si>
  <si>
    <t>Tờ 75 thửa 39, 40, 166; Tờ LN thửa 121</t>
  </si>
  <si>
    <t>Trạm y tế xã Tân Hòa</t>
  </si>
  <si>
    <t>Tờ 66 thửa 57, 58 ,62, 63</t>
  </si>
  <si>
    <t>Trạm y tế xã Thiện Hoà</t>
  </si>
  <si>
    <t>Tờ 120 thửa 1</t>
  </si>
  <si>
    <t>Trạm y tế xã Thiện Thuật</t>
  </si>
  <si>
    <t>Thôn Khuổi Cưởm, xã Thiện Thuật</t>
  </si>
  <si>
    <t>Tờ 178 thửa 83</t>
  </si>
  <si>
    <t>Trạm y tế xã Minh Khai</t>
  </si>
  <si>
    <t>Tờ 44, thửa 123, 140</t>
  </si>
  <si>
    <t xml:space="preserve">Trạm y tế xã Hoa Thám </t>
  </si>
  <si>
    <t>Tờ 256 thửa 288</t>
  </si>
  <si>
    <t>Trạm y tế xã Hưng Đạo</t>
  </si>
  <si>
    <t>Tờ 91 thửa 174, 175, 176</t>
  </si>
  <si>
    <t xml:space="preserve">Điểm trường Nà Bản, trường phổ thông dân tộc bán trú tiểu học và trung học cơ sở Hồng Thái </t>
  </si>
  <si>
    <t>Thôn Nà Bản,  Xã Hồng Thái</t>
  </si>
  <si>
    <t>Tờ 32 thửa 10, 17, 18, 19, 20, 21, 22, 23, 24, 25, 115</t>
  </si>
  <si>
    <t>Trường mần non Hồng Thái (trường chính)</t>
  </si>
  <si>
    <t>Tờ 69 thửa 17, 27, 30, 31, 32, 33, 35; Tờ LN 2 thửa 171</t>
  </si>
  <si>
    <t>Điểm trường Nà Khoang, trường mầm non Hồng Thái</t>
  </si>
  <si>
    <t>Thôn Bảo Lộc, Xã Hồng Thái</t>
  </si>
  <si>
    <t>Tờ 95 thửa 358, 417, 427, 428</t>
  </si>
  <si>
    <t>Trường phổ thông bán trú tiểu học và trung học cơ sở Hồng Thái (khu bán trú)</t>
  </si>
  <si>
    <t>Tờ 58 thửa 931, 421</t>
  </si>
  <si>
    <t>Trường Phổ thông dân tộc bán trú - Tiểu học Hòa Bình</t>
  </si>
  <si>
    <t>Tờ 44 thửa 55, 56, 57, 58, 59, 78</t>
  </si>
  <si>
    <t>Điểm trường Tà Chu, Trường mầm non Hòa Bình</t>
  </si>
  <si>
    <t>Tờ 135 thửa 34 TĐ</t>
  </si>
  <si>
    <t>Điều chỉnh thay đổi tờ thửa. Chuyển tiếp KHSDĐ năm 2025</t>
  </si>
  <si>
    <t>Tờ 45, thửa 4, 5, 135</t>
  </si>
  <si>
    <t>Điểm trường Nà Tồng, trường mầm non Quang Trung</t>
  </si>
  <si>
    <t>Thôn Nà Tồng, xã Quang Trung</t>
  </si>
  <si>
    <t>Tờ 57 thửa 191</t>
  </si>
  <si>
    <t>Hỏi lại phòng GD</t>
  </si>
  <si>
    <t>Điểm trường Pác Giắm, trường mầm non Quang Trung</t>
  </si>
  <si>
    <t>Thôn Pác Giắm, xã Quang Trung</t>
  </si>
  <si>
    <t>BĐĐC tờ 23 thửa 299</t>
  </si>
  <si>
    <t>Trường PTDTBT TH Quang Trung (điểm trường tiểu học Bản Quần)</t>
  </si>
  <si>
    <t>Tờ 140 thửa 1, 2, 9</t>
  </si>
  <si>
    <t>Điểm trường Đội Cấn I, trường mầm non Hoa Thám</t>
  </si>
  <si>
    <t>Thôn Đội Cấn I xã Hoa Thám</t>
  </si>
  <si>
    <t>Tờ 121 thửa 200 TĐ</t>
  </si>
  <si>
    <t>Trường tiểu học xã Hoàng Văn Thụ (hạng mục: xây dựng phòng chức năng và các hạng mục khác)</t>
  </si>
  <si>
    <t>Tờ 69 thửa 119, 120,  123, 239, 145</t>
  </si>
  <si>
    <t>Điều chỉnh tên thôn thành " thôn Thẳm Sáng". Chuyển tiếp KHSDĐ năm 2025</t>
  </si>
  <si>
    <t>Điểm trường Cốc Lùng, trường mầm non Hưng Đạo</t>
  </si>
  <si>
    <t>Thôn Pác Khiếc, xã Hưng Đạo</t>
  </si>
  <si>
    <t>Tờ BĐLN 1 thửa 203</t>
  </si>
  <si>
    <t>Điểm trường Pàn Làng, trường mầm non  Minh Khai</t>
  </si>
  <si>
    <t>Thôn Bản Hỏi, xã Minh Khai</t>
  </si>
  <si>
    <t>Tờ 20 thửa 41, 36, 42</t>
  </si>
  <si>
    <t>Điểm trường Khuổi Bổng, trường mầm non Tân Hòa</t>
  </si>
  <si>
    <t>Tờ 142 thửa 66</t>
  </si>
  <si>
    <t>Điểm trường Nà Đồng, trường tiểu học Tân Văn</t>
  </si>
  <si>
    <t>Thôn Nà Đồng, xã Tân Văn</t>
  </si>
  <si>
    <t>Tờ 74 thửa 442, 600, 601, 427, 426, 425, 429, 390, 391, 392, 393, 374, 375</t>
  </si>
  <si>
    <t>Trung tâm GDNN-GDTX huyện Bình Gia</t>
  </si>
  <si>
    <t>Thôn Nà Pái, xã Tân Văn</t>
  </si>
  <si>
    <t>tờ 7</t>
  </si>
  <si>
    <t>Sở GD &amp; ĐT</t>
  </si>
  <si>
    <t>Trường trung học phổ thông Pác Khuông</t>
  </si>
  <si>
    <t>Tờ 214 thửa 11</t>
  </si>
  <si>
    <t>Đang hoàn thiện hồ sơ cấp GCNQSDĐ. Chuyển tiếp KHSDĐ năm 2025</t>
  </si>
  <si>
    <t>Điểm trường Khuổi Lù, Khuổi Thoong, trường mầm non Thiện Thuật</t>
  </si>
  <si>
    <t xml:space="preserve"> Thôn Khuổi Lù, Khuổi Thoong, xã Thiện Thuật</t>
  </si>
  <si>
    <t>Tờ 164 thửa 176; Tờ LN 2 thửa 365</t>
  </si>
  <si>
    <t>Xây mới điểm trường Nà Tàn, trường mầm non Thiện Hòa</t>
  </si>
  <si>
    <t>Thôn Nà Tàn, Xã Thiện Hòa</t>
  </si>
  <si>
    <t>Tờ 39 thửa 233</t>
  </si>
  <si>
    <t>Điểm trường Kim Liên, Vằng Phya - trường mầm non Hồng Phong</t>
  </si>
  <si>
    <t>Thôn Kim Liên, Vằng Phya, xã Hồng Phong</t>
  </si>
  <si>
    <t>Tờ 75 thửa 195. Tờ 67 thửa 1</t>
  </si>
  <si>
    <t>Trường mầm non Yên Lỗ (trường chính)</t>
  </si>
  <si>
    <t>Thôn Nà Quãng, xã Yên Lỗ</t>
  </si>
  <si>
    <t>Tờ 116 thửa 45,69, 70; Tờ 115 thửa 150, 151, 152, 154, 308, 217</t>
  </si>
  <si>
    <t>Điểm trường Thâm Đình, Bản Mè, Khuổi Chặng, trường mầm non Yên Lỗ</t>
  </si>
  <si>
    <t>Tờ 164 thửa 21; Tờ 68 thửa 18; Tờ LN 2 thửa 390</t>
  </si>
  <si>
    <t>Nhà văn hóa thôn Vĩnh Quang</t>
  </si>
  <si>
    <t>Thôn Vĩnh Quang, Xã Hoa Thám</t>
  </si>
  <si>
    <t>Tờ LN5 thửa 193</t>
  </si>
  <si>
    <t>Xây dựng nhà văn hóa thôn Bảo Lộc (1)</t>
  </si>
  <si>
    <t>Thôn Bảo Lộc, xã Hồng Thái</t>
  </si>
  <si>
    <t>Tờ 95 thửa 187, 161, 186, 162, 196, 210, 221</t>
  </si>
  <si>
    <t>Xây dựng nhà văn hóa thôn Bản Hoay</t>
  </si>
  <si>
    <t>Tờ 12 thửa 240</t>
  </si>
  <si>
    <t>Nhà văn hóa thôn Bản Chu</t>
  </si>
  <si>
    <t>Thôn Bản Chu xã Hưng Đạo</t>
  </si>
  <si>
    <t>Tờ 86 thửa 360</t>
  </si>
  <si>
    <t>Nhà văn hóa Nà Háng (thôn Đoàn Kết)</t>
  </si>
  <si>
    <t>Tờ 140, thửa 113</t>
  </si>
  <si>
    <t>Nhà văn hóa Bản Muống (thôn Cốc Mặn)</t>
  </si>
  <si>
    <t>Thôn Cốc Mặn, xã Mông Ân</t>
  </si>
  <si>
    <t>Tờ 36 thửa 165</t>
  </si>
  <si>
    <t>Nhà văn hóa thôn Nà Vò (thôn Nà Vường)</t>
  </si>
  <si>
    <t>Tờ 42 thửa 51, 66, 67</t>
  </si>
  <si>
    <t xml:space="preserve">Đã xây dựng, chưa chuyển mục đích. Đưa vào đăng ký cấp GCNQSDĐ </t>
  </si>
  <si>
    <t>HNK(200)</t>
  </si>
  <si>
    <t>Cấp GCN QSDĐ cho các hộ gia đình, cá nhân tại mặt bằng chợ Đông Pòng, xã Hoa Thám</t>
  </si>
  <si>
    <t>Tờ 256 thửa 232</t>
  </si>
  <si>
    <t>UBND xã đăng ký</t>
  </si>
  <si>
    <t>Chợ Văn Mịch</t>
  </si>
  <si>
    <t>Tờ 149 thửa 57</t>
  </si>
  <si>
    <t>Trụ sở viện kiểm sát nhân dân huyện Bình Gia</t>
  </si>
  <si>
    <t>Tờ 96 HVT cũ thửa 120, 128...</t>
  </si>
  <si>
    <t>Quyết định số 163/QĐ-VKSTC ngày 31/10/2017 của Viện kiểm sát nhân dân tối cao về việc phê duyệt Dự án đầu tư xây dựng Trụ sở Viện kiểm sát nhân dân huyện Bình Gia, tỉnh Lạng Sơn</t>
  </si>
  <si>
    <t>Mở rộng trụ sở UBND xã Thiện Long</t>
  </si>
  <si>
    <t>Thôn Bắc Hóa xã Thiện Long</t>
  </si>
  <si>
    <t>Tờ LN 2 thửa 100, 116</t>
  </si>
  <si>
    <t>Trụ sở UBND xã Qúy Hòa</t>
  </si>
  <si>
    <t>Tờ 81 thửa 155</t>
  </si>
  <si>
    <t>Trụ sở UBND xã Hưng Đạo</t>
  </si>
  <si>
    <t>Tờ 91 thửa 248</t>
  </si>
  <si>
    <t>Trụ sở UBND xã Hồng Thái</t>
  </si>
  <si>
    <t>Tờ 58 thửa 425</t>
  </si>
  <si>
    <t>Trụ sở UBND xã Hòa Bình</t>
  </si>
  <si>
    <t>Tờ 56 thửa 74, 41, 67, 136</t>
  </si>
  <si>
    <t>Trụ sở UBND xã Hồng Phong</t>
  </si>
  <si>
    <t>Tờ 149 thửa 443</t>
  </si>
  <si>
    <t>Trụ sở UBND xã Quang Trung</t>
  </si>
  <si>
    <t>Thôn Nà Tèo xã Quang Trung</t>
  </si>
  <si>
    <t>Tờ 84 thửa 224, 229, 250</t>
  </si>
  <si>
    <t>Trụ sở UBND xã Hoa Thám</t>
  </si>
  <si>
    <t>Tờ 245 thửa  147, 148, 161, 162, 163, 164, 165, 166, 167,…</t>
  </si>
  <si>
    <t>Chưa tìm thấy trong NQ</t>
  </si>
  <si>
    <t>Mở rộng trụ sở UBND xã Tân Hòa</t>
  </si>
  <si>
    <t>Tờ 34 thửa 43, 54, 61, 55, 47, 30, 31, 46, 56, 45, 44, 32, 33,…</t>
  </si>
  <si>
    <t>LUC(1.900); HNK(400; DGT(500)</t>
  </si>
  <si>
    <t>Điều chỉnh tờ thửa theo ĐCQH. Tờ 34 thửa 43, 54, 61, 55, 47, 30, 31, 46, 56, 45, 44, 32, 33,…</t>
  </si>
  <si>
    <t>Giao đất rừng cho các hộ gia đình, cá nhân trên địa bàn huyện Bình Gia</t>
  </si>
  <si>
    <t>(5)=(6)+….+(26)</t>
  </si>
  <si>
    <t>(27)</t>
  </si>
  <si>
    <t>(28)</t>
  </si>
  <si>
    <t>Báo cáo số 264/BC-TTYT ngày 20/09/2021 của Trung tâm y tế huyện</t>
  </si>
  <si>
    <t>Thôn Nà Tồng, Bản Mè, Khuổi Chặng, xã Yên Lỗ</t>
  </si>
  <si>
    <r>
      <t>RPH/NKR</t>
    </r>
    <r>
      <rPr>
        <vertAlign val="superscript"/>
        <sz val="11"/>
        <color theme="1"/>
        <rFont val="Times New Roman"/>
        <family val="1"/>
      </rPr>
      <t>(a)</t>
    </r>
  </si>
  <si>
    <r>
      <t>RDD/NKR</t>
    </r>
    <r>
      <rPr>
        <vertAlign val="superscript"/>
        <sz val="11"/>
        <color theme="1"/>
        <rFont val="Times New Roman"/>
        <family val="1"/>
      </rPr>
      <t>(a)</t>
    </r>
  </si>
  <si>
    <r>
      <t>RSX/NKR</t>
    </r>
    <r>
      <rPr>
        <vertAlign val="superscript"/>
        <sz val="11"/>
        <color theme="1"/>
        <rFont val="Times New Roman"/>
        <family val="1"/>
      </rPr>
      <t>(a)</t>
    </r>
  </si>
  <si>
    <r>
      <t>RSN/NKR</t>
    </r>
    <r>
      <rPr>
        <i/>
        <vertAlign val="superscript"/>
        <sz val="11"/>
        <color theme="1"/>
        <rFont val="Times New Roman"/>
        <family val="1"/>
      </rPr>
      <t>(a)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</si>
</sst>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6">
    <numFmt numFmtId="5" formatCode="&quot;$&quot;#,##0_);\(&quot;$&quot;#,##0\)"/>
    <numFmt numFmtId="6" formatCode="&quot;$&quot;#,##0_);[Red]\(&quot;$&quot;#,##0\)"/>
    <numFmt numFmtId="41" formatCode="_(* #,##0_);_(* \(#,##0\);_(* &quot;-&quot;_);_(@_)"/>
    <numFmt numFmtId="43" formatCode="_(* #,##0.00_);_(* \(#,##0.00\);_(* &quot;-&quot;??_);_(@_)"/>
    <numFmt numFmtId="164" formatCode="_-* #,##0_-;\-* #,##0_-;_-* &quot;-&quot;_-;_-@_-"/>
    <numFmt numFmtId="165" formatCode="_-* #,##0.00_-;\-* #,##0.00_-;_-* &quot;-&quot;??_-;_-@_-"/>
    <numFmt numFmtId="166" formatCode="_-* #,##0.00\ _₫_-;\-* #,##0.00\ _₫_-;_-* &quot;-&quot;??\ _₫_-;_-@_-"/>
    <numFmt numFmtId="167" formatCode="0_);\(0\)"/>
    <numFmt numFmtId="168" formatCode="0.000"/>
    <numFmt numFmtId="169" formatCode="_(* #,##0.0_);_(* \(#,##0.0\);_(* &quot;-&quot;??_);_(@_)"/>
    <numFmt numFmtId="170" formatCode="_(* #,##0_);_(* \(#,##0\);_(* &quot;-&quot;??_);_(@_)"/>
    <numFmt numFmtId="171" formatCode="0.000000000"/>
    <numFmt numFmtId="172" formatCode="#,##0.00;[Red]#,##0.00"/>
    <numFmt numFmtId="173" formatCode="#,##0;[Red]#,##0"/>
    <numFmt numFmtId="174" formatCode="&quot;\&quot;#,##0.00;[Red]&quot;\&quot;&quot;\&quot;&quot;\&quot;&quot;\&quot;&quot;\&quot;&quot;\&quot;\-#,##0.00"/>
    <numFmt numFmtId="175" formatCode="&quot;\&quot;#,##0;[Red]&quot;\&quot;&quot;\&quot;\-#,##0"/>
    <numFmt numFmtId="176" formatCode="_ &quot;\&quot;* #,##0_ ;_ &quot;\&quot;* \-#,##0_ ;_ &quot;\&quot;* &quot;-&quot;_ ;_ @_ "/>
    <numFmt numFmtId="177" formatCode="_ &quot;\&quot;* #,##0.00_ ;_ &quot;\&quot;* \-#,##0.00_ ;_ &quot;\&quot;* &quot;-&quot;??_ ;_ @_ "/>
    <numFmt numFmtId="178" formatCode="0.000%"/>
    <numFmt numFmtId="179" formatCode="_ * #,##0_ ;_ * \-#,##0_ ;_ * &quot;-&quot;_ ;_ @_ "/>
    <numFmt numFmtId="180" formatCode="_ * #,##0.00_ ;_ * \-#,##0.00_ ;_ * &quot;-&quot;??_ ;_ @_ "/>
    <numFmt numFmtId="181" formatCode="_(* #,##0.00_);_(* \(#,##0.00\);_(* &quot;-&quot;&quot;?&quot;&quot;?&quot;_);_(@_)"/>
    <numFmt numFmtId="182" formatCode="_-* #,##0.00\ _V_N_D_-;\-* #,##0.00\ _V_N_D_-;_-* &quot;-&quot;&quot;?&quot;&quot;?&quot;\ _V_N_D_-;_-@_-"/>
    <numFmt numFmtId="183" formatCode="\$#,##0\ ;\(\$#,##0\)"/>
    <numFmt numFmtId="184" formatCode="_-* #,##0\ _D_M_-;\-* #,##0\ _D_M_-;_-* &quot;-&quot;\ _D_M_-;_-@_-"/>
    <numFmt numFmtId="185" formatCode="_-* #,##0.00\ _D_M_-;\-* #,##0.00\ _D_M_-;_-* &quot;-&quot;??\ _D_M_-;_-@_-"/>
    <numFmt numFmtId="186" formatCode="&quot;Fr.&quot;\ #,##0.00;&quot;Fr.&quot;\ \-#,##0.00"/>
    <numFmt numFmtId="187" formatCode="#,##0\ &quot;$&quot;_);[Red]\(#,##0\ &quot;$&quot;\)"/>
    <numFmt numFmtId="188" formatCode="&quot;$&quot;###,0&quot;.&quot;00_);[Red]\(&quot;$&quot;###,0&quot;.&quot;00\)"/>
    <numFmt numFmtId="189" formatCode="&quot;VND&quot;#,##0_);[Red]\(&quot;VND&quot;#,##0\)"/>
    <numFmt numFmtId="190" formatCode="0.00000000000E+00;\?"/>
    <numFmt numFmtId="191" formatCode="&quot;Fr.&quot;\ #,##0;&quot;Fr.&quot;\ \-#,##0"/>
    <numFmt numFmtId="192" formatCode="_-* #,##0\ &quot;DM&quot;_-;\-* #,##0\ &quot;DM&quot;_-;_-* &quot;-&quot;\ &quot;DM&quot;_-;_-@_-"/>
    <numFmt numFmtId="193" formatCode="_-* #,##0.00\ &quot;DM&quot;_-;\-* #,##0.00\ &quot;DM&quot;_-;_-* &quot;-&quot;??\ &quot;DM&quot;_-;_-@_-"/>
    <numFmt numFmtId="194" formatCode="&quot;\&quot;#,##0.00;[Red]&quot;\&quot;\-#,##0.00"/>
    <numFmt numFmtId="195" formatCode="&quot;\&quot;#,##0;[Red]&quot;\&quot;\-#,##0"/>
    <numFmt numFmtId="196" formatCode="_-&quot;$&quot;* #,##0_-;\-&quot;$&quot;* #,##0_-;_-&quot;$&quot;* &quot;-&quot;_-;_-@_-"/>
    <numFmt numFmtId="197" formatCode="_-&quot;$&quot;* #,##0.00_-;\-&quot;$&quot;* #,##0.00_-;_-&quot;$&quot;* &quot;-&quot;??_-;_-@_-"/>
    <numFmt numFmtId="198" formatCode="##.##%"/>
    <numFmt numFmtId="199" formatCode="#,##0\ &quot;$&quot;_);\(#,##0\ &quot;$&quot;\)"/>
    <numFmt numFmtId="200" formatCode="\$#,##0_);\(\$#,##0\)"/>
    <numFmt numFmtId="201" formatCode="##,###.##"/>
    <numFmt numFmtId="202" formatCode="#0.##"/>
    <numFmt numFmtId="203" formatCode="#,##0;\(#,##0\)"/>
    <numFmt numFmtId="204" formatCode="##,##0%"/>
    <numFmt numFmtId="205" formatCode="#,###%"/>
    <numFmt numFmtId="206" formatCode="##.##"/>
    <numFmt numFmtId="207" formatCode="###,###"/>
    <numFmt numFmtId="208" formatCode="###.###"/>
    <numFmt numFmtId="209" formatCode="##,###.####"/>
    <numFmt numFmtId="210" formatCode="_ &quot;\&quot;* #,##0.00_ ;_ &quot;\&quot;* &quot;\&quot;&quot;\&quot;&quot;\&quot;&quot;\&quot;&quot;\&quot;&quot;\&quot;&quot;\&quot;&quot;\&quot;&quot;\&quot;\-#,##0.00_ ;_ &quot;\&quot;* &quot;-&quot;??_ ;_ @_ "/>
    <numFmt numFmtId="211" formatCode="\t0.00%"/>
    <numFmt numFmtId="212" formatCode="##,##0.##"/>
    <numFmt numFmtId="213" formatCode="\t#\ ??/??"/>
    <numFmt numFmtId="214" formatCode="#,###"/>
    <numFmt numFmtId="215" formatCode="m/d"/>
    <numFmt numFmtId="216" formatCode="&quot;ß&quot;#,##0;\-&quot;&quot;\ß&quot;&quot;#,##0"/>
    <numFmt numFmtId="217" formatCode="0.0000;[Red]0.0000"/>
    <numFmt numFmtId="218" formatCode="#,##0.00\ &quot;F&quot;;[Red]\-#,##0.00\ &quot;F&quot;"/>
    <numFmt numFmtId="219" formatCode="&quot;£&quot;#,##0;[Red]\-&quot;£&quot;#,##0"/>
    <numFmt numFmtId="220" formatCode="_-* #,##0\ &quot;F&quot;_-;\-* #,##0\ &quot;F&quot;_-;_-* &quot;-&quot;\ &quot;F&quot;_-;_-@_-"/>
    <numFmt numFmtId="221" formatCode="#,##0\ &quot;F&quot;;[Red]\-#,##0\ &quot;F&quot;"/>
    <numFmt numFmtId="222" formatCode="#,##0.00\ &quot;F&quot;;\-#,##0.00\ &quot;F&quot;"/>
    <numFmt numFmtId="223" formatCode="_(* #,##0.000_);_(* \(#,##0.000\);_(* &quot;-&quot;??_);_(@_)"/>
    <numFmt numFmtId="224" formatCode="#,##0.000"/>
    <numFmt numFmtId="225" formatCode="#,##0.0000"/>
    <numFmt numFmtId="226" formatCode="#,##0.0000;[Red]#,##0.0000"/>
    <numFmt numFmtId="227" formatCode="#,##0.000;[Red]#,##0.000"/>
    <numFmt numFmtId="228" formatCode="#,##0.0"/>
    <numFmt numFmtId="229" formatCode="#,##0.00_ ;[Red]\-#,##0.00\ "/>
    <numFmt numFmtId="230" formatCode="#,##0.000_ ;[Red]\-#,##0.000\ "/>
    <numFmt numFmtId="231" formatCode="0.0000"/>
    <numFmt numFmtId="232" formatCode="0.00;[Red]0.00"/>
    <numFmt numFmtId="233" formatCode="_-* #,##0\ _₫_-;\-* #,##0\ _₫_-;_-* &quot;-&quot;??\ _₫_-;_-@_-"/>
    <numFmt numFmtId="234" formatCode="0;[Red]0"/>
    <numFmt numFmtId="235" formatCode="_(* #,##0.00_);_(* \(#,##0.00\);_(* \-??_);_(@_)"/>
  </numFmts>
  <fonts count="213">
    <font>
      <sz val="11"/>
      <name val="UVnTime"/>
    </font>
    <font>
      <sz val="11"/>
      <color theme="1"/>
      <name val="Calibri"/>
      <family val="2"/>
      <charset val="163"/>
      <scheme val="minor"/>
    </font>
    <font>
      <sz val="11"/>
      <color indexed="8"/>
      <name val="Calibri"/>
      <family val="2"/>
    </font>
    <font>
      <sz val="11"/>
      <name val="UVnTime"/>
      <family val="2"/>
    </font>
    <font>
      <sz val="10"/>
      <name val="Arial"/>
      <family val="2"/>
    </font>
    <font>
      <b/>
      <sz val="12"/>
      <name val="Arial"/>
      <family val="2"/>
    </font>
    <font>
      <sz val="12"/>
      <name val="Arial"/>
      <family val="2"/>
    </font>
    <font>
      <sz val="10"/>
      <name val="Times New Roman"/>
      <family val="1"/>
    </font>
    <font>
      <sz val="12"/>
      <name val="Times New Roman"/>
      <family val="1"/>
    </font>
    <font>
      <i/>
      <sz val="11"/>
      <name val="Times New Roman"/>
      <family val="1"/>
    </font>
    <font>
      <sz val="11"/>
      <name val="Times New Roman"/>
      <family val="1"/>
    </font>
    <font>
      <b/>
      <sz val="11"/>
      <name val="Times New Roman"/>
      <family val="1"/>
    </font>
    <font>
      <sz val="12"/>
      <name val=".VnTime"/>
      <family val="2"/>
    </font>
    <font>
      <b/>
      <sz val="12"/>
      <name val="Times New Roman"/>
      <family val="1"/>
    </font>
    <font>
      <b/>
      <sz val="14"/>
      <name val="Times New Roman"/>
      <family val="1"/>
    </font>
    <font>
      <i/>
      <sz val="12"/>
      <name val="Times New Roman"/>
      <family val="1"/>
    </font>
    <font>
      <sz val="13"/>
      <name val=".VnTime"/>
      <family val="2"/>
    </font>
    <font>
      <sz val="10"/>
      <name val=".VnArial"/>
      <family val="2"/>
    </font>
    <font>
      <b/>
      <i/>
      <sz val="11"/>
      <name val="Times New Roman"/>
      <family val="1"/>
    </font>
    <font>
      <sz val="10"/>
      <name val=".VnTime"/>
      <family val="2"/>
    </font>
    <font>
      <sz val="14"/>
      <name val=".VnTime"/>
      <family val="2"/>
    </font>
    <font>
      <sz val="9"/>
      <name val="Arial"/>
      <family val="2"/>
    </font>
    <font>
      <sz val="11"/>
      <color indexed="8"/>
      <name val="Arial"/>
      <family val="2"/>
    </font>
    <font>
      <sz val="12"/>
      <name val=".VnArial"/>
      <family val="2"/>
    </font>
    <font>
      <sz val="10"/>
      <name val="Arial"/>
      <family val="2"/>
      <charset val="163"/>
    </font>
    <font>
      <sz val="11"/>
      <name val="UVnTime"/>
      <family val="2"/>
    </font>
    <font>
      <sz val="10"/>
      <name val="MS Sans Serif"/>
      <family val="2"/>
    </font>
    <font>
      <sz val="11"/>
      <color indexed="10"/>
      <name val="Arial"/>
      <family val="2"/>
    </font>
    <font>
      <sz val="8"/>
      <name val="Arial"/>
      <family val="2"/>
    </font>
    <font>
      <sz val="11"/>
      <color indexed="8"/>
      <name val="Times New Roman"/>
      <family val="2"/>
      <charset val="163"/>
    </font>
    <font>
      <sz val="11"/>
      <color indexed="8"/>
      <name val="Calibri"/>
      <family val="2"/>
      <charset val="163"/>
    </font>
    <font>
      <sz val="14"/>
      <name val="Times New Roman"/>
      <family val="1"/>
    </font>
    <font>
      <sz val="14"/>
      <name val="??"/>
      <family val="3"/>
      <charset val="129"/>
    </font>
    <font>
      <sz val="12"/>
      <name val="????"/>
      <family val="1"/>
      <charset val="136"/>
    </font>
    <font>
      <b/>
      <u/>
      <sz val="14"/>
      <color indexed="8"/>
      <name val=".VnBook-AntiquaH"/>
      <family val="2"/>
    </font>
    <font>
      <sz val="12"/>
      <name val="¹ÙÅÁÃ¼"/>
      <charset val="129"/>
    </font>
    <font>
      <i/>
      <sz val="12"/>
      <color indexed="8"/>
      <name val=".VnBook-AntiquaH"/>
      <family val="2"/>
    </font>
    <font>
      <b/>
      <sz val="12"/>
      <color indexed="8"/>
      <name val=".VnBook-Antiqua"/>
      <family val="2"/>
    </font>
    <font>
      <i/>
      <sz val="12"/>
      <color indexed="8"/>
      <name val=".VnBook-Antiqua"/>
      <family val="2"/>
    </font>
    <font>
      <sz val="12"/>
      <name val="±¼¸²Ã¼"/>
      <family val="3"/>
      <charset val="129"/>
    </font>
    <font>
      <sz val="12"/>
      <name val="¹UAAA¼"/>
      <family val="3"/>
      <charset val="129"/>
    </font>
    <font>
      <sz val="11"/>
      <name val="µ¸¿ò"/>
      <charset val="129"/>
    </font>
    <font>
      <sz val="12"/>
      <name val="µ¸¿òÃ¼"/>
      <family val="3"/>
      <charset val="129"/>
    </font>
    <font>
      <b/>
      <sz val="10"/>
      <name val="Helv"/>
    </font>
    <font>
      <sz val="8"/>
      <name val=".VnArial"/>
      <family val="2"/>
    </font>
    <font>
      <b/>
      <sz val="12"/>
      <name val="Helv"/>
    </font>
    <font>
      <b/>
      <sz val="11"/>
      <name val="Helv"/>
    </font>
    <font>
      <sz val="11"/>
      <color indexed="63"/>
      <name val="Calibri"/>
      <family val="2"/>
    </font>
    <font>
      <sz val="10"/>
      <name val="VNtimes new roman"/>
      <family val="2"/>
    </font>
    <font>
      <sz val="13"/>
      <name val="Arial"/>
      <family val="2"/>
    </font>
    <font>
      <sz val="11"/>
      <name val="–¾’©"/>
      <family val="1"/>
      <charset val="128"/>
    </font>
    <font>
      <sz val="11"/>
      <color indexed="32"/>
      <name val="VNI-Times"/>
    </font>
    <font>
      <b/>
      <sz val="12"/>
      <name val=".VnTime"/>
      <family val="2"/>
    </font>
    <font>
      <b/>
      <sz val="10"/>
      <name val=".VnTime"/>
      <family val="2"/>
    </font>
    <font>
      <sz val="9"/>
      <name val=".VnTime"/>
      <family val="2"/>
    </font>
    <font>
      <sz val="14"/>
      <name val=".VnArial"/>
      <family val="2"/>
    </font>
    <font>
      <sz val="10"/>
      <name val=" "/>
      <family val="1"/>
      <charset val="136"/>
    </font>
    <font>
      <sz val="14"/>
      <name val="뼻뮝"/>
      <family val="3"/>
      <charset val="129"/>
    </font>
    <font>
      <sz val="12"/>
      <name val="바탕체"/>
      <family val="3"/>
    </font>
    <font>
      <sz val="12"/>
      <name val="뼻뮝"/>
      <family val="1"/>
      <charset val="129"/>
    </font>
    <font>
      <sz val="12"/>
      <name val="바탕체"/>
      <family val="1"/>
      <charset val="129"/>
    </font>
    <font>
      <sz val="10"/>
      <name val="굴림체"/>
      <family val="3"/>
      <charset val="129"/>
    </font>
    <font>
      <sz val="12"/>
      <name val="Courier"/>
      <family val="3"/>
    </font>
    <font>
      <b/>
      <sz val="10"/>
      <name val="SVNtimes new roman"/>
      <family val="2"/>
    </font>
    <font>
      <sz val="10"/>
      <name val="?? ??"/>
      <family val="1"/>
      <charset val="136"/>
    </font>
    <font>
      <sz val="14"/>
      <name val=".VnTimeH"/>
      <family val="2"/>
    </font>
    <font>
      <sz val="11"/>
      <color indexed="9"/>
      <name val="Arial"/>
      <family val="2"/>
    </font>
    <font>
      <sz val="11"/>
      <name val="VNtimes new roman"/>
      <family val="2"/>
    </font>
    <font>
      <b/>
      <sz val="8"/>
      <color indexed="12"/>
      <name val="Arial"/>
      <family val="2"/>
    </font>
    <font>
      <sz val="8"/>
      <color indexed="8"/>
      <name val="Arial"/>
      <family val="2"/>
    </font>
    <font>
      <sz val="8"/>
      <name val="SVNtimes new roman"/>
      <family val="2"/>
    </font>
    <font>
      <sz val="11"/>
      <name val="VNbook-Antiqua"/>
      <family val="2"/>
    </font>
    <font>
      <sz val="10"/>
      <name val="VNI-Aptima"/>
    </font>
    <font>
      <sz val="10"/>
      <name val="Times New Roman"/>
      <family val="1"/>
      <charset val="163"/>
    </font>
    <font>
      <sz val="11"/>
      <name val="VNcentury Gothic"/>
    </font>
    <font>
      <b/>
      <sz val="15"/>
      <name val="VNcentury Gothic"/>
    </font>
    <font>
      <sz val="12"/>
      <name val="SVNtimes new roman"/>
      <family val="2"/>
    </font>
    <font>
      <sz val="10"/>
      <name val=".VnArial Narrow"/>
      <family val="2"/>
    </font>
    <font>
      <sz val="12"/>
      <name val="VNI-Times"/>
    </font>
    <font>
      <sz val="10"/>
      <name val="SVNtimes new roman"/>
    </font>
    <font>
      <b/>
      <sz val="11"/>
      <color indexed="63"/>
      <name val="Arial"/>
      <family val="2"/>
    </font>
    <font>
      <sz val="11"/>
      <color indexed="62"/>
      <name val="Arial"/>
      <family val="2"/>
    </font>
    <font>
      <b/>
      <sz val="15"/>
      <color indexed="56"/>
      <name val="Arial"/>
      <family val="2"/>
    </font>
    <font>
      <b/>
      <sz val="13"/>
      <color indexed="56"/>
      <name val="Arial"/>
      <family val="2"/>
    </font>
    <font>
      <b/>
      <sz val="11"/>
      <color indexed="56"/>
      <name val="Arial"/>
      <family val="2"/>
    </font>
    <font>
      <b/>
      <sz val="12"/>
      <name val=".VnBook-AntiquaH"/>
      <family val="2"/>
    </font>
    <font>
      <b/>
      <sz val="18"/>
      <name val="Arial"/>
      <family val="2"/>
      <charset val="163"/>
    </font>
    <font>
      <b/>
      <sz val="12"/>
      <name val="Arial"/>
      <family val="2"/>
      <charset val="163"/>
    </font>
    <font>
      <sz val="10"/>
      <name val=".VnAvant"/>
      <family val="2"/>
    </font>
    <font>
      <sz val="7"/>
      <name val="Small Fonts"/>
      <family val="2"/>
    </font>
    <font>
      <b/>
      <sz val="12"/>
      <name val="VN-NTime"/>
    </font>
    <font>
      <u/>
      <sz val="12"/>
      <color indexed="12"/>
      <name val=".VnTime"/>
      <family val="2"/>
    </font>
    <font>
      <b/>
      <sz val="18"/>
      <color indexed="56"/>
      <name val="Times New Roman"/>
      <family val="2"/>
    </font>
    <font>
      <b/>
      <sz val="11"/>
      <color indexed="8"/>
      <name val="Arial"/>
      <family val="2"/>
    </font>
    <font>
      <sz val="11"/>
      <color indexed="60"/>
      <name val="Arial"/>
      <family val="2"/>
    </font>
    <font>
      <sz val="12"/>
      <name val="Times New Roman"/>
      <family val="1"/>
      <charset val="163"/>
    </font>
    <font>
      <sz val="10"/>
      <color indexed="64"/>
      <name val="Arial"/>
      <family val="2"/>
    </font>
    <font>
      <sz val="11"/>
      <color indexed="8"/>
      <name val="Calibri"/>
      <family val="2"/>
    </font>
    <font>
      <sz val="11"/>
      <color indexed="8"/>
      <name val="Calibri"/>
      <family val="2"/>
      <charset val="163"/>
    </font>
    <font>
      <sz val="11"/>
      <color indexed="8"/>
      <name val="Calibri"/>
      <family val="2"/>
    </font>
    <font>
      <sz val="11"/>
      <name val="UVnTime"/>
    </font>
    <font>
      <sz val="11"/>
      <color indexed="8"/>
      <name val="Calibri"/>
      <family val="2"/>
    </font>
    <font>
      <b/>
      <sz val="13"/>
      <name val="Times New Roman"/>
      <family val="1"/>
    </font>
    <font>
      <sz val="13"/>
      <name val="Times New Roman"/>
      <family val="1"/>
    </font>
    <font>
      <b/>
      <i/>
      <sz val="12"/>
      <name val="Times New Roman"/>
      <family val="1"/>
    </font>
    <font>
      <b/>
      <sz val="9"/>
      <color indexed="81"/>
      <name val="Tahoma"/>
      <family val="2"/>
    </font>
    <font>
      <sz val="9"/>
      <color indexed="81"/>
      <name val="Tahoma"/>
      <family val="2"/>
    </font>
    <font>
      <sz val="8"/>
      <name val="UVnTime"/>
    </font>
    <font>
      <b/>
      <sz val="10"/>
      <name val="Times New Roman"/>
      <family val="1"/>
    </font>
    <font>
      <b/>
      <sz val="12"/>
      <color indexed="8"/>
      <name val="Times New Roman"/>
      <family val="1"/>
    </font>
    <font>
      <sz val="11"/>
      <color theme="1"/>
      <name val="Calibri"/>
      <family val="2"/>
      <scheme val="minor"/>
    </font>
    <font>
      <sz val="11"/>
      <color theme="1"/>
      <name val="Calibri"/>
      <family val="2"/>
    </font>
    <font>
      <sz val="14"/>
      <color theme="1"/>
      <name val="Calibri"/>
      <family val="2"/>
      <scheme val="minor"/>
    </font>
    <font>
      <sz val="11"/>
      <color theme="1"/>
      <name val="Calibri"/>
      <family val="2"/>
      <charset val="163"/>
      <scheme val="minor"/>
    </font>
    <font>
      <sz val="11"/>
      <color theme="1"/>
      <name val="Arial"/>
      <family val="2"/>
    </font>
    <font>
      <sz val="11"/>
      <color rgb="FF000000"/>
      <name val="Calibri"/>
      <family val="2"/>
      <charset val="204"/>
    </font>
    <font>
      <sz val="11"/>
      <color rgb="FFFF0000"/>
      <name val="Times New Roman"/>
      <family val="1"/>
    </font>
    <font>
      <sz val="12"/>
      <color rgb="FFFF0000"/>
      <name val="Times New Roman"/>
      <family val="1"/>
    </font>
    <font>
      <b/>
      <sz val="11"/>
      <color rgb="FFFF0000"/>
      <name val="Times New Roman"/>
      <family val="1"/>
    </font>
    <font>
      <i/>
      <sz val="11"/>
      <color rgb="FFFF0000"/>
      <name val="Times New Roman"/>
      <family val="1"/>
    </font>
    <font>
      <b/>
      <sz val="10"/>
      <color theme="1"/>
      <name val="Times New Roman"/>
      <family val="1"/>
    </font>
    <font>
      <b/>
      <sz val="13"/>
      <color theme="1"/>
      <name val="Times New Roman"/>
      <family val="1"/>
    </font>
    <font>
      <b/>
      <sz val="14"/>
      <color theme="1"/>
      <name val="Times New Roman"/>
      <family val="1"/>
    </font>
    <font>
      <i/>
      <sz val="12"/>
      <color theme="1"/>
      <name val="Times New Roman"/>
      <family val="1"/>
    </font>
    <font>
      <b/>
      <sz val="11"/>
      <color theme="1"/>
      <name val="Times New Roman"/>
      <family val="1"/>
    </font>
    <font>
      <sz val="11"/>
      <color theme="1"/>
      <name val="Times New Roman"/>
      <family val="1"/>
    </font>
    <font>
      <i/>
      <sz val="11"/>
      <color theme="1"/>
      <name val="Times New Roman"/>
      <family val="1"/>
    </font>
    <font>
      <i/>
      <sz val="10"/>
      <color theme="1"/>
      <name val="Times New Roman"/>
      <family val="1"/>
    </font>
    <font>
      <sz val="10"/>
      <color theme="1"/>
      <name val="Times New Roman"/>
      <family val="1"/>
    </font>
    <font>
      <sz val="10.5"/>
      <color theme="1"/>
      <name val="Times New Roman"/>
      <family val="1"/>
    </font>
    <font>
      <sz val="14"/>
      <color rgb="FFFF0000"/>
      <name val="Times New Roman"/>
      <family val="1"/>
    </font>
    <font>
      <sz val="10"/>
      <color rgb="FFFF0000"/>
      <name val="Times New Roman"/>
      <family val="1"/>
    </font>
    <font>
      <i/>
      <sz val="10"/>
      <color rgb="FFFF0000"/>
      <name val="Times New Roman"/>
      <family val="1"/>
    </font>
    <font>
      <b/>
      <sz val="12"/>
      <color theme="1"/>
      <name val="Times New Roman"/>
      <family val="1"/>
    </font>
    <font>
      <sz val="12"/>
      <color theme="1"/>
      <name val="Times New Roman"/>
      <family val="1"/>
    </font>
    <font>
      <b/>
      <sz val="12"/>
      <color rgb="FFFF0000"/>
      <name val="Times New Roman"/>
      <family val="1"/>
    </font>
    <font>
      <b/>
      <i/>
      <sz val="12"/>
      <color rgb="FFFF0000"/>
      <name val="Times New Roman"/>
      <family val="1"/>
    </font>
    <font>
      <i/>
      <sz val="12"/>
      <color rgb="FFFF0000"/>
      <name val="Times New Roman"/>
      <family val="1"/>
    </font>
    <font>
      <sz val="11"/>
      <name val="Calibri"/>
      <family val="2"/>
      <scheme val="minor"/>
    </font>
    <font>
      <sz val="11"/>
      <color rgb="FFFF0000"/>
      <name val="Calibri"/>
      <family val="2"/>
      <scheme val="minor"/>
    </font>
    <font>
      <b/>
      <sz val="12"/>
      <name val="Times New Roman"/>
      <family val="1"/>
      <charset val="163"/>
    </font>
    <font>
      <b/>
      <sz val="10"/>
      <color rgb="FFFF0000"/>
      <name val="Times New Roman"/>
      <family val="1"/>
    </font>
    <font>
      <b/>
      <i/>
      <sz val="12"/>
      <name val="Times New Roman"/>
      <family val="1"/>
      <charset val="163"/>
    </font>
    <font>
      <b/>
      <i/>
      <sz val="11"/>
      <color rgb="FFFF0000"/>
      <name val="Times New Roman"/>
      <family val="1"/>
    </font>
    <font>
      <b/>
      <i/>
      <sz val="11"/>
      <name val="Calibri"/>
      <family val="2"/>
      <charset val="163"/>
      <scheme val="minor"/>
    </font>
    <font>
      <b/>
      <i/>
      <sz val="11"/>
      <color rgb="FFFF0000"/>
      <name val="Calibri"/>
      <family val="2"/>
      <charset val="163"/>
      <scheme val="minor"/>
    </font>
    <font>
      <sz val="14"/>
      <color rgb="FF002060"/>
      <name val="Times New Roman"/>
      <family val="1"/>
    </font>
    <font>
      <b/>
      <sz val="14"/>
      <color rgb="FF002060"/>
      <name val="Times New Roman"/>
      <family val="1"/>
    </font>
    <font>
      <sz val="10"/>
      <color rgb="FF002060"/>
      <name val="Times New Roman"/>
      <family val="1"/>
    </font>
    <font>
      <i/>
      <sz val="14"/>
      <name val="Times New Roman"/>
      <family val="1"/>
    </font>
    <font>
      <sz val="12"/>
      <color indexed="8"/>
      <name val="Times New Roman"/>
      <family val="1"/>
    </font>
    <font>
      <i/>
      <sz val="12"/>
      <color indexed="8"/>
      <name val="Times New Roman"/>
      <family val="1"/>
    </font>
    <font>
      <b/>
      <i/>
      <sz val="14"/>
      <name val="Times New Roman"/>
      <family val="1"/>
    </font>
    <font>
      <vertAlign val="superscript"/>
      <sz val="12"/>
      <name val="Times New Roman"/>
      <family val="1"/>
    </font>
    <font>
      <i/>
      <vertAlign val="superscript"/>
      <sz val="12"/>
      <name val="Times New Roman"/>
      <family val="1"/>
    </font>
    <font>
      <sz val="12"/>
      <color rgb="FFC00000"/>
      <name val="Times New Roman"/>
      <family val="1"/>
    </font>
    <font>
      <sz val="12"/>
      <color rgb="FF002060"/>
      <name val="Times New Roman"/>
      <family val="1"/>
    </font>
    <font>
      <b/>
      <sz val="12"/>
      <color rgb="FF002060"/>
      <name val="Times New Roman"/>
      <family val="1"/>
    </font>
    <font>
      <i/>
      <sz val="12"/>
      <color rgb="FF002060"/>
      <name val="Times New Roman"/>
      <family val="1"/>
    </font>
    <font>
      <b/>
      <sz val="10"/>
      <color indexed="10"/>
      <name val="Times New Roman"/>
      <family val="1"/>
    </font>
    <font>
      <i/>
      <sz val="10"/>
      <name val="Times New Roman"/>
      <family val="1"/>
    </font>
    <font>
      <sz val="10"/>
      <color indexed="10"/>
      <name val="Times New Roman"/>
      <family val="1"/>
    </font>
    <font>
      <sz val="10"/>
      <color theme="1"/>
      <name val="Times New Roman"/>
      <family val="1"/>
      <charset val="163"/>
    </font>
    <font>
      <i/>
      <sz val="10"/>
      <color theme="1"/>
      <name val="Times New Roman"/>
      <family val="1"/>
      <charset val="163"/>
    </font>
    <font>
      <b/>
      <sz val="9"/>
      <color rgb="FF000000"/>
      <name val="Times New Roman"/>
      <family val="1"/>
    </font>
    <font>
      <sz val="9"/>
      <name val="Times New Roman"/>
      <family val="1"/>
    </font>
    <font>
      <sz val="9"/>
      <color rgb="FF000000"/>
      <name val="Times New Roman"/>
      <family val="1"/>
    </font>
    <font>
      <i/>
      <sz val="9"/>
      <color rgb="FF000000"/>
      <name val="Times New Roman"/>
      <family val="1"/>
    </font>
    <font>
      <b/>
      <sz val="9"/>
      <color theme="1"/>
      <name val="Times New Roman"/>
      <family val="1"/>
    </font>
    <font>
      <i/>
      <sz val="9"/>
      <color theme="1"/>
      <name val="Times New Roman"/>
      <family val="1"/>
    </font>
    <font>
      <sz val="9"/>
      <color theme="1"/>
      <name val="Times New Roman"/>
      <family val="1"/>
    </font>
    <font>
      <i/>
      <sz val="9"/>
      <name val="Times New Roman"/>
      <family val="1"/>
    </font>
    <font>
      <b/>
      <i/>
      <sz val="10"/>
      <name val="Times New Roman"/>
      <family val="1"/>
    </font>
    <font>
      <i/>
      <sz val="11"/>
      <name val="Times New Roman"/>
      <family val="1"/>
      <charset val="163"/>
    </font>
    <font>
      <i/>
      <sz val="11"/>
      <name val="UVnTime"/>
      <charset val="163"/>
    </font>
    <font>
      <b/>
      <sz val="14"/>
      <color rgb="FF1F3864"/>
      <name val="Times New Roman"/>
      <family val="1"/>
    </font>
    <font>
      <b/>
      <sz val="10.5"/>
      <color rgb="FF1F3864"/>
      <name val="Times New Roman"/>
      <family val="1"/>
    </font>
    <font>
      <sz val="10.5"/>
      <color rgb="FF1F3864"/>
      <name val="Times New Roman"/>
      <family val="1"/>
    </font>
    <font>
      <b/>
      <sz val="11"/>
      <color rgb="FF1F3864"/>
      <name val="Times New Roman"/>
      <family val="1"/>
    </font>
    <font>
      <b/>
      <sz val="12"/>
      <color rgb="FF1F3864"/>
      <name val="Times New Roman"/>
      <family val="1"/>
    </font>
    <font>
      <b/>
      <sz val="10"/>
      <color rgb="FF1F3864"/>
      <name val="Times New Roman"/>
      <family val="1"/>
    </font>
    <font>
      <i/>
      <sz val="11"/>
      <color rgb="FF1F3864"/>
      <name val="Times New Roman"/>
      <family val="1"/>
    </font>
    <font>
      <sz val="11"/>
      <color rgb="FF1F3864"/>
      <name val="Times New Roman"/>
      <family val="1"/>
    </font>
    <font>
      <sz val="10"/>
      <color rgb="FF1F3864"/>
      <name val="Times New Roman"/>
      <family val="1"/>
    </font>
    <font>
      <sz val="10"/>
      <color rgb="FF1F3864"/>
      <name val="Calibri"/>
      <family val="2"/>
    </font>
    <font>
      <sz val="12"/>
      <color rgb="FF1F3864"/>
      <name val="Times New Roman"/>
      <family val="1"/>
    </font>
    <font>
      <i/>
      <sz val="12"/>
      <color rgb="FF1F3864"/>
      <name val="Times New Roman"/>
      <family val="1"/>
    </font>
    <font>
      <i/>
      <sz val="10"/>
      <color rgb="FF1F3864"/>
      <name val="Times New Roman"/>
      <family val="1"/>
    </font>
    <font>
      <b/>
      <sz val="10"/>
      <color rgb="FF1F3864"/>
      <name val="Calibri"/>
      <family val="2"/>
    </font>
    <font>
      <b/>
      <sz val="9"/>
      <color rgb="FF1F3864"/>
      <name val="Times New Roman"/>
      <family val="1"/>
    </font>
    <font>
      <sz val="9"/>
      <color rgb="FF1F3864"/>
      <name val="Times New Roman"/>
      <family val="1"/>
    </font>
    <font>
      <i/>
      <sz val="9"/>
      <color rgb="FF1F3864"/>
      <name val="Times New Roman"/>
      <family val="1"/>
    </font>
    <font>
      <b/>
      <sz val="11"/>
      <color rgb="FF7030A0"/>
      <name val="Times New Roman"/>
      <family val="1"/>
    </font>
    <font>
      <b/>
      <i/>
      <sz val="12"/>
      <color rgb="FF1F3864"/>
      <name val="Times New Roman"/>
      <family val="1"/>
    </font>
    <font>
      <b/>
      <sz val="12"/>
      <color rgb="FF7030A0"/>
      <name val="Times New Roman"/>
      <family val="1"/>
    </font>
    <font>
      <b/>
      <i/>
      <sz val="12"/>
      <color rgb="FF7030A0"/>
      <name val="Times New Roman"/>
      <family val="1"/>
    </font>
    <font>
      <b/>
      <sz val="10.5"/>
      <color theme="1"/>
      <name val="Times New Roman"/>
      <family val="1"/>
    </font>
    <font>
      <b/>
      <i/>
      <sz val="10"/>
      <color theme="1"/>
      <name val="Times New Roman"/>
      <family val="1"/>
    </font>
    <font>
      <b/>
      <i/>
      <sz val="11"/>
      <color theme="1"/>
      <name val="Times New Roman"/>
      <family val="1"/>
    </font>
    <font>
      <b/>
      <sz val="12"/>
      <color theme="1"/>
      <name val="Times New Roman"/>
      <family val="1"/>
      <charset val="163"/>
    </font>
    <font>
      <sz val="12"/>
      <color theme="1"/>
      <name val="Times New Roman"/>
      <family val="1"/>
      <charset val="163"/>
    </font>
    <font>
      <sz val="9"/>
      <color theme="1"/>
      <name val="Times New Roman"/>
      <family val="1"/>
      <charset val="163"/>
    </font>
    <font>
      <b/>
      <sz val="10"/>
      <color theme="1"/>
      <name val="Times New Roman"/>
      <family val="1"/>
      <charset val="163"/>
    </font>
    <font>
      <b/>
      <sz val="9"/>
      <color theme="1"/>
      <name val="Times New Roman"/>
      <family val="1"/>
      <charset val="163"/>
    </font>
    <font>
      <i/>
      <sz val="9"/>
      <color theme="1"/>
      <name val="Times New Roman"/>
      <family val="1"/>
      <charset val="163"/>
    </font>
    <font>
      <b/>
      <i/>
      <sz val="9"/>
      <color theme="1"/>
      <name val="Times New Roman"/>
      <family val="1"/>
      <charset val="163"/>
    </font>
    <font>
      <b/>
      <i/>
      <sz val="10"/>
      <color theme="1"/>
      <name val="Times New Roman"/>
      <family val="1"/>
      <charset val="163"/>
    </font>
    <font>
      <sz val="10"/>
      <color theme="1"/>
      <name val="TimesNewRomanPSMT"/>
      <charset val="163"/>
    </font>
    <font>
      <i/>
      <sz val="10"/>
      <color theme="1"/>
      <name val="TimesNewRomanPSMT"/>
      <charset val="163"/>
    </font>
    <font>
      <sz val="11"/>
      <color theme="1"/>
      <name val="Times New Roman"/>
      <family val="1"/>
      <charset val="163"/>
    </font>
    <font>
      <b/>
      <i/>
      <sz val="9"/>
      <color theme="1"/>
      <name val="Times New Roman"/>
      <family val="1"/>
    </font>
    <font>
      <vertAlign val="superscript"/>
      <sz val="11"/>
      <color theme="1"/>
      <name val="Times New Roman"/>
      <family val="1"/>
    </font>
    <font>
      <i/>
      <vertAlign val="superscript"/>
      <sz val="11"/>
      <color theme="1"/>
      <name val="Times New Roman"/>
      <family val="1"/>
    </font>
  </fonts>
  <fills count="32">
    <fill>
      <patternFill patternType="none"/>
    </fill>
    <fill>
      <patternFill patternType="gray125"/>
    </fill>
    <fill>
      <patternFill patternType="solid">
        <fgColor indexed="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9"/>
        <bgColor indexed="64"/>
      </patternFill>
    </fill>
    <fill>
      <patternFill patternType="solid">
        <fgColor indexed="26"/>
        <bgColor indexed="64"/>
      </patternFill>
    </fill>
    <fill>
      <patternFill patternType="solid">
        <fgColor indexed="43"/>
      </patternFill>
    </fill>
    <fill>
      <patternFill patternType="gray125">
        <fgColor indexed="35"/>
      </patternFill>
    </fill>
    <fill>
      <patternFill patternType="solid">
        <fgColor indexed="13"/>
        <bgColor indexed="64"/>
      </patternFill>
    </fill>
    <fill>
      <patternFill patternType="solid">
        <fgColor theme="0"/>
        <bgColor indexed="64"/>
      </patternFill>
    </fill>
    <fill>
      <patternFill patternType="solid">
        <fgColor rgb="FF00B0F0"/>
        <bgColor indexed="64"/>
      </patternFill>
    </fill>
    <fill>
      <patternFill patternType="solid">
        <fgColor theme="8" tint="0.59999389629810485"/>
        <bgColor indexed="64"/>
      </patternFill>
    </fill>
    <fill>
      <patternFill patternType="solid">
        <fgColor rgb="FFFFFF00"/>
        <bgColor indexed="64"/>
      </patternFill>
    </fill>
  </fills>
  <borders count="29">
    <border>
      <left/>
      <right/>
      <top/>
      <bottom/>
      <diagonal/>
    </border>
    <border>
      <left style="thin">
        <color indexed="64"/>
      </left>
      <right style="thin">
        <color indexed="64"/>
      </right>
      <top style="dotted">
        <color indexed="64"/>
      </top>
      <bottom style="dotted">
        <color indexed="64"/>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bottom/>
      <diagonal/>
    </border>
    <border>
      <left style="double">
        <color indexed="64"/>
      </left>
      <right style="double">
        <color indexed="64"/>
      </right>
      <top style="thin">
        <color indexed="64"/>
      </top>
      <bottom style="double">
        <color indexed="64"/>
      </bottom>
      <diagonal/>
    </border>
    <border>
      <left style="thin">
        <color indexed="64"/>
      </left>
      <right style="thin">
        <color indexed="64"/>
      </right>
      <top/>
      <bottom style="thin">
        <color indexed="64"/>
      </bottom>
      <diagonal/>
    </border>
    <border>
      <left/>
      <right style="double">
        <color indexed="64"/>
      </right>
      <top/>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thin">
        <color indexed="64"/>
      </bottom>
      <diagonal/>
    </border>
    <border>
      <left/>
      <right/>
      <top style="thin">
        <color indexed="62"/>
      </top>
      <bottom style="double">
        <color indexed="62"/>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diagonal/>
    </border>
    <border>
      <left/>
      <right/>
      <top style="thin">
        <color indexed="64"/>
      </top>
      <bottom/>
      <diagonal/>
    </border>
    <border>
      <left style="thin">
        <color indexed="64"/>
      </left>
      <right style="thin">
        <color indexed="64"/>
      </right>
      <top style="hair">
        <color indexed="64"/>
      </top>
      <bottom style="thin">
        <color indexed="64"/>
      </bottom>
      <diagonal/>
    </border>
  </borders>
  <cellStyleXfs count="627">
    <xf numFmtId="0" fontId="0" fillId="0" borderId="0"/>
    <xf numFmtId="0" fontId="12" fillId="0" borderId="0" applyNumberFormat="0" applyFill="0" applyBorder="0" applyAlignment="0" applyProtection="0"/>
    <xf numFmtId="198" fontId="63" fillId="0" borderId="1">
      <alignment horizontal="center"/>
      <protection hidden="1"/>
    </xf>
    <xf numFmtId="174" fontId="4" fillId="0" borderId="0" applyFont="0" applyFill="0" applyBorder="0" applyAlignment="0" applyProtection="0"/>
    <xf numFmtId="0" fontId="64" fillId="0" borderId="0" applyFont="0" applyFill="0" applyBorder="0" applyAlignment="0" applyProtection="0"/>
    <xf numFmtId="175" fontId="4" fillId="0" borderId="0" applyFont="0" applyFill="0" applyBorder="0" applyAlignment="0" applyProtection="0"/>
    <xf numFmtId="199" fontId="12" fillId="0" borderId="0" applyFont="0" applyFill="0" applyBorder="0" applyAlignment="0" applyProtection="0"/>
    <xf numFmtId="173" fontId="12" fillId="0" borderId="0" applyFont="0" applyFill="0" applyBorder="0" applyAlignment="0" applyProtection="0"/>
    <xf numFmtId="40" fontId="32" fillId="0" borderId="0" applyFont="0" applyFill="0" applyBorder="0" applyAlignment="0" applyProtection="0"/>
    <xf numFmtId="38" fontId="32" fillId="0" borderId="0" applyFont="0" applyFill="0" applyBorder="0" applyAlignment="0" applyProtection="0"/>
    <xf numFmtId="164" fontId="33" fillId="0" borderId="0" applyFont="0" applyFill="0" applyBorder="0" applyAlignment="0" applyProtection="0"/>
    <xf numFmtId="165" fontId="33" fillId="0" borderId="0" applyFont="0" applyFill="0" applyBorder="0" applyAlignment="0" applyProtection="0"/>
    <xf numFmtId="6" fontId="62" fillId="0" borderId="0" applyFont="0" applyFill="0" applyBorder="0" applyAlignment="0" applyProtection="0"/>
    <xf numFmtId="0" fontId="8" fillId="0" borderId="0">
      <alignment vertical="center"/>
    </xf>
    <xf numFmtId="0" fontId="4" fillId="0" borderId="0"/>
    <xf numFmtId="0" fontId="4" fillId="0" borderId="0"/>
    <xf numFmtId="0" fontId="34" fillId="2" borderId="0"/>
    <xf numFmtId="9" fontId="35" fillId="0" borderId="0" applyFont="0" applyFill="0" applyBorder="0" applyAlignment="0" applyProtection="0"/>
    <xf numFmtId="0" fontId="36" fillId="2" borderId="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37" fillId="2" borderId="0"/>
    <xf numFmtId="0" fontId="38" fillId="0" borderId="0">
      <alignment wrapText="1"/>
    </xf>
    <xf numFmtId="0" fontId="22" fillId="9" borderId="0" applyNumberFormat="0" applyBorder="0" applyAlignment="0" applyProtection="0"/>
    <xf numFmtId="0" fontId="22" fillId="10"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9" borderId="0" applyNumberFormat="0" applyBorder="0" applyAlignment="0" applyProtection="0"/>
    <xf numFmtId="0" fontId="22" fillId="12" borderId="0" applyNumberFormat="0" applyBorder="0" applyAlignment="0" applyProtection="0"/>
    <xf numFmtId="170" fontId="65" fillId="0" borderId="2" applyNumberFormat="0" applyFont="0" applyBorder="0" applyAlignment="0">
      <alignment horizontal="center" vertical="center"/>
    </xf>
    <xf numFmtId="0" fontId="19" fillId="0" borderId="0"/>
    <xf numFmtId="0" fontId="19" fillId="0" borderId="0"/>
    <xf numFmtId="0" fontId="66" fillId="13" borderId="0" applyNumberFormat="0" applyBorder="0" applyAlignment="0" applyProtection="0"/>
    <xf numFmtId="0" fontId="66" fillId="10" borderId="0" applyNumberFormat="0" applyBorder="0" applyAlignment="0" applyProtection="0"/>
    <xf numFmtId="0" fontId="66" fillId="11" borderId="0" applyNumberFormat="0" applyBorder="0" applyAlignment="0" applyProtection="0"/>
    <xf numFmtId="0" fontId="66" fillId="14" borderId="0" applyNumberFormat="0" applyBorder="0" applyAlignment="0" applyProtection="0"/>
    <xf numFmtId="0" fontId="66" fillId="15" borderId="0" applyNumberFormat="0" applyBorder="0" applyAlignment="0" applyProtection="0"/>
    <xf numFmtId="0" fontId="66" fillId="16" borderId="0" applyNumberFormat="0" applyBorder="0" applyAlignment="0" applyProtection="0"/>
    <xf numFmtId="0" fontId="67" fillId="0" borderId="0"/>
    <xf numFmtId="176" fontId="39" fillId="0" borderId="0" applyFont="0" applyFill="0" applyBorder="0" applyAlignment="0" applyProtection="0"/>
    <xf numFmtId="0" fontId="40" fillId="0" borderId="0" applyFont="0" applyFill="0" applyBorder="0" applyAlignment="0" applyProtection="0"/>
    <xf numFmtId="171" fontId="12" fillId="0" borderId="0" applyFont="0" applyFill="0" applyBorder="0" applyAlignment="0" applyProtection="0"/>
    <xf numFmtId="177" fontId="39" fillId="0" borderId="0" applyFont="0" applyFill="0" applyBorder="0" applyAlignment="0" applyProtection="0"/>
    <xf numFmtId="0" fontId="40" fillId="0" borderId="0" applyFont="0" applyFill="0" applyBorder="0" applyAlignment="0" applyProtection="0"/>
    <xf numFmtId="178" fontId="12" fillId="0" borderId="0" applyFont="0" applyFill="0" applyBorder="0" applyAlignment="0" applyProtection="0"/>
    <xf numFmtId="179" fontId="39" fillId="0" borderId="0" applyFont="0" applyFill="0" applyBorder="0" applyAlignment="0" applyProtection="0"/>
    <xf numFmtId="0" fontId="40" fillId="0" borderId="0" applyFont="0" applyFill="0" applyBorder="0" applyAlignment="0" applyProtection="0"/>
    <xf numFmtId="179" fontId="35" fillId="0" borderId="0" applyFont="0" applyFill="0" applyBorder="0" applyAlignment="0" applyProtection="0"/>
    <xf numFmtId="180" fontId="39" fillId="0" borderId="0" applyFont="0" applyFill="0" applyBorder="0" applyAlignment="0" applyProtection="0"/>
    <xf numFmtId="0" fontId="40" fillId="0" borderId="0" applyFont="0" applyFill="0" applyBorder="0" applyAlignment="0" applyProtection="0"/>
    <xf numFmtId="180" fontId="35" fillId="0" borderId="0" applyFont="0" applyFill="0" applyBorder="0" applyAlignment="0" applyProtection="0"/>
    <xf numFmtId="0" fontId="3" fillId="0" borderId="0"/>
    <xf numFmtId="0" fontId="12" fillId="0" borderId="0"/>
    <xf numFmtId="0" fontId="4" fillId="0" borderId="0"/>
    <xf numFmtId="0" fontId="2" fillId="0" borderId="0"/>
    <xf numFmtId="0" fontId="12" fillId="0" borderId="0"/>
    <xf numFmtId="0" fontId="40" fillId="0" borderId="0"/>
    <xf numFmtId="0" fontId="41" fillId="0" borderId="0"/>
    <xf numFmtId="0" fontId="40" fillId="0" borderId="0"/>
    <xf numFmtId="0" fontId="42" fillId="0" borderId="0"/>
    <xf numFmtId="200" fontId="12" fillId="0" borderId="0" applyFill="0" applyBorder="0" applyAlignment="0"/>
    <xf numFmtId="0" fontId="43" fillId="0" borderId="0"/>
    <xf numFmtId="201" fontId="68" fillId="0" borderId="4" applyBorder="0"/>
    <xf numFmtId="201" fontId="69" fillId="0" borderId="5">
      <protection locked="0"/>
    </xf>
    <xf numFmtId="43" fontId="3" fillId="0" borderId="0" applyFont="0" applyFill="0" applyBorder="0" applyAlignment="0" applyProtection="0"/>
    <xf numFmtId="41" fontId="24" fillId="0" borderId="0" applyFont="0" applyFill="0" applyBorder="0" applyAlignment="0" applyProtection="0"/>
    <xf numFmtId="41" fontId="4" fillId="0" borderId="0" applyFont="0" applyFill="0" applyBorder="0" applyAlignment="0" applyProtection="0"/>
    <xf numFmtId="41" fontId="12" fillId="0" borderId="0" applyFont="0" applyFill="0" applyBorder="0" applyAlignment="0" applyProtection="0"/>
    <xf numFmtId="41" fontId="24" fillId="0" borderId="0" applyFont="0" applyFill="0" applyBorder="0" applyAlignment="0" applyProtection="0"/>
    <xf numFmtId="43" fontId="4"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43" fontId="4"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43" fontId="100"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166" fontId="98" fillId="0" borderId="0" applyFont="0" applyFill="0" applyBorder="0" applyAlignment="0" applyProtection="0"/>
    <xf numFmtId="166" fontId="30" fillId="0" borderId="0" applyFont="0" applyFill="0" applyBorder="0" applyAlignment="0" applyProtection="0"/>
    <xf numFmtId="43" fontId="100" fillId="0" borderId="0" applyFont="0" applyFill="0" applyBorder="0" applyAlignment="0" applyProtection="0"/>
    <xf numFmtId="43" fontId="3" fillId="0" borderId="0" applyFont="0" applyFill="0" applyBorder="0" applyAlignment="0" applyProtection="0"/>
    <xf numFmtId="43" fontId="44" fillId="0" borderId="0" applyFont="0" applyFill="0" applyBorder="0" applyAlignment="0" applyProtection="0"/>
    <xf numFmtId="166" fontId="44" fillId="0" borderId="0" applyFont="0" applyFill="0" applyBorder="0" applyAlignment="0" applyProtection="0"/>
    <xf numFmtId="43" fontId="2"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43" fontId="97" fillId="0" borderId="0" applyFont="0" applyFill="0" applyBorder="0" applyAlignment="0" applyProtection="0"/>
    <xf numFmtId="43" fontId="10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2" fontId="4" fillId="0" borderId="0" applyFont="0" applyFill="0" applyBorder="0" applyAlignment="0" applyProtection="0"/>
    <xf numFmtId="43" fontId="22" fillId="0" borderId="0" applyFont="0" applyFill="0" applyBorder="0" applyAlignment="0" applyProtection="0"/>
    <xf numFmtId="43" fontId="97" fillId="0" borderId="0" applyFont="0" applyFill="0" applyBorder="0" applyAlignment="0" applyProtection="0"/>
    <xf numFmtId="43" fontId="2" fillId="0" borderId="0" applyFont="0" applyFill="0" applyBorder="0" applyAlignment="0" applyProtection="0"/>
    <xf numFmtId="43" fontId="10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166" fontId="4" fillId="0" borderId="0" applyFont="0" applyFill="0" applyBorder="0" applyAlignment="0" applyProtection="0"/>
    <xf numFmtId="43" fontId="110" fillId="0" borderId="0" applyFont="0" applyFill="0" applyBorder="0" applyAlignment="0" applyProtection="0"/>
    <xf numFmtId="43" fontId="10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11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9" fillId="0" borderId="0" applyFont="0" applyFill="0" applyBorder="0" applyAlignment="0" applyProtection="0"/>
    <xf numFmtId="43" fontId="2" fillId="0" borderId="0" applyFont="0" applyFill="0" applyBorder="0" applyAlignment="0" applyProtection="0"/>
    <xf numFmtId="43" fontId="10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43" fontId="3" fillId="0" borderId="0" applyFont="0" applyFill="0" applyBorder="0" applyAlignment="0" applyProtection="0"/>
    <xf numFmtId="166" fontId="30"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6" fontId="110"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166" fontId="30"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43" fontId="4"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43" fontId="23"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181" fontId="4" fillId="0" borderId="0" applyFont="0" applyFill="0" applyBorder="0" applyAlignment="0" applyProtection="0"/>
    <xf numFmtId="43" fontId="2"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43" fontId="4"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166" fontId="100" fillId="0" borderId="0" applyFont="0" applyFill="0" applyBorder="0" applyAlignment="0" applyProtection="0"/>
    <xf numFmtId="203" fontId="73" fillId="0" borderId="0"/>
    <xf numFmtId="3" fontId="4" fillId="0" borderId="0" applyFont="0" applyFill="0" applyBorder="0" applyAlignment="0" applyProtection="0"/>
    <xf numFmtId="204" fontId="74" fillId="0" borderId="0">
      <protection locked="0"/>
    </xf>
    <xf numFmtId="205" fontId="74" fillId="0" borderId="0">
      <protection locked="0"/>
    </xf>
    <xf numFmtId="206" fontId="75" fillId="0" borderId="6">
      <protection locked="0"/>
    </xf>
    <xf numFmtId="207" fontId="74" fillId="0" borderId="0">
      <protection locked="0"/>
    </xf>
    <xf numFmtId="208" fontId="74" fillId="0" borderId="0">
      <protection locked="0"/>
    </xf>
    <xf numFmtId="207" fontId="74" fillId="0" borderId="0" applyNumberFormat="0">
      <protection locked="0"/>
    </xf>
    <xf numFmtId="207" fontId="74" fillId="0" borderId="0">
      <protection locked="0"/>
    </xf>
    <xf numFmtId="201" fontId="76" fillId="0" borderId="1"/>
    <xf numFmtId="209" fontId="76" fillId="0" borderId="1"/>
    <xf numFmtId="2" fontId="77" fillId="0" borderId="7" applyFill="0" applyProtection="0">
      <alignment horizontal="center" vertical="center" wrapText="1"/>
    </xf>
    <xf numFmtId="183" fontId="4" fillId="0" borderId="0" applyFont="0" applyFill="0" applyBorder="0" applyAlignment="0" applyProtection="0"/>
    <xf numFmtId="210" fontId="78" fillId="0" borderId="0" applyFont="0" applyFill="0" applyBorder="0" applyAlignment="0" applyProtection="0"/>
    <xf numFmtId="211" fontId="24" fillId="0" borderId="0"/>
    <xf numFmtId="202" fontId="70" fillId="0" borderId="5"/>
    <xf numFmtId="4" fontId="71" fillId="0" borderId="0" applyAlignment="0"/>
    <xf numFmtId="1" fontId="72" fillId="0" borderId="8" applyBorder="0"/>
    <xf numFmtId="201" fontId="63" fillId="0" borderId="1">
      <alignment horizontal="center"/>
      <protection hidden="1"/>
    </xf>
    <xf numFmtId="212" fontId="79" fillId="0" borderId="1">
      <alignment horizontal="center"/>
      <protection hidden="1"/>
    </xf>
    <xf numFmtId="168" fontId="12" fillId="0" borderId="9"/>
    <xf numFmtId="0" fontId="4"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84" fontId="4" fillId="0" borderId="0" applyFont="0" applyFill="0" applyBorder="0" applyAlignment="0" applyProtection="0"/>
    <xf numFmtId="185" fontId="4" fillId="0" borderId="0" applyFont="0" applyFill="0" applyBorder="0" applyAlignment="0" applyProtection="0"/>
    <xf numFmtId="213" fontId="24" fillId="0" borderId="0"/>
    <xf numFmtId="0" fontId="80" fillId="21" borderId="10" applyNumberFormat="0" applyAlignment="0" applyProtection="0"/>
    <xf numFmtId="0" fontId="81" fillId="8" borderId="3" applyNumberFormat="0" applyAlignment="0" applyProtection="0"/>
    <xf numFmtId="0" fontId="82" fillId="0" borderId="11" applyNumberFormat="0" applyFill="0" applyAlignment="0" applyProtection="0"/>
    <xf numFmtId="0" fontId="83" fillId="0" borderId="12" applyNumberFormat="0" applyFill="0" applyAlignment="0" applyProtection="0"/>
    <xf numFmtId="0" fontId="84" fillId="0" borderId="13" applyNumberFormat="0" applyFill="0" applyAlignment="0" applyProtection="0"/>
    <xf numFmtId="0" fontId="84" fillId="0" borderId="0" applyNumberFormat="0" applyFill="0" applyBorder="0" applyAlignment="0" applyProtection="0"/>
    <xf numFmtId="3" fontId="12" fillId="0" borderId="0" applyFont="0" applyBorder="0" applyAlignment="0"/>
    <xf numFmtId="3" fontId="12" fillId="0" borderId="0" applyFont="0" applyBorder="0" applyAlignment="0"/>
    <xf numFmtId="2" fontId="4" fillId="0" borderId="0" applyFont="0" applyFill="0" applyBorder="0" applyAlignment="0" applyProtection="0"/>
    <xf numFmtId="0" fontId="7" fillId="22" borderId="14" applyNumberFormat="0" applyFont="0" applyAlignment="0" applyProtection="0"/>
    <xf numFmtId="38" fontId="28" fillId="23" borderId="0" applyNumberFormat="0" applyBorder="0" applyAlignment="0" applyProtection="0"/>
    <xf numFmtId="38" fontId="28" fillId="2" borderId="0" applyNumberFormat="0" applyBorder="0" applyAlignment="0" applyProtection="0"/>
    <xf numFmtId="0" fontId="85" fillId="0" borderId="0" applyNumberFormat="0" applyFont="0" applyBorder="0" applyAlignment="0">
      <alignment horizontal="left" vertical="center"/>
    </xf>
    <xf numFmtId="0" fontId="20" fillId="0" borderId="0">
      <alignment vertical="justify"/>
    </xf>
    <xf numFmtId="0" fontId="45" fillId="0" borderId="0">
      <alignment horizontal="left"/>
    </xf>
    <xf numFmtId="0" fontId="5" fillId="0" borderId="15" applyNumberFormat="0" applyAlignment="0" applyProtection="0">
      <alignment horizontal="left" vertical="center"/>
    </xf>
    <xf numFmtId="0" fontId="5" fillId="0" borderId="16">
      <alignment horizontal="left" vertical="center"/>
    </xf>
    <xf numFmtId="186" fontId="20" fillId="0" borderId="0">
      <protection locked="0"/>
    </xf>
    <xf numFmtId="0" fontId="86" fillId="0" borderId="0" applyProtection="0"/>
    <xf numFmtId="186" fontId="20" fillId="0" borderId="0">
      <protection locked="0"/>
    </xf>
    <xf numFmtId="0" fontId="87" fillId="0" borderId="0" applyProtection="0"/>
    <xf numFmtId="10" fontId="28" fillId="23" borderId="17" applyNumberFormat="0" applyBorder="0" applyAlignment="0" applyProtection="0"/>
    <xf numFmtId="10" fontId="28" fillId="24" borderId="17" applyNumberFormat="0" applyBorder="0" applyAlignment="0" applyProtection="0"/>
    <xf numFmtId="0" fontId="26" fillId="0" borderId="0"/>
    <xf numFmtId="0" fontId="26" fillId="0" borderId="0"/>
    <xf numFmtId="201" fontId="28" fillId="0" borderId="4" applyFont="0"/>
    <xf numFmtId="3" fontId="4" fillId="0" borderId="18"/>
    <xf numFmtId="38" fontId="26" fillId="0" borderId="0" applyFont="0" applyFill="0" applyBorder="0" applyAlignment="0" applyProtection="0"/>
    <xf numFmtId="40" fontId="26" fillId="0" borderId="0" applyFont="0" applyFill="0" applyBorder="0" applyAlignment="0" applyProtection="0"/>
    <xf numFmtId="0" fontId="46" fillId="0" borderId="19"/>
    <xf numFmtId="214" fontId="88" fillId="0" borderId="20"/>
    <xf numFmtId="187" fontId="26" fillId="0" borderId="0" applyFont="0" applyFill="0" applyBorder="0" applyAlignment="0" applyProtection="0"/>
    <xf numFmtId="188" fontId="26" fillId="0" borderId="0" applyFont="0" applyFill="0" applyBorder="0" applyAlignment="0" applyProtection="0"/>
    <xf numFmtId="215" fontId="24" fillId="0" borderId="0" applyFont="0" applyFill="0" applyBorder="0" applyAlignment="0" applyProtection="0"/>
    <xf numFmtId="216" fontId="24" fillId="0" borderId="0" applyFont="0" applyFill="0" applyBorder="0" applyAlignment="0" applyProtection="0"/>
    <xf numFmtId="3" fontId="47" fillId="0" borderId="0">
      <alignment horizontal="right" vertical="top"/>
    </xf>
    <xf numFmtId="0" fontId="6" fillId="0" borderId="0" applyNumberFormat="0" applyFont="0" applyFill="0" applyAlignment="0"/>
    <xf numFmtId="0" fontId="76" fillId="0" borderId="0">
      <alignment horizontal="justify" vertical="top"/>
    </xf>
    <xf numFmtId="0" fontId="73" fillId="0" borderId="0"/>
    <xf numFmtId="0" fontId="12" fillId="0" borderId="0">
      <alignment horizontal="left"/>
    </xf>
    <xf numFmtId="37" fontId="89" fillId="0" borderId="0"/>
    <xf numFmtId="0" fontId="90" fillId="0" borderId="17" applyNumberFormat="0" applyFont="0" applyFill="0" applyBorder="0" applyAlignment="0">
      <alignment horizontal="center"/>
    </xf>
    <xf numFmtId="189" fontId="48" fillId="0" borderId="0"/>
    <xf numFmtId="217" fontId="19" fillId="0" borderId="0"/>
    <xf numFmtId="0" fontId="4" fillId="0" borderId="0"/>
    <xf numFmtId="0" fontId="12" fillId="0" borderId="0"/>
    <xf numFmtId="0" fontId="100" fillId="0" borderId="0"/>
    <xf numFmtId="0" fontId="3" fillId="0" borderId="0"/>
    <xf numFmtId="0" fontId="111" fillId="0" borderId="0"/>
    <xf numFmtId="0" fontId="8" fillId="0" borderId="0"/>
    <xf numFmtId="0" fontId="3" fillId="0" borderId="0"/>
    <xf numFmtId="0" fontId="100" fillId="0" borderId="0"/>
    <xf numFmtId="0" fontId="100" fillId="0" borderId="0"/>
    <xf numFmtId="0" fontId="12" fillId="0" borderId="0"/>
    <xf numFmtId="0" fontId="12" fillId="0" borderId="0"/>
    <xf numFmtId="0" fontId="100" fillId="0" borderId="0"/>
    <xf numFmtId="0" fontId="4" fillId="0" borderId="0"/>
    <xf numFmtId="0" fontId="3" fillId="0" borderId="0"/>
    <xf numFmtId="0" fontId="3" fillId="0" borderId="0"/>
    <xf numFmtId="0" fontId="110" fillId="0" borderId="0"/>
    <xf numFmtId="0" fontId="2" fillId="0" borderId="0"/>
    <xf numFmtId="0" fontId="2" fillId="0" borderId="0"/>
    <xf numFmtId="0" fontId="22" fillId="0" borderId="0"/>
    <xf numFmtId="0" fontId="110" fillId="0" borderId="0"/>
    <xf numFmtId="0" fontId="22" fillId="0" borderId="0"/>
    <xf numFmtId="0" fontId="95" fillId="0" borderId="0"/>
    <xf numFmtId="0" fontId="112" fillId="0" borderId="0"/>
    <xf numFmtId="0" fontId="110" fillId="0" borderId="0"/>
    <xf numFmtId="0" fontId="110" fillId="0" borderId="0"/>
    <xf numFmtId="0" fontId="4" fillId="0" borderId="0"/>
    <xf numFmtId="0" fontId="22" fillId="0" borderId="0"/>
    <xf numFmtId="0" fontId="4" fillId="0" borderId="0"/>
    <xf numFmtId="0" fontId="8" fillId="0" borderId="0"/>
    <xf numFmtId="0" fontId="8" fillId="0" borderId="0"/>
    <xf numFmtId="0" fontId="4" fillId="0" borderId="0"/>
    <xf numFmtId="0" fontId="4" fillId="0" borderId="0"/>
    <xf numFmtId="0" fontId="8" fillId="0" borderId="0"/>
    <xf numFmtId="0" fontId="24" fillId="0" borderId="0"/>
    <xf numFmtId="0" fontId="4" fillId="0" borderId="0"/>
    <xf numFmtId="0" fontId="113" fillId="0" borderId="0"/>
    <xf numFmtId="0" fontId="8" fillId="0" borderId="0"/>
    <xf numFmtId="0" fontId="20" fillId="0" borderId="0"/>
    <xf numFmtId="0" fontId="100" fillId="0" borderId="0"/>
    <xf numFmtId="0" fontId="8" fillId="0" borderId="0"/>
    <xf numFmtId="0" fontId="4" fillId="0" borderId="0"/>
    <xf numFmtId="0" fontId="110" fillId="0" borderId="0"/>
    <xf numFmtId="0" fontId="24" fillId="0" borderId="0"/>
    <xf numFmtId="0" fontId="4" fillId="0" borderId="0"/>
    <xf numFmtId="0" fontId="110" fillId="0" borderId="0"/>
    <xf numFmtId="0" fontId="24" fillId="0" borderId="0"/>
    <xf numFmtId="0" fontId="4" fillId="0" borderId="0"/>
    <xf numFmtId="0" fontId="4" fillId="0" borderId="0"/>
    <xf numFmtId="0" fontId="4" fillId="0" borderId="0"/>
    <xf numFmtId="0" fontId="4" fillId="0" borderId="0"/>
    <xf numFmtId="0" fontId="110" fillId="0" borderId="0"/>
    <xf numFmtId="0" fontId="110" fillId="0" borderId="0"/>
    <xf numFmtId="0" fontId="4" fillId="0" borderId="0"/>
    <xf numFmtId="0" fontId="3" fillId="0" borderId="0"/>
    <xf numFmtId="0" fontId="110" fillId="0" borderId="0"/>
    <xf numFmtId="0" fontId="110" fillId="0" borderId="0"/>
    <xf numFmtId="0" fontId="25" fillId="0" borderId="0"/>
    <xf numFmtId="0" fontId="3" fillId="0" borderId="0"/>
    <xf numFmtId="0" fontId="110" fillId="0" borderId="0"/>
    <xf numFmtId="0" fontId="3" fillId="0" borderId="0"/>
    <xf numFmtId="0" fontId="12" fillId="0" borderId="0"/>
    <xf numFmtId="0" fontId="4" fillId="0" borderId="0"/>
    <xf numFmtId="0" fontId="31" fillId="0" borderId="0"/>
    <xf numFmtId="0" fontId="110" fillId="0" borderId="0"/>
    <xf numFmtId="0" fontId="110" fillId="0" borderId="0"/>
    <xf numFmtId="0" fontId="12"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110" fillId="0" borderId="0"/>
    <xf numFmtId="0" fontId="110" fillId="0" borderId="0"/>
    <xf numFmtId="0" fontId="22" fillId="0" borderId="0"/>
    <xf numFmtId="0" fontId="114" fillId="0" borderId="0"/>
    <xf numFmtId="0" fontId="22" fillId="0" borderId="0"/>
    <xf numFmtId="0" fontId="4" fillId="0" borderId="0"/>
    <xf numFmtId="0" fontId="4" fillId="0" borderId="0"/>
    <xf numFmtId="0" fontId="23" fillId="0" borderId="0"/>
    <xf numFmtId="0" fontId="110" fillId="0" borderId="0"/>
    <xf numFmtId="0" fontId="110" fillId="0" borderId="0"/>
    <xf numFmtId="0" fontId="110" fillId="0" borderId="0"/>
    <xf numFmtId="0" fontId="110" fillId="0" borderId="0"/>
    <xf numFmtId="0" fontId="3" fillId="0" borderId="0"/>
    <xf numFmtId="0" fontId="111" fillId="0" borderId="0"/>
    <xf numFmtId="0" fontId="12" fillId="0" borderId="0"/>
    <xf numFmtId="0" fontId="24" fillId="0" borderId="0"/>
    <xf numFmtId="0" fontId="22" fillId="0" borderId="0"/>
    <xf numFmtId="0" fontId="3" fillId="0" borderId="0"/>
    <xf numFmtId="0" fontId="3" fillId="0" borderId="0"/>
    <xf numFmtId="0" fontId="110" fillId="0" borderId="0"/>
    <xf numFmtId="0" fontId="110" fillId="0" borderId="0"/>
    <xf numFmtId="0" fontId="113" fillId="0" borderId="0"/>
    <xf numFmtId="0" fontId="113" fillId="0" borderId="0"/>
    <xf numFmtId="0" fontId="3" fillId="0" borderId="0"/>
    <xf numFmtId="0" fontId="3" fillId="0" borderId="0"/>
    <xf numFmtId="0" fontId="3" fillId="0" borderId="0"/>
    <xf numFmtId="0" fontId="4" fillId="0" borderId="0"/>
    <xf numFmtId="0" fontId="3" fillId="0" borderId="0"/>
    <xf numFmtId="0" fontId="110" fillId="0" borderId="0"/>
    <xf numFmtId="0" fontId="110" fillId="0" borderId="0"/>
    <xf numFmtId="0" fontId="100" fillId="0" borderId="0"/>
    <xf numFmtId="0" fontId="22" fillId="0" borderId="0"/>
    <xf numFmtId="0" fontId="4" fillId="0" borderId="0"/>
    <xf numFmtId="0" fontId="4" fillId="0" borderId="0"/>
    <xf numFmtId="0" fontId="3" fillId="0" borderId="0"/>
    <xf numFmtId="0" fontId="3" fillId="0" borderId="0"/>
    <xf numFmtId="0" fontId="3" fillId="0" borderId="0"/>
    <xf numFmtId="0" fontId="113" fillId="0" borderId="0"/>
    <xf numFmtId="0" fontId="2" fillId="0" borderId="0" applyFill="0" applyProtection="0"/>
    <xf numFmtId="0" fontId="3" fillId="0" borderId="0"/>
    <xf numFmtId="0" fontId="49" fillId="0" borderId="0"/>
    <xf numFmtId="0" fontId="49" fillId="0" borderId="0"/>
    <xf numFmtId="0" fontId="49" fillId="0" borderId="0"/>
    <xf numFmtId="0" fontId="49" fillId="0" borderId="0"/>
    <xf numFmtId="0" fontId="49" fillId="0" borderId="0"/>
    <xf numFmtId="0" fontId="3" fillId="0" borderId="0"/>
    <xf numFmtId="0" fontId="30" fillId="0" borderId="0"/>
    <xf numFmtId="0" fontId="7" fillId="0" borderId="0"/>
    <xf numFmtId="0" fontId="4" fillId="0" borderId="0"/>
    <xf numFmtId="0" fontId="3" fillId="0" borderId="0"/>
    <xf numFmtId="0" fontId="4" fillId="0" borderId="0"/>
    <xf numFmtId="0" fontId="4" fillId="0" borderId="0"/>
    <xf numFmtId="0" fontId="4" fillId="0" borderId="0"/>
    <xf numFmtId="0" fontId="115" fillId="0" borderId="0"/>
    <xf numFmtId="0" fontId="49" fillId="0" borderId="0"/>
    <xf numFmtId="0" fontId="49" fillId="0" borderId="0"/>
    <xf numFmtId="0" fontId="49" fillId="0" borderId="0"/>
    <xf numFmtId="0" fontId="113" fillId="0" borderId="0"/>
    <xf numFmtId="0" fontId="3" fillId="0" borderId="0"/>
    <xf numFmtId="0" fontId="3" fillId="0" borderId="0"/>
    <xf numFmtId="0" fontId="49" fillId="0" borderId="0"/>
    <xf numFmtId="0" fontId="49" fillId="0" borderId="0"/>
    <xf numFmtId="0" fontId="49" fillId="0" borderId="0"/>
    <xf numFmtId="0" fontId="49" fillId="0" borderId="0"/>
    <xf numFmtId="0" fontId="49" fillId="0" borderId="0"/>
    <xf numFmtId="0" fontId="110" fillId="0" borderId="0"/>
    <xf numFmtId="0" fontId="110" fillId="0" borderId="0"/>
    <xf numFmtId="0" fontId="4" fillId="0" borderId="0"/>
    <xf numFmtId="0" fontId="20" fillId="0" borderId="0"/>
    <xf numFmtId="0" fontId="3" fillId="0" borderId="0"/>
    <xf numFmtId="0" fontId="3" fillId="0" borderId="0"/>
    <xf numFmtId="0" fontId="49" fillId="0" borderId="0"/>
    <xf numFmtId="0" fontId="49" fillId="0" borderId="0"/>
    <xf numFmtId="0" fontId="49" fillId="0" borderId="0"/>
    <xf numFmtId="0" fontId="49" fillId="0" borderId="0"/>
    <xf numFmtId="0" fontId="114" fillId="0" borderId="0"/>
    <xf numFmtId="0" fontId="49" fillId="0" borderId="0"/>
    <xf numFmtId="0" fontId="49" fillId="0" borderId="0"/>
    <xf numFmtId="0" fontId="49" fillId="0" borderId="0"/>
    <xf numFmtId="0" fontId="49" fillId="0" borderId="0"/>
    <xf numFmtId="0" fontId="49" fillId="0" borderId="0"/>
    <xf numFmtId="0" fontId="49" fillId="0" borderId="0"/>
    <xf numFmtId="0" fontId="7" fillId="0" borderId="0"/>
    <xf numFmtId="0" fontId="4" fillId="0" borderId="0"/>
    <xf numFmtId="0" fontId="8" fillId="0" borderId="0"/>
    <xf numFmtId="0" fontId="8" fillId="0" borderId="0"/>
    <xf numFmtId="0" fontId="3" fillId="0" borderId="0"/>
    <xf numFmtId="0" fontId="110" fillId="0" borderId="0"/>
    <xf numFmtId="0" fontId="8" fillId="0" borderId="0"/>
    <xf numFmtId="0" fontId="49" fillId="0" borderId="0"/>
    <xf numFmtId="0" fontId="49" fillId="0" borderId="0"/>
    <xf numFmtId="0" fontId="114" fillId="0" borderId="0"/>
    <xf numFmtId="0" fontId="49" fillId="0" borderId="0"/>
    <xf numFmtId="0" fontId="49" fillId="0" borderId="0"/>
    <xf numFmtId="0" fontId="49" fillId="0" borderId="0"/>
    <xf numFmtId="0" fontId="49" fillId="0" borderId="0"/>
    <xf numFmtId="0" fontId="20" fillId="0" borderId="0"/>
    <xf numFmtId="0" fontId="113" fillId="0" borderId="0"/>
    <xf numFmtId="0" fontId="113" fillId="0" borderId="0"/>
    <xf numFmtId="0" fontId="113" fillId="0" borderId="0"/>
    <xf numFmtId="0" fontId="4" fillId="0" borderId="0"/>
    <xf numFmtId="0" fontId="111" fillId="0" borderId="0"/>
    <xf numFmtId="0" fontId="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4" fillId="0" borderId="0"/>
    <xf numFmtId="0" fontId="24" fillId="0" borderId="0"/>
    <xf numFmtId="0" fontId="3" fillId="0" borderId="0"/>
    <xf numFmtId="0" fontId="100" fillId="0" borderId="0"/>
    <xf numFmtId="0" fontId="12" fillId="0" borderId="0"/>
    <xf numFmtId="0" fontId="16" fillId="0" borderId="0"/>
    <xf numFmtId="0" fontId="12" fillId="0" borderId="0"/>
    <xf numFmtId="0" fontId="12" fillId="0" borderId="0"/>
    <xf numFmtId="0" fontId="4" fillId="0" borderId="0"/>
    <xf numFmtId="0" fontId="19" fillId="0" borderId="0"/>
    <xf numFmtId="0" fontId="20" fillId="0" borderId="0"/>
    <xf numFmtId="0" fontId="12" fillId="0" borderId="0"/>
    <xf numFmtId="0" fontId="23" fillId="0" borderId="0"/>
    <xf numFmtId="0" fontId="24" fillId="0" borderId="0"/>
    <xf numFmtId="0" fontId="12" fillId="0" borderId="0"/>
    <xf numFmtId="0" fontId="66" fillId="17" borderId="0" applyNumberFormat="0" applyBorder="0" applyAlignment="0" applyProtection="0"/>
    <xf numFmtId="0" fontId="66" fillId="18" borderId="0" applyNumberFormat="0" applyBorder="0" applyAlignment="0" applyProtection="0"/>
    <xf numFmtId="0" fontId="66" fillId="19" borderId="0" applyNumberFormat="0" applyBorder="0" applyAlignment="0" applyProtection="0"/>
    <xf numFmtId="0" fontId="66" fillId="14" borderId="0" applyNumberFormat="0" applyBorder="0" applyAlignment="0" applyProtection="0"/>
    <xf numFmtId="0" fontId="66" fillId="15" borderId="0" applyNumberFormat="0" applyBorder="0" applyAlignment="0" applyProtection="0"/>
    <xf numFmtId="0" fontId="66" fillId="20" borderId="0" applyNumberFormat="0" applyBorder="0" applyAlignment="0" applyProtection="0"/>
    <xf numFmtId="165" fontId="50" fillId="0" borderId="0" applyFont="0" applyFill="0" applyBorder="0" applyAlignment="0" applyProtection="0"/>
    <xf numFmtId="164" fontId="50" fillId="0" borderId="0" applyFont="0" applyFill="0" applyBorder="0" applyAlignment="0" applyProtection="0"/>
    <xf numFmtId="0" fontId="16" fillId="0" borderId="0" applyNumberFormat="0" applyFill="0" applyBorder="0" applyAlignment="0" applyProtection="0"/>
    <xf numFmtId="0" fontId="12" fillId="0" borderId="0" applyNumberFormat="0" applyFill="0" applyBorder="0" applyAlignment="0" applyProtection="0"/>
    <xf numFmtId="0" fontId="4" fillId="0" borderId="0" applyFont="0" applyFill="0" applyBorder="0" applyAlignment="0" applyProtection="0"/>
    <xf numFmtId="0" fontId="7" fillId="0" borderId="0"/>
    <xf numFmtId="10" fontId="4" fillId="0" borderId="0" applyFont="0" applyFill="0" applyBorder="0" applyAlignment="0" applyProtection="0"/>
    <xf numFmtId="9" fontId="2" fillId="0" borderId="0" applyFont="0" applyFill="0" applyBorder="0" applyAlignment="0" applyProtection="0"/>
    <xf numFmtId="0" fontId="96" fillId="0" borderId="0">
      <alignment vertical="top"/>
    </xf>
    <xf numFmtId="0" fontId="12" fillId="0" borderId="0" applyNumberFormat="0" applyFill="0" applyBorder="0" applyAlignment="0" applyProtection="0"/>
    <xf numFmtId="0" fontId="91" fillId="0" borderId="0" applyNumberFormat="0" applyFill="0" applyBorder="0" applyAlignment="0" applyProtection="0">
      <alignment vertical="top"/>
      <protection locked="0"/>
    </xf>
    <xf numFmtId="0" fontId="26" fillId="0" borderId="0"/>
    <xf numFmtId="0" fontId="51" fillId="0" borderId="0"/>
    <xf numFmtId="0" fontId="46" fillId="0" borderId="0"/>
    <xf numFmtId="190" fontId="17" fillId="0" borderId="21">
      <alignment horizontal="right" vertical="center"/>
    </xf>
    <xf numFmtId="218" fontId="16" fillId="0" borderId="21">
      <alignment horizontal="right" vertical="center"/>
    </xf>
    <xf numFmtId="218" fontId="16" fillId="0" borderId="21">
      <alignment horizontal="right" vertical="center"/>
    </xf>
    <xf numFmtId="218" fontId="16" fillId="0" borderId="21">
      <alignment horizontal="right" vertical="center"/>
    </xf>
    <xf numFmtId="190" fontId="17" fillId="0" borderId="21">
      <alignment horizontal="right" vertical="center"/>
    </xf>
    <xf numFmtId="190" fontId="17" fillId="0" borderId="21">
      <alignment horizontal="right" vertical="center"/>
    </xf>
    <xf numFmtId="190" fontId="17" fillId="0" borderId="21">
      <alignment horizontal="right" vertical="center"/>
    </xf>
    <xf numFmtId="218" fontId="16" fillId="0" borderId="21">
      <alignment horizontal="right" vertical="center"/>
    </xf>
    <xf numFmtId="190" fontId="17" fillId="0" borderId="21">
      <alignment horizontal="right" vertical="center"/>
    </xf>
    <xf numFmtId="190" fontId="17" fillId="0" borderId="21">
      <alignment horizontal="right" vertical="center"/>
    </xf>
    <xf numFmtId="219" fontId="20" fillId="0" borderId="21">
      <alignment horizontal="right" vertical="center"/>
    </xf>
    <xf numFmtId="219" fontId="20" fillId="0" borderId="21">
      <alignment horizontal="right" vertical="center"/>
    </xf>
    <xf numFmtId="190" fontId="17" fillId="0" borderId="21">
      <alignment horizontal="right" vertical="center"/>
    </xf>
    <xf numFmtId="190" fontId="17" fillId="0" borderId="21">
      <alignment horizontal="right" vertical="center"/>
    </xf>
    <xf numFmtId="218" fontId="16" fillId="0" borderId="21">
      <alignment horizontal="right" vertical="center"/>
    </xf>
    <xf numFmtId="218" fontId="16" fillId="0" borderId="21">
      <alignment horizontal="right" vertical="center"/>
    </xf>
    <xf numFmtId="201" fontId="76" fillId="0" borderId="1">
      <protection hidden="1"/>
    </xf>
    <xf numFmtId="0" fontId="92" fillId="0" borderId="0" applyNumberFormat="0" applyFill="0" applyBorder="0" applyAlignment="0" applyProtection="0"/>
    <xf numFmtId="0" fontId="93" fillId="0" borderId="22" applyNumberFormat="0" applyFill="0" applyAlignment="0" applyProtection="0"/>
    <xf numFmtId="191" fontId="17" fillId="0" borderId="21">
      <alignment horizontal="center"/>
    </xf>
    <xf numFmtId="220" fontId="16" fillId="0" borderId="21">
      <alignment horizontal="center"/>
    </xf>
    <xf numFmtId="0" fontId="16" fillId="0" borderId="0" applyNumberFormat="0" applyFill="0" applyBorder="0" applyAlignment="0" applyProtection="0"/>
    <xf numFmtId="0" fontId="4" fillId="0" borderId="0" applyNumberFormat="0" applyFill="0" applyBorder="0" applyAlignment="0" applyProtection="0"/>
    <xf numFmtId="0" fontId="94" fillId="25" borderId="0" applyNumberFormat="0" applyBorder="0" applyAlignment="0" applyProtection="0"/>
    <xf numFmtId="0" fontId="5" fillId="0" borderId="18">
      <alignment horizontal="center"/>
    </xf>
    <xf numFmtId="0" fontId="27" fillId="0" borderId="0" applyNumberFormat="0" applyFill="0" applyBorder="0" applyAlignment="0" applyProtection="0"/>
    <xf numFmtId="169" fontId="17" fillId="0" borderId="0"/>
    <xf numFmtId="221" fontId="16" fillId="0" borderId="0"/>
    <xf numFmtId="168" fontId="17" fillId="0" borderId="17"/>
    <xf numFmtId="222" fontId="16" fillId="0" borderId="17"/>
    <xf numFmtId="5" fontId="19" fillId="0" borderId="23">
      <alignment horizontal="left" vertical="top"/>
    </xf>
    <xf numFmtId="0" fontId="54" fillId="0" borderId="23">
      <alignment horizontal="left" vertical="center"/>
    </xf>
    <xf numFmtId="0" fontId="52" fillId="26" borderId="17">
      <alignment horizontal="left" vertical="center"/>
    </xf>
    <xf numFmtId="5" fontId="53" fillId="0" borderId="24">
      <alignment horizontal="left" vertical="top"/>
    </xf>
    <xf numFmtId="192" fontId="4" fillId="0" borderId="0" applyFont="0" applyFill="0" applyBorder="0" applyAlignment="0" applyProtection="0"/>
    <xf numFmtId="193" fontId="4" fillId="0" borderId="0" applyFont="0" applyFill="0" applyBorder="0" applyAlignment="0" applyProtection="0"/>
    <xf numFmtId="0" fontId="55" fillId="0" borderId="0" applyNumberFormat="0" applyFill="0" applyBorder="0" applyAlignment="0" applyProtection="0"/>
    <xf numFmtId="0" fontId="56" fillId="0" borderId="0" applyFont="0" applyFill="0" applyBorder="0" applyAlignment="0" applyProtection="0"/>
    <xf numFmtId="0" fontId="56" fillId="0" borderId="0" applyFont="0" applyFill="0" applyBorder="0" applyAlignment="0" applyProtection="0"/>
    <xf numFmtId="0" fontId="8" fillId="0" borderId="0">
      <alignment vertical="center"/>
    </xf>
    <xf numFmtId="40" fontId="57" fillId="0" borderId="0" applyFont="0" applyFill="0" applyBorder="0" applyAlignment="0" applyProtection="0"/>
    <xf numFmtId="38" fontId="57" fillId="0" borderId="0" applyFont="0" applyFill="0" applyBorder="0" applyAlignment="0" applyProtection="0"/>
    <xf numFmtId="0" fontId="57" fillId="0" borderId="0" applyFont="0" applyFill="0" applyBorder="0" applyAlignment="0" applyProtection="0"/>
    <xf numFmtId="0" fontId="57" fillId="0" borderId="0" applyFont="0" applyFill="0" applyBorder="0" applyAlignment="0" applyProtection="0"/>
    <xf numFmtId="9" fontId="58" fillId="0" borderId="0" applyFont="0" applyFill="0" applyBorder="0" applyAlignment="0" applyProtection="0"/>
    <xf numFmtId="0" fontId="59" fillId="0" borderId="0"/>
    <xf numFmtId="0" fontId="60" fillId="0" borderId="0" applyFont="0" applyFill="0" applyBorder="0" applyAlignment="0" applyProtection="0"/>
    <xf numFmtId="0" fontId="60" fillId="0" borderId="0" applyFont="0" applyFill="0" applyBorder="0" applyAlignment="0" applyProtection="0"/>
    <xf numFmtId="194" fontId="60" fillId="0" borderId="0" applyFont="0" applyFill="0" applyBorder="0" applyAlignment="0" applyProtection="0"/>
    <xf numFmtId="195" fontId="60" fillId="0" borderId="0" applyFont="0" applyFill="0" applyBorder="0" applyAlignment="0" applyProtection="0"/>
    <xf numFmtId="0" fontId="61" fillId="0" borderId="0"/>
    <xf numFmtId="0" fontId="6" fillId="0" borderId="0"/>
    <xf numFmtId="164" fontId="21" fillId="0" borderId="0" applyFont="0" applyFill="0" applyBorder="0" applyAlignment="0" applyProtection="0"/>
    <xf numFmtId="165" fontId="21" fillId="0" borderId="0" applyFont="0" applyFill="0" applyBorder="0" applyAlignment="0" applyProtection="0"/>
    <xf numFmtId="196" fontId="21" fillId="0" borderId="0" applyFont="0" applyFill="0" applyBorder="0" applyAlignment="0" applyProtection="0"/>
    <xf numFmtId="6" fontId="62" fillId="0" borderId="0" applyFont="0" applyFill="0" applyBorder="0" applyAlignment="0" applyProtection="0"/>
    <xf numFmtId="197" fontId="21" fillId="0" borderId="0" applyFont="0" applyFill="0" applyBorder="0" applyAlignment="0" applyProtection="0"/>
    <xf numFmtId="0" fontId="24" fillId="0" borderId="0"/>
    <xf numFmtId="0" fontId="24" fillId="0" borderId="0"/>
    <xf numFmtId="0" fontId="4" fillId="0" borderId="0"/>
    <xf numFmtId="0" fontId="24" fillId="0" borderId="0"/>
    <xf numFmtId="43" fontId="110" fillId="0" borderId="0" applyFont="0" applyFill="0" applyBorder="0" applyAlignment="0" applyProtection="0"/>
    <xf numFmtId="0" fontId="23" fillId="0" borderId="0"/>
    <xf numFmtId="181" fontId="4" fillId="0" borderId="0" applyFont="0" applyFill="0" applyBorder="0" applyAlignment="0" applyProtection="0"/>
    <xf numFmtId="0" fontId="3" fillId="0" borderId="0"/>
    <xf numFmtId="43" fontId="2" fillId="0" borderId="0" applyFont="0" applyFill="0" applyBorder="0" applyAlignment="0" applyProtection="0"/>
    <xf numFmtId="43" fontId="2" fillId="0" borderId="0" applyFont="0" applyFill="0" applyBorder="0" applyAlignment="0" applyProtection="0"/>
    <xf numFmtId="166" fontId="30" fillId="0" borderId="0" applyFont="0" applyFill="0" applyBorder="0" applyAlignment="0" applyProtection="0"/>
    <xf numFmtId="0" fontId="4" fillId="0" borderId="0"/>
    <xf numFmtId="0" fontId="2" fillId="0" borderId="0"/>
    <xf numFmtId="0" fontId="100" fillId="0" borderId="0"/>
    <xf numFmtId="0" fontId="110" fillId="0" borderId="0"/>
    <xf numFmtId="43" fontId="31" fillId="0" borderId="0" applyFont="0" applyFill="0" applyBorder="0" applyAlignment="0" applyProtection="0"/>
    <xf numFmtId="0" fontId="23" fillId="0" borderId="0"/>
    <xf numFmtId="181" fontId="4" fillId="0" borderId="0" applyFont="0" applyFill="0" applyBorder="0" applyAlignment="0" applyProtection="0"/>
    <xf numFmtId="43" fontId="2" fillId="0" borderId="0" applyFont="0" applyFill="0" applyBorder="0" applyAlignment="0" applyProtection="0"/>
    <xf numFmtId="0" fontId="3" fillId="0" borderId="0"/>
    <xf numFmtId="0" fontId="4" fillId="0" borderId="0"/>
    <xf numFmtId="0" fontId="16" fillId="0" borderId="0"/>
    <xf numFmtId="0" fontId="125" fillId="0" borderId="0"/>
    <xf numFmtId="0" fontId="110" fillId="0" borderId="0"/>
  </cellStyleXfs>
  <cellXfs count="1688">
    <xf numFmtId="0" fontId="0" fillId="0" borderId="0" xfId="0"/>
    <xf numFmtId="0" fontId="10" fillId="0" borderId="17" xfId="0" applyFont="1" applyBorder="1" applyAlignment="1">
      <alignment horizontal="left" vertical="center" wrapText="1"/>
    </xf>
    <xf numFmtId="0" fontId="10" fillId="0" borderId="17" xfId="0" applyFont="1" applyBorder="1" applyAlignment="1">
      <alignment horizontal="center" vertical="center" wrapText="1"/>
    </xf>
    <xf numFmtId="0" fontId="31" fillId="0" borderId="0" xfId="0" applyFont="1" applyAlignment="1">
      <alignment vertical="center" wrapText="1"/>
    </xf>
    <xf numFmtId="0" fontId="31" fillId="0" borderId="0" xfId="356" applyFont="1" applyAlignment="1">
      <alignment horizontal="center" vertical="center"/>
    </xf>
    <xf numFmtId="0" fontId="31" fillId="0" borderId="0" xfId="0" applyFont="1"/>
    <xf numFmtId="0" fontId="14" fillId="0" borderId="17" xfId="0" applyFont="1" applyBorder="1" applyAlignment="1">
      <alignment horizontal="center" vertical="center" wrapText="1"/>
    </xf>
    <xf numFmtId="0" fontId="31" fillId="0" borderId="17" xfId="432" applyFont="1" applyBorder="1" applyAlignment="1">
      <alignment horizontal="center" vertical="center" wrapText="1"/>
    </xf>
    <xf numFmtId="0" fontId="31" fillId="0" borderId="0" xfId="0" applyFont="1" applyAlignment="1">
      <alignment horizontal="center" vertical="center"/>
    </xf>
    <xf numFmtId="0" fontId="31" fillId="0" borderId="17" xfId="432" applyFont="1" applyBorder="1" applyAlignment="1">
      <alignment horizontal="left" vertical="center" wrapText="1"/>
    </xf>
    <xf numFmtId="43" fontId="102" fillId="0" borderId="0" xfId="0" applyNumberFormat="1" applyFont="1" applyAlignment="1">
      <alignment horizontal="center" vertical="center"/>
    </xf>
    <xf numFmtId="43" fontId="103" fillId="0" borderId="0" xfId="0" applyNumberFormat="1" applyFont="1" applyAlignment="1">
      <alignment horizontal="right" vertical="center"/>
    </xf>
    <xf numFmtId="43" fontId="103" fillId="0" borderId="0" xfId="0" applyNumberFormat="1" applyFont="1" applyAlignment="1">
      <alignment horizontal="center" vertical="center" wrapText="1"/>
    </xf>
    <xf numFmtId="1" fontId="103" fillId="0" borderId="0" xfId="0" applyNumberFormat="1" applyFont="1" applyAlignment="1">
      <alignment horizontal="center" vertical="center"/>
    </xf>
    <xf numFmtId="1" fontId="8" fillId="0" borderId="0" xfId="0" applyNumberFormat="1" applyFont="1" applyAlignment="1">
      <alignment horizontal="center" vertical="center"/>
    </xf>
    <xf numFmtId="43" fontId="8" fillId="0" borderId="0" xfId="0" applyNumberFormat="1" applyFont="1" applyAlignment="1">
      <alignment horizontal="center" vertical="center"/>
    </xf>
    <xf numFmtId="43" fontId="13" fillId="0" borderId="0" xfId="164" applyFont="1" applyFill="1" applyBorder="1" applyAlignment="1">
      <alignment horizontal="center" vertical="center" wrapText="1"/>
    </xf>
    <xf numFmtId="0" fontId="8" fillId="0" borderId="8" xfId="369" applyFont="1" applyBorder="1" applyAlignment="1">
      <alignment horizontal="center" vertical="center" wrapText="1"/>
    </xf>
    <xf numFmtId="4" fontId="13" fillId="0" borderId="8" xfId="389" applyNumberFormat="1" applyFont="1" applyBorder="1" applyAlignment="1">
      <alignment horizontal="center" vertical="center" wrapText="1"/>
    </xf>
    <xf numFmtId="4" fontId="13" fillId="0" borderId="0" xfId="389" applyNumberFormat="1" applyFont="1" applyAlignment="1">
      <alignment horizontal="center" vertical="center" wrapText="1"/>
    </xf>
    <xf numFmtId="1" fontId="13" fillId="0" borderId="17" xfId="164" applyNumberFormat="1" applyFont="1" applyFill="1" applyBorder="1" applyAlignment="1">
      <alignment horizontal="center" vertical="center" wrapText="1"/>
    </xf>
    <xf numFmtId="43" fontId="13" fillId="0" borderId="17" xfId="520" applyNumberFormat="1" applyFont="1" applyBorder="1" applyAlignment="1">
      <alignment horizontal="center" vertical="center" wrapText="1"/>
    </xf>
    <xf numFmtId="43" fontId="13" fillId="0" borderId="17" xfId="520" applyNumberFormat="1" applyFont="1" applyBorder="1" applyAlignment="1">
      <alignment horizontal="center" vertical="center"/>
    </xf>
    <xf numFmtId="43" fontId="13" fillId="0" borderId="17" xfId="519" applyNumberFormat="1" applyFont="1" applyBorder="1" applyAlignment="1">
      <alignment horizontal="center" vertical="center"/>
    </xf>
    <xf numFmtId="43" fontId="13" fillId="0" borderId="0" xfId="0" applyNumberFormat="1" applyFont="1" applyAlignment="1">
      <alignment horizontal="center" vertical="center"/>
    </xf>
    <xf numFmtId="2" fontId="13" fillId="0" borderId="17" xfId="521" applyNumberFormat="1" applyFont="1" applyBorder="1" applyAlignment="1">
      <alignment horizontal="left" vertical="center" wrapText="1"/>
    </xf>
    <xf numFmtId="43" fontId="13" fillId="0" borderId="17" xfId="521" applyNumberFormat="1" applyFont="1" applyBorder="1" applyAlignment="1">
      <alignment horizontal="center" vertical="center" wrapText="1"/>
    </xf>
    <xf numFmtId="172" fontId="13" fillId="0" borderId="17" xfId="125" applyNumberFormat="1" applyFont="1" applyFill="1" applyBorder="1" applyAlignment="1" applyProtection="1">
      <alignment vertical="center" wrapText="1"/>
    </xf>
    <xf numFmtId="172" fontId="13" fillId="0" borderId="17" xfId="125" applyNumberFormat="1" applyFont="1" applyFill="1" applyBorder="1" applyAlignment="1" applyProtection="1">
      <alignment horizontal="right" vertical="center" wrapText="1"/>
    </xf>
    <xf numFmtId="43" fontId="13" fillId="0" borderId="17" xfId="0" applyNumberFormat="1" applyFont="1" applyBorder="1" applyAlignment="1">
      <alignment horizontal="center" vertical="center" wrapText="1"/>
    </xf>
    <xf numFmtId="1" fontId="13" fillId="0" borderId="17" xfId="0" applyNumberFormat="1" applyFont="1" applyBorder="1" applyAlignment="1">
      <alignment horizontal="center" vertical="center" wrapText="1"/>
    </xf>
    <xf numFmtId="1" fontId="13" fillId="0" borderId="0" xfId="0" applyNumberFormat="1" applyFont="1" applyAlignment="1">
      <alignment horizontal="center" vertical="center" wrapText="1"/>
    </xf>
    <xf numFmtId="1" fontId="8" fillId="0" borderId="17" xfId="164" applyNumberFormat="1" applyFont="1" applyFill="1" applyBorder="1" applyAlignment="1">
      <alignment horizontal="center" vertical="center" wrapText="1"/>
    </xf>
    <xf numFmtId="2" fontId="8" fillId="0" borderId="17" xfId="0" applyNumberFormat="1" applyFont="1" applyBorder="1" applyAlignment="1">
      <alignment horizontal="left" vertical="center" wrapText="1"/>
    </xf>
    <xf numFmtId="43" fontId="8" fillId="0" borderId="17" xfId="0" applyNumberFormat="1" applyFont="1" applyBorder="1" applyAlignment="1">
      <alignment horizontal="center" vertical="center" wrapText="1"/>
    </xf>
    <xf numFmtId="172" fontId="8" fillId="0" borderId="17" xfId="125" applyNumberFormat="1" applyFont="1" applyFill="1" applyBorder="1" applyAlignment="1" applyProtection="1">
      <alignment vertical="center" wrapText="1"/>
    </xf>
    <xf numFmtId="172" fontId="8" fillId="0" borderId="17" xfId="164" applyNumberFormat="1" applyFont="1" applyFill="1" applyBorder="1" applyAlignment="1">
      <alignment vertical="center" wrapText="1"/>
    </xf>
    <xf numFmtId="172" fontId="8" fillId="0" borderId="17" xfId="164" applyNumberFormat="1" applyFont="1" applyFill="1" applyBorder="1" applyAlignment="1">
      <alignment horizontal="right" vertical="center" wrapText="1"/>
    </xf>
    <xf numFmtId="43" fontId="8" fillId="0" borderId="17" xfId="520" applyNumberFormat="1" applyFont="1" applyBorder="1" applyAlignment="1">
      <alignment horizontal="center" vertical="center" wrapText="1"/>
    </xf>
    <xf numFmtId="1" fontId="8" fillId="0" borderId="17" xfId="520" applyNumberFormat="1" applyFont="1" applyBorder="1" applyAlignment="1">
      <alignment horizontal="center" vertical="center" wrapText="1"/>
    </xf>
    <xf numFmtId="1" fontId="8" fillId="0" borderId="0" xfId="520" applyNumberFormat="1" applyFont="1" applyAlignment="1">
      <alignment horizontal="center" vertical="center" wrapText="1"/>
    </xf>
    <xf numFmtId="43" fontId="8" fillId="0" borderId="0" xfId="359" applyNumberFormat="1" applyFont="1"/>
    <xf numFmtId="170" fontId="8" fillId="0" borderId="0" xfId="0" applyNumberFormat="1" applyFont="1" applyAlignment="1">
      <alignment horizontal="center" vertical="center"/>
    </xf>
    <xf numFmtId="172" fontId="8" fillId="0" borderId="17" xfId="125" applyNumberFormat="1" applyFont="1" applyFill="1" applyBorder="1" applyAlignment="1" applyProtection="1">
      <alignment horizontal="right" vertical="center" wrapText="1"/>
    </xf>
    <xf numFmtId="4" fontId="8" fillId="0" borderId="17" xfId="0" applyNumberFormat="1" applyFont="1" applyBorder="1" applyAlignment="1">
      <alignment horizontal="left" vertical="center" wrapText="1"/>
    </xf>
    <xf numFmtId="172" fontId="8" fillId="0" borderId="17" xfId="0" applyNumberFormat="1" applyFont="1" applyBorder="1" applyAlignment="1">
      <alignment vertical="center"/>
    </xf>
    <xf numFmtId="172" fontId="8" fillId="0" borderId="17" xfId="0" applyNumberFormat="1" applyFont="1" applyBorder="1" applyAlignment="1">
      <alignment horizontal="right" vertical="center"/>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0" xfId="0" applyFont="1" applyAlignment="1">
      <alignment vertical="center"/>
    </xf>
    <xf numFmtId="0" fontId="8" fillId="0" borderId="0" xfId="0" applyFont="1" applyAlignment="1">
      <alignment horizontal="center" vertical="center"/>
    </xf>
    <xf numFmtId="172" fontId="8" fillId="0" borderId="17" xfId="518" applyNumberFormat="1" applyFont="1" applyBorder="1" applyAlignment="1">
      <alignment horizontal="right" vertical="center" wrapText="1"/>
    </xf>
    <xf numFmtId="172" fontId="8" fillId="0" borderId="17" xfId="522" applyNumberFormat="1" applyFont="1" applyBorder="1" applyAlignment="1">
      <alignment horizontal="right" vertical="center" wrapText="1"/>
    </xf>
    <xf numFmtId="172" fontId="8" fillId="0" borderId="17" xfId="525" applyNumberFormat="1" applyFont="1" applyBorder="1" applyAlignment="1">
      <alignment horizontal="right" vertical="center" wrapText="1"/>
    </xf>
    <xf numFmtId="0" fontId="8" fillId="0" borderId="17" xfId="523" applyFont="1" applyBorder="1" applyAlignment="1">
      <alignment horizontal="center" vertical="center" wrapText="1"/>
    </xf>
    <xf numFmtId="2" fontId="8" fillId="0" borderId="0" xfId="0" applyNumberFormat="1" applyFont="1" applyAlignment="1">
      <alignment horizontal="left" vertical="center" wrapText="1"/>
    </xf>
    <xf numFmtId="2" fontId="8" fillId="0" borderId="17" xfId="521" applyNumberFormat="1" applyFont="1" applyBorder="1" applyAlignment="1">
      <alignment horizontal="left" vertical="center" wrapText="1"/>
    </xf>
    <xf numFmtId="172" fontId="8" fillId="0" borderId="17" xfId="164" applyNumberFormat="1" applyFont="1" applyFill="1" applyBorder="1" applyAlignment="1" applyProtection="1">
      <alignment vertical="center" wrapText="1"/>
    </xf>
    <xf numFmtId="43" fontId="8" fillId="0" borderId="0" xfId="0" applyNumberFormat="1" applyFont="1" applyAlignment="1">
      <alignment horizontal="center" vertical="center" wrapText="1"/>
    </xf>
    <xf numFmtId="43" fontId="13" fillId="0" borderId="0" xfId="359" applyNumberFormat="1" applyFont="1"/>
    <xf numFmtId="0" fontId="8" fillId="0" borderId="17" xfId="0" applyFont="1" applyBorder="1" applyAlignment="1">
      <alignment horizontal="left" vertical="center" wrapText="1"/>
    </xf>
    <xf numFmtId="43" fontId="15" fillId="0" borderId="0" xfId="0" applyNumberFormat="1" applyFont="1" applyAlignment="1">
      <alignment horizontal="center" vertical="center"/>
    </xf>
    <xf numFmtId="0" fontId="8" fillId="0" borderId="17" xfId="514" applyFont="1" applyBorder="1" applyAlignment="1">
      <alignment horizontal="left" vertical="center" wrapText="1"/>
    </xf>
    <xf numFmtId="1" fontId="8" fillId="0" borderId="17" xfId="0" applyNumberFormat="1" applyFont="1" applyBorder="1" applyAlignment="1">
      <alignment horizontal="center" vertical="center" wrapText="1"/>
    </xf>
    <xf numFmtId="1" fontId="8" fillId="0" borderId="0" xfId="0" applyNumberFormat="1" applyFont="1" applyAlignment="1">
      <alignment horizontal="center" vertical="center" wrapText="1"/>
    </xf>
    <xf numFmtId="43" fontId="8" fillId="0" borderId="0" xfId="0" applyNumberFormat="1" applyFont="1" applyAlignment="1">
      <alignment horizontal="left" vertical="center"/>
    </xf>
    <xf numFmtId="0" fontId="8" fillId="0" borderId="17" xfId="372" applyFont="1" applyBorder="1" applyAlignment="1">
      <alignment horizontal="left" vertical="center" wrapText="1"/>
    </xf>
    <xf numFmtId="172" fontId="8" fillId="0" borderId="17" xfId="164" applyNumberFormat="1" applyFont="1" applyFill="1" applyBorder="1" applyAlignment="1">
      <alignment vertical="center"/>
    </xf>
    <xf numFmtId="172" fontId="8" fillId="0" borderId="17" xfId="164" applyNumberFormat="1" applyFont="1" applyFill="1" applyBorder="1" applyAlignment="1">
      <alignment horizontal="right" vertical="center"/>
    </xf>
    <xf numFmtId="4" fontId="8" fillId="0" borderId="17" xfId="372" applyNumberFormat="1" applyFont="1" applyBorder="1" applyAlignment="1">
      <alignment horizontal="center" vertical="center" wrapText="1"/>
    </xf>
    <xf numFmtId="0" fontId="8" fillId="0" borderId="17" xfId="372" applyFont="1" applyBorder="1" applyAlignment="1">
      <alignment horizontal="center" vertical="center" wrapText="1"/>
    </xf>
    <xf numFmtId="0" fontId="8" fillId="0" borderId="0" xfId="372" applyFont="1" applyAlignment="1">
      <alignment vertical="center"/>
    </xf>
    <xf numFmtId="0" fontId="8" fillId="0" borderId="0" xfId="372" applyFont="1" applyAlignment="1">
      <alignment horizontal="center" vertical="center"/>
    </xf>
    <xf numFmtId="172" fontId="13" fillId="0" borderId="17" xfId="0" applyNumberFormat="1" applyFont="1" applyBorder="1" applyAlignment="1">
      <alignment vertical="center"/>
    </xf>
    <xf numFmtId="172" fontId="13" fillId="0" borderId="17" xfId="0" applyNumberFormat="1" applyFont="1" applyBorder="1" applyAlignment="1">
      <alignment horizontal="right" vertical="center"/>
    </xf>
    <xf numFmtId="43" fontId="8" fillId="0" borderId="0" xfId="520" applyNumberFormat="1" applyFont="1" applyAlignment="1">
      <alignment horizontal="center" vertical="center" wrapText="1"/>
    </xf>
    <xf numFmtId="172" fontId="8" fillId="0" borderId="17" xfId="372" applyNumberFormat="1" applyFont="1" applyBorder="1" applyAlignment="1">
      <alignment vertical="center"/>
    </xf>
    <xf numFmtId="172" fontId="8" fillId="0" borderId="17" xfId="372" applyNumberFormat="1" applyFont="1" applyBorder="1" applyAlignment="1">
      <alignment horizontal="right" vertical="center"/>
    </xf>
    <xf numFmtId="43" fontId="8" fillId="0" borderId="17" xfId="521" applyNumberFormat="1" applyFont="1" applyBorder="1" applyAlignment="1">
      <alignment horizontal="center" vertical="center" wrapText="1"/>
    </xf>
    <xf numFmtId="172" fontId="8" fillId="0" borderId="17" xfId="158" applyNumberFormat="1" applyFont="1" applyFill="1" applyBorder="1" applyAlignment="1">
      <alignment horizontal="right" vertical="center" wrapText="1"/>
    </xf>
    <xf numFmtId="172" fontId="8" fillId="0" borderId="17" xfId="369" applyNumberFormat="1" applyFont="1" applyBorder="1" applyAlignment="1">
      <alignment horizontal="right" vertical="center"/>
    </xf>
    <xf numFmtId="0" fontId="8" fillId="0" borderId="0" xfId="372" applyFont="1" applyAlignment="1">
      <alignment horizontal="center" vertical="center" wrapText="1"/>
    </xf>
    <xf numFmtId="43" fontId="13" fillId="0" borderId="17" xfId="0" applyNumberFormat="1" applyFont="1" applyBorder="1" applyAlignment="1">
      <alignment horizontal="center" vertical="center"/>
    </xf>
    <xf numFmtId="166" fontId="13" fillId="0" borderId="17" xfId="74" applyFont="1" applyFill="1" applyBorder="1" applyAlignment="1" applyProtection="1">
      <alignment vertical="center" wrapText="1"/>
    </xf>
    <xf numFmtId="43" fontId="8" fillId="0" borderId="0" xfId="0" applyNumberFormat="1" applyFont="1" applyAlignment="1">
      <alignment horizontal="left" vertical="center" wrapText="1"/>
    </xf>
    <xf numFmtId="0" fontId="8" fillId="0" borderId="17" xfId="369" applyFont="1" applyBorder="1" applyAlignment="1">
      <alignment horizontal="left" vertical="center" wrapText="1"/>
    </xf>
    <xf numFmtId="43" fontId="8" fillId="0" borderId="0" xfId="359" applyNumberFormat="1" applyFont="1" applyAlignment="1">
      <alignment wrapText="1"/>
    </xf>
    <xf numFmtId="2" fontId="8" fillId="0" borderId="0" xfId="521" applyNumberFormat="1" applyFont="1" applyAlignment="1">
      <alignment horizontal="left" vertical="center" wrapText="1"/>
    </xf>
    <xf numFmtId="2" fontId="8" fillId="0" borderId="17" xfId="359" applyNumberFormat="1" applyFont="1" applyBorder="1" applyAlignment="1">
      <alignment horizontal="left" vertical="center" wrapText="1"/>
    </xf>
    <xf numFmtId="166" fontId="8" fillId="0" borderId="17" xfId="74" applyFont="1" applyFill="1" applyBorder="1" applyAlignment="1" applyProtection="1">
      <alignment vertical="center" wrapText="1"/>
    </xf>
    <xf numFmtId="172" fontId="13" fillId="0" borderId="17" xfId="164" applyNumberFormat="1" applyFont="1" applyFill="1" applyBorder="1" applyAlignment="1">
      <alignment horizontal="right" vertical="center"/>
    </xf>
    <xf numFmtId="0" fontId="13" fillId="0" borderId="0" xfId="0" applyFont="1" applyAlignment="1">
      <alignment vertical="center"/>
    </xf>
    <xf numFmtId="0" fontId="13" fillId="0" borderId="0" xfId="0" applyFont="1" applyAlignment="1">
      <alignment horizontal="center" vertical="center"/>
    </xf>
    <xf numFmtId="0" fontId="8" fillId="0" borderId="17" xfId="0" applyFont="1" applyBorder="1" applyAlignment="1">
      <alignment horizontal="center" vertical="center"/>
    </xf>
    <xf numFmtId="43" fontId="8" fillId="0" borderId="17" xfId="372" applyNumberFormat="1" applyFont="1" applyBorder="1" applyAlignment="1">
      <alignment horizontal="center" vertical="center" wrapText="1"/>
    </xf>
    <xf numFmtId="0" fontId="8" fillId="0" borderId="6" xfId="372" applyFont="1" applyBorder="1" applyAlignment="1">
      <alignment horizontal="center" vertical="center" wrapText="1"/>
    </xf>
    <xf numFmtId="0" fontId="8" fillId="0" borderId="6" xfId="372" applyFont="1" applyBorder="1" applyAlignment="1">
      <alignment horizontal="center" vertical="center"/>
    </xf>
    <xf numFmtId="43" fontId="104" fillId="0" borderId="0" xfId="0" applyNumberFormat="1" applyFont="1" applyAlignment="1">
      <alignment horizontal="center" vertical="center"/>
    </xf>
    <xf numFmtId="2" fontId="13" fillId="0" borderId="17" xfId="359" applyNumberFormat="1" applyFont="1" applyBorder="1" applyAlignment="1">
      <alignment horizontal="left" vertical="center" wrapText="1"/>
    </xf>
    <xf numFmtId="43" fontId="13" fillId="0" borderId="17" xfId="359" applyNumberFormat="1" applyFont="1" applyBorder="1" applyAlignment="1">
      <alignment horizontal="center" vertical="center" wrapText="1"/>
    </xf>
    <xf numFmtId="166" fontId="13" fillId="0" borderId="17" xfId="74" applyFont="1" applyFill="1" applyBorder="1" applyAlignment="1">
      <alignment vertical="center" wrapText="1"/>
    </xf>
    <xf numFmtId="172" fontId="13" fillId="0" borderId="17" xfId="0" applyNumberFormat="1" applyFont="1" applyBorder="1" applyAlignment="1">
      <alignment horizontal="right" vertical="center" wrapText="1"/>
    </xf>
    <xf numFmtId="43" fontId="8" fillId="0" borderId="17" xfId="359" applyNumberFormat="1" applyFont="1" applyBorder="1" applyAlignment="1">
      <alignment horizontal="center" vertical="center" wrapText="1"/>
    </xf>
    <xf numFmtId="43" fontId="8" fillId="0" borderId="17" xfId="125" applyFont="1" applyFill="1" applyBorder="1" applyAlignment="1" applyProtection="1">
      <alignment horizontal="center" vertical="center" wrapText="1"/>
    </xf>
    <xf numFmtId="172" fontId="8" fillId="0" borderId="17" xfId="126" applyNumberFormat="1" applyFont="1" applyFill="1" applyBorder="1" applyAlignment="1">
      <alignment horizontal="right" vertical="center" wrapText="1"/>
    </xf>
    <xf numFmtId="172" fontId="8" fillId="0" borderId="17" xfId="158" applyNumberFormat="1" applyFont="1" applyFill="1" applyBorder="1" applyAlignment="1" applyProtection="1">
      <alignment horizontal="right" vertical="center" wrapText="1"/>
    </xf>
    <xf numFmtId="172" fontId="8" fillId="0" borderId="17" xfId="158" applyNumberFormat="1" applyFont="1" applyFill="1" applyBorder="1" applyAlignment="1">
      <alignment horizontal="right" vertical="center"/>
    </xf>
    <xf numFmtId="172" fontId="8" fillId="0" borderId="17" xfId="164" applyNumberFormat="1" applyFont="1" applyFill="1" applyBorder="1" applyAlignment="1" applyProtection="1">
      <alignment horizontal="right" vertical="center" wrapText="1"/>
    </xf>
    <xf numFmtId="172" fontId="8" fillId="0" borderId="17" xfId="0" applyNumberFormat="1" applyFont="1" applyBorder="1" applyAlignment="1">
      <alignment vertical="center" wrapText="1"/>
    </xf>
    <xf numFmtId="172" fontId="8" fillId="0" borderId="17" xfId="0" applyNumberFormat="1" applyFont="1" applyBorder="1" applyAlignment="1">
      <alignment horizontal="right" vertical="center" wrapText="1"/>
    </xf>
    <xf numFmtId="43" fontId="13" fillId="0" borderId="0" xfId="0" applyNumberFormat="1" applyFont="1" applyAlignment="1">
      <alignment horizontal="left" vertical="center"/>
    </xf>
    <xf numFmtId="172" fontId="8" fillId="0" borderId="17" xfId="519" applyNumberFormat="1" applyFont="1" applyBorder="1" applyAlignment="1">
      <alignment horizontal="right" vertical="center"/>
    </xf>
    <xf numFmtId="43" fontId="8" fillId="0" borderId="0" xfId="0" applyNumberFormat="1" applyFont="1" applyAlignment="1">
      <alignment vertical="center"/>
    </xf>
    <xf numFmtId="172" fontId="15" fillId="0" borderId="17" xfId="0" applyNumberFormat="1" applyFont="1" applyBorder="1" applyAlignment="1">
      <alignment vertical="center"/>
    </xf>
    <xf numFmtId="172" fontId="15" fillId="0" borderId="17" xfId="0" applyNumberFormat="1" applyFont="1" applyBorder="1" applyAlignment="1">
      <alignment horizontal="right" vertical="center"/>
    </xf>
    <xf numFmtId="0" fontId="15" fillId="0" borderId="17" xfId="0" applyFont="1" applyBorder="1" applyAlignment="1">
      <alignment horizontal="center" vertical="center" wrapText="1"/>
    </xf>
    <xf numFmtId="0" fontId="15" fillId="0" borderId="0" xfId="0" applyFont="1" applyAlignment="1">
      <alignment vertical="center"/>
    </xf>
    <xf numFmtId="0" fontId="15" fillId="0" borderId="0" xfId="0" applyFont="1" applyAlignment="1">
      <alignment horizontal="center" vertical="center"/>
    </xf>
    <xf numFmtId="0" fontId="8" fillId="0" borderId="17" xfId="372" applyFont="1" applyBorder="1" applyAlignment="1">
      <alignment horizontal="center" vertical="center"/>
    </xf>
    <xf numFmtId="172" fontId="8" fillId="0" borderId="17" xfId="359" applyNumberFormat="1" applyFont="1" applyBorder="1" applyAlignment="1">
      <alignment horizontal="right" vertical="center" wrapText="1"/>
    </xf>
    <xf numFmtId="43" fontId="8" fillId="0" borderId="0" xfId="359" applyNumberFormat="1" applyFont="1" applyAlignment="1">
      <alignment vertical="center"/>
    </xf>
    <xf numFmtId="43" fontId="15" fillId="0" borderId="0" xfId="359" applyNumberFormat="1" applyFont="1" applyAlignment="1">
      <alignment vertical="center"/>
    </xf>
    <xf numFmtId="43" fontId="15" fillId="0" borderId="0" xfId="359" applyNumberFormat="1" applyFont="1" applyAlignment="1">
      <alignment horizontal="center" vertical="center"/>
    </xf>
    <xf numFmtId="172" fontId="13" fillId="0" borderId="17" xfId="164" applyNumberFormat="1" applyFont="1" applyFill="1" applyBorder="1" applyAlignment="1">
      <alignment vertical="center"/>
    </xf>
    <xf numFmtId="43" fontId="13" fillId="0" borderId="0" xfId="0" quotePrefix="1" applyNumberFormat="1" applyFont="1" applyAlignment="1">
      <alignment horizontal="center" vertical="center" wrapText="1"/>
    </xf>
    <xf numFmtId="0" fontId="8" fillId="0" borderId="17" xfId="521" applyFont="1" applyBorder="1" applyAlignment="1">
      <alignment horizontal="left" vertical="center" wrapText="1"/>
    </xf>
    <xf numFmtId="43" fontId="8" fillId="0" borderId="0" xfId="0" quotePrefix="1" applyNumberFormat="1" applyFont="1" applyAlignment="1">
      <alignment horizontal="center" vertical="center" wrapText="1"/>
    </xf>
    <xf numFmtId="1" fontId="8" fillId="0" borderId="17" xfId="372" applyNumberFormat="1" applyFont="1" applyBorder="1" applyAlignment="1">
      <alignment horizontal="center" vertical="center"/>
    </xf>
    <xf numFmtId="2" fontId="8" fillId="0" borderId="17" xfId="521" quotePrefix="1" applyNumberFormat="1" applyFont="1" applyBorder="1" applyAlignment="1">
      <alignment horizontal="left" vertical="center" wrapText="1"/>
    </xf>
    <xf numFmtId="0" fontId="8" fillId="0" borderId="17" xfId="516" applyFont="1" applyBorder="1" applyAlignment="1">
      <alignment horizontal="left" vertical="center" wrapText="1"/>
    </xf>
    <xf numFmtId="0" fontId="13" fillId="0" borderId="17" xfId="372" applyFont="1" applyBorder="1" applyAlignment="1">
      <alignment horizontal="center" vertical="center"/>
    </xf>
    <xf numFmtId="0" fontId="13" fillId="0" borderId="17" xfId="0" applyFont="1" applyBorder="1" applyAlignment="1">
      <alignment horizontal="center" vertical="center"/>
    </xf>
    <xf numFmtId="0" fontId="13" fillId="0" borderId="17" xfId="0" applyFont="1" applyBorder="1" applyAlignment="1">
      <alignment horizontal="left" vertical="center" wrapText="1"/>
    </xf>
    <xf numFmtId="166" fontId="13" fillId="0" borderId="17" xfId="74" applyFont="1" applyFill="1" applyBorder="1" applyAlignment="1">
      <alignment vertical="center"/>
    </xf>
    <xf numFmtId="0" fontId="13" fillId="0" borderId="17" xfId="0" applyFont="1" applyBorder="1" applyAlignment="1">
      <alignment horizontal="center" vertical="center" wrapText="1"/>
    </xf>
    <xf numFmtId="43" fontId="13" fillId="0" borderId="0" xfId="0" applyNumberFormat="1" applyFont="1" applyAlignment="1">
      <alignment horizontal="center" vertical="center" wrapText="1"/>
    </xf>
    <xf numFmtId="2" fontId="8" fillId="0" borderId="17" xfId="388" applyNumberFormat="1" applyFont="1" applyBorder="1" applyAlignment="1">
      <alignment horizontal="left" vertical="center" wrapText="1"/>
    </xf>
    <xf numFmtId="1" fontId="13" fillId="0" borderId="17" xfId="359" applyNumberFormat="1" applyFont="1" applyBorder="1" applyAlignment="1">
      <alignment horizontal="center" vertical="center" wrapText="1"/>
    </xf>
    <xf numFmtId="1" fontId="8" fillId="0" borderId="17" xfId="359" applyNumberFormat="1" applyFont="1" applyBorder="1" applyAlignment="1">
      <alignment horizontal="center" vertical="center" wrapText="1"/>
    </xf>
    <xf numFmtId="0" fontId="13" fillId="0" borderId="0" xfId="0" applyFont="1" applyAlignment="1">
      <alignment horizontal="left" vertical="center"/>
    </xf>
    <xf numFmtId="43" fontId="8" fillId="0" borderId="17" xfId="0" quotePrefix="1" applyNumberFormat="1" applyFont="1" applyBorder="1" applyAlignment="1">
      <alignment horizontal="center" vertical="center" wrapText="1"/>
    </xf>
    <xf numFmtId="166" fontId="8" fillId="0" borderId="17" xfId="74" applyFont="1" applyFill="1" applyBorder="1" applyAlignment="1" applyProtection="1">
      <alignment horizontal="right" vertical="center" wrapText="1"/>
    </xf>
    <xf numFmtId="1" fontId="8" fillId="0" borderId="17" xfId="520" applyNumberFormat="1" applyFont="1" applyBorder="1" applyAlignment="1">
      <alignment horizontal="left" vertical="center" wrapText="1"/>
    </xf>
    <xf numFmtId="166" fontId="13" fillId="0" borderId="17" xfId="74" applyFont="1" applyFill="1" applyBorder="1" applyAlignment="1" applyProtection="1">
      <alignment horizontal="right" vertical="center" wrapText="1"/>
    </xf>
    <xf numFmtId="172" fontId="13" fillId="0" borderId="17" xfId="74" applyNumberFormat="1" applyFont="1" applyFill="1" applyBorder="1" applyAlignment="1" applyProtection="1">
      <alignment horizontal="right" vertical="center" wrapText="1"/>
    </xf>
    <xf numFmtId="1" fontId="13" fillId="0" borderId="17" xfId="520" applyNumberFormat="1" applyFont="1" applyBorder="1" applyAlignment="1">
      <alignment horizontal="center" vertical="center" wrapText="1"/>
    </xf>
    <xf numFmtId="1" fontId="13" fillId="0" borderId="0" xfId="520" applyNumberFormat="1" applyFont="1" applyAlignment="1">
      <alignment horizontal="center" vertical="center" wrapText="1"/>
    </xf>
    <xf numFmtId="166" fontId="8" fillId="0" borderId="17" xfId="74" applyFont="1" applyFill="1" applyBorder="1" applyAlignment="1">
      <alignment horizontal="right" vertical="center" wrapText="1"/>
    </xf>
    <xf numFmtId="43" fontId="8" fillId="0" borderId="17" xfId="405" applyNumberFormat="1" applyFont="1" applyBorder="1" applyAlignment="1">
      <alignment horizontal="center" vertical="center" wrapText="1"/>
    </xf>
    <xf numFmtId="4" fontId="8" fillId="0" borderId="17" xfId="520" applyNumberFormat="1" applyFont="1" applyBorder="1" applyAlignment="1">
      <alignment horizontal="left" vertical="center" wrapText="1"/>
    </xf>
    <xf numFmtId="165" fontId="8" fillId="0" borderId="17" xfId="0" applyNumberFormat="1" applyFont="1" applyBorder="1" applyAlignment="1">
      <alignment horizontal="center" vertical="center" wrapText="1"/>
    </xf>
    <xf numFmtId="0" fontId="8" fillId="0" borderId="17" xfId="0" applyFont="1" applyBorder="1" applyAlignment="1">
      <alignment vertical="center" wrapText="1"/>
    </xf>
    <xf numFmtId="0" fontId="8" fillId="0" borderId="0" xfId="0" applyFont="1" applyAlignment="1">
      <alignment horizontal="left" vertical="center" wrapText="1"/>
    </xf>
    <xf numFmtId="166" fontId="8" fillId="0" borderId="17" xfId="74" applyFont="1" applyFill="1" applyBorder="1" applyAlignment="1">
      <alignment horizontal="right" vertical="center"/>
    </xf>
    <xf numFmtId="172" fontId="8" fillId="0" borderId="17" xfId="74" applyNumberFormat="1" applyFont="1" applyFill="1" applyBorder="1" applyAlignment="1">
      <alignment horizontal="right" vertical="center"/>
    </xf>
    <xf numFmtId="43" fontId="8" fillId="0" borderId="17" xfId="0" applyNumberFormat="1" applyFont="1" applyBorder="1" applyAlignment="1">
      <alignment horizontal="right" vertical="center"/>
    </xf>
    <xf numFmtId="1" fontId="8" fillId="0" borderId="17" xfId="0" applyNumberFormat="1" applyFont="1" applyBorder="1" applyAlignment="1">
      <alignment horizontal="center" vertical="center"/>
    </xf>
    <xf numFmtId="172" fontId="8" fillId="0" borderId="17" xfId="74" applyNumberFormat="1" applyFont="1" applyFill="1" applyBorder="1" applyAlignment="1">
      <alignment vertical="center"/>
    </xf>
    <xf numFmtId="2" fontId="8" fillId="0" borderId="17" xfId="520" applyNumberFormat="1" applyFont="1" applyBorder="1" applyAlignment="1">
      <alignment horizontal="left" vertical="center" wrapText="1"/>
    </xf>
    <xf numFmtId="43" fontId="8" fillId="0" borderId="17" xfId="0" applyNumberFormat="1" applyFont="1" applyBorder="1" applyAlignment="1">
      <alignment horizontal="center" vertical="center"/>
    </xf>
    <xf numFmtId="0" fontId="8" fillId="0" borderId="0" xfId="372" applyFont="1" applyAlignment="1">
      <alignment horizontal="left" vertical="center" wrapText="1"/>
    </xf>
    <xf numFmtId="2" fontId="8" fillId="0" borderId="0" xfId="359" applyNumberFormat="1" applyFont="1" applyAlignment="1">
      <alignment horizontal="left" vertical="center" wrapText="1"/>
    </xf>
    <xf numFmtId="2" fontId="8" fillId="0" borderId="17" xfId="520" applyNumberFormat="1" applyFont="1" applyBorder="1" applyAlignment="1">
      <alignment vertical="center" wrapText="1"/>
    </xf>
    <xf numFmtId="0" fontId="8" fillId="0" borderId="17" xfId="359" applyFont="1" applyBorder="1" applyAlignment="1">
      <alignment horizontal="left" vertical="center" wrapText="1"/>
    </xf>
    <xf numFmtId="0" fontId="8" fillId="0" borderId="0" xfId="359" applyFont="1" applyAlignment="1">
      <alignment horizontal="left" vertical="center" wrapText="1"/>
    </xf>
    <xf numFmtId="172" fontId="8" fillId="0" borderId="17" xfId="126" applyNumberFormat="1" applyFont="1" applyFill="1" applyBorder="1" applyAlignment="1" applyProtection="1">
      <alignment vertical="center" wrapText="1"/>
    </xf>
    <xf numFmtId="0" fontId="8" fillId="0" borderId="17" xfId="405" applyFont="1" applyBorder="1" applyAlignment="1">
      <alignment horizontal="center" vertical="center" wrapText="1"/>
    </xf>
    <xf numFmtId="0" fontId="13" fillId="0" borderId="17" xfId="372" applyFont="1" applyBorder="1" applyAlignment="1">
      <alignment horizontal="center" vertical="center" wrapText="1"/>
    </xf>
    <xf numFmtId="0" fontId="13" fillId="0" borderId="0" xfId="372" applyFont="1" applyAlignment="1">
      <alignment horizontal="center" vertical="center" wrapText="1"/>
    </xf>
    <xf numFmtId="0" fontId="13" fillId="0" borderId="0" xfId="372" applyFont="1" applyAlignment="1">
      <alignment vertical="center"/>
    </xf>
    <xf numFmtId="0" fontId="13" fillId="0" borderId="0" xfId="372" applyFont="1" applyAlignment="1">
      <alignment horizontal="center" vertical="center"/>
    </xf>
    <xf numFmtId="166" fontId="8" fillId="0" borderId="17" xfId="74" applyFont="1" applyFill="1" applyBorder="1" applyAlignment="1">
      <alignment vertical="center"/>
    </xf>
    <xf numFmtId="0" fontId="8" fillId="0" borderId="17" xfId="493" applyFont="1" applyBorder="1" applyAlignment="1">
      <alignment horizontal="center" vertical="center" wrapText="1"/>
    </xf>
    <xf numFmtId="2" fontId="13" fillId="0" borderId="17" xfId="521" applyNumberFormat="1" applyFont="1" applyBorder="1" applyAlignment="1">
      <alignment horizontal="center" vertical="center" wrapText="1"/>
    </xf>
    <xf numFmtId="172" fontId="13" fillId="0" borderId="17" xfId="164" applyNumberFormat="1" applyFont="1" applyFill="1" applyBorder="1" applyAlignment="1">
      <alignment vertical="center" wrapText="1"/>
    </xf>
    <xf numFmtId="172" fontId="13" fillId="0" borderId="17" xfId="164" applyNumberFormat="1" applyFont="1" applyFill="1" applyBorder="1" applyAlignment="1">
      <alignment horizontal="right" vertical="center" wrapText="1"/>
    </xf>
    <xf numFmtId="1" fontId="8" fillId="0" borderId="17" xfId="164" quotePrefix="1" applyNumberFormat="1" applyFont="1" applyFill="1" applyBorder="1" applyAlignment="1">
      <alignment horizontal="center" vertical="center" wrapText="1"/>
    </xf>
    <xf numFmtId="43" fontId="13" fillId="0" borderId="0" xfId="0" applyNumberFormat="1" applyFont="1" applyAlignment="1">
      <alignment horizontal="left" vertical="center" wrapText="1"/>
    </xf>
    <xf numFmtId="0" fontId="13" fillId="0" borderId="17" xfId="372" applyFont="1" applyBorder="1" applyAlignment="1">
      <alignment horizontal="left" vertical="center" wrapText="1"/>
    </xf>
    <xf numFmtId="2" fontId="13" fillId="0" borderId="17" xfId="0" applyNumberFormat="1" applyFont="1" applyBorder="1" applyAlignment="1">
      <alignment horizontal="left" vertical="center" wrapText="1"/>
    </xf>
    <xf numFmtId="2" fontId="8" fillId="0" borderId="17" xfId="164" applyNumberFormat="1" applyFont="1" applyFill="1" applyBorder="1" applyAlignment="1">
      <alignment horizontal="left" vertical="center" wrapText="1"/>
    </xf>
    <xf numFmtId="0" fontId="8" fillId="0" borderId="17" xfId="428" applyFont="1" applyBorder="1" applyAlignment="1">
      <alignment horizontal="left" vertical="center" wrapText="1"/>
    </xf>
    <xf numFmtId="43" fontId="13" fillId="0" borderId="17" xfId="0" applyNumberFormat="1" applyFont="1" applyBorder="1" applyAlignment="1">
      <alignment vertical="center"/>
    </xf>
    <xf numFmtId="43" fontId="13" fillId="0" borderId="17" xfId="0" applyNumberFormat="1" applyFont="1" applyBorder="1" applyAlignment="1">
      <alignment horizontal="right" vertical="center"/>
    </xf>
    <xf numFmtId="1" fontId="13" fillId="0" borderId="0" xfId="164" applyNumberFormat="1" applyFont="1" applyFill="1" applyBorder="1" applyAlignment="1">
      <alignment horizontal="center" vertical="center" wrapText="1"/>
    </xf>
    <xf numFmtId="43" fontId="8" fillId="0" borderId="0" xfId="0" applyNumberFormat="1" applyFont="1" applyAlignment="1">
      <alignment horizontal="right" vertical="center"/>
    </xf>
    <xf numFmtId="1" fontId="13" fillId="0" borderId="0" xfId="158" applyNumberFormat="1" applyFont="1" applyFill="1" applyBorder="1" applyAlignment="1">
      <alignment horizontal="center" vertical="center" wrapText="1"/>
    </xf>
    <xf numFmtId="2" fontId="13" fillId="0" borderId="0" xfId="158" applyNumberFormat="1" applyFont="1" applyFill="1" applyBorder="1" applyAlignment="1">
      <alignment horizontal="left" vertical="center" wrapText="1"/>
    </xf>
    <xf numFmtId="43" fontId="13" fillId="0" borderId="0" xfId="158" applyFont="1" applyFill="1" applyBorder="1" applyAlignment="1">
      <alignment horizontal="center" vertical="center" wrapText="1"/>
    </xf>
    <xf numFmtId="1" fontId="13" fillId="0" borderId="17" xfId="158" applyNumberFormat="1" applyFont="1" applyFill="1" applyBorder="1" applyAlignment="1">
      <alignment horizontal="center" vertical="center" wrapText="1"/>
    </xf>
    <xf numFmtId="43" fontId="13" fillId="0" borderId="17" xfId="158" applyFont="1" applyFill="1" applyBorder="1" applyAlignment="1">
      <alignment vertical="center" wrapText="1"/>
    </xf>
    <xf numFmtId="43" fontId="13" fillId="0" borderId="17" xfId="158" applyFont="1" applyFill="1" applyBorder="1" applyAlignment="1">
      <alignment horizontal="center" vertical="center" wrapText="1"/>
    </xf>
    <xf numFmtId="43" fontId="13" fillId="0" borderId="17" xfId="125" applyFont="1" applyFill="1" applyBorder="1" applyAlignment="1" applyProtection="1">
      <alignment horizontal="center" vertical="center" wrapText="1"/>
    </xf>
    <xf numFmtId="1" fontId="8" fillId="0" borderId="17" xfId="158" applyNumberFormat="1" applyFont="1" applyFill="1" applyBorder="1" applyAlignment="1">
      <alignment horizontal="center" vertical="center" wrapText="1"/>
    </xf>
    <xf numFmtId="43" fontId="8" fillId="0" borderId="17" xfId="158" applyFont="1" applyFill="1" applyBorder="1" applyAlignment="1">
      <alignment horizontal="center" vertical="center" wrapText="1"/>
    </xf>
    <xf numFmtId="43" fontId="8" fillId="0" borderId="17" xfId="158" applyFont="1" applyFill="1" applyBorder="1" applyAlignment="1" applyProtection="1">
      <alignment horizontal="center" vertical="center" wrapText="1"/>
    </xf>
    <xf numFmtId="1" fontId="15" fillId="0" borderId="17" xfId="158" applyNumberFormat="1" applyFont="1" applyFill="1" applyBorder="1" applyAlignment="1">
      <alignment horizontal="center" vertical="center" wrapText="1"/>
    </xf>
    <xf numFmtId="2" fontId="15" fillId="0" borderId="17" xfId="0" applyNumberFormat="1" applyFont="1" applyBorder="1" applyAlignment="1">
      <alignment horizontal="left" vertical="center" wrapText="1"/>
    </xf>
    <xf numFmtId="43" fontId="15" fillId="0" borderId="17" xfId="0" applyNumberFormat="1" applyFont="1" applyBorder="1" applyAlignment="1">
      <alignment horizontal="center" vertical="center" wrapText="1"/>
    </xf>
    <xf numFmtId="43" fontId="15" fillId="0" borderId="17" xfId="158" applyFont="1" applyFill="1" applyBorder="1" applyAlignment="1">
      <alignment horizontal="center" vertical="center" wrapText="1"/>
    </xf>
    <xf numFmtId="43" fontId="15" fillId="0" borderId="17" xfId="520" applyNumberFormat="1" applyFont="1" applyBorder="1" applyAlignment="1">
      <alignment horizontal="center" vertical="center" wrapText="1"/>
    </xf>
    <xf numFmtId="1" fontId="15" fillId="0" borderId="17" xfId="520" applyNumberFormat="1" applyFont="1" applyBorder="1" applyAlignment="1">
      <alignment horizontal="center" vertical="center" wrapText="1"/>
    </xf>
    <xf numFmtId="43" fontId="15" fillId="0" borderId="0" xfId="359" applyNumberFormat="1" applyFont="1"/>
    <xf numFmtId="0" fontId="15" fillId="0" borderId="17" xfId="0" applyFont="1" applyBorder="1" applyAlignment="1">
      <alignment horizontal="left" vertical="center" wrapText="1"/>
    </xf>
    <xf numFmtId="43" fontId="15" fillId="0" borderId="17" xfId="359" applyNumberFormat="1" applyFont="1" applyBorder="1" applyAlignment="1">
      <alignment horizontal="center" vertical="center" wrapText="1"/>
    </xf>
    <xf numFmtId="43" fontId="15" fillId="0" borderId="25" xfId="0" applyNumberFormat="1" applyFont="1" applyBorder="1" applyAlignment="1">
      <alignment horizontal="center" vertical="center" wrapText="1"/>
    </xf>
    <xf numFmtId="1" fontId="15" fillId="0" borderId="17" xfId="158" quotePrefix="1" applyNumberFormat="1" applyFont="1" applyFill="1" applyBorder="1" applyAlignment="1">
      <alignment horizontal="center" vertical="center" wrapText="1"/>
    </xf>
    <xf numFmtId="0" fontId="15" fillId="0" borderId="17" xfId="514" applyFont="1" applyBorder="1" applyAlignment="1">
      <alignment horizontal="left" vertical="center"/>
    </xf>
    <xf numFmtId="43" fontId="15" fillId="0" borderId="17" xfId="0" quotePrefix="1" applyNumberFormat="1" applyFont="1" applyBorder="1" applyAlignment="1">
      <alignment horizontal="center" vertical="center" wrapText="1"/>
    </xf>
    <xf numFmtId="1" fontId="15" fillId="0" borderId="17" xfId="0" applyNumberFormat="1" applyFont="1" applyBorder="1" applyAlignment="1">
      <alignment horizontal="center" vertical="center" wrapText="1"/>
    </xf>
    <xf numFmtId="43" fontId="15" fillId="0" borderId="0" xfId="0" applyNumberFormat="1" applyFont="1" applyAlignment="1">
      <alignment horizontal="left" vertical="center"/>
    </xf>
    <xf numFmtId="0" fontId="15" fillId="0" borderId="17" xfId="514" applyFont="1" applyBorder="1" applyAlignment="1">
      <alignment horizontal="center" vertical="center"/>
    </xf>
    <xf numFmtId="2" fontId="15" fillId="0" borderId="17" xfId="0" applyNumberFormat="1" applyFont="1" applyBorder="1" applyAlignment="1">
      <alignment horizontal="center" vertical="center"/>
    </xf>
    <xf numFmtId="1" fontId="15" fillId="0" borderId="0" xfId="520" applyNumberFormat="1" applyFont="1" applyAlignment="1">
      <alignment horizontal="center" vertical="center" wrapText="1"/>
    </xf>
    <xf numFmtId="43" fontId="15" fillId="0" borderId="17" xfId="158" applyFont="1" applyFill="1" applyBorder="1" applyAlignment="1">
      <alignment horizontal="right" vertical="center" wrapText="1"/>
    </xf>
    <xf numFmtId="1" fontId="15" fillId="0" borderId="25" xfId="520" applyNumberFormat="1" applyFont="1" applyBorder="1" applyAlignment="1">
      <alignment horizontal="center" vertical="center" wrapText="1"/>
    </xf>
    <xf numFmtId="2" fontId="8" fillId="0" borderId="17" xfId="0" applyNumberFormat="1" applyFont="1" applyBorder="1" applyAlignment="1">
      <alignment horizontal="left" vertical="center"/>
    </xf>
    <xf numFmtId="2" fontId="8" fillId="0" borderId="17" xfId="521" applyNumberFormat="1" applyFont="1" applyBorder="1" applyAlignment="1">
      <alignment vertical="center" wrapText="1"/>
    </xf>
    <xf numFmtId="43" fontId="8" fillId="0" borderId="25" xfId="0" applyNumberFormat="1" applyFont="1" applyBorder="1" applyAlignment="1">
      <alignment horizontal="center" vertical="center" wrapText="1"/>
    </xf>
    <xf numFmtId="2" fontId="8" fillId="0" borderId="17" xfId="477" applyNumberFormat="1" applyFont="1" applyBorder="1" applyAlignment="1">
      <alignment horizontal="left" vertical="center" wrapText="1"/>
    </xf>
    <xf numFmtId="1" fontId="8" fillId="0" borderId="17" xfId="158" quotePrefix="1" applyNumberFormat="1" applyFont="1" applyFill="1" applyBorder="1" applyAlignment="1">
      <alignment horizontal="center" vertical="center" wrapText="1"/>
    </xf>
    <xf numFmtId="0" fontId="8" fillId="0" borderId="17" xfId="514" applyFont="1" applyBorder="1" applyAlignment="1">
      <alignment vertical="center"/>
    </xf>
    <xf numFmtId="43" fontId="8" fillId="0" borderId="17" xfId="125" applyFont="1" applyFill="1" applyBorder="1" applyAlignment="1" applyProtection="1">
      <alignment horizontal="right" vertical="center" wrapText="1"/>
    </xf>
    <xf numFmtId="0" fontId="8" fillId="0" borderId="17" xfId="514" applyFont="1" applyBorder="1" applyAlignment="1">
      <alignment horizontal="left" vertical="center"/>
    </xf>
    <xf numFmtId="1" fontId="8" fillId="0" borderId="17" xfId="158" applyNumberFormat="1" applyFont="1" applyFill="1" applyBorder="1" applyAlignment="1">
      <alignment vertical="center" wrapText="1"/>
    </xf>
    <xf numFmtId="43" fontId="13" fillId="0" borderId="17" xfId="0" quotePrefix="1" applyNumberFormat="1" applyFont="1" applyBorder="1" applyAlignment="1">
      <alignment horizontal="center" vertical="center" wrapText="1"/>
    </xf>
    <xf numFmtId="0" fontId="8" fillId="0" borderId="17" xfId="328" applyFont="1" applyBorder="1" applyAlignment="1">
      <alignment vertical="center" wrapText="1"/>
    </xf>
    <xf numFmtId="43" fontId="8" fillId="0" borderId="17" xfId="158" applyFont="1" applyFill="1" applyBorder="1" applyAlignment="1">
      <alignment horizontal="right" vertical="center" wrapText="1"/>
    </xf>
    <xf numFmtId="43" fontId="8" fillId="0" borderId="17" xfId="158" applyFont="1" applyFill="1" applyBorder="1" applyAlignment="1">
      <alignment horizontal="center" vertical="center"/>
    </xf>
    <xf numFmtId="1" fontId="8" fillId="0" borderId="25" xfId="520" applyNumberFormat="1" applyFont="1" applyBorder="1" applyAlignment="1">
      <alignment horizontal="center" vertical="center" wrapText="1"/>
    </xf>
    <xf numFmtId="43" fontId="8" fillId="0" borderId="17" xfId="519" applyNumberFormat="1" applyFont="1" applyBorder="1" applyAlignment="1">
      <alignment horizontal="center" vertical="center"/>
    </xf>
    <xf numFmtId="2" fontId="8" fillId="0" borderId="17" xfId="0" applyNumberFormat="1" applyFont="1" applyBorder="1" applyAlignment="1">
      <alignment horizontal="center" vertical="center"/>
    </xf>
    <xf numFmtId="43" fontId="8" fillId="0" borderId="17" xfId="125" applyFont="1" applyFill="1" applyBorder="1" applyAlignment="1">
      <alignment horizontal="center" vertical="center" wrapText="1"/>
    </xf>
    <xf numFmtId="0" fontId="8" fillId="0" borderId="17" xfId="0" applyFont="1" applyBorder="1" applyAlignment="1">
      <alignment vertical="center"/>
    </xf>
    <xf numFmtId="1" fontId="8" fillId="0" borderId="25" xfId="0" applyNumberFormat="1" applyFont="1" applyBorder="1" applyAlignment="1">
      <alignment horizontal="center" vertical="center" wrapText="1"/>
    </xf>
    <xf numFmtId="2" fontId="8" fillId="0" borderId="17" xfId="0" applyNumberFormat="1" applyFont="1" applyBorder="1" applyAlignment="1">
      <alignment horizontal="right" vertical="center"/>
    </xf>
    <xf numFmtId="43" fontId="8" fillId="0" borderId="17" xfId="0" applyNumberFormat="1" applyFont="1" applyBorder="1" applyAlignment="1">
      <alignment vertical="center" wrapText="1"/>
    </xf>
    <xf numFmtId="43" fontId="13" fillId="0" borderId="17" xfId="0" applyNumberFormat="1" applyFont="1" applyBorder="1" applyAlignment="1">
      <alignment vertical="center" wrapText="1"/>
    </xf>
    <xf numFmtId="43" fontId="8" fillId="0" borderId="17" xfId="0" applyNumberFormat="1" applyFont="1" applyBorder="1" applyAlignment="1">
      <alignment horizontal="right" vertical="center" wrapText="1"/>
    </xf>
    <xf numFmtId="1" fontId="8" fillId="0" borderId="17" xfId="125" applyNumberFormat="1" applyFont="1" applyFill="1" applyBorder="1" applyAlignment="1">
      <alignment horizontal="center" vertical="center" wrapText="1"/>
    </xf>
    <xf numFmtId="1" fontId="8" fillId="0" borderId="17" xfId="359" quotePrefix="1" applyNumberFormat="1" applyFont="1" applyBorder="1" applyAlignment="1">
      <alignment horizontal="center" vertical="center" wrapText="1"/>
    </xf>
    <xf numFmtId="2" fontId="13" fillId="0" borderId="17" xfId="0" applyNumberFormat="1" applyFont="1" applyBorder="1" applyAlignment="1">
      <alignment horizontal="center" vertical="center"/>
    </xf>
    <xf numFmtId="2" fontId="8" fillId="0" borderId="17" xfId="0" applyNumberFormat="1" applyFont="1" applyBorder="1" applyAlignment="1">
      <alignment vertical="center"/>
    </xf>
    <xf numFmtId="2" fontId="8" fillId="0" borderId="17" xfId="359" applyNumberFormat="1" applyFont="1" applyBorder="1" applyAlignment="1">
      <alignment horizontal="left" vertical="center"/>
    </xf>
    <xf numFmtId="1" fontId="104" fillId="0" borderId="17" xfId="158" applyNumberFormat="1" applyFont="1" applyFill="1" applyBorder="1" applyAlignment="1">
      <alignment horizontal="center" vertical="center" wrapText="1"/>
    </xf>
    <xf numFmtId="2" fontId="104" fillId="0" borderId="17" xfId="521" applyNumberFormat="1" applyFont="1" applyBorder="1" applyAlignment="1">
      <alignment horizontal="left" vertical="center" wrapText="1"/>
    </xf>
    <xf numFmtId="43" fontId="104" fillId="0" borderId="17" xfId="521" applyNumberFormat="1" applyFont="1" applyBorder="1" applyAlignment="1">
      <alignment horizontal="center" vertical="center" wrapText="1"/>
    </xf>
    <xf numFmtId="43" fontId="104" fillId="0" borderId="17" xfId="0" applyNumberFormat="1" applyFont="1" applyBorder="1" applyAlignment="1">
      <alignment horizontal="center" vertical="center" wrapText="1"/>
    </xf>
    <xf numFmtId="43" fontId="104" fillId="0" borderId="0" xfId="359" applyNumberFormat="1" applyFont="1"/>
    <xf numFmtId="1" fontId="8" fillId="0" borderId="25" xfId="0" applyNumberFormat="1" applyFont="1" applyBorder="1" applyAlignment="1">
      <alignment horizontal="center" vertical="center"/>
    </xf>
    <xf numFmtId="1" fontId="104" fillId="0" borderId="17" xfId="0" applyNumberFormat="1" applyFont="1" applyBorder="1" applyAlignment="1">
      <alignment horizontal="center" vertical="center" wrapText="1"/>
    </xf>
    <xf numFmtId="2" fontId="104" fillId="0" borderId="17" xfId="0" applyNumberFormat="1" applyFont="1" applyBorder="1" applyAlignment="1">
      <alignment horizontal="left" vertical="center" wrapText="1"/>
    </xf>
    <xf numFmtId="166" fontId="8" fillId="0" borderId="0" xfId="74" applyFont="1" applyFill="1" applyBorder="1" applyAlignment="1">
      <alignment horizontal="center" vertical="center" wrapText="1"/>
    </xf>
    <xf numFmtId="2" fontId="13" fillId="0" borderId="17" xfId="521" applyNumberFormat="1" applyFont="1" applyBorder="1" applyAlignment="1">
      <alignment horizontal="right" vertical="center" wrapText="1"/>
    </xf>
    <xf numFmtId="172" fontId="13" fillId="0" borderId="17" xfId="125" applyNumberFormat="1" applyFont="1" applyFill="1" applyBorder="1" applyAlignment="1" applyProtection="1">
      <alignment horizontal="center" vertical="center" wrapText="1"/>
    </xf>
    <xf numFmtId="172" fontId="8" fillId="0" borderId="17" xfId="158" applyNumberFormat="1" applyFont="1" applyFill="1" applyBorder="1" applyAlignment="1">
      <alignment horizontal="center" vertical="center" wrapText="1"/>
    </xf>
    <xf numFmtId="0" fontId="8" fillId="0" borderId="17" xfId="514" applyFont="1" applyBorder="1" applyAlignment="1">
      <alignment horizontal="center" vertical="center"/>
    </xf>
    <xf numFmtId="1" fontId="13" fillId="0" borderId="17" xfId="0" applyNumberFormat="1" applyFont="1" applyBorder="1" applyAlignment="1">
      <alignment horizontal="center" vertical="center"/>
    </xf>
    <xf numFmtId="2" fontId="15" fillId="0" borderId="17" xfId="521" applyNumberFormat="1" applyFont="1" applyBorder="1" applyAlignment="1">
      <alignment horizontal="left" vertical="center" wrapText="1"/>
    </xf>
    <xf numFmtId="43" fontId="15" fillId="0" borderId="17" xfId="0" applyNumberFormat="1" applyFont="1" applyBorder="1" applyAlignment="1">
      <alignment horizontal="center" vertical="center"/>
    </xf>
    <xf numFmtId="43" fontId="15" fillId="0" borderId="17" xfId="125" applyFont="1" applyFill="1" applyBorder="1" applyAlignment="1" applyProtection="1">
      <alignment horizontal="center" vertical="center" wrapText="1"/>
    </xf>
    <xf numFmtId="43" fontId="13" fillId="0" borderId="17" xfId="198" applyFont="1" applyFill="1" applyBorder="1" applyAlignment="1">
      <alignment horizontal="center" vertical="center"/>
    </xf>
    <xf numFmtId="2" fontId="8" fillId="0" borderId="17" xfId="158" applyNumberFormat="1" applyFont="1" applyFill="1" applyBorder="1" applyAlignment="1">
      <alignment horizontal="left" vertical="center" wrapText="1"/>
    </xf>
    <xf numFmtId="2" fontId="8" fillId="0" borderId="0" xfId="0" applyNumberFormat="1" applyFont="1" applyAlignment="1">
      <alignment horizontal="left" vertical="center"/>
    </xf>
    <xf numFmtId="43" fontId="31" fillId="0" borderId="17" xfId="0" applyNumberFormat="1" applyFont="1" applyBorder="1" applyAlignment="1">
      <alignment horizontal="center" vertical="center" wrapText="1"/>
    </xf>
    <xf numFmtId="43" fontId="14" fillId="0" borderId="17" xfId="521" applyNumberFormat="1" applyFont="1" applyBorder="1" applyAlignment="1">
      <alignment horizontal="center" vertical="center" wrapText="1"/>
    </xf>
    <xf numFmtId="0" fontId="31" fillId="0" borderId="17" xfId="336" applyFont="1" applyBorder="1" applyAlignment="1">
      <alignment horizontal="left" vertical="center" wrapText="1"/>
    </xf>
    <xf numFmtId="0" fontId="31" fillId="0" borderId="17" xfId="336" applyFont="1" applyBorder="1" applyAlignment="1">
      <alignment horizontal="center" vertical="center" wrapText="1"/>
    </xf>
    <xf numFmtId="1" fontId="117" fillId="0" borderId="17" xfId="164" applyNumberFormat="1" applyFont="1" applyFill="1" applyBorder="1" applyAlignment="1">
      <alignment horizontal="center" vertical="center" wrapText="1"/>
    </xf>
    <xf numFmtId="2" fontId="117" fillId="0" borderId="17" xfId="359" applyNumberFormat="1" applyFont="1" applyBorder="1" applyAlignment="1">
      <alignment horizontal="left" vertical="center" wrapText="1"/>
    </xf>
    <xf numFmtId="43" fontId="117" fillId="0" borderId="17" xfId="359" applyNumberFormat="1" applyFont="1" applyBorder="1" applyAlignment="1">
      <alignment horizontal="center" vertical="center" wrapText="1"/>
    </xf>
    <xf numFmtId="172" fontId="117" fillId="0" borderId="17" xfId="125" applyNumberFormat="1" applyFont="1" applyFill="1" applyBorder="1" applyAlignment="1" applyProtection="1">
      <alignment vertical="center" wrapText="1"/>
    </xf>
    <xf numFmtId="172" fontId="117" fillId="0" borderId="17" xfId="164" applyNumberFormat="1" applyFont="1" applyFill="1" applyBorder="1" applyAlignment="1" applyProtection="1">
      <alignment horizontal="right" vertical="center" wrapText="1"/>
    </xf>
    <xf numFmtId="43" fontId="117" fillId="0" borderId="17" xfId="0" applyNumberFormat="1" applyFont="1" applyBorder="1" applyAlignment="1">
      <alignment horizontal="center" vertical="center" wrapText="1"/>
    </xf>
    <xf numFmtId="1" fontId="117" fillId="0" borderId="17" xfId="0" applyNumberFormat="1" applyFont="1" applyBorder="1" applyAlignment="1">
      <alignment horizontal="center" vertical="center" wrapText="1"/>
    </xf>
    <xf numFmtId="1" fontId="117" fillId="0" borderId="0" xfId="0" applyNumberFormat="1" applyFont="1" applyAlignment="1">
      <alignment horizontal="center" vertical="center" wrapText="1"/>
    </xf>
    <xf numFmtId="43" fontId="117" fillId="0" borderId="0" xfId="0" applyNumberFormat="1" applyFont="1" applyAlignment="1">
      <alignment horizontal="center" vertical="center"/>
    </xf>
    <xf numFmtId="43" fontId="117" fillId="0" borderId="0" xfId="359" applyNumberFormat="1" applyFont="1"/>
    <xf numFmtId="170" fontId="117" fillId="0" borderId="0" xfId="0" applyNumberFormat="1" applyFont="1" applyAlignment="1">
      <alignment horizontal="center" vertical="center"/>
    </xf>
    <xf numFmtId="0" fontId="116" fillId="0" borderId="17" xfId="0" applyFont="1" applyBorder="1" applyAlignment="1">
      <alignment horizontal="left" vertical="center" wrapText="1"/>
    </xf>
    <xf numFmtId="0" fontId="116" fillId="0" borderId="17" xfId="0" applyFont="1" applyBorder="1" applyAlignment="1">
      <alignment horizontal="center" vertical="center" wrapText="1"/>
    </xf>
    <xf numFmtId="0" fontId="121" fillId="0" borderId="0" xfId="513" applyFont="1" applyAlignment="1">
      <alignment vertical="center" wrapText="1"/>
    </xf>
    <xf numFmtId="0" fontId="122" fillId="0" borderId="0" xfId="0" applyFont="1" applyAlignment="1">
      <alignment vertical="center" wrapText="1"/>
    </xf>
    <xf numFmtId="0" fontId="126" fillId="0" borderId="0" xfId="0" applyFont="1" applyAlignment="1">
      <alignment vertical="center" wrapText="1"/>
    </xf>
    <xf numFmtId="0" fontId="125" fillId="0" borderId="17" xfId="0" applyFont="1" applyBorder="1" applyAlignment="1">
      <alignment horizontal="center" vertical="center" wrapText="1"/>
    </xf>
    <xf numFmtId="0" fontId="127" fillId="0" borderId="17" xfId="0" applyFont="1" applyBorder="1" applyAlignment="1">
      <alignment horizontal="center" vertical="center" wrapText="1"/>
    </xf>
    <xf numFmtId="0" fontId="125" fillId="0" borderId="17" xfId="0" applyFont="1" applyBorder="1" applyAlignment="1">
      <alignment horizontal="left" vertical="center" wrapText="1"/>
    </xf>
    <xf numFmtId="0" fontId="120" fillId="0" borderId="0" xfId="0" applyFont="1" applyAlignment="1">
      <alignment vertical="center" wrapText="1"/>
    </xf>
    <xf numFmtId="167" fontId="125" fillId="0" borderId="17" xfId="389" applyNumberFormat="1" applyFont="1" applyBorder="1" applyAlignment="1">
      <alignment horizontal="center" vertical="center" wrapText="1"/>
    </xf>
    <xf numFmtId="0" fontId="128" fillId="0" borderId="0" xfId="0" applyFont="1" applyAlignment="1">
      <alignment vertical="center" wrapText="1"/>
    </xf>
    <xf numFmtId="0" fontId="127" fillId="0" borderId="0" xfId="0" applyFont="1" applyAlignment="1">
      <alignment vertical="center" wrapText="1"/>
    </xf>
    <xf numFmtId="43" fontId="128" fillId="0" borderId="0" xfId="68" applyFont="1" applyFill="1" applyAlignment="1">
      <alignment vertical="center" wrapText="1"/>
    </xf>
    <xf numFmtId="0" fontId="129" fillId="0" borderId="0" xfId="0" applyFont="1" applyAlignment="1">
      <alignment vertical="center" wrapText="1"/>
    </xf>
    <xf numFmtId="43" fontId="128" fillId="0" borderId="0" xfId="0" applyNumberFormat="1" applyFont="1" applyAlignment="1">
      <alignment vertical="center" wrapText="1"/>
    </xf>
    <xf numFmtId="0" fontId="120" fillId="0" borderId="17" xfId="0" applyFont="1" applyBorder="1" applyAlignment="1">
      <alignment horizontal="center" vertical="center" wrapText="1"/>
    </xf>
    <xf numFmtId="0" fontId="125" fillId="0" borderId="0" xfId="515" applyFont="1" applyAlignment="1">
      <alignment vertical="center"/>
    </xf>
    <xf numFmtId="0" fontId="128" fillId="0" borderId="26" xfId="0" applyFont="1" applyBorder="1" applyAlignment="1">
      <alignment vertical="center" wrapText="1"/>
    </xf>
    <xf numFmtId="0" fontId="122" fillId="0" borderId="0" xfId="0" applyFont="1" applyAlignment="1">
      <alignment horizontal="left" vertical="center" wrapText="1"/>
    </xf>
    <xf numFmtId="0" fontId="122" fillId="0" borderId="0" xfId="0" applyFont="1" applyAlignment="1">
      <alignment horizontal="right" vertical="center" wrapText="1"/>
    </xf>
    <xf numFmtId="0" fontId="122" fillId="29" borderId="0" xfId="0" applyFont="1" applyFill="1" applyAlignment="1">
      <alignment vertical="center" wrapText="1"/>
    </xf>
    <xf numFmtId="0" fontId="122" fillId="0" borderId="2" xfId="0" applyFont="1" applyBorder="1" applyAlignment="1">
      <alignment horizontal="center" vertical="center" wrapText="1"/>
    </xf>
    <xf numFmtId="0" fontId="120" fillId="0" borderId="0" xfId="0" applyFont="1" applyAlignment="1">
      <alignment horizontal="left" vertical="center" wrapText="1"/>
    </xf>
    <xf numFmtId="0" fontId="120" fillId="0" borderId="0" xfId="0" applyFont="1" applyAlignment="1">
      <alignment horizontal="right" vertical="center" wrapText="1"/>
    </xf>
    <xf numFmtId="0" fontId="120" fillId="29" borderId="0" xfId="0" applyFont="1" applyFill="1" applyAlignment="1">
      <alignment vertical="center" wrapText="1"/>
    </xf>
    <xf numFmtId="0" fontId="120" fillId="0" borderId="0" xfId="0" applyFont="1" applyAlignment="1">
      <alignment horizontal="center" vertical="center" wrapText="1"/>
    </xf>
    <xf numFmtId="0" fontId="120" fillId="28" borderId="0" xfId="0" applyFont="1" applyFill="1" applyAlignment="1">
      <alignment vertical="center" wrapText="1"/>
    </xf>
    <xf numFmtId="0" fontId="120" fillId="0" borderId="17" xfId="0" applyFont="1" applyBorder="1" applyAlignment="1">
      <alignment horizontal="left" vertical="center" wrapText="1"/>
    </xf>
    <xf numFmtId="43" fontId="120" fillId="0" borderId="17" xfId="68" applyFont="1" applyFill="1" applyBorder="1" applyAlignment="1">
      <alignment horizontal="center" vertical="center" wrapText="1"/>
    </xf>
    <xf numFmtId="43" fontId="120" fillId="0" borderId="17" xfId="0" applyNumberFormat="1" applyFont="1" applyBorder="1" applyAlignment="1">
      <alignment horizontal="right" vertical="center" wrapText="1"/>
    </xf>
    <xf numFmtId="166" fontId="120" fillId="0" borderId="17" xfId="0" applyNumberFormat="1" applyFont="1" applyBorder="1" applyAlignment="1">
      <alignment horizontal="right" vertical="center" wrapText="1"/>
    </xf>
    <xf numFmtId="166" fontId="120" fillId="0" borderId="0" xfId="0" applyNumberFormat="1" applyFont="1" applyAlignment="1">
      <alignment horizontal="center" vertical="center" wrapText="1"/>
    </xf>
    <xf numFmtId="166" fontId="128" fillId="0" borderId="0" xfId="0" applyNumberFormat="1" applyFont="1" applyAlignment="1">
      <alignment vertical="center" wrapText="1"/>
    </xf>
    <xf numFmtId="0" fontId="128" fillId="29" borderId="0" xfId="0" applyFont="1" applyFill="1" applyAlignment="1">
      <alignment vertical="center" wrapText="1"/>
    </xf>
    <xf numFmtId="0" fontId="128" fillId="0" borderId="17" xfId="0" applyFont="1" applyBorder="1" applyAlignment="1">
      <alignment horizontal="center" vertical="center" wrapText="1"/>
    </xf>
    <xf numFmtId="0" fontId="128" fillId="0" borderId="17" xfId="0" applyFont="1" applyBorder="1" applyAlignment="1">
      <alignment horizontal="left" vertical="center" wrapText="1"/>
    </xf>
    <xf numFmtId="43" fontId="128" fillId="0" borderId="17" xfId="68" applyFont="1" applyFill="1" applyBorder="1" applyAlignment="1">
      <alignment horizontal="center" vertical="center" wrapText="1"/>
    </xf>
    <xf numFmtId="43" fontId="128" fillId="0" borderId="17" xfId="0" applyNumberFormat="1" applyFont="1" applyBorder="1" applyAlignment="1">
      <alignment horizontal="right" vertical="center" wrapText="1"/>
    </xf>
    <xf numFmtId="166" fontId="128" fillId="0" borderId="17" xfId="0" applyNumberFormat="1" applyFont="1" applyBorder="1" applyAlignment="1">
      <alignment horizontal="right" vertical="center" wrapText="1"/>
    </xf>
    <xf numFmtId="43" fontId="128" fillId="29" borderId="0" xfId="68" applyFont="1" applyFill="1" applyAlignment="1">
      <alignment vertical="center" wrapText="1"/>
    </xf>
    <xf numFmtId="0" fontId="127" fillId="0" borderId="17" xfId="0" applyFont="1" applyBorder="1" applyAlignment="1">
      <alignment horizontal="left" vertical="center" wrapText="1"/>
    </xf>
    <xf numFmtId="43" fontId="127" fillId="0" borderId="17" xfId="68" applyFont="1" applyFill="1" applyBorder="1" applyAlignment="1">
      <alignment horizontal="center" vertical="center" wrapText="1"/>
    </xf>
    <xf numFmtId="2" fontId="128" fillId="0" borderId="17" xfId="0" applyNumberFormat="1" applyFont="1" applyBorder="1" applyAlignment="1">
      <alignment horizontal="right" vertical="center" wrapText="1"/>
    </xf>
    <xf numFmtId="4" fontId="128" fillId="0" borderId="17" xfId="0" applyNumberFormat="1" applyFont="1" applyBorder="1" applyAlignment="1">
      <alignment horizontal="right" vertical="center" wrapText="1"/>
    </xf>
    <xf numFmtId="0" fontId="128" fillId="0" borderId="0" xfId="0" applyFont="1" applyAlignment="1">
      <alignment horizontal="left" vertical="center" wrapText="1"/>
    </xf>
    <xf numFmtId="0" fontId="128" fillId="0" borderId="0" xfId="0" applyFont="1" applyAlignment="1">
      <alignment horizontal="right" vertical="center" wrapText="1"/>
    </xf>
    <xf numFmtId="4" fontId="120" fillId="0" borderId="21" xfId="108" applyNumberFormat="1" applyFont="1" applyFill="1" applyBorder="1" applyAlignment="1">
      <alignment horizontal="right" vertical="center" wrapText="1"/>
    </xf>
    <xf numFmtId="4" fontId="128" fillId="0" borderId="21" xfId="108" applyNumberFormat="1" applyFont="1" applyFill="1" applyBorder="1" applyAlignment="1">
      <alignment horizontal="right" vertical="center" wrapText="1"/>
    </xf>
    <xf numFmtId="4" fontId="128" fillId="0" borderId="21" xfId="68" applyNumberFormat="1" applyFont="1" applyFill="1" applyBorder="1" applyAlignment="1">
      <alignment horizontal="right" vertical="center" wrapText="1"/>
    </xf>
    <xf numFmtId="0" fontId="11" fillId="0" borderId="17" xfId="0" applyFont="1" applyBorder="1" applyAlignment="1">
      <alignment horizontal="center" vertical="center"/>
    </xf>
    <xf numFmtId="0" fontId="9" fillId="0" borderId="17" xfId="0" applyFont="1" applyBorder="1" applyAlignment="1">
      <alignment horizontal="center" vertical="center"/>
    </xf>
    <xf numFmtId="0" fontId="10" fillId="0" borderId="17" xfId="0" applyFont="1" applyBorder="1" applyAlignment="1">
      <alignment horizontal="center" vertical="center"/>
    </xf>
    <xf numFmtId="0" fontId="116" fillId="0" borderId="17" xfId="0" applyFont="1" applyBorder="1" applyAlignment="1">
      <alignment vertical="center" wrapText="1"/>
    </xf>
    <xf numFmtId="0" fontId="116" fillId="31" borderId="17" xfId="0" applyFont="1" applyFill="1" applyBorder="1" applyAlignment="1">
      <alignment horizontal="left" vertical="center" wrapText="1"/>
    </xf>
    <xf numFmtId="4" fontId="120" fillId="0" borderId="0" xfId="524" applyNumberFormat="1" applyFont="1" applyAlignment="1">
      <alignment vertical="center"/>
    </xf>
    <xf numFmtId="167" fontId="128" fillId="0" borderId="17" xfId="409" applyNumberFormat="1" applyFont="1" applyBorder="1" applyAlignment="1">
      <alignment horizontal="center" vertical="center" wrapText="1"/>
    </xf>
    <xf numFmtId="167" fontId="128" fillId="0" borderId="17" xfId="409" quotePrefix="1" applyNumberFormat="1" applyFont="1" applyBorder="1" applyAlignment="1">
      <alignment horizontal="center" vertical="center" wrapText="1"/>
    </xf>
    <xf numFmtId="0" fontId="10" fillId="0" borderId="17" xfId="0" applyFont="1" applyBorder="1" applyAlignment="1">
      <alignment vertical="center" wrapText="1"/>
    </xf>
    <xf numFmtId="0" fontId="9" fillId="0" borderId="17" xfId="0" applyFont="1" applyBorder="1" applyAlignment="1">
      <alignment vertical="center" wrapText="1"/>
    </xf>
    <xf numFmtId="0" fontId="116" fillId="31" borderId="17" xfId="0" applyFont="1" applyFill="1" applyBorder="1" applyAlignment="1">
      <alignment horizontal="center" vertical="center" wrapText="1"/>
    </xf>
    <xf numFmtId="0" fontId="11" fillId="0" borderId="17" xfId="0" applyFont="1" applyBorder="1" applyAlignment="1">
      <alignment horizontal="center" vertical="center" wrapText="1"/>
    </xf>
    <xf numFmtId="4" fontId="133" fillId="0" borderId="0" xfId="409" applyNumberFormat="1" applyFont="1" applyAlignment="1">
      <alignment horizontal="center" vertical="center" wrapText="1"/>
    </xf>
    <xf numFmtId="4" fontId="133" fillId="0" borderId="0" xfId="409" applyNumberFormat="1" applyFont="1" applyAlignment="1">
      <alignment vertical="center" wrapText="1"/>
    </xf>
    <xf numFmtId="4" fontId="133" fillId="0" borderId="0" xfId="524" applyNumberFormat="1" applyFont="1" applyAlignment="1">
      <alignment vertical="center"/>
    </xf>
    <xf numFmtId="4" fontId="134" fillId="0" borderId="0" xfId="524" applyNumberFormat="1" applyFont="1" applyAlignment="1">
      <alignment vertical="center"/>
    </xf>
    <xf numFmtId="37" fontId="108" fillId="28" borderId="17" xfId="331" applyNumberFormat="1" applyFont="1" applyFill="1" applyBorder="1" applyAlignment="1">
      <alignment horizontal="center" vertical="center" wrapText="1"/>
    </xf>
    <xf numFmtId="0" fontId="8" fillId="0" borderId="17" xfId="343" applyFont="1" applyBorder="1" applyAlignment="1">
      <alignment horizontal="center" vertical="center" wrapText="1"/>
    </xf>
    <xf numFmtId="4" fontId="133" fillId="0" borderId="0" xfId="524" applyNumberFormat="1" applyFont="1" applyAlignment="1">
      <alignment vertical="center" wrapText="1"/>
    </xf>
    <xf numFmtId="4" fontId="120" fillId="0" borderId="17" xfId="409" quotePrefix="1" applyNumberFormat="1" applyFont="1" applyBorder="1" applyAlignment="1">
      <alignment horizontal="center" vertical="center" wrapText="1"/>
    </xf>
    <xf numFmtId="4" fontId="120" fillId="0" borderId="17" xfId="409" applyNumberFormat="1" applyFont="1" applyBorder="1" applyAlignment="1">
      <alignment horizontal="center" vertical="center" wrapText="1"/>
    </xf>
    <xf numFmtId="4" fontId="133" fillId="0" borderId="17" xfId="158" applyNumberFormat="1" applyFont="1" applyFill="1" applyBorder="1" applyAlignment="1">
      <alignment horizontal="right" vertical="center" wrapText="1"/>
    </xf>
    <xf numFmtId="172" fontId="133" fillId="0" borderId="17" xfId="158" applyNumberFormat="1" applyFont="1" applyFill="1" applyBorder="1" applyAlignment="1">
      <alignment horizontal="right" vertical="center" wrapText="1"/>
    </xf>
    <xf numFmtId="224" fontId="120" fillId="0" borderId="0" xfId="524" applyNumberFormat="1" applyFont="1" applyAlignment="1">
      <alignment vertical="center"/>
    </xf>
    <xf numFmtId="3" fontId="133" fillId="0" borderId="17" xfId="409" quotePrefix="1" applyNumberFormat="1" applyFont="1" applyBorder="1" applyAlignment="1">
      <alignment horizontal="center" vertical="center" wrapText="1"/>
    </xf>
    <xf numFmtId="4" fontId="133" fillId="0" borderId="17" xfId="409" applyNumberFormat="1" applyFont="1" applyBorder="1" applyAlignment="1">
      <alignment horizontal="left" vertical="center" wrapText="1"/>
    </xf>
    <xf numFmtId="4" fontId="133" fillId="0" borderId="17" xfId="409" quotePrefix="1" applyNumberFormat="1" applyFont="1" applyBorder="1" applyAlignment="1">
      <alignment horizontal="center" vertical="center" wrapText="1"/>
    </xf>
    <xf numFmtId="4" fontId="133" fillId="0" borderId="17" xfId="158" quotePrefix="1" applyNumberFormat="1" applyFont="1" applyFill="1" applyBorder="1" applyAlignment="1">
      <alignment horizontal="right" vertical="center" wrapText="1"/>
    </xf>
    <xf numFmtId="172" fontId="133" fillId="0" borderId="17" xfId="158" quotePrefix="1" applyNumberFormat="1" applyFont="1" applyFill="1" applyBorder="1" applyAlignment="1">
      <alignment horizontal="right" vertical="center" wrapText="1"/>
    </xf>
    <xf numFmtId="4" fontId="134" fillId="0" borderId="17" xfId="409" applyNumberFormat="1" applyFont="1" applyBorder="1" applyAlignment="1">
      <alignment horizontal="left" vertical="center" wrapText="1"/>
    </xf>
    <xf numFmtId="4" fontId="134" fillId="0" borderId="17" xfId="409" applyNumberFormat="1" applyFont="1" applyBorder="1" applyAlignment="1">
      <alignment horizontal="center" vertical="center" wrapText="1"/>
    </xf>
    <xf numFmtId="4" fontId="8" fillId="0" borderId="17" xfId="158" applyNumberFormat="1" applyFont="1" applyFill="1" applyBorder="1" applyAlignment="1">
      <alignment horizontal="right" vertical="center" wrapText="1"/>
    </xf>
    <xf numFmtId="4" fontId="134" fillId="0" borderId="17" xfId="158" applyNumberFormat="1" applyFont="1" applyFill="1" applyBorder="1" applyAlignment="1">
      <alignment horizontal="right" vertical="center" wrapText="1"/>
    </xf>
    <xf numFmtId="172" fontId="134" fillId="0" borderId="17" xfId="158" applyNumberFormat="1" applyFont="1" applyFill="1" applyBorder="1" applyAlignment="1">
      <alignment horizontal="right" vertical="center" wrapText="1"/>
    </xf>
    <xf numFmtId="224" fontId="134" fillId="0" borderId="0" xfId="524" applyNumberFormat="1" applyFont="1" applyAlignment="1">
      <alignment vertical="center"/>
    </xf>
    <xf numFmtId="4" fontId="123" fillId="0" borderId="17" xfId="409" applyNumberFormat="1" applyFont="1" applyBorder="1" applyAlignment="1">
      <alignment horizontal="left" vertical="center" wrapText="1"/>
    </xf>
    <xf numFmtId="4" fontId="123" fillId="0" borderId="17" xfId="409" applyNumberFormat="1" applyFont="1" applyBorder="1" applyAlignment="1">
      <alignment horizontal="center" vertical="center" wrapText="1"/>
    </xf>
    <xf numFmtId="4" fontId="15" fillId="0" borderId="17" xfId="158" applyNumberFormat="1" applyFont="1" applyFill="1" applyBorder="1" applyAlignment="1">
      <alignment horizontal="right" vertical="center" wrapText="1"/>
    </xf>
    <xf numFmtId="172" fontId="123" fillId="0" borderId="17" xfId="158" applyNumberFormat="1" applyFont="1" applyFill="1" applyBorder="1" applyAlignment="1">
      <alignment horizontal="right" vertical="center" wrapText="1"/>
    </xf>
    <xf numFmtId="4" fontId="123" fillId="0" borderId="0" xfId="524" applyNumberFormat="1" applyFont="1" applyAlignment="1">
      <alignment vertical="center"/>
    </xf>
    <xf numFmtId="4" fontId="123" fillId="0" borderId="17" xfId="158" applyNumberFormat="1" applyFont="1" applyFill="1" applyBorder="1" applyAlignment="1">
      <alignment horizontal="right" vertical="center" wrapText="1"/>
    </xf>
    <xf numFmtId="3" fontId="133" fillId="0" borderId="17" xfId="409" applyNumberFormat="1" applyFont="1" applyBorder="1" applyAlignment="1">
      <alignment horizontal="center" vertical="center" wrapText="1"/>
    </xf>
    <xf numFmtId="4" fontId="133" fillId="0" borderId="17" xfId="409" applyNumberFormat="1" applyFont="1" applyBorder="1" applyAlignment="1">
      <alignment horizontal="center" vertical="center" wrapText="1"/>
    </xf>
    <xf numFmtId="225" fontId="134" fillId="0" borderId="0" xfId="524" applyNumberFormat="1" applyFont="1" applyAlignment="1">
      <alignment vertical="center"/>
    </xf>
    <xf numFmtId="4" fontId="134" fillId="0" borderId="0" xfId="524" applyNumberFormat="1" applyFont="1" applyAlignment="1">
      <alignment vertical="center" wrapText="1"/>
    </xf>
    <xf numFmtId="4" fontId="134" fillId="0" borderId="0" xfId="524" applyNumberFormat="1" applyFont="1" applyAlignment="1">
      <alignment horizontal="center" vertical="center"/>
    </xf>
    <xf numFmtId="0" fontId="110" fillId="0" borderId="0" xfId="343"/>
    <xf numFmtId="172" fontId="110" fillId="0" borderId="0" xfId="343" applyNumberFormat="1"/>
    <xf numFmtId="226" fontId="110" fillId="0" borderId="0" xfId="343" applyNumberFormat="1"/>
    <xf numFmtId="227" fontId="110" fillId="0" borderId="0" xfId="343" applyNumberFormat="1"/>
    <xf numFmtId="4" fontId="110" fillId="0" borderId="0" xfId="343" applyNumberFormat="1"/>
    <xf numFmtId="0" fontId="110" fillId="0" borderId="0" xfId="343" applyAlignment="1">
      <alignment wrapText="1"/>
    </xf>
    <xf numFmtId="0" fontId="13" fillId="0" borderId="0" xfId="455" applyFont="1" applyAlignment="1">
      <alignment horizontal="left" vertical="center"/>
    </xf>
    <xf numFmtId="0" fontId="13" fillId="0" borderId="0" xfId="455" applyFont="1" applyAlignment="1">
      <alignment horizontal="center" vertical="center" wrapText="1"/>
    </xf>
    <xf numFmtId="0" fontId="13" fillId="0" borderId="0" xfId="455" applyFont="1" applyAlignment="1">
      <alignment vertical="center" wrapText="1"/>
    </xf>
    <xf numFmtId="0" fontId="13" fillId="0" borderId="17" xfId="455" applyFont="1" applyBorder="1" applyAlignment="1">
      <alignment horizontal="center" vertical="center" wrapText="1"/>
    </xf>
    <xf numFmtId="0" fontId="15" fillId="0" borderId="0" xfId="455" applyFont="1" applyAlignment="1">
      <alignment vertical="center" wrapText="1"/>
    </xf>
    <xf numFmtId="167" fontId="8" fillId="0" borderId="24" xfId="363" applyNumberFormat="1" applyFont="1" applyBorder="1" applyAlignment="1">
      <alignment horizontal="center" vertical="center" wrapText="1"/>
    </xf>
    <xf numFmtId="3" fontId="8" fillId="0" borderId="24" xfId="363" applyNumberFormat="1" applyFont="1" applyBorder="1" applyAlignment="1">
      <alignment horizontal="center" vertical="center" wrapText="1"/>
    </xf>
    <xf numFmtId="4" fontId="8" fillId="0" borderId="24" xfId="363" applyNumberFormat="1" applyFont="1" applyBorder="1" applyAlignment="1">
      <alignment horizontal="center" vertical="center" wrapText="1"/>
    </xf>
    <xf numFmtId="0" fontId="8" fillId="0" borderId="0" xfId="409" applyFont="1" applyAlignment="1">
      <alignment horizontal="center" vertical="center" wrapText="1"/>
    </xf>
    <xf numFmtId="0" fontId="8" fillId="0" borderId="17" xfId="409" quotePrefix="1" applyFont="1" applyBorder="1" applyAlignment="1">
      <alignment horizontal="center" vertical="center" wrapText="1"/>
    </xf>
    <xf numFmtId="0" fontId="13" fillId="0" borderId="17" xfId="455" applyFont="1" applyBorder="1" applyAlignment="1">
      <alignment horizontal="left" vertical="center" wrapText="1"/>
    </xf>
    <xf numFmtId="4" fontId="135" fillId="0" borderId="17" xfId="455" applyNumberFormat="1" applyFont="1" applyBorder="1" applyAlignment="1">
      <alignment vertical="center" wrapText="1"/>
    </xf>
    <xf numFmtId="4" fontId="13" fillId="0" borderId="17" xfId="455" applyNumberFormat="1" applyFont="1" applyBorder="1" applyAlignment="1">
      <alignment vertical="center" wrapText="1"/>
    </xf>
    <xf numFmtId="228" fontId="13" fillId="0" borderId="17" xfId="455" applyNumberFormat="1" applyFont="1" applyBorder="1" applyAlignment="1">
      <alignment vertical="center" wrapText="1"/>
    </xf>
    <xf numFmtId="4" fontId="13" fillId="0" borderId="0" xfId="455" applyNumberFormat="1" applyFont="1" applyAlignment="1">
      <alignment vertical="center" wrapText="1"/>
    </xf>
    <xf numFmtId="172" fontId="13" fillId="0" borderId="0" xfId="455" applyNumberFormat="1" applyFont="1" applyAlignment="1">
      <alignment vertical="center" wrapText="1"/>
    </xf>
    <xf numFmtId="0" fontId="8" fillId="0" borderId="0" xfId="455" applyFont="1" applyAlignment="1">
      <alignment vertical="center" wrapText="1"/>
    </xf>
    <xf numFmtId="0" fontId="8" fillId="0" borderId="17" xfId="455" applyFont="1" applyBorder="1" applyAlignment="1">
      <alignment horizontal="left" vertical="center" wrapText="1"/>
    </xf>
    <xf numFmtId="4" fontId="8" fillId="0" borderId="0" xfId="455" applyNumberFormat="1" applyFont="1" applyAlignment="1">
      <alignment vertical="center" wrapText="1"/>
    </xf>
    <xf numFmtId="0" fontId="8" fillId="0" borderId="17" xfId="455" applyFont="1" applyBorder="1" applyAlignment="1">
      <alignment horizontal="center" vertical="center" wrapText="1"/>
    </xf>
    <xf numFmtId="172" fontId="135" fillId="0" borderId="17" xfId="524" applyNumberFormat="1" applyFont="1" applyBorder="1" applyAlignment="1">
      <alignment horizontal="right" vertical="center" wrapText="1"/>
    </xf>
    <xf numFmtId="4" fontId="8" fillId="0" borderId="17" xfId="455" applyNumberFormat="1" applyFont="1" applyBorder="1" applyAlignment="1">
      <alignment vertical="center" wrapText="1"/>
    </xf>
    <xf numFmtId="172" fontId="8" fillId="0" borderId="0" xfId="455" applyNumberFormat="1" applyFont="1" applyAlignment="1">
      <alignment vertical="center" wrapText="1"/>
    </xf>
    <xf numFmtId="0" fontId="15" fillId="0" borderId="17" xfId="455" applyFont="1" applyBorder="1" applyAlignment="1">
      <alignment horizontal="center" vertical="center" wrapText="1"/>
    </xf>
    <xf numFmtId="0" fontId="15" fillId="0" borderId="17" xfId="455" applyFont="1" applyBorder="1" applyAlignment="1">
      <alignment horizontal="left" vertical="center" wrapText="1"/>
    </xf>
    <xf numFmtId="172" fontId="136" fillId="0" borderId="17" xfId="524" applyNumberFormat="1" applyFont="1" applyBorder="1" applyAlignment="1">
      <alignment horizontal="right" vertical="center" wrapText="1"/>
    </xf>
    <xf numFmtId="4" fontId="15" fillId="0" borderId="17" xfId="455" applyNumberFormat="1" applyFont="1" applyBorder="1" applyAlignment="1">
      <alignment vertical="center" wrapText="1"/>
    </xf>
    <xf numFmtId="172" fontId="15" fillId="0" borderId="0" xfId="455" applyNumberFormat="1" applyFont="1" applyAlignment="1">
      <alignment vertical="center" wrapText="1"/>
    </xf>
    <xf numFmtId="4" fontId="15" fillId="0" borderId="0" xfId="455" applyNumberFormat="1" applyFont="1" applyAlignment="1">
      <alignment vertical="center" wrapText="1"/>
    </xf>
    <xf numFmtId="43" fontId="117" fillId="0" borderId="17" xfId="343" applyNumberFormat="1" applyFont="1" applyBorder="1" applyAlignment="1">
      <alignment horizontal="center" vertical="center" wrapText="1"/>
    </xf>
    <xf numFmtId="172" fontId="117" fillId="0" borderId="17" xfId="524" applyNumberFormat="1" applyFont="1" applyBorder="1" applyAlignment="1">
      <alignment horizontal="right" vertical="center" wrapText="1"/>
    </xf>
    <xf numFmtId="4" fontId="15" fillId="0" borderId="17" xfId="409" applyNumberFormat="1" applyFont="1" applyBorder="1" applyAlignment="1">
      <alignment horizontal="left" vertical="center" wrapText="1"/>
    </xf>
    <xf numFmtId="43" fontId="137" fillId="0" borderId="17" xfId="343" applyNumberFormat="1" applyFont="1" applyBorder="1" applyAlignment="1">
      <alignment horizontal="center" vertical="center" wrapText="1"/>
    </xf>
    <xf numFmtId="43" fontId="13" fillId="28" borderId="17" xfId="343" applyNumberFormat="1" applyFont="1" applyFill="1" applyBorder="1" applyAlignment="1">
      <alignment horizontal="center" vertical="center" wrapText="1"/>
    </xf>
    <xf numFmtId="170" fontId="117" fillId="0" borderId="17" xfId="343" applyNumberFormat="1" applyFont="1" applyBorder="1" applyAlignment="1">
      <alignment horizontal="center" vertical="center"/>
    </xf>
    <xf numFmtId="172" fontId="117" fillId="0" borderId="17" xfId="524" applyNumberFormat="1" applyFont="1" applyBorder="1" applyAlignment="1">
      <alignment vertical="center" wrapText="1"/>
    </xf>
    <xf numFmtId="172" fontId="117" fillId="0" borderId="17" xfId="343" applyNumberFormat="1" applyFont="1" applyBorder="1" applyAlignment="1">
      <alignment vertical="center" wrapText="1"/>
    </xf>
    <xf numFmtId="172" fontId="117" fillId="0" borderId="17" xfId="343" applyNumberFormat="1" applyFont="1" applyBorder="1" applyAlignment="1">
      <alignment vertical="center"/>
    </xf>
    <xf numFmtId="0" fontId="8" fillId="0" borderId="17" xfId="409" applyFont="1" applyBorder="1" applyAlignment="1">
      <alignment horizontal="left" vertical="center" wrapText="1"/>
    </xf>
    <xf numFmtId="4" fontId="117" fillId="0" borderId="17" xfId="455" applyNumberFormat="1" applyFont="1" applyBorder="1" applyAlignment="1">
      <alignment vertical="center" wrapText="1"/>
    </xf>
    <xf numFmtId="4" fontId="8" fillId="0" borderId="17" xfId="409" applyNumberFormat="1" applyFont="1" applyBorder="1" applyAlignment="1">
      <alignment horizontal="left" vertical="center" wrapText="1"/>
    </xf>
    <xf numFmtId="170" fontId="137" fillId="0" borderId="17" xfId="343" applyNumberFormat="1" applyFont="1" applyBorder="1" applyAlignment="1">
      <alignment horizontal="center" vertical="center"/>
    </xf>
    <xf numFmtId="4" fontId="8" fillId="0" borderId="17" xfId="409" applyNumberFormat="1" applyFont="1" applyBorder="1" applyAlignment="1">
      <alignment horizontal="center" vertical="center" wrapText="1"/>
    </xf>
    <xf numFmtId="0" fontId="8" fillId="0" borderId="17" xfId="455" applyFont="1" applyBorder="1" applyAlignment="1">
      <alignment vertical="center" wrapText="1"/>
    </xf>
    <xf numFmtId="43" fontId="135" fillId="0" borderId="17" xfId="343" applyNumberFormat="1" applyFont="1" applyBorder="1" applyAlignment="1">
      <alignment horizontal="center" vertical="center" wrapText="1"/>
    </xf>
    <xf numFmtId="0" fontId="8" fillId="0" borderId="0" xfId="343" applyFont="1"/>
    <xf numFmtId="0" fontId="11" fillId="0" borderId="17" xfId="0" applyFont="1" applyBorder="1" applyAlignment="1">
      <alignment vertical="center"/>
    </xf>
    <xf numFmtId="4" fontId="11" fillId="0" borderId="17" xfId="0" applyNumberFormat="1" applyFont="1" applyBorder="1" applyAlignment="1">
      <alignment horizontal="right" vertical="center"/>
    </xf>
    <xf numFmtId="0" fontId="11" fillId="0" borderId="17" xfId="0" applyFont="1" applyBorder="1" applyAlignment="1">
      <alignment horizontal="right" vertical="center"/>
    </xf>
    <xf numFmtId="0" fontId="11" fillId="0" borderId="17" xfId="0" applyFont="1" applyBorder="1" applyAlignment="1">
      <alignment vertical="center" wrapText="1"/>
    </xf>
    <xf numFmtId="0" fontId="9" fillId="0" borderId="17" xfId="0" applyFont="1" applyBorder="1" applyAlignment="1">
      <alignment horizontal="center" vertical="center" wrapText="1"/>
    </xf>
    <xf numFmtId="4" fontId="10" fillId="0" borderId="17" xfId="0" applyNumberFormat="1" applyFont="1" applyBorder="1" applyAlignment="1">
      <alignment horizontal="right" vertical="center" wrapText="1"/>
    </xf>
    <xf numFmtId="4" fontId="10" fillId="0" borderId="17" xfId="0" applyNumberFormat="1" applyFont="1" applyBorder="1" applyAlignment="1">
      <alignment horizontal="right" vertical="center"/>
    </xf>
    <xf numFmtId="0" fontId="10" fillId="0" borderId="17" xfId="0" applyFont="1" applyBorder="1" applyAlignment="1">
      <alignment horizontal="right" vertical="center"/>
    </xf>
    <xf numFmtId="4" fontId="9" fillId="0" borderId="17" xfId="0" applyNumberFormat="1" applyFont="1" applyBorder="1" applyAlignment="1">
      <alignment horizontal="right" vertical="center" wrapText="1"/>
    </xf>
    <xf numFmtId="4" fontId="9" fillId="0" borderId="17" xfId="0" applyNumberFormat="1" applyFont="1" applyBorder="1" applyAlignment="1">
      <alignment horizontal="right" vertical="center"/>
    </xf>
    <xf numFmtId="0" fontId="10" fillId="0" borderId="17" xfId="0" applyFont="1" applyBorder="1" applyAlignment="1">
      <alignment horizontal="right" vertical="center" wrapText="1"/>
    </xf>
    <xf numFmtId="0" fontId="10" fillId="0" borderId="17" xfId="0" applyFont="1" applyBorder="1" applyAlignment="1">
      <alignment vertical="center"/>
    </xf>
    <xf numFmtId="4" fontId="11" fillId="0" borderId="17" xfId="0" applyNumberFormat="1" applyFont="1" applyBorder="1" applyAlignment="1">
      <alignment horizontal="right" vertical="center" wrapText="1"/>
    </xf>
    <xf numFmtId="0" fontId="7" fillId="0" borderId="17" xfId="0" applyFont="1" applyBorder="1" applyAlignment="1">
      <alignment vertical="center"/>
    </xf>
    <xf numFmtId="0" fontId="7" fillId="0" borderId="17" xfId="0" applyFont="1" applyBorder="1" applyAlignment="1">
      <alignment vertical="center" wrapText="1"/>
    </xf>
    <xf numFmtId="4" fontId="11" fillId="0" borderId="0" xfId="0" applyNumberFormat="1" applyFont="1"/>
    <xf numFmtId="0" fontId="104" fillId="0" borderId="17" xfId="455" applyFont="1" applyBorder="1" applyAlignment="1">
      <alignment horizontal="center" vertical="center" wrapText="1"/>
    </xf>
    <xf numFmtId="172" fontId="104" fillId="0" borderId="0" xfId="455" applyNumberFormat="1" applyFont="1" applyAlignment="1">
      <alignment vertical="center" wrapText="1"/>
    </xf>
    <xf numFmtId="0" fontId="138" fillId="0" borderId="0" xfId="343" applyFont="1"/>
    <xf numFmtId="1" fontId="138" fillId="0" borderId="0" xfId="343" applyNumberFormat="1" applyFont="1"/>
    <xf numFmtId="0" fontId="139" fillId="0" borderId="0" xfId="343" applyFont="1"/>
    <xf numFmtId="229" fontId="138" fillId="0" borderId="0" xfId="343" applyNumberFormat="1" applyFont="1"/>
    <xf numFmtId="0" fontId="8" fillId="0" borderId="0" xfId="603" applyFont="1" applyAlignment="1">
      <alignment horizontal="justify" vertical="center" wrapText="1"/>
    </xf>
    <xf numFmtId="1" fontId="8" fillId="0" borderId="0" xfId="603" applyNumberFormat="1" applyFont="1" applyAlignment="1">
      <alignment horizontal="justify" vertical="center" wrapText="1"/>
    </xf>
    <xf numFmtId="0" fontId="8" fillId="0" borderId="0" xfId="603" applyFont="1" applyAlignment="1">
      <alignment horizontal="center" vertical="center" wrapText="1"/>
    </xf>
    <xf numFmtId="168" fontId="8" fillId="0" borderId="0" xfId="603" applyNumberFormat="1" applyFont="1" applyAlignment="1">
      <alignment horizontal="center" vertical="center" wrapText="1"/>
    </xf>
    <xf numFmtId="4" fontId="8" fillId="0" borderId="0" xfId="603" applyNumberFormat="1" applyFont="1" applyAlignment="1">
      <alignment horizontal="right" vertical="center" wrapText="1"/>
    </xf>
    <xf numFmtId="0" fontId="8" fillId="0" borderId="0" xfId="603" applyFont="1" applyAlignment="1">
      <alignment horizontal="right" vertical="center" wrapText="1"/>
    </xf>
    <xf numFmtId="0" fontId="117" fillId="0" borderId="0" xfId="603" applyFont="1" applyAlignment="1">
      <alignment horizontal="justify" vertical="center" wrapText="1"/>
    </xf>
    <xf numFmtId="0" fontId="13" fillId="0" borderId="0" xfId="603" applyFont="1" applyAlignment="1">
      <alignment horizontal="center" vertical="center" wrapText="1"/>
    </xf>
    <xf numFmtId="0" fontId="13" fillId="0" borderId="0" xfId="603" applyFont="1" applyAlignment="1">
      <alignment horizontal="center" vertical="center"/>
    </xf>
    <xf numFmtId="1" fontId="13" fillId="0" borderId="0" xfId="603" applyNumberFormat="1" applyFont="1" applyAlignment="1">
      <alignment horizontal="center" vertical="center"/>
    </xf>
    <xf numFmtId="0" fontId="15" fillId="0" borderId="0" xfId="603" applyFont="1" applyAlignment="1">
      <alignment horizontal="right" vertical="center"/>
    </xf>
    <xf numFmtId="0" fontId="13" fillId="0" borderId="17" xfId="515" applyFont="1" applyBorder="1" applyAlignment="1">
      <alignment horizontal="center" vertical="center" wrapText="1"/>
    </xf>
    <xf numFmtId="0" fontId="13" fillId="0" borderId="17" xfId="603" applyFont="1" applyBorder="1" applyAlignment="1">
      <alignment vertical="center" wrapText="1"/>
    </xf>
    <xf numFmtId="0" fontId="13" fillId="0" borderId="17" xfId="603" applyFont="1" applyBorder="1" applyAlignment="1">
      <alignment horizontal="center" vertical="center" wrapText="1"/>
    </xf>
    <xf numFmtId="0" fontId="13" fillId="0" borderId="8" xfId="603" applyFont="1" applyBorder="1" applyAlignment="1">
      <alignment horizontal="center" vertical="center" wrapText="1"/>
    </xf>
    <xf numFmtId="4" fontId="8" fillId="0" borderId="17" xfId="515" applyNumberFormat="1" applyFont="1" applyBorder="1" applyAlignment="1">
      <alignment horizontal="center" vertical="center" wrapText="1"/>
    </xf>
    <xf numFmtId="167" fontId="7" fillId="0" borderId="17" xfId="603" applyNumberFormat="1" applyFont="1" applyBorder="1" applyAlignment="1">
      <alignment horizontal="center" vertical="center" wrapText="1"/>
    </xf>
    <xf numFmtId="167" fontId="7" fillId="0" borderId="17" xfId="603" applyNumberFormat="1" applyFont="1" applyBorder="1" applyAlignment="1">
      <alignment horizontal="center" vertical="center"/>
    </xf>
    <xf numFmtId="1" fontId="7" fillId="0" borderId="17" xfId="603" applyNumberFormat="1" applyFont="1" applyBorder="1" applyAlignment="1">
      <alignment horizontal="center" vertical="center" wrapText="1"/>
    </xf>
    <xf numFmtId="167" fontId="7" fillId="0" borderId="0" xfId="603" applyNumberFormat="1" applyFont="1" applyAlignment="1">
      <alignment horizontal="center" vertical="center"/>
    </xf>
    <xf numFmtId="167" fontId="131" fillId="0" borderId="17" xfId="603" applyNumberFormat="1" applyFont="1" applyBorder="1" applyAlignment="1">
      <alignment horizontal="center" vertical="center" wrapText="1"/>
    </xf>
    <xf numFmtId="167" fontId="13" fillId="0" borderId="17" xfId="603" applyNumberFormat="1" applyFont="1" applyBorder="1" applyAlignment="1">
      <alignment horizontal="center" vertical="center" wrapText="1"/>
    </xf>
    <xf numFmtId="228" fontId="118" fillId="0" borderId="17" xfId="158" applyNumberFormat="1" applyFont="1" applyFill="1" applyBorder="1" applyAlignment="1">
      <alignment horizontal="right" vertical="center" wrapText="1"/>
    </xf>
    <xf numFmtId="228" fontId="7" fillId="0" borderId="17" xfId="603" applyNumberFormat="1" applyFont="1" applyBorder="1" applyAlignment="1">
      <alignment horizontal="center" vertical="center" wrapText="1"/>
    </xf>
    <xf numFmtId="4" fontId="13" fillId="0" borderId="17" xfId="603" applyNumberFormat="1" applyFont="1" applyBorder="1" applyAlignment="1">
      <alignment vertical="center" wrapText="1"/>
    </xf>
    <xf numFmtId="229" fontId="13" fillId="0" borderId="17" xfId="368" applyNumberFormat="1" applyFont="1" applyBorder="1" applyAlignment="1">
      <alignment horizontal="right" vertical="center" wrapText="1"/>
    </xf>
    <xf numFmtId="229" fontId="13" fillId="0" borderId="0" xfId="368" applyNumberFormat="1" applyFont="1" applyAlignment="1">
      <alignment horizontal="right" vertical="center" wrapText="1"/>
    </xf>
    <xf numFmtId="4" fontId="7" fillId="0" borderId="0" xfId="603" applyNumberFormat="1" applyFont="1" applyAlignment="1">
      <alignment horizontal="right" vertical="center" wrapText="1"/>
    </xf>
    <xf numFmtId="0" fontId="7" fillId="0" borderId="0" xfId="603" applyFont="1" applyAlignment="1">
      <alignment horizontal="right" vertical="center" wrapText="1"/>
    </xf>
    <xf numFmtId="0" fontId="7" fillId="0" borderId="0" xfId="603" applyFont="1" applyAlignment="1">
      <alignment horizontal="justify" vertical="center" wrapText="1"/>
    </xf>
    <xf numFmtId="4" fontId="13" fillId="0" borderId="17" xfId="603" applyNumberFormat="1" applyFont="1" applyBorder="1" applyAlignment="1">
      <alignment horizontal="right" vertical="center" wrapText="1"/>
    </xf>
    <xf numFmtId="228" fontId="135" fillId="0" borderId="17" xfId="603" applyNumberFormat="1" applyFont="1" applyBorder="1" applyAlignment="1">
      <alignment vertical="center" wrapText="1"/>
    </xf>
    <xf numFmtId="228" fontId="13" fillId="0" borderId="17" xfId="603" applyNumberFormat="1" applyFont="1" applyBorder="1" applyAlignment="1">
      <alignment vertical="center" wrapText="1"/>
    </xf>
    <xf numFmtId="2" fontId="13" fillId="0" borderId="17" xfId="603" applyNumberFormat="1" applyFont="1" applyBorder="1" applyAlignment="1">
      <alignment horizontal="right" vertical="center" wrapText="1"/>
    </xf>
    <xf numFmtId="49" fontId="13" fillId="0" borderId="17" xfId="603" applyNumberFormat="1" applyFont="1" applyBorder="1" applyAlignment="1">
      <alignment horizontal="right" vertical="center" wrapText="1"/>
    </xf>
    <xf numFmtId="167" fontId="108" fillId="0" borderId="17" xfId="603" applyNumberFormat="1" applyFont="1" applyBorder="1" applyAlignment="1">
      <alignment horizontal="center" vertical="center" wrapText="1"/>
    </xf>
    <xf numFmtId="167" fontId="13" fillId="0" borderId="17" xfId="603" applyNumberFormat="1" applyFont="1" applyBorder="1" applyAlignment="1">
      <alignment horizontal="left" vertical="center" wrapText="1"/>
    </xf>
    <xf numFmtId="4" fontId="108" fillId="0" borderId="17" xfId="603" applyNumberFormat="1" applyFont="1" applyBorder="1" applyAlignment="1">
      <alignment vertical="center" wrapText="1"/>
    </xf>
    <xf numFmtId="229" fontId="108" fillId="0" borderId="17" xfId="603" applyNumberFormat="1" applyFont="1" applyBorder="1" applyAlignment="1">
      <alignment horizontal="right" vertical="center" wrapText="1"/>
    </xf>
    <xf numFmtId="228" fontId="141" fillId="0" borderId="17" xfId="603" applyNumberFormat="1" applyFont="1" applyBorder="1" applyAlignment="1">
      <alignment vertical="center" wrapText="1"/>
    </xf>
    <xf numFmtId="228" fontId="108" fillId="0" borderId="17" xfId="603" applyNumberFormat="1" applyFont="1" applyBorder="1" applyAlignment="1">
      <alignment vertical="center" wrapText="1"/>
    </xf>
    <xf numFmtId="2" fontId="13" fillId="0" borderId="17" xfId="603" applyNumberFormat="1" applyFont="1" applyBorder="1" applyAlignment="1">
      <alignment horizontal="justify" vertical="center" wrapText="1"/>
    </xf>
    <xf numFmtId="2" fontId="13" fillId="0" borderId="17" xfId="603" applyNumberFormat="1" applyFont="1" applyBorder="1" applyAlignment="1">
      <alignment horizontal="center" vertical="center" wrapText="1"/>
    </xf>
    <xf numFmtId="228" fontId="13" fillId="0" borderId="17" xfId="603" applyNumberFormat="1" applyFont="1" applyBorder="1" applyAlignment="1">
      <alignment horizontal="center" vertical="center" wrapText="1"/>
    </xf>
    <xf numFmtId="229" fontId="13" fillId="0" borderId="17" xfId="603" applyNumberFormat="1" applyFont="1" applyBorder="1" applyAlignment="1">
      <alignment horizontal="right" vertical="center" wrapText="1"/>
    </xf>
    <xf numFmtId="2" fontId="13" fillId="0" borderId="0" xfId="603" applyNumberFormat="1" applyFont="1" applyAlignment="1">
      <alignment horizontal="right" vertical="center" wrapText="1"/>
    </xf>
    <xf numFmtId="4" fontId="124" fillId="0" borderId="17" xfId="343" applyNumberFormat="1" applyFont="1" applyBorder="1" applyAlignment="1">
      <alignment horizontal="right" vertical="center"/>
    </xf>
    <xf numFmtId="0" fontId="13" fillId="0" borderId="0" xfId="603" applyFont="1" applyAlignment="1">
      <alignment horizontal="justify" vertical="center" wrapText="1"/>
    </xf>
    <xf numFmtId="228" fontId="135" fillId="0" borderId="17" xfId="603" applyNumberFormat="1" applyFont="1" applyBorder="1" applyAlignment="1">
      <alignment horizontal="right" vertical="center" wrapText="1"/>
    </xf>
    <xf numFmtId="228" fontId="13" fillId="0" borderId="17" xfId="603" applyNumberFormat="1" applyFont="1" applyBorder="1" applyAlignment="1">
      <alignment horizontal="right" vertical="center" wrapText="1"/>
    </xf>
    <xf numFmtId="43" fontId="13" fillId="0" borderId="0" xfId="158" applyFont="1" applyFill="1" applyAlignment="1">
      <alignment horizontal="justify" vertical="center" wrapText="1"/>
    </xf>
    <xf numFmtId="2" fontId="15" fillId="0" borderId="17" xfId="603" applyNumberFormat="1" applyFont="1" applyBorder="1" applyAlignment="1">
      <alignment horizontal="justify" vertical="center" wrapText="1"/>
    </xf>
    <xf numFmtId="228" fontId="119" fillId="0" borderId="17" xfId="158" applyNumberFormat="1" applyFont="1" applyFill="1" applyBorder="1" applyAlignment="1">
      <alignment horizontal="right" vertical="center" wrapText="1"/>
    </xf>
    <xf numFmtId="228" fontId="8" fillId="0" borderId="17" xfId="603" applyNumberFormat="1" applyFont="1" applyBorder="1" applyAlignment="1">
      <alignment horizontal="center" vertical="center" wrapText="1"/>
    </xf>
    <xf numFmtId="4" fontId="13" fillId="0" borderId="0" xfId="603" applyNumberFormat="1" applyFont="1" applyAlignment="1">
      <alignment horizontal="right" vertical="center" wrapText="1"/>
    </xf>
    <xf numFmtId="0" fontId="8" fillId="0" borderId="17" xfId="603" applyFont="1" applyBorder="1" applyAlignment="1">
      <alignment horizontal="center" vertical="center" wrapText="1"/>
    </xf>
    <xf numFmtId="2" fontId="8" fillId="0" borderId="17" xfId="603" applyNumberFormat="1" applyFont="1" applyBorder="1" applyAlignment="1">
      <alignment horizontal="justify" vertical="center" wrapText="1"/>
    </xf>
    <xf numFmtId="2" fontId="8" fillId="0" borderId="17" xfId="603" applyNumberFormat="1" applyFont="1" applyBorder="1" applyAlignment="1">
      <alignment horizontal="center" vertical="center" wrapText="1"/>
    </xf>
    <xf numFmtId="228" fontId="116" fillId="0" borderId="17" xfId="158" applyNumberFormat="1" applyFont="1" applyFill="1" applyBorder="1" applyAlignment="1">
      <alignment horizontal="right" vertical="center" wrapText="1"/>
    </xf>
    <xf numFmtId="4" fontId="8" fillId="0" borderId="17" xfId="603" applyNumberFormat="1" applyFont="1" applyBorder="1" applyAlignment="1">
      <alignment horizontal="right" vertical="center" wrapText="1"/>
    </xf>
    <xf numFmtId="229" fontId="8" fillId="0" borderId="17" xfId="603" applyNumberFormat="1" applyFont="1" applyBorder="1" applyAlignment="1">
      <alignment horizontal="right" vertical="center" wrapText="1"/>
    </xf>
    <xf numFmtId="2" fontId="8" fillId="0" borderId="0" xfId="603" applyNumberFormat="1" applyFont="1" applyAlignment="1">
      <alignment horizontal="right" vertical="center" wrapText="1"/>
    </xf>
    <xf numFmtId="4" fontId="125" fillId="0" borderId="17" xfId="343" applyNumberFormat="1" applyFont="1" applyBorder="1" applyAlignment="1">
      <alignment horizontal="right" vertical="center"/>
    </xf>
    <xf numFmtId="228" fontId="117" fillId="0" borderId="17" xfId="603" applyNumberFormat="1" applyFont="1" applyBorder="1" applyAlignment="1">
      <alignment horizontal="right" vertical="center" wrapText="1"/>
    </xf>
    <xf numFmtId="228" fontId="8" fillId="0" borderId="17" xfId="603" applyNumberFormat="1" applyFont="1" applyBorder="1" applyAlignment="1">
      <alignment horizontal="right" vertical="center" wrapText="1"/>
    </xf>
    <xf numFmtId="0" fontId="15" fillId="0" borderId="17" xfId="603" applyFont="1" applyBorder="1" applyAlignment="1">
      <alignment horizontal="center" vertical="center" wrapText="1"/>
    </xf>
    <xf numFmtId="0" fontId="15" fillId="0" borderId="17" xfId="603" applyFont="1" applyBorder="1" applyAlignment="1">
      <alignment horizontal="left" vertical="center" wrapText="1"/>
    </xf>
    <xf numFmtId="4" fontId="15" fillId="0" borderId="17" xfId="603" applyNumberFormat="1" applyFont="1" applyBorder="1" applyAlignment="1">
      <alignment horizontal="right" vertical="center" wrapText="1"/>
    </xf>
    <xf numFmtId="229" fontId="15" fillId="0" borderId="17" xfId="603" applyNumberFormat="1" applyFont="1" applyBorder="1" applyAlignment="1">
      <alignment horizontal="right" vertical="center" wrapText="1"/>
    </xf>
    <xf numFmtId="2" fontId="15" fillId="0" borderId="0" xfId="603" applyNumberFormat="1" applyFont="1" applyAlignment="1">
      <alignment horizontal="right" vertical="center" wrapText="1"/>
    </xf>
    <xf numFmtId="0" fontId="15" fillId="0" borderId="0" xfId="603" applyFont="1" applyAlignment="1">
      <alignment horizontal="justify" vertical="center" wrapText="1"/>
    </xf>
    <xf numFmtId="224" fontId="8" fillId="0" borderId="0" xfId="603" applyNumberFormat="1" applyFont="1" applyAlignment="1">
      <alignment horizontal="justify" vertical="center" wrapText="1"/>
    </xf>
    <xf numFmtId="0" fontId="15" fillId="0" borderId="17" xfId="409" applyFont="1" applyBorder="1" applyAlignment="1">
      <alignment horizontal="left" vertical="center"/>
    </xf>
    <xf numFmtId="0" fontId="15" fillId="0" borderId="17" xfId="409" applyFont="1" applyBorder="1" applyAlignment="1">
      <alignment horizontal="center" vertical="center" wrapText="1"/>
    </xf>
    <xf numFmtId="4" fontId="8" fillId="0" borderId="0" xfId="603" applyNumberFormat="1" applyFont="1" applyAlignment="1">
      <alignment horizontal="justify" vertical="center" wrapText="1"/>
    </xf>
    <xf numFmtId="230" fontId="13" fillId="0" borderId="17" xfId="603" applyNumberFormat="1" applyFont="1" applyBorder="1" applyAlignment="1">
      <alignment horizontal="right" vertical="center" wrapText="1"/>
    </xf>
    <xf numFmtId="228" fontId="116" fillId="31" borderId="17" xfId="158" applyNumberFormat="1" applyFont="1" applyFill="1" applyBorder="1" applyAlignment="1">
      <alignment horizontal="right" vertical="center" wrapText="1"/>
    </xf>
    <xf numFmtId="0" fontId="8" fillId="0" borderId="17" xfId="603" applyFont="1" applyBorder="1" applyAlignment="1">
      <alignment vertical="center" wrapText="1"/>
    </xf>
    <xf numFmtId="0" fontId="8" fillId="0" borderId="17" xfId="603" applyFont="1" applyBorder="1" applyAlignment="1">
      <alignment horizontal="center" vertical="center"/>
    </xf>
    <xf numFmtId="0" fontId="8" fillId="0" borderId="17" xfId="409" applyFont="1" applyBorder="1" applyAlignment="1">
      <alignment horizontal="center" vertical="center" wrapText="1"/>
    </xf>
    <xf numFmtId="4" fontId="8" fillId="0" borderId="17" xfId="409" applyNumberFormat="1" applyFont="1" applyBorder="1" applyAlignment="1">
      <alignment horizontal="right" vertical="center" wrapText="1"/>
    </xf>
    <xf numFmtId="0" fontId="8" fillId="0" borderId="0" xfId="603" applyFont="1" applyAlignment="1">
      <alignment vertical="center" wrapText="1"/>
    </xf>
    <xf numFmtId="2" fontId="8" fillId="0" borderId="17" xfId="603" applyNumberFormat="1" applyFont="1" applyBorder="1" applyAlignment="1">
      <alignment horizontal="justify" vertical="center"/>
    </xf>
    <xf numFmtId="228" fontId="137" fillId="0" borderId="17" xfId="603" applyNumberFormat="1" applyFont="1" applyBorder="1" applyAlignment="1">
      <alignment horizontal="right" vertical="center" wrapText="1"/>
    </xf>
    <xf numFmtId="228" fontId="15" fillId="0" borderId="17" xfId="603" applyNumberFormat="1" applyFont="1" applyBorder="1" applyAlignment="1">
      <alignment horizontal="right" vertical="center" wrapText="1"/>
    </xf>
    <xf numFmtId="4" fontId="15" fillId="0" borderId="17" xfId="409" applyNumberFormat="1" applyFont="1" applyBorder="1" applyAlignment="1">
      <alignment horizontal="center" vertical="center" wrapText="1"/>
    </xf>
    <xf numFmtId="4" fontId="126" fillId="0" borderId="17" xfId="343" applyNumberFormat="1" applyFont="1" applyBorder="1" applyAlignment="1">
      <alignment horizontal="right" vertical="center"/>
    </xf>
    <xf numFmtId="4" fontId="15" fillId="0" borderId="0" xfId="603" applyNumberFormat="1" applyFont="1" applyAlignment="1">
      <alignment horizontal="right" vertical="center" wrapText="1"/>
    </xf>
    <xf numFmtId="231" fontId="15" fillId="0" borderId="0" xfId="603" applyNumberFormat="1" applyFont="1" applyAlignment="1">
      <alignment horizontal="right" vertical="center" wrapText="1"/>
    </xf>
    <xf numFmtId="4" fontId="15" fillId="0" borderId="17" xfId="409" applyNumberFormat="1" applyFont="1" applyBorder="1" applyAlignment="1">
      <alignment horizontal="right" vertical="center" wrapText="1"/>
    </xf>
    <xf numFmtId="0" fontId="8" fillId="0" borderId="17" xfId="409" applyFont="1" applyBorder="1" applyAlignment="1">
      <alignment horizontal="left" vertical="center"/>
    </xf>
    <xf numFmtId="4" fontId="13" fillId="0" borderId="0" xfId="603" applyNumberFormat="1" applyFont="1" applyAlignment="1">
      <alignment horizontal="justify" vertical="center" wrapText="1"/>
    </xf>
    <xf numFmtId="228" fontId="118" fillId="0" borderId="17" xfId="158" applyNumberFormat="1" applyFont="1" applyFill="1" applyBorder="1" applyAlignment="1">
      <alignment vertical="center" wrapText="1"/>
    </xf>
    <xf numFmtId="0" fontId="142" fillId="0" borderId="17" xfId="409" applyFont="1" applyBorder="1" applyAlignment="1">
      <alignment horizontal="center" vertical="center" wrapText="1"/>
    </xf>
    <xf numFmtId="0" fontId="142" fillId="0" borderId="17" xfId="409" applyFont="1" applyBorder="1" applyAlignment="1">
      <alignment horizontal="left" vertical="center" wrapText="1"/>
    </xf>
    <xf numFmtId="228" fontId="143" fillId="0" borderId="17" xfId="158" applyNumberFormat="1" applyFont="1" applyFill="1" applyBorder="1" applyAlignment="1">
      <alignment horizontal="center" vertical="center" wrapText="1"/>
    </xf>
    <xf numFmtId="228" fontId="142" fillId="0" borderId="17" xfId="603" applyNumberFormat="1" applyFont="1" applyBorder="1" applyAlignment="1">
      <alignment horizontal="center" vertical="center" wrapText="1"/>
    </xf>
    <xf numFmtId="4" fontId="142" fillId="0" borderId="17" xfId="603" applyNumberFormat="1" applyFont="1" applyBorder="1" applyAlignment="1">
      <alignment horizontal="right" vertical="center" wrapText="1"/>
    </xf>
    <xf numFmtId="229" fontId="142" fillId="0" borderId="17" xfId="603" applyNumberFormat="1" applyFont="1" applyBorder="1" applyAlignment="1">
      <alignment horizontal="right" vertical="center" wrapText="1"/>
    </xf>
    <xf numFmtId="229" fontId="142" fillId="0" borderId="0" xfId="368" applyNumberFormat="1" applyFont="1" applyAlignment="1">
      <alignment horizontal="right" vertical="center" wrapText="1"/>
    </xf>
    <xf numFmtId="0" fontId="142" fillId="0" borderId="0" xfId="603" applyFont="1" applyAlignment="1">
      <alignment horizontal="right" vertical="center" wrapText="1"/>
    </xf>
    <xf numFmtId="4" fontId="142" fillId="0" borderId="17" xfId="409" applyNumberFormat="1" applyFont="1" applyBorder="1" applyAlignment="1">
      <alignment horizontal="right" vertical="center" wrapText="1"/>
    </xf>
    <xf numFmtId="0" fontId="142" fillId="0" borderId="0" xfId="603" applyFont="1" applyAlignment="1">
      <alignment horizontal="justify" vertical="center" wrapText="1"/>
    </xf>
    <xf numFmtId="0" fontId="144" fillId="0" borderId="0" xfId="343" applyFont="1"/>
    <xf numFmtId="0" fontId="145" fillId="0" borderId="0" xfId="343" applyFont="1"/>
    <xf numFmtId="228" fontId="143" fillId="0" borderId="17" xfId="158" applyNumberFormat="1" applyFont="1" applyFill="1" applyBorder="1" applyAlignment="1">
      <alignment horizontal="right" vertical="center" wrapText="1"/>
    </xf>
    <xf numFmtId="0" fontId="142" fillId="0" borderId="17" xfId="524" applyFont="1" applyBorder="1" applyAlignment="1">
      <alignment vertical="center"/>
    </xf>
    <xf numFmtId="1" fontId="142" fillId="0" borderId="17" xfId="603" applyNumberFormat="1" applyFont="1" applyBorder="1" applyAlignment="1">
      <alignment horizontal="center" vertical="center" wrapText="1"/>
    </xf>
    <xf numFmtId="4" fontId="138" fillId="0" borderId="0" xfId="343" applyNumberFormat="1" applyFont="1"/>
    <xf numFmtId="172" fontId="138" fillId="0" borderId="0" xfId="343" applyNumberFormat="1" applyFont="1"/>
    <xf numFmtId="224" fontId="138" fillId="0" borderId="0" xfId="343" applyNumberFormat="1" applyFont="1"/>
    <xf numFmtId="0" fontId="31" fillId="0" borderId="0" xfId="515" applyFont="1" applyAlignment="1">
      <alignment vertical="center"/>
    </xf>
    <xf numFmtId="0" fontId="146" fillId="0" borderId="0" xfId="515" applyFont="1" applyAlignment="1">
      <alignment vertical="center"/>
    </xf>
    <xf numFmtId="0" fontId="130" fillId="0" borderId="0" xfId="515" applyFont="1" applyAlignment="1">
      <alignment vertical="center"/>
    </xf>
    <xf numFmtId="172" fontId="31" fillId="0" borderId="0" xfId="515" applyNumberFormat="1" applyFont="1" applyAlignment="1">
      <alignment vertical="center"/>
    </xf>
    <xf numFmtId="0" fontId="14" fillId="0" borderId="0" xfId="515" applyFont="1" applyAlignment="1">
      <alignment horizontal="centerContinuous" vertical="center" wrapText="1"/>
    </xf>
    <xf numFmtId="0" fontId="147" fillId="0" borderId="0" xfId="515" applyFont="1" applyAlignment="1">
      <alignment horizontal="centerContinuous" vertical="center" wrapText="1"/>
    </xf>
    <xf numFmtId="0" fontId="8" fillId="0" borderId="0" xfId="515" applyFont="1" applyAlignment="1">
      <alignment vertical="center"/>
    </xf>
    <xf numFmtId="172" fontId="8" fillId="0" borderId="0" xfId="515" applyNumberFormat="1" applyFont="1" applyAlignment="1">
      <alignment vertical="center"/>
    </xf>
    <xf numFmtId="4" fontId="8" fillId="0" borderId="0" xfId="515" applyNumberFormat="1" applyFont="1" applyAlignment="1">
      <alignment vertical="center"/>
    </xf>
    <xf numFmtId="0" fontId="8" fillId="0" borderId="0" xfId="515" applyFont="1" applyAlignment="1">
      <alignment vertical="center" wrapText="1"/>
    </xf>
    <xf numFmtId="172" fontId="8" fillId="0" borderId="0" xfId="515" applyNumberFormat="1" applyFont="1" applyAlignment="1">
      <alignment vertical="center" wrapText="1"/>
    </xf>
    <xf numFmtId="167" fontId="148" fillId="0" borderId="17" xfId="603" applyNumberFormat="1" applyFont="1" applyBorder="1" applyAlignment="1">
      <alignment horizontal="center" vertical="center" wrapText="1"/>
    </xf>
    <xf numFmtId="0" fontId="7" fillId="0" borderId="0" xfId="515" applyFont="1" applyAlignment="1">
      <alignment vertical="center"/>
    </xf>
    <xf numFmtId="172" fontId="7" fillId="0" borderId="0" xfId="515" applyNumberFormat="1" applyFont="1" applyAlignment="1">
      <alignment vertical="center"/>
    </xf>
    <xf numFmtId="4" fontId="13" fillId="0" borderId="17" xfId="368" applyNumberFormat="1" applyFont="1" applyBorder="1" applyAlignment="1">
      <alignment horizontal="right" vertical="center" wrapText="1"/>
    </xf>
    <xf numFmtId="2" fontId="14" fillId="0" borderId="0" xfId="515" applyNumberFormat="1" applyFont="1" applyAlignment="1">
      <alignment vertical="center" wrapText="1"/>
    </xf>
    <xf numFmtId="0" fontId="14" fillId="0" borderId="0" xfId="515" applyFont="1" applyAlignment="1">
      <alignment vertical="center" wrapText="1"/>
    </xf>
    <xf numFmtId="4" fontId="14" fillId="0" borderId="0" xfId="515" applyNumberFormat="1" applyFont="1" applyAlignment="1">
      <alignment vertical="center" wrapText="1"/>
    </xf>
    <xf numFmtId="172" fontId="14" fillId="0" borderId="0" xfId="515" applyNumberFormat="1" applyFont="1" applyAlignment="1">
      <alignment vertical="center" wrapText="1"/>
    </xf>
    <xf numFmtId="4" fontId="8" fillId="0" borderId="17" xfId="368" applyNumberFormat="1" applyFont="1" applyBorder="1" applyAlignment="1">
      <alignment horizontal="right" vertical="center" wrapText="1"/>
    </xf>
    <xf numFmtId="4" fontId="31" fillId="0" borderId="0" xfId="515" applyNumberFormat="1" applyFont="1" applyAlignment="1">
      <alignment vertical="center" wrapText="1"/>
    </xf>
    <xf numFmtId="0" fontId="31" fillId="0" borderId="0" xfId="515" applyFont="1" applyAlignment="1">
      <alignment vertical="center" wrapText="1"/>
    </xf>
    <xf numFmtId="2" fontId="31" fillId="0" borderId="0" xfId="515" applyNumberFormat="1" applyFont="1" applyAlignment="1">
      <alignment vertical="center" wrapText="1"/>
    </xf>
    <xf numFmtId="2" fontId="15" fillId="0" borderId="17" xfId="603" applyNumberFormat="1" applyFont="1" applyBorder="1" applyAlignment="1">
      <alignment horizontal="center" vertical="center" wrapText="1"/>
    </xf>
    <xf numFmtId="4" fontId="15" fillId="0" borderId="17" xfId="368" applyNumberFormat="1" applyFont="1" applyBorder="1" applyAlignment="1">
      <alignment horizontal="right" vertical="center" wrapText="1"/>
    </xf>
    <xf numFmtId="4" fontId="149" fillId="0" borderId="0" xfId="515" applyNumberFormat="1" applyFont="1" applyAlignment="1">
      <alignment vertical="center" wrapText="1"/>
    </xf>
    <xf numFmtId="0" fontId="149" fillId="0" borderId="0" xfId="515" applyFont="1" applyAlignment="1">
      <alignment vertical="center" wrapText="1"/>
    </xf>
    <xf numFmtId="2" fontId="149" fillId="0" borderId="0" xfId="515" applyNumberFormat="1" applyFont="1" applyAlignment="1">
      <alignment vertical="center" wrapText="1"/>
    </xf>
    <xf numFmtId="4" fontId="150" fillId="0" borderId="17" xfId="409" applyNumberFormat="1" applyFont="1" applyBorder="1" applyAlignment="1">
      <alignment horizontal="right" vertical="center" wrapText="1"/>
    </xf>
    <xf numFmtId="4" fontId="15" fillId="0" borderId="0" xfId="603" applyNumberFormat="1" applyFont="1" applyAlignment="1">
      <alignment horizontal="center" vertical="center" wrapText="1"/>
    </xf>
    <xf numFmtId="2" fontId="15" fillId="0" borderId="0" xfId="603" applyNumberFormat="1" applyFont="1" applyAlignment="1">
      <alignment horizontal="justify" vertical="center" wrapText="1"/>
    </xf>
    <xf numFmtId="4" fontId="151" fillId="0" borderId="17" xfId="409" applyNumberFormat="1" applyFont="1" applyBorder="1" applyAlignment="1">
      <alignment horizontal="right" vertical="center" wrapText="1"/>
    </xf>
    <xf numFmtId="49" fontId="13" fillId="0" borderId="17" xfId="515" applyNumberFormat="1" applyFont="1" applyBorder="1" applyAlignment="1">
      <alignment horizontal="center" vertical="center"/>
    </xf>
    <xf numFmtId="4" fontId="13" fillId="0" borderId="17" xfId="158" applyNumberFormat="1" applyFont="1" applyFill="1" applyBorder="1" applyAlignment="1">
      <alignment horizontal="right" vertical="center" wrapText="1"/>
    </xf>
    <xf numFmtId="0" fontId="14" fillId="0" borderId="0" xfId="515" applyFont="1" applyAlignment="1">
      <alignment vertical="center"/>
    </xf>
    <xf numFmtId="2" fontId="14" fillId="0" borderId="0" xfId="515" applyNumberFormat="1" applyFont="1" applyAlignment="1">
      <alignment vertical="center"/>
    </xf>
    <xf numFmtId="4" fontId="14" fillId="0" borderId="0" xfId="515" applyNumberFormat="1" applyFont="1" applyAlignment="1">
      <alignment vertical="center"/>
    </xf>
    <xf numFmtId="49" fontId="104" fillId="0" borderId="17" xfId="515" applyNumberFormat="1" applyFont="1" applyBorder="1" applyAlignment="1">
      <alignment horizontal="center" vertical="center"/>
    </xf>
    <xf numFmtId="2" fontId="104" fillId="0" borderId="17" xfId="603" applyNumberFormat="1" applyFont="1" applyBorder="1" applyAlignment="1">
      <alignment horizontal="center" vertical="center" wrapText="1"/>
    </xf>
    <xf numFmtId="4" fontId="104" fillId="0" borderId="17" xfId="603" applyNumberFormat="1" applyFont="1" applyBorder="1" applyAlignment="1">
      <alignment horizontal="right" vertical="center" wrapText="1"/>
    </xf>
    <xf numFmtId="0" fontId="152" fillId="0" borderId="0" xfId="515" applyFont="1" applyAlignment="1">
      <alignment vertical="center"/>
    </xf>
    <xf numFmtId="2" fontId="152" fillId="0" borderId="0" xfId="515" applyNumberFormat="1" applyFont="1" applyAlignment="1">
      <alignment vertical="center"/>
    </xf>
    <xf numFmtId="49" fontId="8" fillId="0" borderId="17" xfId="515" applyNumberFormat="1" applyFont="1" applyBorder="1" applyAlignment="1">
      <alignment horizontal="center" vertical="center"/>
    </xf>
    <xf numFmtId="2" fontId="31" fillId="0" borderId="0" xfId="515" applyNumberFormat="1" applyFont="1" applyAlignment="1">
      <alignment vertical="center"/>
    </xf>
    <xf numFmtId="4" fontId="31" fillId="0" borderId="0" xfId="515" applyNumberFormat="1" applyFont="1" applyAlignment="1">
      <alignment vertical="center"/>
    </xf>
    <xf numFmtId="2" fontId="8" fillId="0" borderId="17" xfId="603" applyNumberFormat="1" applyFont="1" applyBorder="1" applyAlignment="1">
      <alignment horizontal="center" vertical="center"/>
    </xf>
    <xf numFmtId="4" fontId="8" fillId="0" borderId="17" xfId="603" applyNumberFormat="1" applyFont="1" applyBorder="1" applyAlignment="1">
      <alignment horizontal="right" vertical="center"/>
    </xf>
    <xf numFmtId="4" fontId="8" fillId="0" borderId="17" xfId="365" applyNumberFormat="1" applyFont="1" applyBorder="1" applyAlignment="1">
      <alignment horizontal="right" vertical="center" wrapText="1"/>
    </xf>
    <xf numFmtId="49" fontId="15" fillId="0" borderId="17" xfId="515" applyNumberFormat="1" applyFont="1" applyBorder="1" applyAlignment="1">
      <alignment horizontal="center" vertical="center"/>
    </xf>
    <xf numFmtId="4" fontId="15" fillId="0" borderId="17" xfId="365" applyNumberFormat="1" applyFont="1" applyBorder="1" applyAlignment="1">
      <alignment horizontal="right" vertical="center" wrapText="1"/>
    </xf>
    <xf numFmtId="0" fontId="149" fillId="0" borderId="0" xfId="515" applyFont="1" applyAlignment="1">
      <alignment vertical="center"/>
    </xf>
    <xf numFmtId="4" fontId="109" fillId="0" borderId="17" xfId="365" applyNumberFormat="1" applyFont="1" applyBorder="1" applyAlignment="1">
      <alignment horizontal="right" vertical="center" wrapText="1"/>
    </xf>
    <xf numFmtId="43" fontId="31" fillId="0" borderId="0" xfId="158" applyFont="1" applyFill="1" applyAlignment="1">
      <alignment vertical="center"/>
    </xf>
    <xf numFmtId="0" fontId="15" fillId="0" borderId="27" xfId="604" applyFont="1" applyBorder="1" applyAlignment="1">
      <alignment vertical="center"/>
    </xf>
    <xf numFmtId="0" fontId="8" fillId="0" borderId="0" xfId="604" applyFont="1" applyAlignment="1">
      <alignment vertical="center"/>
    </xf>
    <xf numFmtId="0" fontId="15" fillId="0" borderId="0" xfId="604" applyFont="1" applyAlignment="1">
      <alignment vertical="center"/>
    </xf>
    <xf numFmtId="0" fontId="155" fillId="0" borderId="0" xfId="604" applyFont="1" applyAlignment="1">
      <alignment vertical="center"/>
    </xf>
    <xf numFmtId="0" fontId="156" fillId="0" borderId="0" xfId="603" applyFont="1" applyAlignment="1">
      <alignment horizontal="center" vertical="center" wrapText="1"/>
    </xf>
    <xf numFmtId="0" fontId="13" fillId="0" borderId="0" xfId="603" applyFont="1" applyAlignment="1">
      <alignment horizontal="centerContinuous" vertical="center" wrapText="1"/>
    </xf>
    <xf numFmtId="4" fontId="13" fillId="0" borderId="0" xfId="603" applyNumberFormat="1" applyFont="1" applyAlignment="1">
      <alignment horizontal="centerContinuous" vertical="center" wrapText="1"/>
    </xf>
    <xf numFmtId="0" fontId="157" fillId="0" borderId="0" xfId="603" applyFont="1" applyAlignment="1">
      <alignment horizontal="center" vertical="center" wrapText="1"/>
    </xf>
    <xf numFmtId="0" fontId="156" fillId="0" borderId="2" xfId="603" applyFont="1" applyBorder="1" applyAlignment="1">
      <alignment vertical="center" wrapText="1"/>
    </xf>
    <xf numFmtId="0" fontId="10" fillId="0" borderId="0" xfId="603" applyFont="1" applyAlignment="1">
      <alignment horizontal="justify" vertical="center" wrapText="1"/>
    </xf>
    <xf numFmtId="172" fontId="13" fillId="0" borderId="17" xfId="603" applyNumberFormat="1" applyFont="1" applyBorder="1" applyAlignment="1">
      <alignment horizontal="right" vertical="center" wrapText="1"/>
    </xf>
    <xf numFmtId="172" fontId="13" fillId="0" borderId="17" xfId="409" applyNumberFormat="1" applyFont="1" applyBorder="1" applyAlignment="1">
      <alignment vertical="center" wrapText="1"/>
    </xf>
    <xf numFmtId="172" fontId="15" fillId="0" borderId="17" xfId="409" applyNumberFormat="1" applyFont="1" applyBorder="1" applyAlignment="1">
      <alignment vertical="center" wrapText="1"/>
    </xf>
    <xf numFmtId="172" fontId="8" fillId="0" borderId="17" xfId="603" applyNumberFormat="1" applyFont="1" applyBorder="1" applyAlignment="1">
      <alignment horizontal="right" vertical="center" wrapText="1"/>
    </xf>
    <xf numFmtId="172" fontId="8" fillId="0" borderId="17" xfId="409" applyNumberFormat="1" applyFont="1" applyBorder="1" applyAlignment="1">
      <alignment vertical="center" wrapText="1"/>
    </xf>
    <xf numFmtId="172" fontId="15" fillId="0" borderId="17" xfId="603" applyNumberFormat="1" applyFont="1" applyBorder="1" applyAlignment="1">
      <alignment horizontal="right" vertical="center" wrapText="1"/>
    </xf>
    <xf numFmtId="4" fontId="15" fillId="0" borderId="0" xfId="603" applyNumberFormat="1" applyFont="1" applyAlignment="1">
      <alignment horizontal="justify" vertical="center" wrapText="1"/>
    </xf>
    <xf numFmtId="2" fontId="13" fillId="0" borderId="0" xfId="603" applyNumberFormat="1" applyFont="1" applyAlignment="1">
      <alignment horizontal="center" vertical="center" wrapText="1"/>
    </xf>
    <xf numFmtId="2" fontId="8" fillId="0" borderId="0" xfId="603" applyNumberFormat="1" applyFont="1" applyAlignment="1">
      <alignment horizontal="center" vertical="center" wrapText="1"/>
    </xf>
    <xf numFmtId="2" fontId="15" fillId="0" borderId="0" xfId="603" applyNumberFormat="1" applyFont="1" applyAlignment="1">
      <alignment horizontal="center" vertical="center" wrapText="1"/>
    </xf>
    <xf numFmtId="172" fontId="15" fillId="0" borderId="17" xfId="409" applyNumberFormat="1" applyFont="1" applyBorder="1" applyAlignment="1">
      <alignment horizontal="right" vertical="center" wrapText="1"/>
    </xf>
    <xf numFmtId="4" fontId="108" fillId="0" borderId="0" xfId="605" applyNumberFormat="1" applyFont="1" applyAlignment="1">
      <alignment horizontal="center" vertical="center" wrapText="1"/>
    </xf>
    <xf numFmtId="4" fontId="108" fillId="0" borderId="0" xfId="343" applyNumberFormat="1" applyFont="1" applyAlignment="1">
      <alignment horizontal="center" vertical="center" wrapText="1"/>
    </xf>
    <xf numFmtId="4" fontId="108" fillId="0" borderId="17" xfId="605" applyNumberFormat="1" applyFont="1" applyBorder="1" applyAlignment="1">
      <alignment horizontal="center" vertical="center" wrapText="1"/>
    </xf>
    <xf numFmtId="4" fontId="108" fillId="0" borderId="17" xfId="343" applyNumberFormat="1" applyFont="1" applyBorder="1" applyAlignment="1">
      <alignment horizontal="center" vertical="center" wrapText="1"/>
    </xf>
    <xf numFmtId="0" fontId="11" fillId="0" borderId="17" xfId="343" applyFont="1" applyBorder="1" applyAlignment="1">
      <alignment horizontal="center" vertical="center" wrapText="1"/>
    </xf>
    <xf numFmtId="0" fontId="11" fillId="0" borderId="17" xfId="343" applyFont="1" applyBorder="1" applyAlignment="1">
      <alignment horizontal="left" vertical="center" wrapText="1"/>
    </xf>
    <xf numFmtId="43" fontId="11" fillId="0" borderId="17" xfId="343" applyNumberFormat="1" applyFont="1" applyBorder="1" applyAlignment="1">
      <alignment horizontal="center" vertical="center" wrapText="1"/>
    </xf>
    <xf numFmtId="43" fontId="11" fillId="0" borderId="17" xfId="343" applyNumberFormat="1" applyFont="1" applyBorder="1" applyAlignment="1">
      <alignment vertical="center" wrapText="1"/>
    </xf>
    <xf numFmtId="43" fontId="11" fillId="0" borderId="17" xfId="158" applyFont="1" applyFill="1" applyBorder="1" applyAlignment="1">
      <alignment horizontal="center" vertical="center" wrapText="1"/>
    </xf>
    <xf numFmtId="0" fontId="11" fillId="0" borderId="0" xfId="343" applyFont="1" applyAlignment="1">
      <alignment horizontal="center" vertical="center" wrapText="1"/>
    </xf>
    <xf numFmtId="4" fontId="108" fillId="0" borderId="17" xfId="605" applyNumberFormat="1" applyFont="1" applyBorder="1" applyAlignment="1">
      <alignment horizontal="center" vertical="center"/>
    </xf>
    <xf numFmtId="4" fontId="108" fillId="0" borderId="17" xfId="605" applyNumberFormat="1" applyFont="1" applyBorder="1" applyAlignment="1">
      <alignment horizontal="left" vertical="center" wrapText="1"/>
    </xf>
    <xf numFmtId="4" fontId="159" fillId="0" borderId="17" xfId="343" applyNumberFormat="1" applyFont="1" applyBorder="1"/>
    <xf numFmtId="4" fontId="108" fillId="0" borderId="17" xfId="343" applyNumberFormat="1" applyFont="1" applyBorder="1"/>
    <xf numFmtId="4" fontId="159" fillId="0" borderId="0" xfId="343" applyNumberFormat="1" applyFont="1"/>
    <xf numFmtId="4" fontId="160" fillId="0" borderId="17" xfId="605" applyNumberFormat="1" applyFont="1" applyBorder="1" applyAlignment="1">
      <alignment horizontal="left" vertical="center" wrapText="1"/>
    </xf>
    <xf numFmtId="4" fontId="7" fillId="0" borderId="17" xfId="343" applyNumberFormat="1" applyFont="1" applyBorder="1" applyAlignment="1">
      <alignment horizontal="center" vertical="center" wrapText="1"/>
    </xf>
    <xf numFmtId="4" fontId="161" fillId="0" borderId="17" xfId="343" applyNumberFormat="1" applyFont="1" applyBorder="1"/>
    <xf numFmtId="4" fontId="161" fillId="0" borderId="0" xfId="343" applyNumberFormat="1" applyFont="1"/>
    <xf numFmtId="4" fontId="7" fillId="0" borderId="17" xfId="605" applyNumberFormat="1" applyFont="1" applyBorder="1" applyAlignment="1">
      <alignment horizontal="center" vertical="center"/>
    </xf>
    <xf numFmtId="4" fontId="7" fillId="0" borderId="17" xfId="605" applyNumberFormat="1" applyFont="1" applyBorder="1" applyAlignment="1">
      <alignment vertical="center"/>
    </xf>
    <xf numFmtId="4" fontId="7" fillId="0" borderId="17" xfId="605" applyNumberFormat="1" applyFont="1" applyBorder="1" applyAlignment="1">
      <alignment horizontal="center" vertical="center" wrapText="1"/>
    </xf>
    <xf numFmtId="4" fontId="7" fillId="0" borderId="17" xfId="343" applyNumberFormat="1" applyFont="1" applyBorder="1"/>
    <xf numFmtId="4" fontId="7" fillId="0" borderId="0" xfId="343" applyNumberFormat="1" applyFont="1"/>
    <xf numFmtId="4" fontId="160" fillId="0" borderId="17" xfId="605" applyNumberFormat="1" applyFont="1" applyBorder="1" applyAlignment="1">
      <alignment horizontal="center" vertical="center" wrapText="1"/>
    </xf>
    <xf numFmtId="4" fontId="160" fillId="0" borderId="17" xfId="343" applyNumberFormat="1" applyFont="1" applyBorder="1" applyAlignment="1">
      <alignment horizontal="center" vertical="center" wrapText="1"/>
    </xf>
    <xf numFmtId="4" fontId="160" fillId="0" borderId="17" xfId="343" applyNumberFormat="1" applyFont="1" applyBorder="1"/>
    <xf numFmtId="4" fontId="160" fillId="0" borderId="0" xfId="343" applyNumberFormat="1" applyFont="1"/>
    <xf numFmtId="4" fontId="7" fillId="0" borderId="17" xfId="605" applyNumberFormat="1" applyFont="1" applyBorder="1" applyAlignment="1">
      <alignment horizontal="left" vertical="center"/>
    </xf>
    <xf numFmtId="0" fontId="13" fillId="0" borderId="17" xfId="409" applyFont="1" applyBorder="1" applyAlignment="1">
      <alignment horizontal="left" vertical="center" wrapText="1"/>
    </xf>
    <xf numFmtId="0" fontId="13" fillId="0" borderId="17" xfId="524" applyFont="1" applyBorder="1" applyAlignment="1">
      <alignment vertical="center"/>
    </xf>
    <xf numFmtId="4" fontId="160" fillId="0" borderId="17" xfId="605" applyNumberFormat="1" applyFont="1" applyBorder="1" applyAlignment="1">
      <alignment horizontal="center" vertical="center"/>
    </xf>
    <xf numFmtId="4" fontId="160" fillId="0" borderId="17" xfId="605" applyNumberFormat="1" applyFont="1" applyBorder="1" applyAlignment="1">
      <alignment vertical="center" wrapText="1"/>
    </xf>
    <xf numFmtId="0" fontId="104" fillId="0" borderId="17" xfId="409" applyFont="1" applyBorder="1" applyAlignment="1">
      <alignment horizontal="left" vertical="center" wrapText="1"/>
    </xf>
    <xf numFmtId="4" fontId="108" fillId="0" borderId="17" xfId="605" applyNumberFormat="1" applyFont="1" applyBorder="1" applyAlignment="1">
      <alignment horizontal="left" vertical="center"/>
    </xf>
    <xf numFmtId="43" fontId="124" fillId="0" borderId="17" xfId="343" applyNumberFormat="1" applyFont="1" applyBorder="1" applyAlignment="1">
      <alignment vertical="center" wrapText="1"/>
    </xf>
    <xf numFmtId="0" fontId="108" fillId="0" borderId="17" xfId="409" applyFont="1" applyBorder="1" applyAlignment="1">
      <alignment horizontal="center" vertical="center" wrapText="1"/>
    </xf>
    <xf numFmtId="0" fontId="7" fillId="0" borderId="17" xfId="409" applyFont="1" applyBorder="1" applyAlignment="1">
      <alignment horizontal="left" vertical="center" wrapText="1"/>
    </xf>
    <xf numFmtId="0" fontId="7" fillId="0" borderId="17" xfId="409" applyFont="1" applyBorder="1" applyAlignment="1">
      <alignment horizontal="center" vertical="center" wrapText="1"/>
    </xf>
    <xf numFmtId="43" fontId="125" fillId="0" borderId="17" xfId="343" applyNumberFormat="1" applyFont="1" applyBorder="1" applyAlignment="1">
      <alignment vertical="center" wrapText="1"/>
    </xf>
    <xf numFmtId="0" fontId="160" fillId="0" borderId="17" xfId="409" applyFont="1" applyBorder="1" applyAlignment="1">
      <alignment horizontal="center" vertical="center" wrapText="1"/>
    </xf>
    <xf numFmtId="0" fontId="160" fillId="0" borderId="17" xfId="409" applyFont="1" applyBorder="1" applyAlignment="1">
      <alignment horizontal="left" vertical="center" wrapText="1"/>
    </xf>
    <xf numFmtId="4" fontId="127" fillId="0" borderId="17" xfId="409" applyNumberFormat="1" applyFont="1" applyBorder="1" applyAlignment="1">
      <alignment horizontal="left" vertical="center" wrapText="1"/>
    </xf>
    <xf numFmtId="4" fontId="127" fillId="0" borderId="17" xfId="409" applyNumberFormat="1" applyFont="1" applyBorder="1" applyAlignment="1">
      <alignment horizontal="center" vertical="center" wrapText="1"/>
    </xf>
    <xf numFmtId="4" fontId="132" fillId="0" borderId="17" xfId="343" applyNumberFormat="1" applyFont="1" applyBorder="1" applyAlignment="1">
      <alignment horizontal="center" vertical="center" wrapText="1"/>
    </xf>
    <xf numFmtId="4" fontId="132" fillId="0" borderId="0" xfId="343" applyNumberFormat="1" applyFont="1" applyAlignment="1">
      <alignment horizontal="center"/>
    </xf>
    <xf numFmtId="0" fontId="119" fillId="0" borderId="17" xfId="343" applyFont="1" applyBorder="1" applyAlignment="1">
      <alignment vertical="center" wrapText="1"/>
    </xf>
    <xf numFmtId="43" fontId="10" fillId="0" borderId="17" xfId="343" applyNumberFormat="1" applyFont="1" applyBorder="1" applyAlignment="1">
      <alignment vertical="center" wrapText="1"/>
    </xf>
    <xf numFmtId="0" fontId="116" fillId="0" borderId="17" xfId="343" applyFont="1" applyBorder="1" applyAlignment="1">
      <alignment horizontal="left" vertical="center" wrapText="1"/>
    </xf>
    <xf numFmtId="4" fontId="131" fillId="0" borderId="17" xfId="343" applyNumberFormat="1" applyFont="1" applyBorder="1" applyAlignment="1">
      <alignment horizontal="center" vertical="center" wrapText="1"/>
    </xf>
    <xf numFmtId="0" fontId="128" fillId="0" borderId="17" xfId="409" applyFont="1" applyBorder="1" applyAlignment="1">
      <alignment horizontal="left" vertical="center" wrapText="1"/>
    </xf>
    <xf numFmtId="0" fontId="128" fillId="0" borderId="17" xfId="409" applyFont="1" applyBorder="1" applyAlignment="1">
      <alignment horizontal="center" vertical="center" wrapText="1"/>
    </xf>
    <xf numFmtId="0" fontId="10" fillId="0" borderId="17" xfId="343" applyFont="1" applyBorder="1" applyAlignment="1">
      <alignment vertical="center" wrapText="1"/>
    </xf>
    <xf numFmtId="0" fontId="108" fillId="0" borderId="17" xfId="409" applyFont="1" applyBorder="1" applyAlignment="1">
      <alignment horizontal="left" vertical="center" wrapText="1"/>
    </xf>
    <xf numFmtId="4" fontId="108" fillId="0" borderId="0" xfId="343" applyNumberFormat="1" applyFont="1"/>
    <xf numFmtId="0" fontId="110" fillId="0" borderId="0" xfId="343" applyAlignment="1">
      <alignment horizontal="center"/>
    </xf>
    <xf numFmtId="4" fontId="124" fillId="0" borderId="0" xfId="512" applyNumberFormat="1" applyFont="1" applyAlignment="1">
      <alignment horizontal="center" vertical="center"/>
    </xf>
    <xf numFmtId="4" fontId="125" fillId="0" borderId="0" xfId="512" applyNumberFormat="1" applyFont="1" applyAlignment="1">
      <alignment vertical="center"/>
    </xf>
    <xf numFmtId="4" fontId="124" fillId="0" borderId="0" xfId="512" applyNumberFormat="1" applyFont="1" applyAlignment="1">
      <alignment vertical="center"/>
    </xf>
    <xf numFmtId="4" fontId="120" fillId="0" borderId="17" xfId="512" applyNumberFormat="1" applyFont="1" applyBorder="1" applyAlignment="1">
      <alignment horizontal="center" vertical="center" wrapText="1"/>
    </xf>
    <xf numFmtId="4" fontId="120" fillId="0" borderId="17" xfId="512" applyNumberFormat="1" applyFont="1" applyBorder="1" applyAlignment="1">
      <alignment horizontal="center" vertical="center"/>
    </xf>
    <xf numFmtId="0" fontId="128" fillId="0" borderId="0" xfId="343" applyFont="1"/>
    <xf numFmtId="4" fontId="128" fillId="0" borderId="17" xfId="512" applyNumberFormat="1" applyFont="1" applyBorder="1" applyAlignment="1">
      <alignment horizontal="center" vertical="center" wrapText="1"/>
    </xf>
    <xf numFmtId="4" fontId="128" fillId="0" borderId="17" xfId="512" applyNumberFormat="1" applyFont="1" applyBorder="1" applyAlignment="1">
      <alignment horizontal="center" vertical="center"/>
    </xf>
    <xf numFmtId="4" fontId="120" fillId="0" borderId="17" xfId="512" applyNumberFormat="1" applyFont="1" applyBorder="1" applyAlignment="1">
      <alignment horizontal="left" vertical="center" wrapText="1"/>
    </xf>
    <xf numFmtId="4" fontId="120" fillId="0" borderId="17" xfId="512" applyNumberFormat="1" applyFont="1" applyBorder="1" applyAlignment="1">
      <alignment horizontal="right" vertical="center"/>
    </xf>
    <xf numFmtId="4" fontId="128" fillId="0" borderId="17" xfId="512" applyNumberFormat="1" applyFont="1" applyBorder="1" applyAlignment="1">
      <alignment horizontal="right" vertical="center" wrapText="1"/>
    </xf>
    <xf numFmtId="4" fontId="120" fillId="0" borderId="20" xfId="512" applyNumberFormat="1" applyFont="1" applyBorder="1" applyAlignment="1">
      <alignment horizontal="right" vertical="center"/>
    </xf>
    <xf numFmtId="4" fontId="120" fillId="0" borderId="20" xfId="512" applyNumberFormat="1" applyFont="1" applyBorder="1" applyAlignment="1">
      <alignment horizontal="center" vertical="center"/>
    </xf>
    <xf numFmtId="4" fontId="120" fillId="0" borderId="20" xfId="512" applyNumberFormat="1" applyFont="1" applyBorder="1" applyAlignment="1">
      <alignment horizontal="left" vertical="center" wrapText="1"/>
    </xf>
    <xf numFmtId="4" fontId="120" fillId="0" borderId="20" xfId="512" applyNumberFormat="1" applyFont="1" applyBorder="1" applyAlignment="1">
      <alignment horizontal="center" vertical="center" wrapText="1"/>
    </xf>
    <xf numFmtId="0" fontId="120" fillId="0" borderId="0" xfId="343" applyFont="1"/>
    <xf numFmtId="228" fontId="162" fillId="0" borderId="5" xfId="512" applyNumberFormat="1" applyFont="1" applyBorder="1" applyAlignment="1">
      <alignment horizontal="center" vertical="center"/>
    </xf>
    <xf numFmtId="4" fontId="162" fillId="0" borderId="5" xfId="512" applyNumberFormat="1" applyFont="1" applyBorder="1" applyAlignment="1">
      <alignment vertical="center" wrapText="1"/>
    </xf>
    <xf numFmtId="4" fontId="162" fillId="0" borderId="17" xfId="512" applyNumberFormat="1" applyFont="1" applyBorder="1" applyAlignment="1">
      <alignment horizontal="right" vertical="center"/>
    </xf>
    <xf numFmtId="4" fontId="162" fillId="0" borderId="20" xfId="512" applyNumberFormat="1" applyFont="1" applyBorder="1" applyAlignment="1">
      <alignment horizontal="right" vertical="center"/>
    </xf>
    <xf numFmtId="172" fontId="1" fillId="0" borderId="0" xfId="343" applyNumberFormat="1" applyFont="1"/>
    <xf numFmtId="0" fontId="162" fillId="0" borderId="0" xfId="343" applyFont="1"/>
    <xf numFmtId="228" fontId="163" fillId="0" borderId="5" xfId="512" applyNumberFormat="1" applyFont="1" applyBorder="1" applyAlignment="1">
      <alignment horizontal="center" vertical="center"/>
    </xf>
    <xf numFmtId="4" fontId="163" fillId="0" borderId="5" xfId="512" applyNumberFormat="1" applyFont="1" applyBorder="1" applyAlignment="1">
      <alignment horizontal="left" vertical="center" wrapText="1"/>
    </xf>
    <xf numFmtId="4" fontId="163" fillId="0" borderId="5" xfId="512" applyNumberFormat="1" applyFont="1" applyBorder="1" applyAlignment="1">
      <alignment horizontal="center" vertical="center" wrapText="1"/>
    </xf>
    <xf numFmtId="4" fontId="163" fillId="0" borderId="5" xfId="512" applyNumberFormat="1" applyFont="1" applyBorder="1" applyAlignment="1">
      <alignment horizontal="center" vertical="center"/>
    </xf>
    <xf numFmtId="4" fontId="162" fillId="0" borderId="5" xfId="512" applyNumberFormat="1" applyFont="1" applyBorder="1" applyAlignment="1">
      <alignment horizontal="left" vertical="center" wrapText="1"/>
    </xf>
    <xf numFmtId="4" fontId="162" fillId="0" borderId="5" xfId="512" applyNumberFormat="1" applyFont="1" applyBorder="1" applyAlignment="1">
      <alignment horizontal="center" vertical="center" wrapText="1"/>
    </xf>
    <xf numFmtId="4" fontId="120" fillId="0" borderId="5" xfId="512" applyNumberFormat="1" applyFont="1" applyBorder="1" applyAlignment="1">
      <alignment horizontal="center" vertical="center"/>
    </xf>
    <xf numFmtId="4" fontId="120" fillId="0" borderId="5" xfId="512" applyNumberFormat="1" applyFont="1" applyBorder="1" applyAlignment="1">
      <alignment horizontal="left" vertical="center" wrapText="1"/>
    </xf>
    <xf numFmtId="4" fontId="120" fillId="0" borderId="5" xfId="512" applyNumberFormat="1" applyFont="1" applyBorder="1" applyAlignment="1">
      <alignment horizontal="center" vertical="center" wrapText="1"/>
    </xf>
    <xf numFmtId="4" fontId="162" fillId="0" borderId="5" xfId="512" applyNumberFormat="1" applyFont="1" applyBorder="1" applyAlignment="1">
      <alignment horizontal="center" vertical="center"/>
    </xf>
    <xf numFmtId="0" fontId="162" fillId="0" borderId="5" xfId="343" applyFont="1" applyBorder="1" applyAlignment="1">
      <alignment horizontal="left" vertical="center" wrapText="1"/>
    </xf>
    <xf numFmtId="0" fontId="162" fillId="0" borderId="5" xfId="343" applyFont="1" applyBorder="1" applyAlignment="1">
      <alignment horizontal="center" vertical="center" wrapText="1"/>
    </xf>
    <xf numFmtId="4" fontId="162" fillId="0" borderId="0" xfId="343" applyNumberFormat="1" applyFont="1"/>
    <xf numFmtId="0" fontId="163" fillId="0" borderId="5" xfId="343" applyFont="1" applyBorder="1" applyAlignment="1">
      <alignment horizontal="center" vertical="center" wrapText="1"/>
    </xf>
    <xf numFmtId="4" fontId="163" fillId="0" borderId="5" xfId="416" applyNumberFormat="1" applyFont="1" applyBorder="1" applyAlignment="1">
      <alignment vertical="center" wrapText="1"/>
    </xf>
    <xf numFmtId="4" fontId="163" fillId="0" borderId="5" xfId="416" applyNumberFormat="1" applyFont="1" applyBorder="1" applyAlignment="1">
      <alignment horizontal="center" vertical="center"/>
    </xf>
    <xf numFmtId="0" fontId="10" fillId="0" borderId="17" xfId="343" applyFont="1" applyBorder="1" applyAlignment="1">
      <alignment horizontal="left" vertical="center" wrapText="1"/>
    </xf>
    <xf numFmtId="0" fontId="120" fillId="0" borderId="5" xfId="343" applyFont="1" applyBorder="1" applyAlignment="1">
      <alignment horizontal="center" vertical="center" wrapText="1"/>
    </xf>
    <xf numFmtId="0" fontId="120" fillId="0" borderId="5" xfId="343" applyFont="1" applyBorder="1" applyAlignment="1">
      <alignment horizontal="left" vertical="center" wrapText="1"/>
    </xf>
    <xf numFmtId="4" fontId="128" fillId="0" borderId="0" xfId="343" applyNumberFormat="1" applyFont="1"/>
    <xf numFmtId="4" fontId="120" fillId="0" borderId="28" xfId="512" applyNumberFormat="1" applyFont="1" applyBorder="1" applyAlignment="1">
      <alignment horizontal="center" vertical="center"/>
    </xf>
    <xf numFmtId="4" fontId="120" fillId="0" borderId="28" xfId="606" applyNumberFormat="1" applyFont="1" applyBorder="1" applyAlignment="1">
      <alignment horizontal="center" vertical="center" wrapText="1"/>
    </xf>
    <xf numFmtId="4" fontId="120" fillId="0" borderId="28" xfId="512" applyNumberFormat="1" applyFont="1" applyBorder="1" applyAlignment="1">
      <alignment horizontal="right" vertical="center"/>
    </xf>
    <xf numFmtId="4" fontId="120" fillId="0" borderId="17" xfId="606" applyNumberFormat="1" applyFont="1" applyBorder="1" applyAlignment="1">
      <alignment horizontal="center" vertical="center" wrapText="1"/>
    </xf>
    <xf numFmtId="0" fontId="110" fillId="0" borderId="0" xfId="343" applyAlignment="1">
      <alignment vertical="center" wrapText="1"/>
    </xf>
    <xf numFmtId="43" fontId="120" fillId="0" borderId="0" xfId="366" applyNumberFormat="1" applyFont="1" applyAlignment="1">
      <alignment vertical="center" wrapText="1"/>
    </xf>
    <xf numFmtId="0" fontId="120" fillId="0" borderId="0" xfId="366" applyFont="1" applyAlignment="1">
      <alignment vertical="center"/>
    </xf>
    <xf numFmtId="4" fontId="120" fillId="0" borderId="0" xfId="366" applyNumberFormat="1" applyFont="1" applyAlignment="1">
      <alignment vertical="center"/>
    </xf>
    <xf numFmtId="0" fontId="124" fillId="0" borderId="0" xfId="366" applyFont="1" applyAlignment="1">
      <alignment vertical="center"/>
    </xf>
    <xf numFmtId="0" fontId="121" fillId="0" borderId="0" xfId="366" applyFont="1" applyAlignment="1">
      <alignment vertical="center"/>
    </xf>
    <xf numFmtId="0" fontId="127" fillId="0" borderId="2" xfId="366" applyFont="1" applyBorder="1" applyAlignment="1">
      <alignment vertical="center"/>
    </xf>
    <xf numFmtId="0" fontId="120" fillId="0" borderId="24" xfId="0" applyFont="1" applyBorder="1" applyAlignment="1">
      <alignment horizontal="center" vertical="center" wrapText="1"/>
    </xf>
    <xf numFmtId="0" fontId="128" fillId="0" borderId="0" xfId="366" applyFont="1" applyAlignment="1">
      <alignment vertical="center" wrapText="1"/>
    </xf>
    <xf numFmtId="0" fontId="131" fillId="0" borderId="17" xfId="0" applyFont="1" applyBorder="1" applyAlignment="1">
      <alignment horizontal="center" vertical="center" wrapText="1"/>
    </xf>
    <xf numFmtId="0" fontId="128" fillId="0" borderId="0" xfId="366" applyFont="1" applyAlignment="1">
      <alignment horizontal="center" vertical="center" wrapText="1"/>
    </xf>
    <xf numFmtId="0" fontId="120" fillId="0" borderId="0" xfId="366" applyFont="1" applyAlignment="1">
      <alignment vertical="center" wrapText="1"/>
    </xf>
    <xf numFmtId="0" fontId="120" fillId="0" borderId="17" xfId="0" applyFont="1" applyBorder="1" applyAlignment="1">
      <alignment vertical="center" wrapText="1"/>
    </xf>
    <xf numFmtId="0" fontId="128" fillId="0" borderId="17" xfId="0" applyFont="1" applyBorder="1" applyAlignment="1">
      <alignment vertical="center" wrapText="1"/>
    </xf>
    <xf numFmtId="0" fontId="132" fillId="0" borderId="17" xfId="0" applyFont="1" applyBorder="1" applyAlignment="1">
      <alignment vertical="center" wrapText="1"/>
    </xf>
    <xf numFmtId="0" fontId="131" fillId="0" borderId="17" xfId="0" applyFont="1" applyBorder="1" applyAlignment="1">
      <alignment vertical="center" wrapText="1"/>
    </xf>
    <xf numFmtId="0" fontId="127" fillId="0" borderId="17" xfId="0" applyFont="1" applyBorder="1" applyAlignment="1">
      <alignment horizontal="center" vertical="center"/>
    </xf>
    <xf numFmtId="0" fontId="127" fillId="0" borderId="17" xfId="0" applyFont="1" applyBorder="1" applyAlignment="1">
      <alignment horizontal="left"/>
    </xf>
    <xf numFmtId="0" fontId="127" fillId="0" borderId="17" xfId="0" applyFont="1" applyBorder="1" applyAlignment="1">
      <alignment horizontal="center"/>
    </xf>
    <xf numFmtId="0" fontId="128" fillId="0" borderId="17" xfId="0" quotePrefix="1" applyFont="1" applyBorder="1" applyAlignment="1">
      <alignment horizontal="center" vertical="center" wrapText="1"/>
    </xf>
    <xf numFmtId="0" fontId="120" fillId="0" borderId="24" xfId="0" applyFont="1" applyBorder="1" applyAlignment="1">
      <alignment vertical="center" wrapText="1"/>
    </xf>
    <xf numFmtId="0" fontId="125" fillId="0" borderId="0" xfId="366" applyFont="1" applyAlignment="1">
      <alignment vertical="center" wrapText="1"/>
    </xf>
    <xf numFmtId="43" fontId="125" fillId="0" borderId="0" xfId="366" applyNumberFormat="1" applyFont="1" applyAlignment="1">
      <alignment vertical="center" wrapText="1"/>
    </xf>
    <xf numFmtId="0" fontId="124" fillId="0" borderId="0" xfId="366" applyFont="1" applyAlignment="1">
      <alignment vertical="center" wrapText="1"/>
    </xf>
    <xf numFmtId="4" fontId="125" fillId="0" borderId="0" xfId="366" applyNumberFormat="1" applyFont="1" applyAlignment="1">
      <alignment vertical="center" wrapText="1"/>
    </xf>
    <xf numFmtId="4" fontId="120" fillId="30" borderId="21" xfId="108" applyNumberFormat="1" applyFont="1" applyFill="1" applyBorder="1" applyAlignment="1">
      <alignment horizontal="right" vertical="center" wrapText="1"/>
    </xf>
    <xf numFmtId="4" fontId="128" fillId="30" borderId="21" xfId="108" applyNumberFormat="1" applyFont="1" applyFill="1" applyBorder="1" applyAlignment="1">
      <alignment horizontal="right" vertical="center" wrapText="1"/>
    </xf>
    <xf numFmtId="4" fontId="128" fillId="30" borderId="21" xfId="68" applyNumberFormat="1" applyFont="1" applyFill="1" applyBorder="1" applyAlignment="1">
      <alignment horizontal="right" vertical="center" wrapText="1"/>
    </xf>
    <xf numFmtId="4" fontId="128" fillId="0" borderId="0" xfId="366" applyNumberFormat="1" applyFont="1" applyAlignment="1">
      <alignment vertical="center" wrapText="1"/>
    </xf>
    <xf numFmtId="4" fontId="131" fillId="0" borderId="21" xfId="108" applyNumberFormat="1" applyFont="1" applyFill="1" applyBorder="1" applyAlignment="1">
      <alignment horizontal="right" vertical="center" wrapText="1"/>
    </xf>
    <xf numFmtId="0" fontId="127" fillId="0" borderId="5" xfId="0" applyFont="1" applyBorder="1" applyAlignment="1">
      <alignment horizontal="center" vertical="center"/>
    </xf>
    <xf numFmtId="0" fontId="128" fillId="0" borderId="5" xfId="0" applyFont="1" applyBorder="1" applyAlignment="1">
      <alignment horizontal="center" vertical="center" wrapText="1"/>
    </xf>
    <xf numFmtId="4" fontId="120" fillId="31" borderId="20" xfId="512" applyNumberFormat="1" applyFont="1" applyFill="1" applyBorder="1" applyAlignment="1">
      <alignment horizontal="right" vertical="center"/>
    </xf>
    <xf numFmtId="0" fontId="162" fillId="0" borderId="5" xfId="0" applyFont="1" applyBorder="1" applyAlignment="1">
      <alignment horizontal="center" vertical="center"/>
    </xf>
    <xf numFmtId="0" fontId="163" fillId="0" borderId="5" xfId="0" applyFont="1" applyBorder="1" applyAlignment="1">
      <alignment horizontal="center" vertical="center"/>
    </xf>
    <xf numFmtId="0" fontId="162" fillId="0" borderId="5" xfId="0" applyFont="1" applyBorder="1" applyAlignment="1">
      <alignment horizontal="center" vertical="center" wrapText="1"/>
    </xf>
    <xf numFmtId="0" fontId="120" fillId="0" borderId="5" xfId="0" applyFont="1" applyBorder="1" applyAlignment="1">
      <alignment horizontal="center" vertical="center" wrapText="1"/>
    </xf>
    <xf numFmtId="0" fontId="164" fillId="0" borderId="17" xfId="0" applyFont="1" applyBorder="1" applyAlignment="1">
      <alignment horizontal="center" vertical="center" wrapText="1"/>
    </xf>
    <xf numFmtId="0" fontId="166" fillId="0" borderId="17" xfId="0" applyFont="1" applyBorder="1" applyAlignment="1">
      <alignment horizontal="center" vertical="center" wrapText="1"/>
    </xf>
    <xf numFmtId="0" fontId="165" fillId="0" borderId="17" xfId="0" applyFont="1" applyBorder="1" applyAlignment="1">
      <alignment vertical="center" wrapText="1"/>
    </xf>
    <xf numFmtId="0" fontId="164" fillId="0" borderId="17" xfId="0" applyFont="1" applyBorder="1" applyAlignment="1">
      <alignment vertical="center" wrapText="1"/>
    </xf>
    <xf numFmtId="4" fontId="164" fillId="0" borderId="17" xfId="0" applyNumberFormat="1" applyFont="1" applyBorder="1" applyAlignment="1">
      <alignment horizontal="right" vertical="center" wrapText="1"/>
    </xf>
    <xf numFmtId="4" fontId="166" fillId="0" borderId="17" xfId="0" applyNumberFormat="1" applyFont="1" applyBorder="1" applyAlignment="1">
      <alignment horizontal="right" vertical="center" wrapText="1"/>
    </xf>
    <xf numFmtId="4" fontId="167" fillId="0" borderId="17" xfId="0" applyNumberFormat="1" applyFont="1" applyBorder="1" applyAlignment="1">
      <alignment horizontal="right" vertical="center" wrapText="1"/>
    </xf>
    <xf numFmtId="0" fontId="165" fillId="0" borderId="0" xfId="0" applyFont="1"/>
    <xf numFmtId="167" fontId="166" fillId="0" borderId="17" xfId="0" applyNumberFormat="1" applyFont="1" applyBorder="1" applyAlignment="1">
      <alignment horizontal="center" vertical="center" wrapText="1"/>
    </xf>
    <xf numFmtId="170" fontId="168" fillId="0" borderId="17" xfId="0" applyNumberFormat="1" applyFont="1" applyBorder="1" applyAlignment="1">
      <alignment vertical="center" wrapText="1"/>
    </xf>
    <xf numFmtId="170" fontId="169" fillId="0" borderId="17" xfId="0" applyNumberFormat="1" applyFont="1" applyBorder="1" applyAlignment="1">
      <alignment vertical="center" wrapText="1"/>
    </xf>
    <xf numFmtId="0" fontId="170" fillId="0" borderId="17" xfId="0" applyFont="1" applyBorder="1" applyAlignment="1">
      <alignment vertical="center" wrapText="1"/>
    </xf>
    <xf numFmtId="0" fontId="169" fillId="0" borderId="17" xfId="0" applyFont="1" applyBorder="1" applyAlignment="1">
      <alignment vertical="center" wrapText="1"/>
    </xf>
    <xf numFmtId="0" fontId="170" fillId="0" borderId="17" xfId="0" applyFont="1" applyBorder="1" applyAlignment="1">
      <alignment horizontal="left" vertical="center" wrapText="1"/>
    </xf>
    <xf numFmtId="170" fontId="170" fillId="0" borderId="17" xfId="0" applyNumberFormat="1" applyFont="1" applyBorder="1" applyAlignment="1">
      <alignment horizontal="left" vertical="center" wrapText="1"/>
    </xf>
    <xf numFmtId="170" fontId="168" fillId="0" borderId="17" xfId="0" applyNumberFormat="1" applyFont="1" applyBorder="1" applyAlignment="1">
      <alignment horizontal="left" vertical="center" wrapText="1"/>
    </xf>
    <xf numFmtId="173" fontId="168" fillId="0" borderId="17" xfId="0" applyNumberFormat="1" applyFont="1" applyBorder="1" applyAlignment="1">
      <alignment horizontal="center" vertical="center"/>
    </xf>
    <xf numFmtId="170" fontId="169" fillId="0" borderId="17" xfId="0" applyNumberFormat="1" applyFont="1" applyBorder="1" applyAlignment="1">
      <alignment horizontal="center" vertical="center"/>
    </xf>
    <xf numFmtId="170" fontId="170" fillId="0" borderId="17" xfId="0" applyNumberFormat="1" applyFont="1" applyBorder="1" applyAlignment="1">
      <alignment horizontal="center" vertical="center"/>
    </xf>
    <xf numFmtId="43" fontId="170" fillId="0" borderId="17" xfId="68" applyFont="1" applyFill="1" applyBorder="1" applyAlignment="1">
      <alignment horizontal="center" vertical="center"/>
    </xf>
    <xf numFmtId="0" fontId="168" fillId="0" borderId="17" xfId="0" applyFont="1" applyBorder="1" applyAlignment="1">
      <alignment horizontal="center" vertical="center" wrapText="1"/>
    </xf>
    <xf numFmtId="0" fontId="169" fillId="0" borderId="17" xfId="0" applyFont="1" applyBorder="1" applyAlignment="1">
      <alignment horizontal="center" vertical="center" wrapText="1"/>
    </xf>
    <xf numFmtId="0" fontId="170" fillId="0" borderId="17" xfId="0" applyFont="1" applyBorder="1" applyAlignment="1">
      <alignment horizontal="center" vertical="center" wrapText="1"/>
    </xf>
    <xf numFmtId="170" fontId="168" fillId="0" borderId="17" xfId="0" applyNumberFormat="1" applyFont="1" applyBorder="1" applyAlignment="1">
      <alignment horizontal="center" vertical="center"/>
    </xf>
    <xf numFmtId="170" fontId="170" fillId="0" borderId="17" xfId="0" applyNumberFormat="1" applyFont="1" applyBorder="1" applyAlignment="1">
      <alignment horizontal="center" vertical="center" wrapText="1"/>
    </xf>
    <xf numFmtId="170" fontId="168" fillId="0" borderId="17" xfId="0" applyNumberFormat="1" applyFont="1" applyBorder="1" applyAlignment="1">
      <alignment horizontal="center" vertical="center" wrapText="1"/>
    </xf>
    <xf numFmtId="4" fontId="165" fillId="0" borderId="17" xfId="0" applyNumberFormat="1" applyFont="1" applyBorder="1" applyAlignment="1">
      <alignment vertical="center" wrapText="1"/>
    </xf>
    <xf numFmtId="0" fontId="171" fillId="0" borderId="0" xfId="0" applyFont="1"/>
    <xf numFmtId="0" fontId="31" fillId="0" borderId="17" xfId="0" applyFont="1" applyBorder="1" applyAlignment="1">
      <alignment horizontal="center" vertical="center"/>
    </xf>
    <xf numFmtId="0" fontId="31" fillId="0" borderId="17" xfId="339" applyFont="1" applyBorder="1" applyAlignment="1">
      <alignment horizontal="center" vertical="center" wrapText="1"/>
    </xf>
    <xf numFmtId="0" fontId="31" fillId="0" borderId="17" xfId="339" applyFont="1" applyBorder="1" applyAlignment="1">
      <alignment horizontal="left" vertical="center" wrapText="1"/>
    </xf>
    <xf numFmtId="0" fontId="11" fillId="0" borderId="17" xfId="0" applyFont="1" applyBorder="1" applyAlignment="1">
      <alignment horizontal="left" vertical="center" wrapText="1"/>
    </xf>
    <xf numFmtId="0" fontId="9" fillId="0" borderId="17" xfId="0" applyFont="1" applyBorder="1" applyAlignment="1">
      <alignment horizontal="left" vertical="center" wrapText="1"/>
    </xf>
    <xf numFmtId="0" fontId="11" fillId="0" borderId="0" xfId="513" applyFont="1" applyAlignment="1">
      <alignment vertical="center"/>
    </xf>
    <xf numFmtId="0" fontId="11" fillId="0" borderId="0" xfId="0" applyFont="1" applyAlignment="1">
      <alignment vertical="center"/>
    </xf>
    <xf numFmtId="0" fontId="11" fillId="0" borderId="0" xfId="0" applyFont="1" applyAlignment="1">
      <alignment horizontal="center" vertical="center" wrapText="1"/>
    </xf>
    <xf numFmtId="43" fontId="11" fillId="0" borderId="17" xfId="0" applyNumberFormat="1" applyFont="1" applyBorder="1" applyAlignment="1">
      <alignment horizontal="center" vertical="center" wrapText="1"/>
    </xf>
    <xf numFmtId="39" fontId="11" fillId="0" borderId="17" xfId="0" applyNumberFormat="1" applyFont="1" applyBorder="1" applyAlignment="1">
      <alignment horizontal="right" vertical="center" wrapText="1"/>
    </xf>
    <xf numFmtId="0" fontId="11" fillId="0" borderId="0" xfId="0" applyFont="1" applyAlignment="1">
      <alignment vertical="center" wrapText="1"/>
    </xf>
    <xf numFmtId="39" fontId="10" fillId="0" borderId="17" xfId="0" applyNumberFormat="1" applyFont="1" applyBorder="1" applyAlignment="1">
      <alignment horizontal="right" vertical="center" wrapText="1"/>
    </xf>
    <xf numFmtId="0" fontId="10" fillId="0" borderId="0" xfId="0" applyFont="1" applyAlignment="1">
      <alignment vertical="center" wrapText="1"/>
    </xf>
    <xf numFmtId="43" fontId="10" fillId="0" borderId="0" xfId="0" applyNumberFormat="1" applyFont="1" applyAlignment="1">
      <alignment vertical="center" wrapText="1"/>
    </xf>
    <xf numFmtId="0" fontId="10" fillId="31" borderId="0" xfId="0" applyFont="1" applyFill="1" applyAlignment="1">
      <alignment vertical="center" wrapText="1"/>
    </xf>
    <xf numFmtId="0" fontId="102" fillId="0" borderId="0" xfId="513" applyFont="1" applyAlignment="1">
      <alignment vertical="center" wrapText="1"/>
    </xf>
    <xf numFmtId="0" fontId="14" fillId="0" borderId="0" xfId="0" applyFont="1" applyAlignment="1">
      <alignment vertical="center" wrapText="1"/>
    </xf>
    <xf numFmtId="0" fontId="15" fillId="0" borderId="0" xfId="0" applyFont="1" applyAlignment="1">
      <alignment vertical="center" wrapText="1"/>
    </xf>
    <xf numFmtId="170" fontId="108" fillId="0" borderId="17" xfId="0" applyNumberFormat="1" applyFont="1" applyBorder="1" applyAlignment="1">
      <alignment horizontal="center" vertical="center" wrapText="1"/>
    </xf>
    <xf numFmtId="0" fontId="7" fillId="0" borderId="0" xfId="0" applyFont="1" applyAlignment="1">
      <alignment vertical="center" wrapText="1"/>
    </xf>
    <xf numFmtId="0" fontId="160" fillId="0" borderId="17" xfId="0" applyFont="1" applyBorder="1" applyAlignment="1">
      <alignment horizontal="center" vertical="center" wrapText="1"/>
    </xf>
    <xf numFmtId="39" fontId="9" fillId="0" borderId="17" xfId="0" applyNumberFormat="1" applyFont="1" applyBorder="1" applyAlignment="1">
      <alignment horizontal="right" vertical="center" wrapText="1"/>
    </xf>
    <xf numFmtId="0" fontId="18" fillId="0" borderId="17" xfId="0" applyFont="1" applyBorder="1" applyAlignment="1">
      <alignment horizontal="center" vertical="center" wrapText="1"/>
    </xf>
    <xf numFmtId="4" fontId="104" fillId="0" borderId="17" xfId="455" applyNumberFormat="1" applyFont="1" applyBorder="1" applyAlignment="1">
      <alignment vertical="center" wrapText="1"/>
    </xf>
    <xf numFmtId="167" fontId="7" fillId="0" borderId="17" xfId="409" quotePrefix="1" applyNumberFormat="1" applyFont="1" applyBorder="1" applyAlignment="1">
      <alignment horizontal="center" vertical="center" wrapText="1"/>
    </xf>
    <xf numFmtId="167" fontId="7" fillId="0" borderId="17" xfId="409" applyNumberFormat="1" applyFont="1" applyBorder="1" applyAlignment="1">
      <alignment horizontal="center" vertical="center" wrapText="1"/>
    </xf>
    <xf numFmtId="4" fontId="108" fillId="0" borderId="0" xfId="524" applyNumberFormat="1" applyFont="1" applyAlignment="1">
      <alignment vertical="center"/>
    </xf>
    <xf numFmtId="0" fontId="9" fillId="0" borderId="0" xfId="0" applyFont="1" applyAlignment="1">
      <alignment vertical="center" wrapText="1"/>
    </xf>
    <xf numFmtId="0" fontId="9" fillId="31" borderId="0" xfId="0" applyFont="1" applyFill="1" applyAlignment="1">
      <alignment vertical="center" wrapText="1"/>
    </xf>
    <xf numFmtId="0" fontId="11" fillId="0" borderId="8" xfId="0" applyFont="1" applyBorder="1" applyAlignment="1">
      <alignment horizontal="center" vertical="center" wrapText="1"/>
    </xf>
    <xf numFmtId="0" fontId="11" fillId="0" borderId="8" xfId="0" applyFont="1" applyBorder="1" applyAlignment="1">
      <alignment horizontal="left" vertical="center" wrapText="1"/>
    </xf>
    <xf numFmtId="4" fontId="11" fillId="0" borderId="8" xfId="0" applyNumberFormat="1" applyFont="1" applyBorder="1" applyAlignment="1">
      <alignment horizontal="center" vertical="center" wrapText="1"/>
    </xf>
    <xf numFmtId="4" fontId="10" fillId="0" borderId="8" xfId="0" applyNumberFormat="1" applyFont="1" applyBorder="1" applyAlignment="1">
      <alignment horizontal="center" vertical="center" wrapText="1"/>
    </xf>
    <xf numFmtId="4" fontId="10" fillId="0" borderId="0" xfId="0" applyNumberFormat="1" applyFont="1" applyAlignment="1">
      <alignment horizontal="center" vertical="center" wrapText="1"/>
    </xf>
    <xf numFmtId="4" fontId="9" fillId="0" borderId="17" xfId="0" applyNumberFormat="1" applyFont="1" applyBorder="1" applyAlignment="1">
      <alignment vertical="center" wrapText="1"/>
    </xf>
    <xf numFmtId="4" fontId="9" fillId="0" borderId="17" xfId="0" applyNumberFormat="1" applyFont="1" applyBorder="1" applyAlignment="1">
      <alignment horizontal="center" vertical="center" wrapText="1"/>
    </xf>
    <xf numFmtId="4" fontId="108" fillId="0" borderId="17" xfId="512" applyNumberFormat="1" applyFont="1" applyBorder="1" applyAlignment="1">
      <alignment horizontal="right" vertical="center"/>
    </xf>
    <xf numFmtId="0" fontId="172" fillId="0" borderId="17" xfId="0" applyFont="1" applyBorder="1" applyAlignment="1">
      <alignment horizontal="center" vertical="center" wrapText="1"/>
    </xf>
    <xf numFmtId="0" fontId="172" fillId="0" borderId="17" xfId="0" applyFont="1" applyBorder="1" applyAlignment="1">
      <alignment vertical="center" wrapText="1"/>
    </xf>
    <xf numFmtId="4" fontId="160" fillId="0" borderId="17" xfId="512" applyNumberFormat="1" applyFont="1" applyBorder="1" applyAlignment="1">
      <alignment horizontal="right" vertical="center"/>
    </xf>
    <xf numFmtId="0" fontId="10" fillId="27" borderId="0" xfId="0" applyFont="1" applyFill="1" applyAlignment="1">
      <alignment vertical="center" wrapText="1"/>
    </xf>
    <xf numFmtId="4" fontId="9" fillId="0" borderId="17" xfId="524" applyNumberFormat="1" applyFont="1" applyBorder="1" applyAlignment="1">
      <alignment horizontal="right" vertical="center"/>
    </xf>
    <xf numFmtId="0" fontId="10" fillId="0" borderId="0" xfId="0" applyFont="1" applyAlignment="1">
      <alignment horizontal="center" vertical="center" wrapText="1"/>
    </xf>
    <xf numFmtId="170" fontId="10" fillId="0" borderId="0" xfId="0" applyNumberFormat="1" applyFont="1" applyAlignment="1">
      <alignment vertical="center" wrapText="1"/>
    </xf>
    <xf numFmtId="170" fontId="10" fillId="23" borderId="0" xfId="0" applyNumberFormat="1" applyFont="1" applyFill="1" applyAlignment="1">
      <alignment vertical="center" wrapText="1"/>
    </xf>
    <xf numFmtId="0" fontId="10" fillId="0" borderId="26" xfId="0" applyFont="1" applyBorder="1" applyAlignment="1">
      <alignment vertical="center" wrapText="1"/>
    </xf>
    <xf numFmtId="0" fontId="31" fillId="0" borderId="17" xfId="0" applyFont="1" applyBorder="1" applyAlignment="1">
      <alignment horizontal="center" vertical="center" wrapText="1"/>
    </xf>
    <xf numFmtId="0" fontId="31" fillId="0" borderId="17" xfId="0" applyFont="1" applyBorder="1" applyAlignment="1">
      <alignment horizontal="left" vertical="center" wrapText="1"/>
    </xf>
    <xf numFmtId="0" fontId="11" fillId="0" borderId="17" xfId="0" applyFont="1" applyBorder="1" applyAlignment="1">
      <alignment horizontal="justify" vertical="center" wrapText="1"/>
    </xf>
    <xf numFmtId="0" fontId="9" fillId="0" borderId="17" xfId="0" applyFont="1" applyBorder="1" applyAlignment="1">
      <alignment horizontal="justify" vertical="center" wrapText="1"/>
    </xf>
    <xf numFmtId="0" fontId="10" fillId="0" borderId="17" xfId="0" applyFont="1" applyBorder="1" applyAlignment="1">
      <alignment horizontal="justify" vertical="center" wrapText="1"/>
    </xf>
    <xf numFmtId="0" fontId="10" fillId="0" borderId="17" xfId="0" applyFont="1" applyBorder="1" applyAlignment="1">
      <alignment horizontal="justify" vertical="center"/>
    </xf>
    <xf numFmtId="203" fontId="10" fillId="0" borderId="17" xfId="0" applyNumberFormat="1" applyFont="1" applyBorder="1" applyAlignment="1">
      <alignment horizontal="center" vertical="center" wrapText="1"/>
    </xf>
    <xf numFmtId="0" fontId="173" fillId="0" borderId="17" xfId="0" applyFont="1" applyBorder="1" applyAlignment="1">
      <alignment horizontal="center" vertical="center" wrapText="1"/>
    </xf>
    <xf numFmtId="0" fontId="173" fillId="0" borderId="17" xfId="0" applyFont="1" applyBorder="1" applyAlignment="1">
      <alignment vertical="center" wrapText="1"/>
    </xf>
    <xf numFmtId="4" fontId="173" fillId="0" borderId="17" xfId="0" applyNumberFormat="1" applyFont="1" applyBorder="1" applyAlignment="1">
      <alignment horizontal="right" vertical="center" wrapText="1"/>
    </xf>
    <xf numFmtId="0" fontId="174" fillId="0" borderId="0" xfId="0" applyFont="1"/>
    <xf numFmtId="0" fontId="173" fillId="0" borderId="17" xfId="0" applyFont="1" applyBorder="1" applyAlignment="1">
      <alignment vertical="center"/>
    </xf>
    <xf numFmtId="43" fontId="11" fillId="0" borderId="17" xfId="0" applyNumberFormat="1" applyFont="1" applyBorder="1" applyAlignment="1">
      <alignment horizontal="right" vertical="center" wrapText="1"/>
    </xf>
    <xf numFmtId="4" fontId="120" fillId="0" borderId="0" xfId="343" applyNumberFormat="1" applyFont="1"/>
    <xf numFmtId="4" fontId="18" fillId="0" borderId="17" xfId="0" applyNumberFormat="1" applyFont="1" applyBorder="1" applyAlignment="1">
      <alignment horizontal="right" vertical="center" wrapText="1"/>
    </xf>
    <xf numFmtId="4" fontId="0" fillId="0" borderId="0" xfId="0" applyNumberFormat="1"/>
    <xf numFmtId="0" fontId="176" fillId="0" borderId="17" xfId="0" applyFont="1" applyBorder="1" applyAlignment="1">
      <alignment horizontal="center" vertical="center" wrapText="1"/>
    </xf>
    <xf numFmtId="0" fontId="177" fillId="0" borderId="17" xfId="0" applyFont="1" applyBorder="1" applyAlignment="1">
      <alignment horizontal="center" vertical="center" wrapText="1"/>
    </xf>
    <xf numFmtId="0" fontId="178" fillId="0" borderId="17" xfId="0" applyFont="1" applyBorder="1" applyAlignment="1">
      <alignment horizontal="center" vertical="center" wrapText="1"/>
    </xf>
    <xf numFmtId="0" fontId="178" fillId="0" borderId="17" xfId="0" applyFont="1" applyBorder="1" applyAlignment="1">
      <alignment horizontal="justify" vertical="center" wrapText="1"/>
    </xf>
    <xf numFmtId="0" fontId="178" fillId="0" borderId="17" xfId="0" applyFont="1" applyBorder="1" applyAlignment="1">
      <alignment horizontal="center" vertical="center"/>
    </xf>
    <xf numFmtId="4" fontId="178" fillId="0" borderId="17" xfId="0" applyNumberFormat="1" applyFont="1" applyBorder="1" applyAlignment="1">
      <alignment horizontal="right" vertical="center" wrapText="1"/>
    </xf>
    <xf numFmtId="4" fontId="179" fillId="0" borderId="17" xfId="0" applyNumberFormat="1" applyFont="1" applyBorder="1" applyAlignment="1">
      <alignment horizontal="right" vertical="center" wrapText="1"/>
    </xf>
    <xf numFmtId="4" fontId="180" fillId="0" borderId="17" xfId="0" applyNumberFormat="1" applyFont="1" applyBorder="1" applyAlignment="1">
      <alignment horizontal="right" vertical="center" wrapText="1"/>
    </xf>
    <xf numFmtId="0" fontId="180" fillId="0" borderId="17" xfId="0" applyFont="1" applyBorder="1" applyAlignment="1">
      <alignment horizontal="right" vertical="center" wrapText="1"/>
    </xf>
    <xf numFmtId="0" fontId="181" fillId="0" borderId="17" xfId="0" applyFont="1" applyBorder="1" applyAlignment="1">
      <alignment horizontal="justify" vertical="center" wrapText="1"/>
    </xf>
    <xf numFmtId="0" fontId="182" fillId="0" borderId="17" xfId="0" applyFont="1" applyBorder="1" applyAlignment="1">
      <alignment horizontal="center" vertical="center"/>
    </xf>
    <xf numFmtId="0" fontId="181" fillId="0" borderId="17" xfId="0" applyFont="1" applyBorder="1" applyAlignment="1">
      <alignment horizontal="right" vertical="center" wrapText="1"/>
    </xf>
    <xf numFmtId="0" fontId="183" fillId="0" borderId="17" xfId="0" applyFont="1" applyBorder="1" applyAlignment="1">
      <alignment vertical="center" wrapText="1"/>
    </xf>
    <xf numFmtId="0" fontId="184" fillId="0" borderId="17" xfId="0" applyFont="1" applyBorder="1" applyAlignment="1">
      <alignment horizontal="center" vertical="center"/>
    </xf>
    <xf numFmtId="0" fontId="182" fillId="0" borderId="17" xfId="0" applyFont="1" applyBorder="1" applyAlignment="1">
      <alignment horizontal="justify" vertical="center" wrapText="1"/>
    </xf>
    <xf numFmtId="4" fontId="182" fillId="0" borderId="17" xfId="0" applyNumberFormat="1" applyFont="1" applyBorder="1" applyAlignment="1">
      <alignment horizontal="right" vertical="center" wrapText="1"/>
    </xf>
    <xf numFmtId="4" fontId="185" fillId="0" borderId="17" xfId="0" applyNumberFormat="1" applyFont="1" applyBorder="1" applyAlignment="1">
      <alignment horizontal="right" vertical="center" wrapText="1"/>
    </xf>
    <xf numFmtId="0" fontId="183" fillId="0" borderId="17" xfId="0" applyFont="1" applyBorder="1" applyAlignment="1">
      <alignment horizontal="right" vertical="center" wrapText="1"/>
    </xf>
    <xf numFmtId="0" fontId="181" fillId="0" borderId="17" xfId="0" applyFont="1" applyBorder="1" applyAlignment="1">
      <alignment vertical="center" wrapText="1"/>
    </xf>
    <xf numFmtId="0" fontId="181" fillId="0" borderId="17" xfId="0" applyFont="1" applyBorder="1" applyAlignment="1">
      <alignment horizontal="center" vertical="center"/>
    </xf>
    <xf numFmtId="4" fontId="181" fillId="0" borderId="17" xfId="0" applyNumberFormat="1" applyFont="1" applyBorder="1" applyAlignment="1">
      <alignment horizontal="right" vertical="center" wrapText="1"/>
    </xf>
    <xf numFmtId="4" fontId="186" fillId="0" borderId="17" xfId="0" applyNumberFormat="1" applyFont="1" applyBorder="1" applyAlignment="1">
      <alignment horizontal="right" vertical="center" wrapText="1"/>
    </xf>
    <xf numFmtId="4" fontId="183" fillId="0" borderId="17" xfId="0" applyNumberFormat="1" applyFont="1" applyBorder="1" applyAlignment="1">
      <alignment horizontal="right" vertical="center" wrapText="1"/>
    </xf>
    <xf numFmtId="0" fontId="187" fillId="0" borderId="17" xfId="0" applyFont="1" applyBorder="1" applyAlignment="1">
      <alignment horizontal="right" vertical="center" wrapText="1"/>
    </xf>
    <xf numFmtId="0" fontId="188" fillId="0" borderId="17" xfId="0" applyFont="1" applyBorder="1" applyAlignment="1">
      <alignment horizontal="center" vertical="center"/>
    </xf>
    <xf numFmtId="0" fontId="182" fillId="0" borderId="17" xfId="0" applyFont="1" applyBorder="1" applyAlignment="1">
      <alignment horizontal="right" vertical="center" wrapText="1"/>
    </xf>
    <xf numFmtId="0" fontId="185" fillId="0" borderId="17" xfId="0" applyFont="1" applyBorder="1" applyAlignment="1">
      <alignment horizontal="right" vertical="center" wrapText="1"/>
    </xf>
    <xf numFmtId="0" fontId="182" fillId="0" borderId="17" xfId="0" applyFont="1" applyBorder="1" applyAlignment="1">
      <alignment vertical="center" wrapText="1"/>
    </xf>
    <xf numFmtId="0" fontId="185" fillId="0" borderId="17" xfId="0" applyFont="1" applyBorder="1" applyAlignment="1">
      <alignment horizontal="right" vertical="center"/>
    </xf>
    <xf numFmtId="0" fontId="182" fillId="0" borderId="17" xfId="0" applyFont="1" applyBorder="1" applyAlignment="1">
      <alignment horizontal="center" vertical="center" wrapText="1"/>
    </xf>
    <xf numFmtId="0" fontId="176" fillId="0" borderId="17" xfId="0" applyFont="1" applyBorder="1" applyAlignment="1">
      <alignment vertical="center" wrapText="1"/>
    </xf>
    <xf numFmtId="4" fontId="178" fillId="0" borderId="17" xfId="0" applyNumberFormat="1" applyFont="1" applyBorder="1" applyAlignment="1">
      <alignment horizontal="right" vertical="center"/>
    </xf>
    <xf numFmtId="0" fontId="180" fillId="0" borderId="17" xfId="0" applyFont="1" applyBorder="1" applyAlignment="1">
      <alignment horizontal="center" vertical="center" wrapText="1"/>
    </xf>
    <xf numFmtId="0" fontId="180" fillId="0" borderId="17" xfId="0" applyFont="1" applyBorder="1" applyAlignment="1">
      <alignment vertical="center" wrapText="1"/>
    </xf>
    <xf numFmtId="0" fontId="187" fillId="0" borderId="17" xfId="0" applyFont="1" applyBorder="1" applyAlignment="1">
      <alignment vertical="center" wrapText="1"/>
    </xf>
    <xf numFmtId="0" fontId="183" fillId="0" borderId="17" xfId="0" applyFont="1" applyBorder="1" applyAlignment="1">
      <alignment horizontal="center" vertical="center" wrapText="1"/>
    </xf>
    <xf numFmtId="0" fontId="187" fillId="0" borderId="17" xfId="0" applyFont="1" applyBorder="1" applyAlignment="1">
      <alignment horizontal="center" vertical="center" wrapText="1"/>
    </xf>
    <xf numFmtId="0" fontId="178" fillId="0" borderId="17" xfId="0" applyFont="1" applyBorder="1" applyAlignment="1">
      <alignment vertical="center" wrapText="1"/>
    </xf>
    <xf numFmtId="0" fontId="178" fillId="0" borderId="17" xfId="0" applyFont="1" applyBorder="1" applyAlignment="1">
      <alignment horizontal="right" vertical="center" wrapText="1"/>
    </xf>
    <xf numFmtId="0" fontId="189" fillId="0" borderId="17" xfId="0" applyFont="1" applyBorder="1" applyAlignment="1">
      <alignment horizontal="center" vertical="center" wrapText="1"/>
    </xf>
    <xf numFmtId="0" fontId="190" fillId="0" borderId="17" xfId="0" applyFont="1" applyBorder="1" applyAlignment="1">
      <alignment horizontal="center" vertical="center" wrapText="1"/>
    </xf>
    <xf numFmtId="0" fontId="189" fillId="0" borderId="17" xfId="0" applyFont="1" applyBorder="1" applyAlignment="1">
      <alignment horizontal="center" vertical="center"/>
    </xf>
    <xf numFmtId="0" fontId="189" fillId="0" borderId="17" xfId="0" applyFont="1" applyBorder="1" applyAlignment="1">
      <alignment vertical="center" wrapText="1"/>
    </xf>
    <xf numFmtId="0" fontId="190" fillId="0" borderId="17" xfId="0" applyFont="1" applyBorder="1" applyAlignment="1">
      <alignment vertical="center" wrapText="1"/>
    </xf>
    <xf numFmtId="4" fontId="189" fillId="0" borderId="17" xfId="0" applyNumberFormat="1" applyFont="1" applyBorder="1" applyAlignment="1">
      <alignment horizontal="right" vertical="center" wrapText="1"/>
    </xf>
    <xf numFmtId="0" fontId="191" fillId="0" borderId="17" xfId="0" applyFont="1" applyBorder="1" applyAlignment="1">
      <alignment horizontal="center" vertical="center"/>
    </xf>
    <xf numFmtId="0" fontId="191" fillId="0" borderId="17" xfId="0" applyFont="1" applyBorder="1" applyAlignment="1">
      <alignment vertical="center" wrapText="1"/>
    </xf>
    <xf numFmtId="0" fontId="191" fillId="0" borderId="17" xfId="0" applyFont="1" applyBorder="1" applyAlignment="1">
      <alignment horizontal="center" vertical="center" wrapText="1"/>
    </xf>
    <xf numFmtId="0" fontId="190" fillId="0" borderId="17" xfId="0" applyFont="1" applyBorder="1" applyAlignment="1">
      <alignment horizontal="right" vertical="center" wrapText="1"/>
    </xf>
    <xf numFmtId="0" fontId="190" fillId="0" borderId="17" xfId="0" applyFont="1" applyBorder="1" applyAlignment="1">
      <alignment horizontal="center" vertical="center"/>
    </xf>
    <xf numFmtId="4" fontId="190" fillId="0" borderId="17" xfId="0" applyNumberFormat="1" applyFont="1" applyBorder="1" applyAlignment="1">
      <alignment horizontal="right" vertical="center" wrapText="1"/>
    </xf>
    <xf numFmtId="4" fontId="187" fillId="0" borderId="17" xfId="0" applyNumberFormat="1" applyFont="1" applyBorder="1" applyAlignment="1">
      <alignment horizontal="right" vertical="center" wrapText="1"/>
    </xf>
    <xf numFmtId="4" fontId="191" fillId="0" borderId="17" xfId="0" applyNumberFormat="1" applyFont="1" applyBorder="1" applyAlignment="1">
      <alignment horizontal="right" vertical="center" wrapText="1"/>
    </xf>
    <xf numFmtId="0" fontId="178" fillId="0" borderId="17" xfId="0" applyFont="1" applyBorder="1" applyAlignment="1">
      <alignment horizontal="right" vertical="center"/>
    </xf>
    <xf numFmtId="4" fontId="11" fillId="0" borderId="17" xfId="0" applyNumberFormat="1" applyFont="1" applyBorder="1" applyAlignment="1">
      <alignment horizontal="center" vertical="center" wrapText="1"/>
    </xf>
    <xf numFmtId="4" fontId="10" fillId="0" borderId="17" xfId="0" applyNumberFormat="1" applyFont="1" applyBorder="1" applyAlignment="1">
      <alignment horizontal="center" vertical="center" wrapText="1"/>
    </xf>
    <xf numFmtId="4" fontId="180" fillId="0" borderId="17" xfId="0" applyNumberFormat="1" applyFont="1" applyBorder="1" applyAlignment="1">
      <alignment horizontal="center" vertical="center" wrapText="1"/>
    </xf>
    <xf numFmtId="4" fontId="7" fillId="0" borderId="17" xfId="0" applyNumberFormat="1" applyFont="1" applyBorder="1" applyAlignment="1">
      <alignment vertical="center" wrapText="1"/>
    </xf>
    <xf numFmtId="4" fontId="178" fillId="0" borderId="17" xfId="0" applyNumberFormat="1" applyFont="1" applyBorder="1" applyAlignment="1">
      <alignment horizontal="center" vertical="center" wrapText="1"/>
    </xf>
    <xf numFmtId="4" fontId="183" fillId="0" borderId="17" xfId="0" applyNumberFormat="1" applyFont="1" applyBorder="1" applyAlignment="1">
      <alignment vertical="center" wrapText="1"/>
    </xf>
    <xf numFmtId="4" fontId="192" fillId="0" borderId="17" xfId="0" applyNumberFormat="1" applyFont="1" applyBorder="1" applyAlignment="1">
      <alignment horizontal="right" vertical="center" wrapText="1"/>
    </xf>
    <xf numFmtId="0" fontId="179" fillId="0" borderId="17" xfId="0" applyFont="1" applyBorder="1" applyAlignment="1">
      <alignment horizontal="center" vertical="center" wrapText="1"/>
    </xf>
    <xf numFmtId="0" fontId="179" fillId="0" borderId="17" xfId="0" applyFont="1" applyBorder="1" applyAlignment="1">
      <alignment vertical="center" wrapText="1"/>
    </xf>
    <xf numFmtId="0" fontId="179" fillId="0" borderId="17" xfId="0" applyFont="1" applyBorder="1" applyAlignment="1">
      <alignment horizontal="justify" vertical="center" wrapText="1"/>
    </xf>
    <xf numFmtId="0" fontId="179" fillId="0" borderId="17" xfId="0" applyFont="1" applyBorder="1" applyAlignment="1">
      <alignment horizontal="center" vertical="center"/>
    </xf>
    <xf numFmtId="0" fontId="186" fillId="0" borderId="17" xfId="0" applyFont="1" applyBorder="1" applyAlignment="1">
      <alignment horizontal="justify" vertical="center" wrapText="1"/>
    </xf>
    <xf numFmtId="0" fontId="185" fillId="0" borderId="17" xfId="0" applyFont="1" applyBorder="1" applyAlignment="1">
      <alignment horizontal="center" vertical="center"/>
    </xf>
    <xf numFmtId="0" fontId="185" fillId="0" borderId="17" xfId="0" applyFont="1" applyBorder="1" applyAlignment="1">
      <alignment horizontal="justify" vertical="center" wrapText="1"/>
    </xf>
    <xf numFmtId="0" fontId="186" fillId="0" borderId="17" xfId="0" applyFont="1" applyBorder="1" applyAlignment="1">
      <alignment vertical="center" wrapText="1"/>
    </xf>
    <xf numFmtId="0" fontId="186" fillId="0" borderId="17" xfId="0" applyFont="1" applyBorder="1" applyAlignment="1">
      <alignment horizontal="center" vertical="center"/>
    </xf>
    <xf numFmtId="0" fontId="185" fillId="0" borderId="17" xfId="0" applyFont="1" applyBorder="1" applyAlignment="1">
      <alignment vertical="center" wrapText="1"/>
    </xf>
    <xf numFmtId="0" fontId="185" fillId="0" borderId="17" xfId="0" applyFont="1" applyBorder="1" applyAlignment="1">
      <alignment horizontal="center" vertical="center" wrapText="1"/>
    </xf>
    <xf numFmtId="0" fontId="193" fillId="0" borderId="17" xfId="0" applyFont="1" applyBorder="1" applyAlignment="1">
      <alignment horizontal="center" vertical="center" wrapText="1"/>
    </xf>
    <xf numFmtId="0" fontId="193" fillId="0" borderId="17" xfId="0" applyFont="1" applyBorder="1" applyAlignment="1">
      <alignment vertical="center" wrapText="1"/>
    </xf>
    <xf numFmtId="4" fontId="194" fillId="0" borderId="17" xfId="0" applyNumberFormat="1" applyFont="1" applyBorder="1" applyAlignment="1">
      <alignment horizontal="right" vertical="center" wrapText="1"/>
    </xf>
    <xf numFmtId="4" fontId="179" fillId="0" borderId="17" xfId="0" applyNumberFormat="1" applyFont="1" applyBorder="1" applyAlignment="1">
      <alignment horizontal="center" vertical="center" wrapText="1"/>
    </xf>
    <xf numFmtId="4" fontId="194" fillId="0" borderId="17" xfId="0" applyNumberFormat="1" applyFont="1" applyBorder="1" applyAlignment="1">
      <alignment vertical="center" wrapText="1"/>
    </xf>
    <xf numFmtId="4" fontId="195" fillId="0" borderId="17" xfId="0" applyNumberFormat="1" applyFont="1" applyBorder="1" applyAlignment="1">
      <alignment horizontal="right" vertical="center" wrapText="1"/>
    </xf>
    <xf numFmtId="43" fontId="10" fillId="0" borderId="17" xfId="0" applyNumberFormat="1" applyFont="1" applyBorder="1" applyAlignment="1">
      <alignment horizontal="right" vertical="center" wrapText="1"/>
    </xf>
    <xf numFmtId="0" fontId="31" fillId="0" borderId="17" xfId="336" applyFont="1" applyBorder="1" applyAlignment="1">
      <alignment vertical="center" wrapText="1"/>
    </xf>
    <xf numFmtId="0" fontId="31" fillId="0" borderId="17" xfId="339" applyFont="1" applyBorder="1" applyAlignment="1">
      <alignment vertical="center" wrapText="1"/>
    </xf>
    <xf numFmtId="0" fontId="125" fillId="0" borderId="17" xfId="343" applyFont="1" applyBorder="1" applyAlignment="1">
      <alignment horizontal="center"/>
    </xf>
    <xf numFmtId="0" fontId="125" fillId="0" borderId="17" xfId="343" applyFont="1" applyBorder="1" applyAlignment="1">
      <alignment horizontal="center" vertical="center"/>
    </xf>
    <xf numFmtId="43" fontId="120" fillId="0" borderId="0" xfId="68" applyFont="1" applyFill="1" applyAlignment="1">
      <alignment vertical="center" wrapText="1"/>
    </xf>
    <xf numFmtId="43" fontId="120" fillId="29" borderId="0" xfId="68" applyFont="1" applyFill="1" applyAlignment="1">
      <alignment vertical="center" wrapText="1"/>
    </xf>
    <xf numFmtId="0" fontId="125" fillId="0" borderId="17" xfId="343" applyFont="1" applyBorder="1" applyAlignment="1">
      <alignment horizontal="left" vertical="center"/>
    </xf>
    <xf numFmtId="0" fontId="125" fillId="0" borderId="17" xfId="343" applyFont="1" applyBorder="1" applyAlignment="1">
      <alignment horizontal="left" vertical="center" wrapText="1"/>
    </xf>
    <xf numFmtId="43" fontId="121" fillId="23" borderId="0" xfId="513" applyNumberFormat="1" applyFont="1" applyFill="1" applyAlignment="1">
      <alignment vertical="center" wrapText="1"/>
    </xf>
    <xf numFmtId="3" fontId="121" fillId="23" borderId="0" xfId="513" applyNumberFormat="1" applyFont="1" applyFill="1" applyAlignment="1">
      <alignment vertical="center" wrapText="1"/>
    </xf>
    <xf numFmtId="170" fontId="121" fillId="23" borderId="0" xfId="513" applyNumberFormat="1" applyFont="1" applyFill="1" applyAlignment="1">
      <alignment vertical="center" wrapText="1"/>
    </xf>
    <xf numFmtId="0" fontId="122" fillId="0" borderId="0" xfId="0" applyFont="1" applyAlignment="1">
      <alignment horizontal="center" vertical="center"/>
    </xf>
    <xf numFmtId="170" fontId="123" fillId="0" borderId="2" xfId="0" applyNumberFormat="1" applyFont="1" applyBorder="1" applyAlignment="1">
      <alignment vertical="center"/>
    </xf>
    <xf numFmtId="170" fontId="123" fillId="0" borderId="2" xfId="0" applyNumberFormat="1" applyFont="1" applyBorder="1" applyAlignment="1">
      <alignment horizontal="center" vertical="center"/>
    </xf>
    <xf numFmtId="43" fontId="123" fillId="0" borderId="2" xfId="0" applyNumberFormat="1" applyFont="1" applyBorder="1" applyAlignment="1">
      <alignment vertical="center"/>
    </xf>
    <xf numFmtId="3" fontId="123" fillId="0" borderId="2" xfId="0" applyNumberFormat="1" applyFont="1" applyBorder="1" applyAlignment="1">
      <alignment vertical="center"/>
    </xf>
    <xf numFmtId="0" fontId="122" fillId="0" borderId="0" xfId="0" applyFont="1" applyAlignment="1">
      <alignment vertical="center"/>
    </xf>
    <xf numFmtId="167" fontId="128" fillId="0" borderId="17" xfId="389" applyNumberFormat="1" applyFont="1" applyBorder="1" applyAlignment="1">
      <alignment horizontal="center" vertical="center" wrapText="1"/>
    </xf>
    <xf numFmtId="167" fontId="128" fillId="0" borderId="17" xfId="389" applyNumberFormat="1" applyFont="1" applyBorder="1" applyAlignment="1">
      <alignment horizontal="center" vertical="center"/>
    </xf>
    <xf numFmtId="170" fontId="124" fillId="0" borderId="17" xfId="513" applyNumberFormat="1" applyFont="1" applyBorder="1" applyAlignment="1">
      <alignment horizontal="left" vertical="center" wrapText="1"/>
    </xf>
    <xf numFmtId="170" fontId="124" fillId="0" borderId="17" xfId="0" applyNumberFormat="1" applyFont="1" applyBorder="1" applyAlignment="1">
      <alignment horizontal="center" vertical="center" wrapText="1"/>
    </xf>
    <xf numFmtId="4" fontId="124" fillId="0" borderId="17" xfId="68" applyNumberFormat="1" applyFont="1" applyFill="1" applyBorder="1" applyAlignment="1">
      <alignment horizontal="right" vertical="center" wrapText="1"/>
    </xf>
    <xf numFmtId="3" fontId="124" fillId="0" borderId="17" xfId="68" applyNumberFormat="1" applyFont="1" applyFill="1" applyBorder="1" applyAlignment="1">
      <alignment horizontal="right" vertical="center" wrapText="1"/>
    </xf>
    <xf numFmtId="0" fontId="196" fillId="0" borderId="0" xfId="0" applyFont="1" applyAlignment="1">
      <alignment vertical="center" wrapText="1"/>
    </xf>
    <xf numFmtId="173" fontId="124" fillId="0" borderId="17" xfId="0" applyNumberFormat="1" applyFont="1" applyBorder="1" applyAlignment="1">
      <alignment horizontal="center" vertical="center"/>
    </xf>
    <xf numFmtId="170" fontId="124" fillId="0" borderId="17" xfId="0" applyNumberFormat="1" applyFont="1" applyBorder="1" applyAlignment="1">
      <alignment vertical="center" wrapText="1"/>
    </xf>
    <xf numFmtId="0" fontId="124" fillId="0" borderId="17" xfId="0" applyFont="1" applyBorder="1" applyAlignment="1">
      <alignment horizontal="center" vertical="center" wrapText="1"/>
    </xf>
    <xf numFmtId="43" fontId="124" fillId="0" borderId="17" xfId="68" applyFont="1" applyFill="1" applyBorder="1" applyAlignment="1">
      <alignment horizontal="right" vertical="center" wrapText="1"/>
    </xf>
    <xf numFmtId="2" fontId="128" fillId="0" borderId="0" xfId="0" applyNumberFormat="1" applyFont="1" applyAlignment="1">
      <alignment vertical="center" wrapText="1"/>
    </xf>
    <xf numFmtId="170" fontId="126" fillId="0" borderId="17" xfId="0" applyNumberFormat="1" applyFont="1" applyBorder="1" applyAlignment="1">
      <alignment horizontal="center" vertical="center"/>
    </xf>
    <xf numFmtId="170" fontId="126" fillId="0" borderId="17" xfId="0" applyNumberFormat="1" applyFont="1" applyBorder="1" applyAlignment="1">
      <alignment vertical="center" wrapText="1"/>
    </xf>
    <xf numFmtId="0" fontId="126" fillId="0" borderId="17" xfId="0" applyFont="1" applyBorder="1" applyAlignment="1">
      <alignment horizontal="center" vertical="center" wrapText="1"/>
    </xf>
    <xf numFmtId="43" fontId="125" fillId="0" borderId="17" xfId="68" applyFont="1" applyFill="1" applyBorder="1" applyAlignment="1">
      <alignment horizontal="right" vertical="center" wrapText="1"/>
    </xf>
    <xf numFmtId="2" fontId="127" fillId="0" borderId="0" xfId="0" applyNumberFormat="1" applyFont="1" applyAlignment="1">
      <alignment vertical="center" wrapText="1"/>
    </xf>
    <xf numFmtId="170" fontId="125" fillId="0" borderId="17" xfId="0" applyNumberFormat="1" applyFont="1" applyBorder="1" applyAlignment="1">
      <alignment horizontal="center" vertical="center"/>
    </xf>
    <xf numFmtId="0" fontId="125" fillId="0" borderId="17" xfId="0" applyFont="1" applyBorder="1" applyAlignment="1">
      <alignment vertical="center" wrapText="1"/>
    </xf>
    <xf numFmtId="4" fontId="125" fillId="0" borderId="17" xfId="68" applyNumberFormat="1" applyFont="1" applyFill="1" applyBorder="1" applyAlignment="1">
      <alignment horizontal="right" vertical="center" wrapText="1"/>
    </xf>
    <xf numFmtId="0" fontId="126" fillId="0" borderId="17" xfId="0" applyFont="1" applyBorder="1" applyAlignment="1">
      <alignment vertical="center" wrapText="1"/>
    </xf>
    <xf numFmtId="43" fontId="126" fillId="0" borderId="17" xfId="68" applyFont="1" applyFill="1" applyBorder="1" applyAlignment="1">
      <alignment horizontal="right" vertical="center" wrapText="1"/>
    </xf>
    <xf numFmtId="2" fontId="128" fillId="23" borderId="0" xfId="0" applyNumberFormat="1" applyFont="1" applyFill="1" applyAlignment="1">
      <alignment vertical="center" wrapText="1"/>
    </xf>
    <xf numFmtId="0" fontId="128" fillId="23" borderId="0" xfId="0" applyFont="1" applyFill="1" applyAlignment="1">
      <alignment vertical="center" wrapText="1"/>
    </xf>
    <xf numFmtId="2" fontId="127" fillId="23" borderId="0" xfId="0" applyNumberFormat="1" applyFont="1" applyFill="1" applyAlignment="1">
      <alignment vertical="center" wrapText="1"/>
    </xf>
    <xf numFmtId="0" fontId="127" fillId="23" borderId="0" xfId="0" applyFont="1" applyFill="1" applyAlignment="1">
      <alignment vertical="center" wrapText="1"/>
    </xf>
    <xf numFmtId="43" fontId="125" fillId="0" borderId="17" xfId="68" applyFont="1" applyFill="1" applyBorder="1" applyAlignment="1">
      <alignment horizontal="center" vertical="center"/>
    </xf>
    <xf numFmtId="2" fontId="128" fillId="0" borderId="0" xfId="68" applyNumberFormat="1" applyFont="1" applyFill="1" applyAlignment="1">
      <alignment vertical="center" wrapText="1"/>
    </xf>
    <xf numFmtId="170" fontId="124" fillId="0" borderId="17" xfId="0" applyNumberFormat="1" applyFont="1" applyBorder="1" applyAlignment="1">
      <alignment horizontal="center" vertical="center"/>
    </xf>
    <xf numFmtId="0" fontId="128" fillId="27" borderId="0" xfId="0" applyFont="1" applyFill="1" applyAlignment="1">
      <alignment vertical="center" wrapText="1"/>
    </xf>
    <xf numFmtId="0" fontId="127" fillId="31" borderId="0" xfId="0" applyFont="1" applyFill="1" applyAlignment="1">
      <alignment vertical="center" wrapText="1"/>
    </xf>
    <xf numFmtId="0" fontId="128" fillId="31" borderId="0" xfId="0" applyFont="1" applyFill="1" applyAlignment="1">
      <alignment vertical="center" wrapText="1"/>
    </xf>
    <xf numFmtId="170" fontId="125" fillId="0" borderId="17" xfId="0" applyNumberFormat="1" applyFont="1" applyBorder="1" applyAlignment="1">
      <alignment horizontal="left" vertical="center" wrapText="1"/>
    </xf>
    <xf numFmtId="170" fontId="125" fillId="0" borderId="17" xfId="0" applyNumberFormat="1" applyFont="1" applyBorder="1" applyAlignment="1">
      <alignment horizontal="center" vertical="center" wrapText="1"/>
    </xf>
    <xf numFmtId="170" fontId="124" fillId="0" borderId="17" xfId="0" applyNumberFormat="1" applyFont="1" applyBorder="1" applyAlignment="1">
      <alignment horizontal="left" vertical="center" wrapText="1"/>
    </xf>
    <xf numFmtId="0" fontId="197" fillId="0" borderId="0" xfId="0" applyFont="1" applyAlignment="1">
      <alignment vertical="center" wrapText="1"/>
    </xf>
    <xf numFmtId="170" fontId="124" fillId="0" borderId="8" xfId="0" applyNumberFormat="1" applyFont="1" applyBorder="1" applyAlignment="1">
      <alignment horizontal="center" vertical="center" wrapText="1"/>
    </xf>
    <xf numFmtId="170" fontId="124" fillId="0" borderId="8" xfId="0" applyNumberFormat="1" applyFont="1" applyBorder="1" applyAlignment="1">
      <alignment vertical="center" wrapText="1"/>
    </xf>
    <xf numFmtId="43" fontId="124" fillId="0" borderId="17" xfId="0" applyNumberFormat="1" applyFont="1" applyBorder="1" applyAlignment="1">
      <alignment horizontal="right" vertical="center" wrapText="1"/>
    </xf>
    <xf numFmtId="228" fontId="124" fillId="0" borderId="17" xfId="0" applyNumberFormat="1" applyFont="1" applyBorder="1" applyAlignment="1">
      <alignment horizontal="right" vertical="center" wrapText="1"/>
    </xf>
    <xf numFmtId="4" fontId="124" fillId="0" borderId="17" xfId="0" applyNumberFormat="1" applyFont="1" applyBorder="1" applyAlignment="1">
      <alignment horizontal="right" vertical="center" wrapText="1"/>
    </xf>
    <xf numFmtId="0" fontId="198" fillId="0" borderId="17" xfId="0" applyFont="1" applyBorder="1" applyAlignment="1">
      <alignment horizontal="center" vertical="center" wrapText="1"/>
    </xf>
    <xf numFmtId="0" fontId="198" fillId="0" borderId="17" xfId="0" applyFont="1" applyBorder="1" applyAlignment="1">
      <alignment vertical="center" wrapText="1"/>
    </xf>
    <xf numFmtId="43" fontId="198" fillId="0" borderId="17" xfId="68" applyFont="1" applyFill="1" applyBorder="1" applyAlignment="1">
      <alignment horizontal="right" vertical="center" wrapText="1"/>
    </xf>
    <xf numFmtId="224" fontId="198" fillId="0" borderId="17" xfId="68" applyNumberFormat="1" applyFont="1" applyFill="1" applyBorder="1" applyAlignment="1">
      <alignment horizontal="right" vertical="center" wrapText="1"/>
    </xf>
    <xf numFmtId="4" fontId="198" fillId="0" borderId="17" xfId="68" applyNumberFormat="1" applyFont="1" applyFill="1" applyBorder="1" applyAlignment="1">
      <alignment horizontal="right" vertical="center" wrapText="1"/>
    </xf>
    <xf numFmtId="228" fontId="198" fillId="0" borderId="17" xfId="68" applyNumberFormat="1" applyFont="1" applyFill="1" applyBorder="1" applyAlignment="1">
      <alignment horizontal="right" vertical="center" wrapText="1"/>
    </xf>
    <xf numFmtId="3" fontId="198" fillId="0" borderId="17" xfId="0" applyNumberFormat="1" applyFont="1" applyBorder="1" applyAlignment="1">
      <alignment horizontal="right" vertical="center" wrapText="1"/>
    </xf>
    <xf numFmtId="4" fontId="197" fillId="0" borderId="17" xfId="68" applyNumberFormat="1" applyFont="1" applyFill="1" applyBorder="1" applyAlignment="1">
      <alignment horizontal="right" vertical="center" wrapText="1"/>
    </xf>
    <xf numFmtId="4" fontId="120" fillId="0" borderId="17" xfId="68" applyNumberFormat="1" applyFont="1" applyFill="1" applyBorder="1" applyAlignment="1">
      <alignment horizontal="right" vertical="center"/>
    </xf>
    <xf numFmtId="0" fontId="128" fillId="0" borderId="0" xfId="0" applyFont="1" applyAlignment="1">
      <alignment horizontal="center" vertical="center" wrapText="1"/>
    </xf>
    <xf numFmtId="3" fontId="128" fillId="0" borderId="0" xfId="0" applyNumberFormat="1" applyFont="1" applyAlignment="1">
      <alignment horizontal="right" vertical="center" wrapText="1"/>
    </xf>
    <xf numFmtId="170" fontId="128" fillId="0" borderId="0" xfId="0" applyNumberFormat="1" applyFont="1" applyAlignment="1">
      <alignment vertical="center" wrapText="1"/>
    </xf>
    <xf numFmtId="223" fontId="128" fillId="0" borderId="0" xfId="0" applyNumberFormat="1" applyFont="1" applyAlignment="1">
      <alignment vertical="center" wrapText="1"/>
    </xf>
    <xf numFmtId="0" fontId="120" fillId="0" borderId="17" xfId="0" applyFont="1" applyBorder="1" applyAlignment="1">
      <alignment horizontal="center" vertical="center" wrapText="1"/>
    </xf>
    <xf numFmtId="170" fontId="120" fillId="0" borderId="17" xfId="0" applyNumberFormat="1" applyFont="1" applyBorder="1" applyAlignment="1">
      <alignment horizontal="center" vertical="center" wrapText="1"/>
    </xf>
    <xf numFmtId="170" fontId="121" fillId="23" borderId="0" xfId="513" applyNumberFormat="1" applyFont="1" applyFill="1" applyAlignment="1">
      <alignment horizontal="center" vertical="center" wrapText="1"/>
    </xf>
    <xf numFmtId="170" fontId="120" fillId="0" borderId="17" xfId="513" applyNumberFormat="1" applyFont="1" applyBorder="1" applyAlignment="1">
      <alignment horizontal="center" vertical="center" wrapText="1"/>
    </xf>
    <xf numFmtId="0" fontId="122" fillId="0" borderId="0" xfId="0" applyFont="1" applyAlignment="1">
      <alignment horizontal="center" vertical="center" wrapText="1"/>
    </xf>
    <xf numFmtId="170" fontId="199" fillId="0" borderId="0" xfId="607" applyNumberFormat="1" applyFont="1" applyFill="1" applyBorder="1" applyAlignment="1">
      <alignment horizontal="center" vertical="center" wrapText="1"/>
    </xf>
    <xf numFmtId="170" fontId="202" fillId="0" borderId="0" xfId="607" applyNumberFormat="1" applyFont="1" applyFill="1" applyBorder="1" applyAlignment="1">
      <alignment horizontal="center" vertical="center" wrapText="1"/>
    </xf>
    <xf numFmtId="170" fontId="203" fillId="0" borderId="0" xfId="607" applyNumberFormat="1" applyFont="1" applyFill="1" applyBorder="1" applyAlignment="1">
      <alignment horizontal="center" vertical="center" wrapText="1"/>
    </xf>
    <xf numFmtId="170" fontId="202" fillId="0" borderId="0" xfId="607" applyNumberFormat="1" applyFont="1" applyFill="1" applyBorder="1" applyAlignment="1">
      <alignment vertical="center" wrapText="1"/>
    </xf>
    <xf numFmtId="4" fontId="202" fillId="0" borderId="0" xfId="607" applyNumberFormat="1" applyFont="1" applyFill="1" applyBorder="1" applyAlignment="1">
      <alignment horizontal="right" vertical="center" wrapText="1"/>
    </xf>
    <xf numFmtId="4" fontId="202" fillId="0" borderId="0" xfId="607" applyNumberFormat="1" applyFont="1" applyFill="1" applyBorder="1" applyAlignment="1">
      <alignment horizontal="center" vertical="center" wrapText="1"/>
    </xf>
    <xf numFmtId="0" fontId="202" fillId="0" borderId="17" xfId="607" applyNumberFormat="1" applyFont="1" applyFill="1" applyBorder="1" applyAlignment="1">
      <alignment horizontal="center" vertical="center" wrapText="1"/>
    </xf>
    <xf numFmtId="43" fontId="202" fillId="0" borderId="17" xfId="607" applyFont="1" applyFill="1" applyBorder="1" applyAlignment="1">
      <alignment horizontal="center" vertical="center" wrapText="1"/>
    </xf>
    <xf numFmtId="181" fontId="202" fillId="0" borderId="17" xfId="609" applyFont="1" applyFill="1" applyBorder="1" applyAlignment="1">
      <alignment horizontal="center" vertical="center" wrapText="1"/>
    </xf>
    <xf numFmtId="4" fontId="202" fillId="0" borderId="17" xfId="607" applyNumberFormat="1" applyFont="1" applyFill="1" applyBorder="1" applyAlignment="1">
      <alignment horizontal="right" vertical="center" wrapText="1"/>
    </xf>
    <xf numFmtId="43" fontId="202" fillId="0" borderId="17" xfId="607" applyFont="1" applyFill="1" applyBorder="1" applyAlignment="1">
      <alignment horizontal="right" vertical="center" wrapText="1"/>
    </xf>
    <xf numFmtId="3" fontId="162" fillId="0" borderId="17" xfId="607" applyNumberFormat="1" applyFont="1" applyFill="1" applyBorder="1" applyAlignment="1">
      <alignment horizontal="center" vertical="center" wrapText="1"/>
    </xf>
    <xf numFmtId="4" fontId="162" fillId="0" borderId="17" xfId="607" applyNumberFormat="1" applyFont="1" applyFill="1" applyBorder="1" applyAlignment="1">
      <alignment horizontal="right" vertical="center" wrapText="1"/>
    </xf>
    <xf numFmtId="3" fontId="202" fillId="0" borderId="17" xfId="607" applyNumberFormat="1" applyFont="1" applyFill="1" applyBorder="1" applyAlignment="1">
      <alignment horizontal="center" vertical="center" wrapText="1"/>
    </xf>
    <xf numFmtId="4" fontId="162" fillId="0" borderId="17" xfId="607" applyNumberFormat="1" applyFont="1" applyFill="1" applyBorder="1" applyAlignment="1">
      <alignment horizontal="right" vertical="center"/>
    </xf>
    <xf numFmtId="4" fontId="162" fillId="0" borderId="17" xfId="607" applyNumberFormat="1" applyFont="1" applyFill="1" applyBorder="1" applyAlignment="1">
      <alignment horizontal="center" vertical="center" wrapText="1"/>
    </xf>
    <xf numFmtId="4" fontId="162" fillId="0" borderId="17" xfId="611" applyNumberFormat="1" applyFont="1" applyFill="1" applyBorder="1" applyAlignment="1">
      <alignment horizontal="right" vertical="center" wrapText="1"/>
    </xf>
    <xf numFmtId="43" fontId="162" fillId="0" borderId="17" xfId="607" applyFont="1" applyFill="1" applyBorder="1" applyAlignment="1">
      <alignment horizontal="right" vertical="center" wrapText="1"/>
    </xf>
    <xf numFmtId="2" fontId="202" fillId="0" borderId="17" xfId="607" applyNumberFormat="1" applyFont="1" applyFill="1" applyBorder="1" applyAlignment="1">
      <alignment horizontal="right" vertical="center" wrapText="1"/>
    </xf>
    <xf numFmtId="0" fontId="120" fillId="0" borderId="17" xfId="612" applyNumberFormat="1" applyFont="1" applyFill="1" applyBorder="1" applyAlignment="1">
      <alignment horizontal="center" vertical="center" wrapText="1"/>
    </xf>
    <xf numFmtId="4" fontId="120" fillId="0" borderId="17" xfId="612" applyNumberFormat="1" applyFont="1" applyFill="1" applyBorder="1" applyAlignment="1">
      <alignment horizontal="right" vertical="center" wrapText="1"/>
    </xf>
    <xf numFmtId="233" fontId="128" fillId="0" borderId="17" xfId="613" applyNumberFormat="1" applyFont="1" applyFill="1" applyBorder="1" applyAlignment="1">
      <alignment horizontal="center" vertical="center" wrapText="1"/>
    </xf>
    <xf numFmtId="43" fontId="162" fillId="0" borderId="17" xfId="607" applyFont="1" applyFill="1" applyBorder="1" applyAlignment="1">
      <alignment horizontal="right" vertical="center"/>
    </xf>
    <xf numFmtId="3" fontId="163" fillId="0" borderId="17" xfId="607" applyNumberFormat="1" applyFont="1" applyFill="1" applyBorder="1" applyAlignment="1">
      <alignment horizontal="center" vertical="center" wrapText="1"/>
    </xf>
    <xf numFmtId="4" fontId="163" fillId="0" borderId="17" xfId="607" applyNumberFormat="1" applyFont="1" applyFill="1" applyBorder="1" applyAlignment="1">
      <alignment horizontal="right" vertical="center" wrapText="1"/>
    </xf>
    <xf numFmtId="4" fontId="163" fillId="0" borderId="17" xfId="607" applyNumberFormat="1" applyFont="1" applyFill="1" applyBorder="1" applyAlignment="1">
      <alignment horizontal="right" vertical="center"/>
    </xf>
    <xf numFmtId="4" fontId="162" fillId="0" borderId="17" xfId="198" applyNumberFormat="1" applyFont="1" applyFill="1" applyBorder="1" applyAlignment="1">
      <alignment horizontal="right" vertical="center" wrapText="1"/>
    </xf>
    <xf numFmtId="4" fontId="163" fillId="0" borderId="17" xfId="198" applyNumberFormat="1" applyFont="1" applyFill="1" applyBorder="1" applyAlignment="1">
      <alignment horizontal="right" vertical="center" wrapText="1"/>
    </xf>
    <xf numFmtId="181" fontId="162" fillId="0" borderId="17" xfId="609" applyFont="1" applyFill="1" applyBorder="1" applyAlignment="1">
      <alignment horizontal="center" vertical="center" wrapText="1"/>
    </xf>
    <xf numFmtId="4" fontId="163" fillId="0" borderId="17" xfId="607" applyNumberFormat="1" applyFont="1" applyFill="1" applyBorder="1" applyAlignment="1">
      <alignment horizontal="center" vertical="center" wrapText="1"/>
    </xf>
    <xf numFmtId="4" fontId="162" fillId="0" borderId="17" xfId="607" applyNumberFormat="1" applyFont="1" applyFill="1" applyBorder="1" applyAlignment="1">
      <alignment vertical="center" wrapText="1"/>
    </xf>
    <xf numFmtId="4" fontId="163" fillId="0" borderId="17" xfId="607" applyNumberFormat="1" applyFont="1" applyFill="1" applyBorder="1" applyAlignment="1">
      <alignment vertical="center" wrapText="1"/>
    </xf>
    <xf numFmtId="43" fontId="162" fillId="0" borderId="17" xfId="607" applyFont="1" applyFill="1" applyBorder="1" applyAlignment="1">
      <alignment horizontal="center" vertical="center" wrapText="1"/>
    </xf>
    <xf numFmtId="43" fontId="163" fillId="0" borderId="17" xfId="607" applyFont="1" applyFill="1" applyBorder="1" applyAlignment="1">
      <alignment horizontal="center" vertical="center" wrapText="1"/>
    </xf>
    <xf numFmtId="4" fontId="163" fillId="0" borderId="17" xfId="612" applyNumberFormat="1" applyFont="1" applyFill="1" applyBorder="1" applyAlignment="1">
      <alignment horizontal="right" vertical="center" wrapText="1"/>
    </xf>
    <xf numFmtId="4" fontId="163" fillId="0" borderId="17" xfId="613" applyNumberFormat="1" applyFont="1" applyFill="1" applyBorder="1" applyAlignment="1">
      <alignment horizontal="center" vertical="center" wrapText="1"/>
    </xf>
    <xf numFmtId="0" fontId="163" fillId="0" borderId="17" xfId="607" applyNumberFormat="1" applyFont="1" applyFill="1" applyBorder="1" applyAlignment="1">
      <alignment horizontal="center" vertical="center" wrapText="1"/>
    </xf>
    <xf numFmtId="3" fontId="128" fillId="0" borderId="17" xfId="607" applyNumberFormat="1" applyFont="1" applyFill="1" applyBorder="1" applyAlignment="1">
      <alignment horizontal="center" vertical="center" wrapText="1"/>
    </xf>
    <xf numFmtId="43" fontId="128" fillId="0" borderId="17" xfId="607" applyFont="1" applyFill="1" applyBorder="1" applyAlignment="1">
      <alignment horizontal="center" vertical="center" wrapText="1"/>
    </xf>
    <xf numFmtId="4" fontId="128" fillId="0" borderId="17" xfId="607" applyNumberFormat="1" applyFont="1" applyFill="1" applyBorder="1" applyAlignment="1">
      <alignment horizontal="right" vertical="center" wrapText="1"/>
    </xf>
    <xf numFmtId="4" fontId="128" fillId="0" borderId="17" xfId="607" applyNumberFormat="1" applyFont="1" applyFill="1" applyBorder="1" applyAlignment="1">
      <alignment horizontal="right" vertical="center"/>
    </xf>
    <xf numFmtId="0" fontId="128" fillId="0" borderId="17" xfId="611" applyNumberFormat="1" applyFont="1" applyFill="1" applyBorder="1" applyAlignment="1">
      <alignment horizontal="left" vertical="center" wrapText="1"/>
    </xf>
    <xf numFmtId="4" fontId="128" fillId="0" borderId="17" xfId="198" applyNumberFormat="1" applyFont="1" applyFill="1" applyBorder="1" applyAlignment="1">
      <alignment horizontal="right" vertical="center" wrapText="1"/>
    </xf>
    <xf numFmtId="3" fontId="127" fillId="0" borderId="17" xfId="607" applyNumberFormat="1" applyFont="1" applyFill="1" applyBorder="1" applyAlignment="1">
      <alignment horizontal="center" vertical="center" wrapText="1"/>
    </xf>
    <xf numFmtId="43" fontId="127" fillId="0" borderId="17" xfId="607" applyFont="1" applyFill="1" applyBorder="1" applyAlignment="1">
      <alignment horizontal="center" vertical="center" wrapText="1"/>
    </xf>
    <xf numFmtId="4" fontId="127" fillId="0" borderId="17" xfId="607" applyNumberFormat="1" applyFont="1" applyFill="1" applyBorder="1" applyAlignment="1">
      <alignment horizontal="right" vertical="center" wrapText="1"/>
    </xf>
    <xf numFmtId="4" fontId="127" fillId="0" borderId="17" xfId="607" applyNumberFormat="1" applyFont="1" applyFill="1" applyBorder="1" applyAlignment="1">
      <alignment horizontal="right" vertical="center"/>
    </xf>
    <xf numFmtId="224" fontId="127" fillId="0" borderId="17" xfId="607" applyNumberFormat="1" applyFont="1" applyFill="1" applyBorder="1" applyAlignment="1">
      <alignment horizontal="right" vertical="center" wrapText="1"/>
    </xf>
    <xf numFmtId="223" fontId="127" fillId="0" borderId="17" xfId="607" applyNumberFormat="1" applyFont="1" applyFill="1" applyBorder="1" applyAlignment="1">
      <alignment horizontal="center" vertical="center" wrapText="1"/>
    </xf>
    <xf numFmtId="43" fontId="127" fillId="0" borderId="17" xfId="607" applyFont="1" applyFill="1" applyBorder="1" applyAlignment="1">
      <alignment horizontal="right" vertical="center" wrapText="1"/>
    </xf>
    <xf numFmtId="0" fontId="127" fillId="0" borderId="17" xfId="609" applyNumberFormat="1" applyFont="1" applyFill="1" applyBorder="1" applyAlignment="1">
      <alignment horizontal="left" vertical="center" wrapText="1"/>
    </xf>
    <xf numFmtId="4" fontId="202" fillId="0" borderId="17" xfId="607" applyNumberFormat="1" applyFont="1" applyFill="1" applyBorder="1" applyAlignment="1">
      <alignment horizontal="center" vertical="center" wrapText="1"/>
    </xf>
    <xf numFmtId="4" fontId="202" fillId="0" borderId="17" xfId="607" applyNumberFormat="1" applyFont="1" applyFill="1" applyBorder="1" applyAlignment="1">
      <alignment horizontal="right" vertical="center"/>
    </xf>
    <xf numFmtId="0" fontId="162" fillId="0" borderId="17" xfId="609" applyNumberFormat="1" applyFont="1" applyFill="1" applyBorder="1" applyAlignment="1">
      <alignment horizontal="left" vertical="center" wrapText="1"/>
    </xf>
    <xf numFmtId="4" fontId="162" fillId="0" borderId="17" xfId="163" applyNumberFormat="1" applyFont="1" applyFill="1" applyBorder="1" applyAlignment="1">
      <alignment horizontal="right" vertical="center" wrapText="1"/>
    </xf>
    <xf numFmtId="4" fontId="162" fillId="0" borderId="17" xfId="163" applyNumberFormat="1" applyFont="1" applyFill="1" applyBorder="1" applyAlignment="1" applyProtection="1">
      <alignment horizontal="right" vertical="center" wrapText="1"/>
    </xf>
    <xf numFmtId="4" fontId="162" fillId="0" borderId="17" xfId="163" applyNumberFormat="1" applyFont="1" applyFill="1" applyBorder="1" applyAlignment="1">
      <alignment horizontal="right" vertical="center"/>
    </xf>
    <xf numFmtId="4" fontId="162" fillId="0" borderId="17" xfId="612" applyNumberFormat="1" applyFont="1" applyFill="1" applyBorder="1" applyAlignment="1">
      <alignment horizontal="center" vertical="center" wrapText="1"/>
    </xf>
    <xf numFmtId="170" fontId="202" fillId="0" borderId="17" xfId="607" applyNumberFormat="1" applyFont="1" applyFill="1" applyBorder="1" applyAlignment="1">
      <alignment horizontal="center" vertical="center" wrapText="1"/>
    </xf>
    <xf numFmtId="43" fontId="202" fillId="0" borderId="17" xfId="607" applyFont="1" applyFill="1" applyBorder="1" applyAlignment="1">
      <alignment horizontal="left" vertical="center" wrapText="1"/>
    </xf>
    <xf numFmtId="43" fontId="202" fillId="0" borderId="0" xfId="607" applyFont="1" applyFill="1" applyBorder="1" applyAlignment="1">
      <alignment horizontal="center" vertical="center" wrapText="1"/>
    </xf>
    <xf numFmtId="43" fontId="203" fillId="0" borderId="0" xfId="607" applyFont="1" applyFill="1" applyBorder="1" applyAlignment="1">
      <alignment horizontal="center" vertical="center" wrapText="1"/>
    </xf>
    <xf numFmtId="43" fontId="202" fillId="0" borderId="21" xfId="607" applyFont="1" applyFill="1" applyBorder="1" applyAlignment="1">
      <alignment horizontal="center" vertical="center" wrapText="1"/>
    </xf>
    <xf numFmtId="43" fontId="202" fillId="0" borderId="17" xfId="607" applyFont="1" applyFill="1" applyBorder="1" applyAlignment="1">
      <alignment horizontal="center" vertical="center"/>
    </xf>
    <xf numFmtId="43" fontId="202" fillId="0" borderId="0" xfId="607" applyFont="1" applyFill="1" applyAlignment="1">
      <alignment horizontal="center" vertical="center"/>
    </xf>
    <xf numFmtId="4" fontId="120" fillId="0" borderId="17" xfId="607" applyNumberFormat="1" applyFont="1" applyFill="1" applyBorder="1" applyAlignment="1">
      <alignment horizontal="right" vertical="center" wrapText="1"/>
    </xf>
    <xf numFmtId="223" fontId="162" fillId="0" borderId="17" xfId="607" applyNumberFormat="1" applyFont="1" applyFill="1" applyBorder="1" applyAlignment="1">
      <alignment horizontal="center" vertical="center" wrapText="1"/>
    </xf>
    <xf numFmtId="223" fontId="202" fillId="0" borderId="17" xfId="607" applyNumberFormat="1" applyFont="1" applyFill="1" applyBorder="1" applyAlignment="1">
      <alignment horizontal="right" vertical="center" wrapText="1"/>
    </xf>
    <xf numFmtId="224" fontId="163" fillId="0" borderId="17" xfId="607" applyNumberFormat="1" applyFont="1" applyFill="1" applyBorder="1" applyAlignment="1">
      <alignment horizontal="right" vertical="center" wrapText="1"/>
    </xf>
    <xf numFmtId="224" fontId="162" fillId="0" borderId="17" xfId="607" applyNumberFormat="1" applyFont="1" applyFill="1" applyBorder="1" applyAlignment="1">
      <alignment horizontal="right" vertical="center" wrapText="1"/>
    </xf>
    <xf numFmtId="235" fontId="162" fillId="0" borderId="17" xfId="607" applyNumberFormat="1" applyFont="1" applyFill="1" applyBorder="1" applyAlignment="1" applyProtection="1">
      <alignment horizontal="center" vertical="center" wrapText="1"/>
    </xf>
    <xf numFmtId="235" fontId="163" fillId="0" borderId="17" xfId="607" applyNumberFormat="1" applyFont="1" applyFill="1" applyBorder="1" applyAlignment="1" applyProtection="1">
      <alignment horizontal="center" vertical="center" wrapText="1"/>
    </xf>
    <xf numFmtId="49" fontId="162" fillId="0" borderId="17" xfId="618" applyNumberFormat="1" applyFont="1" applyFill="1" applyBorder="1" applyAlignment="1">
      <alignment horizontal="center" vertical="center" wrapText="1"/>
    </xf>
    <xf numFmtId="49" fontId="163" fillId="0" borderId="17" xfId="618" applyNumberFormat="1" applyFont="1" applyFill="1" applyBorder="1" applyAlignment="1">
      <alignment horizontal="center" vertical="center" wrapText="1"/>
    </xf>
    <xf numFmtId="0" fontId="162" fillId="0" borderId="17" xfId="609" applyNumberFormat="1" applyFont="1" applyFill="1" applyBorder="1" applyAlignment="1">
      <alignment horizontal="center" vertical="center" wrapText="1"/>
    </xf>
    <xf numFmtId="0" fontId="163" fillId="0" borderId="17" xfId="609" applyNumberFormat="1" applyFont="1" applyFill="1" applyBorder="1" applyAlignment="1">
      <alignment horizontal="center" vertical="center" wrapText="1"/>
    </xf>
    <xf numFmtId="43" fontId="162" fillId="0" borderId="17" xfId="618" applyFont="1" applyFill="1" applyBorder="1" applyAlignment="1">
      <alignment horizontal="center" vertical="center" wrapText="1"/>
    </xf>
    <xf numFmtId="4" fontId="206" fillId="0" borderId="17" xfId="607" applyNumberFormat="1" applyFont="1" applyFill="1" applyBorder="1" applyAlignment="1">
      <alignment horizontal="right" vertical="center" wrapText="1"/>
    </xf>
    <xf numFmtId="43" fontId="163" fillId="0" borderId="17" xfId="618" applyFont="1" applyFill="1" applyBorder="1" applyAlignment="1">
      <alignment horizontal="center" vertical="center" wrapText="1"/>
    </xf>
    <xf numFmtId="4" fontId="202" fillId="0" borderId="17" xfId="609" applyNumberFormat="1" applyFont="1" applyFill="1" applyBorder="1" applyAlignment="1">
      <alignment horizontal="center" vertical="center" wrapText="1"/>
    </xf>
    <xf numFmtId="4" fontId="162" fillId="0" borderId="17" xfId="613" applyNumberFormat="1" applyFont="1" applyFill="1" applyBorder="1" applyAlignment="1">
      <alignment horizontal="right" vertical="center" wrapText="1"/>
    </xf>
    <xf numFmtId="0" fontId="202" fillId="0" borderId="17" xfId="607" quotePrefix="1" applyNumberFormat="1" applyFont="1" applyFill="1" applyBorder="1" applyAlignment="1">
      <alignment horizontal="center" vertical="center" wrapText="1"/>
    </xf>
    <xf numFmtId="0" fontId="162" fillId="0" borderId="17" xfId="607" applyNumberFormat="1" applyFont="1" applyFill="1" applyBorder="1" applyAlignment="1">
      <alignment horizontal="center" vertical="center" wrapText="1"/>
    </xf>
    <xf numFmtId="181" fontId="202" fillId="0" borderId="17" xfId="609" applyFont="1" applyFill="1" applyBorder="1" applyAlignment="1">
      <alignment vertical="center" wrapText="1"/>
    </xf>
    <xf numFmtId="39" fontId="202" fillId="0" borderId="17" xfId="607" applyNumberFormat="1" applyFont="1" applyFill="1" applyBorder="1" applyAlignment="1">
      <alignment horizontal="right" vertical="center" wrapText="1"/>
    </xf>
    <xf numFmtId="4" fontId="202" fillId="0" borderId="17" xfId="198" applyNumberFormat="1" applyFont="1" applyFill="1" applyBorder="1" applyAlignment="1">
      <alignment horizontal="center" vertical="center" wrapText="1"/>
    </xf>
    <xf numFmtId="4" fontId="202" fillId="0" borderId="17" xfId="607" applyNumberFormat="1" applyFont="1" applyFill="1" applyBorder="1" applyAlignment="1">
      <alignment vertical="center"/>
    </xf>
    <xf numFmtId="4" fontId="162" fillId="0" borderId="17" xfId="620" applyNumberFormat="1" applyFont="1" applyFill="1" applyBorder="1" applyAlignment="1">
      <alignment horizontal="right" vertical="center" wrapText="1"/>
    </xf>
    <xf numFmtId="4" fontId="162" fillId="0" borderId="17" xfId="621" applyNumberFormat="1" applyFont="1" applyFill="1" applyBorder="1" applyAlignment="1">
      <alignment horizontal="center" vertical="center" wrapText="1"/>
    </xf>
    <xf numFmtId="4" fontId="162" fillId="0" borderId="17" xfId="607" applyNumberFormat="1" applyFont="1" applyFill="1" applyBorder="1" applyAlignment="1">
      <alignment vertical="center"/>
    </xf>
    <xf numFmtId="172" fontId="202" fillId="0" borderId="17" xfId="607" applyNumberFormat="1" applyFont="1" applyFill="1" applyBorder="1" applyAlignment="1">
      <alignment horizontal="right" vertical="center"/>
    </xf>
    <xf numFmtId="4" fontId="162" fillId="0" borderId="17" xfId="613" applyNumberFormat="1" applyFont="1" applyFill="1" applyBorder="1" applyAlignment="1">
      <alignment horizontal="center" vertical="center" wrapText="1"/>
    </xf>
    <xf numFmtId="223" fontId="202" fillId="0" borderId="17" xfId="607" applyNumberFormat="1" applyFont="1" applyFill="1" applyBorder="1" applyAlignment="1">
      <alignment horizontal="center" vertical="center" wrapText="1"/>
    </xf>
    <xf numFmtId="0" fontId="202" fillId="0" borderId="17" xfId="609" applyNumberFormat="1" applyFont="1" applyFill="1" applyBorder="1" applyAlignment="1">
      <alignment horizontal="center" vertical="center" wrapText="1"/>
    </xf>
    <xf numFmtId="0" fontId="162" fillId="0" borderId="17" xfId="611" applyNumberFormat="1" applyFont="1" applyFill="1" applyBorder="1" applyAlignment="1">
      <alignment horizontal="left" vertical="center" wrapText="1"/>
    </xf>
    <xf numFmtId="2" fontId="162" fillId="0" borderId="17" xfId="612" applyNumberFormat="1" applyFont="1" applyFill="1" applyBorder="1" applyAlignment="1">
      <alignment horizontal="right" vertical="center" wrapText="1"/>
    </xf>
    <xf numFmtId="4" fontId="162" fillId="0" borderId="17" xfId="612" applyNumberFormat="1" applyFont="1" applyFill="1" applyBorder="1" applyAlignment="1">
      <alignment horizontal="right" vertical="center" wrapText="1"/>
    </xf>
    <xf numFmtId="4" fontId="163" fillId="0" borderId="17" xfId="613" applyNumberFormat="1" applyFont="1" applyFill="1" applyBorder="1" applyAlignment="1">
      <alignment horizontal="right" vertical="center" wrapText="1"/>
    </xf>
    <xf numFmtId="4" fontId="162" fillId="0" borderId="17" xfId="198" applyNumberFormat="1" applyFont="1" applyFill="1" applyBorder="1" applyAlignment="1">
      <alignment horizontal="center" vertical="center" wrapText="1"/>
    </xf>
    <xf numFmtId="0" fontId="202" fillId="0" borderId="0" xfId="607" applyNumberFormat="1" applyFont="1" applyFill="1" applyBorder="1" applyAlignment="1">
      <alignment horizontal="center" vertical="center" wrapText="1"/>
    </xf>
    <xf numFmtId="0" fontId="162" fillId="0" borderId="17" xfId="610" applyFont="1" applyFill="1" applyBorder="1" applyAlignment="1">
      <alignment horizontal="left" vertical="center" wrapText="1"/>
    </xf>
    <xf numFmtId="0" fontId="162" fillId="0" borderId="17" xfId="343" applyFont="1" applyFill="1" applyBorder="1" applyAlignment="1">
      <alignment horizontal="center" vertical="center"/>
    </xf>
    <xf numFmtId="232" fontId="162" fillId="0" borderId="17" xfId="343" applyNumberFormat="1" applyFont="1" applyFill="1" applyBorder="1" applyAlignment="1">
      <alignment horizontal="center" vertical="center" wrapText="1"/>
    </xf>
    <xf numFmtId="0" fontId="162" fillId="0" borderId="17" xfId="343" applyFont="1" applyFill="1" applyBorder="1" applyAlignment="1">
      <alignment horizontal="center" vertical="center" wrapText="1"/>
    </xf>
    <xf numFmtId="0" fontId="162" fillId="0" borderId="0" xfId="343" applyFont="1" applyFill="1" applyAlignment="1">
      <alignment horizontal="center" vertical="center" wrapText="1"/>
    </xf>
    <xf numFmtId="0" fontId="202" fillId="0" borderId="0" xfId="343" applyFont="1" applyFill="1" applyAlignment="1">
      <alignment horizontal="center" vertical="center" wrapText="1"/>
    </xf>
    <xf numFmtId="0" fontId="203" fillId="0" borderId="0" xfId="343" applyFont="1" applyFill="1" applyAlignment="1">
      <alignment horizontal="center" vertical="center" wrapText="1"/>
    </xf>
    <xf numFmtId="0" fontId="162" fillId="0" borderId="21" xfId="343" applyFont="1" applyFill="1" applyBorder="1" applyAlignment="1">
      <alignment horizontal="center" vertical="center" wrapText="1"/>
    </xf>
    <xf numFmtId="0" fontId="202" fillId="0" borderId="17" xfId="343" applyFont="1" applyFill="1" applyBorder="1" applyAlignment="1">
      <alignment horizontal="center" vertical="center"/>
    </xf>
    <xf numFmtId="0" fontId="202" fillId="0" borderId="0" xfId="343" applyFont="1" applyFill="1" applyAlignment="1">
      <alignment horizontal="center" vertical="center"/>
    </xf>
    <xf numFmtId="172" fontId="162" fillId="0" borderId="17" xfId="343" applyNumberFormat="1" applyFont="1" applyFill="1" applyBorder="1" applyAlignment="1">
      <alignment horizontal="center" vertical="center" wrapText="1"/>
    </xf>
    <xf numFmtId="4" fontId="128" fillId="0" borderId="17" xfId="163" applyNumberFormat="1" applyFont="1" applyFill="1" applyBorder="1" applyAlignment="1">
      <alignment horizontal="right" vertical="center"/>
    </xf>
    <xf numFmtId="4" fontId="128" fillId="0" borderId="17" xfId="612" applyNumberFormat="1" applyFont="1" applyFill="1" applyBorder="1" applyAlignment="1">
      <alignment horizontal="right" vertical="center" wrapText="1"/>
    </xf>
    <xf numFmtId="0" fontId="162" fillId="0" borderId="17" xfId="343" applyFont="1" applyFill="1" applyBorder="1" applyAlignment="1">
      <alignment horizontal="left" vertical="center" wrapText="1"/>
    </xf>
    <xf numFmtId="0" fontId="128" fillId="0" borderId="17" xfId="343" applyFont="1" applyFill="1" applyBorder="1" applyAlignment="1">
      <alignment horizontal="center" vertical="center" wrapText="1"/>
    </xf>
    <xf numFmtId="0" fontId="127" fillId="0" borderId="17" xfId="607" applyNumberFormat="1" applyFont="1" applyFill="1" applyBorder="1" applyAlignment="1">
      <alignment horizontal="center" vertical="center" wrapText="1"/>
    </xf>
    <xf numFmtId="0" fontId="127" fillId="0" borderId="17" xfId="343" applyFont="1" applyFill="1" applyBorder="1" applyAlignment="1">
      <alignment horizontal="left" vertical="center" wrapText="1"/>
    </xf>
    <xf numFmtId="0" fontId="127" fillId="0" borderId="17" xfId="343" applyFont="1" applyFill="1" applyBorder="1" applyAlignment="1">
      <alignment horizontal="center" vertical="center" wrapText="1"/>
    </xf>
    <xf numFmtId="0" fontId="127" fillId="0" borderId="17" xfId="343" applyFont="1" applyFill="1" applyBorder="1" applyAlignment="1">
      <alignment horizontal="center" vertical="center"/>
    </xf>
    <xf numFmtId="0" fontId="127" fillId="0" borderId="0" xfId="343" applyFont="1" applyFill="1" applyAlignment="1">
      <alignment horizontal="center" vertical="center" wrapText="1"/>
    </xf>
    <xf numFmtId="0" fontId="197" fillId="0" borderId="0" xfId="343" applyFont="1" applyFill="1" applyAlignment="1">
      <alignment horizontal="center" vertical="center" wrapText="1"/>
    </xf>
    <xf numFmtId="0" fontId="210" fillId="0" borderId="0" xfId="343" applyFont="1" applyFill="1" applyAlignment="1">
      <alignment horizontal="center" vertical="center" wrapText="1"/>
    </xf>
    <xf numFmtId="0" fontId="127" fillId="0" borderId="21" xfId="343" applyFont="1" applyFill="1" applyBorder="1" applyAlignment="1">
      <alignment horizontal="center" vertical="center" wrapText="1"/>
    </xf>
    <xf numFmtId="0" fontId="197" fillId="0" borderId="17" xfId="343" applyFont="1" applyFill="1" applyBorder="1" applyAlignment="1">
      <alignment horizontal="center" vertical="center"/>
    </xf>
    <xf numFmtId="0" fontId="197" fillId="0" borderId="0" xfId="343" applyFont="1" applyFill="1" applyAlignment="1">
      <alignment horizontal="center" vertical="center"/>
    </xf>
    <xf numFmtId="0" fontId="127" fillId="0" borderId="17" xfId="610" applyFont="1" applyFill="1" applyBorder="1" applyAlignment="1">
      <alignment horizontal="center" vertical="center" wrapText="1"/>
    </xf>
    <xf numFmtId="0" fontId="128" fillId="0" borderId="17" xfId="607" applyNumberFormat="1" applyFont="1" applyFill="1" applyBorder="1" applyAlignment="1">
      <alignment horizontal="center" vertical="center" wrapText="1"/>
    </xf>
    <xf numFmtId="0" fontId="128" fillId="0" borderId="17" xfId="343" applyFont="1" applyFill="1" applyBorder="1" applyAlignment="1">
      <alignment horizontal="left" vertical="center" wrapText="1"/>
    </xf>
    <xf numFmtId="172" fontId="128" fillId="0" borderId="17" xfId="343" applyNumberFormat="1" applyFont="1" applyFill="1" applyBorder="1" applyAlignment="1">
      <alignment horizontal="center" vertical="center" wrapText="1"/>
    </xf>
    <xf numFmtId="0" fontId="128" fillId="0" borderId="17" xfId="343" applyFont="1" applyFill="1" applyBorder="1" applyAlignment="1">
      <alignment horizontal="center" vertical="center"/>
    </xf>
    <xf numFmtId="0" fontId="128" fillId="0" borderId="0" xfId="343" applyFont="1" applyFill="1" applyAlignment="1">
      <alignment horizontal="center" vertical="center" wrapText="1"/>
    </xf>
    <xf numFmtId="0" fontId="120" fillId="0" borderId="0" xfId="343" applyFont="1" applyFill="1" applyAlignment="1">
      <alignment horizontal="center" vertical="center" wrapText="1"/>
    </xf>
    <xf numFmtId="0" fontId="168" fillId="0" borderId="0" xfId="343" applyFont="1" applyFill="1" applyAlignment="1">
      <alignment horizontal="center" vertical="center" wrapText="1"/>
    </xf>
    <xf numFmtId="0" fontId="128" fillId="0" borderId="21" xfId="343" applyFont="1" applyFill="1" applyBorder="1" applyAlignment="1">
      <alignment horizontal="center" vertical="center" wrapText="1"/>
    </xf>
    <xf numFmtId="0" fontId="120" fillId="0" borderId="17" xfId="343" applyFont="1" applyFill="1" applyBorder="1" applyAlignment="1">
      <alignment horizontal="center" vertical="center"/>
    </xf>
    <xf numFmtId="0" fontId="120" fillId="0" borderId="0" xfId="343" applyFont="1" applyFill="1" applyAlignment="1">
      <alignment horizontal="center" vertical="center"/>
    </xf>
    <xf numFmtId="4" fontId="127" fillId="0" borderId="17" xfId="198" applyNumberFormat="1" applyFont="1" applyFill="1" applyBorder="1" applyAlignment="1">
      <alignment horizontal="center" vertical="center" wrapText="1"/>
    </xf>
    <xf numFmtId="4" fontId="127" fillId="0" borderId="17" xfId="607" applyNumberFormat="1" applyFont="1" applyFill="1" applyBorder="1" applyAlignment="1">
      <alignment horizontal="center" vertical="center" wrapText="1"/>
    </xf>
    <xf numFmtId="4" fontId="197" fillId="0" borderId="17" xfId="607" applyNumberFormat="1" applyFont="1" applyFill="1" applyBorder="1" applyAlignment="1">
      <alignment horizontal="right" vertical="center" wrapText="1"/>
    </xf>
    <xf numFmtId="223" fontId="128" fillId="0" borderId="17" xfId="607" applyNumberFormat="1" applyFont="1" applyFill="1" applyBorder="1" applyAlignment="1">
      <alignment horizontal="center" vertical="center" wrapText="1"/>
    </xf>
    <xf numFmtId="4" fontId="127" fillId="0" borderId="17" xfId="612" applyNumberFormat="1" applyFont="1" applyFill="1" applyBorder="1" applyAlignment="1">
      <alignment horizontal="center" vertical="center" wrapText="1"/>
    </xf>
    <xf numFmtId="43" fontId="127" fillId="0" borderId="17" xfId="607" applyFont="1" applyFill="1" applyBorder="1" applyAlignment="1">
      <alignment horizontal="right" vertical="center"/>
    </xf>
    <xf numFmtId="4" fontId="127" fillId="0" borderId="17" xfId="163" applyNumberFormat="1" applyFont="1" applyFill="1" applyBorder="1" applyAlignment="1">
      <alignment horizontal="right" vertical="center" wrapText="1"/>
    </xf>
    <xf numFmtId="4" fontId="127" fillId="0" borderId="17" xfId="163" applyNumberFormat="1" applyFont="1" applyFill="1" applyBorder="1" applyAlignment="1" applyProtection="1">
      <alignment horizontal="right" vertical="center" wrapText="1"/>
    </xf>
    <xf numFmtId="4" fontId="127" fillId="0" borderId="17" xfId="163" applyNumberFormat="1" applyFont="1" applyFill="1" applyBorder="1" applyAlignment="1">
      <alignment horizontal="right" vertical="center"/>
    </xf>
    <xf numFmtId="172" fontId="162" fillId="0" borderId="17" xfId="343" applyNumberFormat="1" applyFont="1" applyFill="1" applyBorder="1" applyAlignment="1">
      <alignment horizontal="left" vertical="center" wrapText="1"/>
    </xf>
    <xf numFmtId="172" fontId="127" fillId="0" borderId="17" xfId="343" applyNumberFormat="1" applyFont="1" applyFill="1" applyBorder="1" applyAlignment="1">
      <alignment horizontal="center" vertical="center" wrapText="1"/>
    </xf>
    <xf numFmtId="0" fontId="169" fillId="0" borderId="0" xfId="343" applyFont="1" applyFill="1" applyAlignment="1">
      <alignment horizontal="center" vertical="center" wrapText="1"/>
    </xf>
    <xf numFmtId="0" fontId="127" fillId="0" borderId="0" xfId="343" applyFont="1" applyFill="1" applyAlignment="1">
      <alignment horizontal="center" vertical="center"/>
    </xf>
    <xf numFmtId="1" fontId="162" fillId="0" borderId="17" xfId="343" applyNumberFormat="1" applyFont="1" applyFill="1" applyBorder="1" applyAlignment="1" applyProtection="1">
      <alignment vertical="center" wrapText="1"/>
      <protection locked="0"/>
    </xf>
    <xf numFmtId="0" fontId="128" fillId="0" borderId="17" xfId="521" applyFont="1" applyFill="1" applyBorder="1" applyAlignment="1">
      <alignment horizontal="center" vertical="center" wrapText="1"/>
    </xf>
    <xf numFmtId="4" fontId="128" fillId="0" borderId="17" xfId="607" applyNumberFormat="1" applyFont="1" applyFill="1" applyBorder="1" applyAlignment="1">
      <alignment horizontal="center" vertical="center" wrapText="1"/>
    </xf>
    <xf numFmtId="0" fontId="128" fillId="0" borderId="17" xfId="610" applyFont="1" applyFill="1" applyBorder="1" applyAlignment="1">
      <alignment horizontal="left" vertical="center" wrapText="1"/>
    </xf>
    <xf numFmtId="0" fontId="128" fillId="0" borderId="24" xfId="343" applyFont="1" applyFill="1" applyBorder="1" applyAlignment="1">
      <alignment horizontal="center" vertical="center" wrapText="1"/>
    </xf>
    <xf numFmtId="0" fontId="162" fillId="0" borderId="17" xfId="619" applyFont="1" applyFill="1" applyBorder="1" applyAlignment="1">
      <alignment horizontal="center" vertical="center" wrapText="1"/>
    </xf>
    <xf numFmtId="0" fontId="162" fillId="0" borderId="17" xfId="622" applyFont="1" applyFill="1" applyBorder="1" applyAlignment="1">
      <alignment horizontal="left" vertical="center" wrapText="1"/>
    </xf>
    <xf numFmtId="4" fontId="162" fillId="0" borderId="17" xfId="343" applyNumberFormat="1" applyFont="1" applyFill="1" applyBorder="1" applyAlignment="1">
      <alignment horizontal="right" vertical="center" wrapText="1"/>
    </xf>
    <xf numFmtId="0" fontId="162" fillId="0" borderId="17" xfId="521" applyFont="1" applyFill="1" applyBorder="1" applyAlignment="1">
      <alignment horizontal="center" vertical="center" wrapText="1"/>
    </xf>
    <xf numFmtId="0" fontId="162" fillId="0" borderId="17" xfId="623" applyFont="1" applyFill="1" applyBorder="1" applyAlignment="1">
      <alignment horizontal="left" vertical="center" wrapText="1"/>
    </xf>
    <xf numFmtId="4" fontId="162" fillId="0" borderId="17" xfId="343" applyNumberFormat="1" applyFont="1" applyFill="1" applyBorder="1" applyAlignment="1">
      <alignment horizontal="center" vertical="center" wrapText="1"/>
    </xf>
    <xf numFmtId="0" fontId="162" fillId="0" borderId="0" xfId="343" applyFont="1" applyFill="1" applyAlignment="1">
      <alignment vertical="center"/>
    </xf>
    <xf numFmtId="0" fontId="162" fillId="0" borderId="0" xfId="343" applyFont="1" applyFill="1" applyAlignment="1">
      <alignment horizontal="center" vertical="center"/>
    </xf>
    <xf numFmtId="0" fontId="201" fillId="0" borderId="0" xfId="343" applyFont="1" applyFill="1" applyAlignment="1">
      <alignment horizontal="center" vertical="center" wrapText="1"/>
    </xf>
    <xf numFmtId="0" fontId="209" fillId="0" borderId="21" xfId="343" applyFont="1" applyFill="1" applyBorder="1" applyAlignment="1">
      <alignment horizontal="center" vertical="center" wrapText="1"/>
    </xf>
    <xf numFmtId="0" fontId="126" fillId="0" borderId="21" xfId="343" applyFont="1" applyFill="1" applyBorder="1" applyAlignment="1">
      <alignment horizontal="center" vertical="center" wrapText="1"/>
    </xf>
    <xf numFmtId="0" fontId="127" fillId="0" borderId="17" xfId="358" applyFont="1" applyFill="1" applyBorder="1" applyAlignment="1">
      <alignment vertical="center" wrapText="1"/>
    </xf>
    <xf numFmtId="0" fontId="127" fillId="0" borderId="17" xfId="608" applyFont="1" applyFill="1" applyBorder="1" applyAlignment="1">
      <alignment horizontal="center" vertical="center" wrapText="1"/>
    </xf>
    <xf numFmtId="0" fontId="127" fillId="0" borderId="0" xfId="343" applyFont="1" applyFill="1" applyAlignment="1">
      <alignment vertical="center"/>
    </xf>
    <xf numFmtId="0" fontId="200" fillId="0" borderId="0" xfId="343" applyFont="1" applyFill="1" applyAlignment="1">
      <alignment horizontal="center" vertical="center"/>
    </xf>
    <xf numFmtId="0" fontId="199" fillId="0" borderId="0" xfId="343" applyFont="1" applyFill="1" applyAlignment="1">
      <alignment horizontal="center" vertical="center"/>
    </xf>
    <xf numFmtId="4" fontId="200" fillId="0" borderId="0" xfId="343" applyNumberFormat="1" applyFont="1" applyFill="1" applyAlignment="1">
      <alignment horizontal="right" vertical="center"/>
    </xf>
    <xf numFmtId="4" fontId="200" fillId="0" borderId="0" xfId="343" applyNumberFormat="1" applyFont="1" applyFill="1" applyAlignment="1">
      <alignment horizontal="center" vertical="center"/>
    </xf>
    <xf numFmtId="0" fontId="200" fillId="0" borderId="0" xfId="343" applyFont="1" applyFill="1" applyAlignment="1">
      <alignment horizontal="center" vertical="center" wrapText="1"/>
    </xf>
    <xf numFmtId="0" fontId="125" fillId="0" borderId="17" xfId="343" applyFont="1" applyFill="1" applyBorder="1" applyAlignment="1">
      <alignment horizontal="center" vertical="center" wrapText="1"/>
    </xf>
    <xf numFmtId="4" fontId="202" fillId="0" borderId="17" xfId="520" applyNumberFormat="1" applyFont="1" applyFill="1" applyBorder="1" applyAlignment="1">
      <alignment horizontal="center" vertical="center" wrapText="1"/>
    </xf>
    <xf numFmtId="229" fontId="202" fillId="0" borderId="17" xfId="343" applyNumberFormat="1" applyFont="1" applyFill="1" applyBorder="1" applyAlignment="1">
      <alignment horizontal="center" vertical="center" wrapText="1"/>
    </xf>
    <xf numFmtId="4" fontId="202" fillId="0" borderId="17" xfId="519" applyNumberFormat="1" applyFont="1" applyFill="1" applyBorder="1" applyAlignment="1">
      <alignment horizontal="center" vertical="center" wrapText="1"/>
    </xf>
    <xf numFmtId="229" fontId="202" fillId="0" borderId="17" xfId="518" applyNumberFormat="1" applyFont="1" applyFill="1" applyBorder="1" applyAlignment="1">
      <alignment horizontal="center" vertical="center" wrapText="1"/>
    </xf>
    <xf numFmtId="229" fontId="202" fillId="0" borderId="17" xfId="522" applyNumberFormat="1" applyFont="1" applyFill="1" applyBorder="1" applyAlignment="1">
      <alignment horizontal="center" vertical="center" wrapText="1"/>
    </xf>
    <xf numFmtId="4" fontId="202" fillId="0" borderId="17" xfId="343" applyNumberFormat="1" applyFont="1" applyFill="1" applyBorder="1" applyAlignment="1">
      <alignment horizontal="center" vertical="center" wrapText="1"/>
    </xf>
    <xf numFmtId="49" fontId="162" fillId="0" borderId="17" xfId="517" quotePrefix="1" applyNumberFormat="1" applyFont="1" applyFill="1" applyBorder="1" applyAlignment="1">
      <alignment horizontal="center" vertical="center" wrapText="1"/>
    </xf>
    <xf numFmtId="49" fontId="162" fillId="0" borderId="17" xfId="517" applyNumberFormat="1" applyFont="1" applyFill="1" applyBorder="1" applyAlignment="1">
      <alignment horizontal="center" vertical="center" wrapText="1"/>
    </xf>
    <xf numFmtId="4" fontId="162" fillId="0" borderId="17" xfId="347" quotePrefix="1" applyNumberFormat="1" applyFont="1" applyFill="1" applyBorder="1" applyAlignment="1">
      <alignment horizontal="center" vertical="center" wrapText="1"/>
    </xf>
    <xf numFmtId="4" fontId="162" fillId="0" borderId="17" xfId="518" quotePrefix="1" applyNumberFormat="1" applyFont="1" applyFill="1" applyBorder="1" applyAlignment="1">
      <alignment horizontal="center" vertical="center" wrapText="1"/>
    </xf>
    <xf numFmtId="4" fontId="162" fillId="0" borderId="17" xfId="522" quotePrefix="1" applyNumberFormat="1" applyFont="1" applyFill="1" applyBorder="1" applyAlignment="1">
      <alignment horizontal="center" vertical="center" wrapText="1"/>
    </xf>
    <xf numFmtId="4" fontId="162" fillId="0" borderId="17" xfId="517" quotePrefix="1" applyNumberFormat="1" applyFont="1" applyFill="1" applyBorder="1" applyAlignment="1">
      <alignment horizontal="center" vertical="center" wrapText="1"/>
    </xf>
    <xf numFmtId="49" fontId="162" fillId="0" borderId="0" xfId="517" quotePrefix="1" applyNumberFormat="1" applyFont="1" applyFill="1" applyAlignment="1">
      <alignment horizontal="center" vertical="center" wrapText="1"/>
    </xf>
    <xf numFmtId="37" fontId="162" fillId="0" borderId="0" xfId="343" applyNumberFormat="1" applyFont="1" applyFill="1" applyAlignment="1">
      <alignment horizontal="center" vertical="center" wrapText="1"/>
    </xf>
    <xf numFmtId="37" fontId="201" fillId="0" borderId="0" xfId="343" applyNumberFormat="1" applyFont="1" applyFill="1" applyAlignment="1">
      <alignment horizontal="center" vertical="center" wrapText="1"/>
    </xf>
    <xf numFmtId="49" fontId="162" fillId="0" borderId="21" xfId="517" quotePrefix="1" applyNumberFormat="1" applyFont="1" applyFill="1" applyBorder="1" applyAlignment="1">
      <alignment horizontal="center" vertical="center" wrapText="1"/>
    </xf>
    <xf numFmtId="0" fontId="202" fillId="0" borderId="17" xfId="343" applyFont="1" applyFill="1" applyBorder="1" applyAlignment="1">
      <alignment horizontal="left" vertical="center" wrapText="1"/>
    </xf>
    <xf numFmtId="0" fontId="202" fillId="0" borderId="17" xfId="343" applyFont="1" applyFill="1" applyBorder="1" applyAlignment="1">
      <alignment horizontal="center" vertical="center" wrapText="1"/>
    </xf>
    <xf numFmtId="1" fontId="202" fillId="0" borderId="17" xfId="343" applyNumberFormat="1" applyFont="1" applyFill="1" applyBorder="1" applyAlignment="1">
      <alignment horizontal="center" vertical="center" wrapText="1"/>
    </xf>
    <xf numFmtId="0" fontId="202" fillId="0" borderId="21" xfId="343" applyFont="1" applyFill="1" applyBorder="1" applyAlignment="1">
      <alignment horizontal="center" vertical="center" wrapText="1"/>
    </xf>
    <xf numFmtId="0" fontId="202" fillId="0" borderId="17" xfId="343" applyFont="1" applyFill="1" applyBorder="1" applyAlignment="1">
      <alignment vertical="center"/>
    </xf>
    <xf numFmtId="0" fontId="202" fillId="0" borderId="0" xfId="343" applyFont="1" applyFill="1" applyAlignment="1">
      <alignment vertical="center"/>
    </xf>
    <xf numFmtId="0" fontId="202" fillId="0" borderId="17" xfId="343" applyFont="1" applyFill="1" applyBorder="1" applyAlignment="1">
      <alignment vertical="center" wrapText="1"/>
    </xf>
    <xf numFmtId="0" fontId="202" fillId="0" borderId="17" xfId="520" applyFont="1" applyFill="1" applyBorder="1" applyAlignment="1">
      <alignment horizontal="center" vertical="center" wrapText="1"/>
    </xf>
    <xf numFmtId="0" fontId="162" fillId="0" borderId="17" xfId="343" applyFont="1" applyFill="1" applyBorder="1" applyAlignment="1">
      <alignment vertical="center" wrapText="1"/>
    </xf>
    <xf numFmtId="4" fontId="162" fillId="0" borderId="17" xfId="519" applyNumberFormat="1" applyFont="1" applyFill="1" applyBorder="1" applyAlignment="1">
      <alignment horizontal="center" vertical="center" wrapText="1"/>
    </xf>
    <xf numFmtId="232" fontId="202" fillId="0" borderId="17" xfId="343" applyNumberFormat="1" applyFont="1" applyFill="1" applyBorder="1" applyAlignment="1">
      <alignment horizontal="center" vertical="center" wrapText="1"/>
    </xf>
    <xf numFmtId="0" fontId="162" fillId="0" borderId="17" xfId="343" applyFont="1" applyFill="1" applyBorder="1" applyAlignment="1">
      <alignment horizontal="center" vertical="center" wrapText="1"/>
    </xf>
    <xf numFmtId="232" fontId="162" fillId="0" borderId="17" xfId="343" applyNumberFormat="1" applyFont="1" applyFill="1" applyBorder="1" applyAlignment="1">
      <alignment horizontal="left" vertical="center" wrapText="1"/>
    </xf>
    <xf numFmtId="1" fontId="162" fillId="0" borderId="17" xfId="343" applyNumberFormat="1" applyFont="1" applyFill="1" applyBorder="1" applyAlignment="1">
      <alignment horizontal="center" vertical="center" wrapText="1"/>
    </xf>
    <xf numFmtId="0" fontId="162" fillId="0" borderId="17" xfId="343" applyFont="1" applyFill="1" applyBorder="1" applyAlignment="1">
      <alignment vertical="center"/>
    </xf>
    <xf numFmtId="172" fontId="202" fillId="0" borderId="17" xfId="343" applyNumberFormat="1" applyFont="1" applyFill="1" applyBorder="1" applyAlignment="1">
      <alignment horizontal="center" vertical="center" wrapText="1"/>
    </xf>
    <xf numFmtId="0" fontId="120" fillId="0" borderId="17" xfId="610" applyFont="1" applyFill="1" applyBorder="1" applyAlignment="1">
      <alignment horizontal="left" vertical="center" wrapText="1"/>
    </xf>
    <xf numFmtId="0" fontId="120" fillId="0" borderId="17" xfId="343" applyFont="1" applyFill="1" applyBorder="1" applyAlignment="1">
      <alignment horizontal="center" vertical="center" wrapText="1"/>
    </xf>
    <xf numFmtId="0" fontId="120" fillId="0" borderId="17" xfId="610" applyFont="1" applyFill="1" applyBorder="1" applyAlignment="1">
      <alignment horizontal="center" vertical="center" wrapText="1"/>
    </xf>
    <xf numFmtId="4" fontId="120" fillId="0" borderId="17" xfId="343" applyNumberFormat="1" applyFont="1" applyFill="1" applyBorder="1" applyAlignment="1">
      <alignment horizontal="center" vertical="center"/>
    </xf>
    <xf numFmtId="3" fontId="128" fillId="0" borderId="17" xfId="343" applyNumberFormat="1" applyFont="1" applyFill="1" applyBorder="1" applyAlignment="1">
      <alignment horizontal="center" vertical="center" wrapText="1"/>
    </xf>
    <xf numFmtId="1" fontId="128" fillId="0" borderId="17" xfId="614" applyNumberFormat="1" applyFont="1" applyFill="1" applyBorder="1" applyAlignment="1">
      <alignment horizontal="left" vertical="center" wrapText="1"/>
    </xf>
    <xf numFmtId="4" fontId="128" fillId="0" borderId="17" xfId="343" applyNumberFormat="1" applyFont="1" applyFill="1" applyBorder="1" applyAlignment="1">
      <alignment horizontal="right" vertical="center"/>
    </xf>
    <xf numFmtId="4" fontId="128" fillId="0" borderId="17" xfId="343" applyNumberFormat="1" applyFont="1" applyFill="1" applyBorder="1"/>
    <xf numFmtId="0" fontId="128" fillId="0" borderId="17" xfId="610" applyFont="1" applyFill="1" applyBorder="1" applyAlignment="1">
      <alignment horizontal="center" vertical="center" wrapText="1"/>
    </xf>
    <xf numFmtId="0" fontId="201" fillId="0" borderId="17" xfId="343" applyFont="1" applyFill="1" applyBorder="1" applyAlignment="1">
      <alignment horizontal="center" vertical="center" wrapText="1"/>
    </xf>
    <xf numFmtId="0" fontId="163" fillId="0" borderId="17" xfId="343" applyFont="1" applyFill="1" applyBorder="1" applyAlignment="1">
      <alignment vertical="center" wrapText="1"/>
    </xf>
    <xf numFmtId="0" fontId="163" fillId="0" borderId="17" xfId="343" applyFont="1" applyFill="1" applyBorder="1" applyAlignment="1">
      <alignment horizontal="center" vertical="center" wrapText="1"/>
    </xf>
    <xf numFmtId="4" fontId="163" fillId="0" borderId="17" xfId="343" applyNumberFormat="1" applyFont="1" applyFill="1" applyBorder="1" applyAlignment="1">
      <alignment horizontal="right" vertical="center"/>
    </xf>
    <xf numFmtId="4" fontId="163" fillId="0" borderId="17" xfId="343" applyNumberFormat="1" applyFont="1" applyFill="1" applyBorder="1" applyAlignment="1">
      <alignment horizontal="center" vertical="center" wrapText="1"/>
    </xf>
    <xf numFmtId="232" fontId="163" fillId="0" borderId="17" xfId="343" applyNumberFormat="1" applyFont="1" applyFill="1" applyBorder="1" applyAlignment="1">
      <alignment horizontal="center" vertical="center" wrapText="1"/>
    </xf>
    <xf numFmtId="0" fontId="163" fillId="0" borderId="0" xfId="343" applyFont="1" applyFill="1" applyAlignment="1">
      <alignment horizontal="center" vertical="center" wrapText="1"/>
    </xf>
    <xf numFmtId="0" fontId="204" fillId="0" borderId="0" xfId="343" applyFont="1" applyFill="1" applyAlignment="1">
      <alignment horizontal="center" vertical="center" wrapText="1"/>
    </xf>
    <xf numFmtId="0" fontId="204" fillId="0" borderId="17" xfId="343" applyFont="1" applyFill="1" applyBorder="1" applyAlignment="1">
      <alignment horizontal="center" vertical="center" wrapText="1"/>
    </xf>
    <xf numFmtId="0" fontId="163" fillId="0" borderId="21" xfId="343" applyFont="1" applyFill="1" applyBorder="1" applyAlignment="1">
      <alignment horizontal="center" vertical="center" wrapText="1"/>
    </xf>
    <xf numFmtId="0" fontId="163" fillId="0" borderId="17" xfId="343" applyFont="1" applyFill="1" applyBorder="1" applyAlignment="1">
      <alignment horizontal="center" vertical="center"/>
    </xf>
    <xf numFmtId="0" fontId="201" fillId="0" borderId="0" xfId="343" applyFont="1" applyFill="1" applyAlignment="1">
      <alignment vertical="center" wrapText="1"/>
    </xf>
    <xf numFmtId="0" fontId="204" fillId="0" borderId="0" xfId="343" applyFont="1" applyFill="1" applyAlignment="1">
      <alignment vertical="center" wrapText="1"/>
    </xf>
    <xf numFmtId="0" fontId="162" fillId="0" borderId="17" xfId="615" applyFont="1" applyFill="1" applyBorder="1" applyAlignment="1">
      <alignment horizontal="center" vertical="center" wrapText="1"/>
    </xf>
    <xf numFmtId="0" fontId="203" fillId="0" borderId="0" xfId="343" applyFont="1" applyFill="1" applyAlignment="1">
      <alignment vertical="center" wrapText="1"/>
    </xf>
    <xf numFmtId="1" fontId="162" fillId="0" borderId="17" xfId="614" applyNumberFormat="1" applyFont="1" applyFill="1" applyBorder="1" applyAlignment="1">
      <alignment horizontal="left" vertical="center" wrapText="1"/>
    </xf>
    <xf numFmtId="0" fontId="162" fillId="0" borderId="17" xfId="610" applyFont="1" applyFill="1" applyBorder="1" applyAlignment="1">
      <alignment horizontal="center" vertical="center" wrapText="1"/>
    </xf>
    <xf numFmtId="4" fontId="162" fillId="0" borderId="17" xfId="343" applyNumberFormat="1" applyFont="1" applyFill="1" applyBorder="1" applyAlignment="1">
      <alignment vertical="center"/>
    </xf>
    <xf numFmtId="0" fontId="162" fillId="0" borderId="17" xfId="343" applyFont="1" applyFill="1" applyBorder="1"/>
    <xf numFmtId="4" fontId="163" fillId="0" borderId="17" xfId="343" applyNumberFormat="1" applyFont="1" applyFill="1" applyBorder="1" applyAlignment="1">
      <alignment vertical="center"/>
    </xf>
    <xf numFmtId="0" fontId="163" fillId="0" borderId="17" xfId="343" applyFont="1" applyFill="1" applyBorder="1" applyAlignment="1">
      <alignment vertical="center"/>
    </xf>
    <xf numFmtId="0" fontId="205" fillId="0" borderId="0" xfId="343" applyFont="1" applyFill="1" applyAlignment="1">
      <alignment vertical="center" wrapText="1"/>
    </xf>
    <xf numFmtId="0" fontId="163" fillId="0" borderId="0" xfId="343" applyFont="1" applyFill="1" applyAlignment="1">
      <alignment vertical="center"/>
    </xf>
    <xf numFmtId="0" fontId="163" fillId="0" borderId="17" xfId="343" applyFont="1" applyFill="1" applyBorder="1"/>
    <xf numFmtId="0" fontId="163" fillId="0" borderId="17" xfId="610" applyFont="1" applyFill="1" applyBorder="1" applyAlignment="1">
      <alignment horizontal="center" vertical="center" wrapText="1"/>
    </xf>
    <xf numFmtId="0" fontId="163" fillId="0" borderId="17" xfId="615" applyFont="1" applyFill="1" applyBorder="1" applyAlignment="1">
      <alignment horizontal="center" vertical="center" wrapText="1"/>
    </xf>
    <xf numFmtId="1" fontId="162" fillId="0" borderId="17" xfId="343" applyNumberFormat="1" applyFont="1" applyFill="1" applyBorder="1" applyAlignment="1" applyProtection="1">
      <alignment horizontal="center" vertical="center" wrapText="1"/>
      <protection locked="0"/>
    </xf>
    <xf numFmtId="1" fontId="162" fillId="0" borderId="17" xfId="610" applyNumberFormat="1" applyFont="1" applyFill="1" applyBorder="1" applyAlignment="1">
      <alignment horizontal="center" vertical="center" wrapText="1"/>
    </xf>
    <xf numFmtId="0" fontId="201" fillId="0" borderId="17" xfId="415" applyFont="1" applyFill="1" applyBorder="1" applyAlignment="1">
      <alignment horizontal="center" vertical="center" wrapText="1"/>
    </xf>
    <xf numFmtId="0" fontId="163" fillId="0" borderId="17" xfId="343" applyFont="1" applyFill="1" applyBorder="1" applyAlignment="1">
      <alignment horizontal="left" vertical="center" wrapText="1"/>
    </xf>
    <xf numFmtId="1" fontId="163" fillId="0" borderId="17" xfId="343" applyNumberFormat="1" applyFont="1" applyFill="1" applyBorder="1" applyAlignment="1" applyProtection="1">
      <alignment horizontal="center" vertical="center" wrapText="1"/>
      <protection locked="0"/>
    </xf>
    <xf numFmtId="1" fontId="163" fillId="0" borderId="17" xfId="610" applyNumberFormat="1" applyFont="1" applyFill="1" applyBorder="1" applyAlignment="1">
      <alignment horizontal="center" vertical="center" wrapText="1"/>
    </xf>
    <xf numFmtId="0" fontId="204" fillId="0" borderId="17" xfId="415" applyFont="1" applyFill="1" applyBorder="1" applyAlignment="1">
      <alignment horizontal="center" vertical="center" wrapText="1"/>
    </xf>
    <xf numFmtId="2" fontId="162" fillId="0" borderId="17" xfId="521" applyNumberFormat="1" applyFont="1" applyFill="1" applyBorder="1" applyAlignment="1">
      <alignment horizontal="center" vertical="center" wrapText="1"/>
    </xf>
    <xf numFmtId="4" fontId="163" fillId="0" borderId="17" xfId="343" applyNumberFormat="1" applyFont="1" applyFill="1" applyBorder="1" applyAlignment="1">
      <alignment horizontal="right" vertical="center" wrapText="1"/>
    </xf>
    <xf numFmtId="2" fontId="163" fillId="0" borderId="17" xfId="521" applyNumberFormat="1" applyFont="1" applyFill="1" applyBorder="1" applyAlignment="1">
      <alignment horizontal="center" vertical="center" wrapText="1"/>
    </xf>
    <xf numFmtId="0" fontId="128" fillId="0" borderId="0" xfId="343" applyFont="1" applyFill="1" applyAlignment="1">
      <alignment horizontal="center" vertical="center"/>
    </xf>
    <xf numFmtId="0" fontId="206" fillId="0" borderId="17" xfId="343" applyFont="1" applyFill="1" applyBorder="1" applyAlignment="1">
      <alignment horizontal="center" vertical="center"/>
    </xf>
    <xf numFmtId="1" fontId="163" fillId="0" borderId="17" xfId="343" applyNumberFormat="1" applyFont="1" applyFill="1" applyBorder="1" applyAlignment="1">
      <alignment horizontal="center" vertical="center" wrapText="1"/>
    </xf>
    <xf numFmtId="0" fontId="163" fillId="0" borderId="17" xfId="610" applyFont="1" applyFill="1" applyBorder="1" applyAlignment="1">
      <alignment horizontal="left" vertical="center" wrapText="1"/>
    </xf>
    <xf numFmtId="0" fontId="163" fillId="0" borderId="0" xfId="343" applyFont="1" applyFill="1" applyAlignment="1">
      <alignment horizontal="center" vertical="center"/>
    </xf>
    <xf numFmtId="2" fontId="128" fillId="0" borderId="17" xfId="521" applyNumberFormat="1" applyFont="1" applyFill="1" applyBorder="1" applyAlignment="1">
      <alignment horizontal="center" vertical="center" wrapText="1"/>
    </xf>
    <xf numFmtId="0" fontId="170" fillId="0" borderId="0" xfId="343" applyFont="1" applyFill="1" applyAlignment="1">
      <alignment vertical="center" wrapText="1"/>
    </xf>
    <xf numFmtId="0" fontId="170" fillId="0" borderId="17" xfId="415" applyFont="1" applyFill="1" applyBorder="1" applyAlignment="1">
      <alignment horizontal="center" vertical="center" wrapText="1"/>
    </xf>
    <xf numFmtId="0" fontId="170" fillId="0" borderId="0" xfId="343" applyFont="1" applyFill="1" applyAlignment="1">
      <alignment horizontal="center" vertical="center" wrapText="1"/>
    </xf>
    <xf numFmtId="1" fontId="128" fillId="0" borderId="17" xfId="343" applyNumberFormat="1" applyFont="1" applyFill="1" applyBorder="1" applyAlignment="1">
      <alignment horizontal="center" vertical="center" wrapText="1"/>
    </xf>
    <xf numFmtId="4" fontId="128" fillId="0" borderId="17" xfId="343" applyNumberFormat="1" applyFont="1" applyFill="1" applyBorder="1" applyAlignment="1">
      <alignment horizontal="center" vertical="center" wrapText="1"/>
    </xf>
    <xf numFmtId="0" fontId="128" fillId="0" borderId="17" xfId="343" applyFont="1" applyFill="1" applyBorder="1" applyAlignment="1">
      <alignment vertical="center" wrapText="1"/>
    </xf>
    <xf numFmtId="0" fontId="128" fillId="0" borderId="0" xfId="343" applyFont="1" applyFill="1" applyAlignment="1">
      <alignment vertical="center"/>
    </xf>
    <xf numFmtId="0" fontId="128" fillId="0" borderId="17" xfId="610" applyFont="1" applyFill="1" applyBorder="1" applyAlignment="1">
      <alignment vertical="center" wrapText="1"/>
    </xf>
    <xf numFmtId="234" fontId="128" fillId="0" borderId="17" xfId="343" applyNumberFormat="1" applyFont="1" applyFill="1" applyBorder="1" applyAlignment="1">
      <alignment horizontal="center" vertical="center" wrapText="1"/>
    </xf>
    <xf numFmtId="232" fontId="128" fillId="0" borderId="17" xfId="343" applyNumberFormat="1" applyFont="1" applyFill="1" applyBorder="1" applyAlignment="1">
      <alignment horizontal="center" vertical="center" wrapText="1"/>
    </xf>
    <xf numFmtId="0" fontId="170" fillId="0" borderId="17" xfId="343" applyFont="1" applyFill="1" applyBorder="1" applyAlignment="1">
      <alignment horizontal="center" vertical="center" wrapText="1"/>
    </xf>
    <xf numFmtId="0" fontId="170" fillId="0" borderId="21" xfId="343" applyFont="1" applyFill="1" applyBorder="1" applyAlignment="1">
      <alignment horizontal="center" vertical="center" wrapText="1"/>
    </xf>
    <xf numFmtId="0" fontId="170" fillId="0" borderId="17" xfId="343" applyFont="1" applyFill="1" applyBorder="1" applyAlignment="1">
      <alignment horizontal="center" vertical="center"/>
    </xf>
    <xf numFmtId="0" fontId="170" fillId="0" borderId="0" xfId="343" applyFont="1" applyFill="1" applyAlignment="1">
      <alignment horizontal="center" vertical="center"/>
    </xf>
    <xf numFmtId="4" fontId="128" fillId="0" borderId="17" xfId="343" applyNumberFormat="1" applyFont="1" applyFill="1" applyBorder="1" applyAlignment="1">
      <alignment horizontal="right" vertical="center" wrapText="1"/>
    </xf>
    <xf numFmtId="2" fontId="127" fillId="0" borderId="17" xfId="521" applyNumberFormat="1" applyFont="1" applyFill="1" applyBorder="1" applyAlignment="1">
      <alignment horizontal="center" vertical="center" wrapText="1"/>
    </xf>
    <xf numFmtId="0" fontId="169" fillId="0" borderId="0" xfId="343" applyFont="1" applyFill="1" applyAlignment="1">
      <alignment vertical="center" wrapText="1"/>
    </xf>
    <xf numFmtId="0" fontId="169" fillId="0" borderId="17" xfId="415" applyFont="1" applyFill="1" applyBorder="1" applyAlignment="1">
      <alignment horizontal="center" vertical="center" wrapText="1"/>
    </xf>
    <xf numFmtId="0" fontId="169" fillId="0" borderId="21" xfId="343" applyFont="1" applyFill="1" applyBorder="1" applyAlignment="1">
      <alignment horizontal="center" vertical="center" wrapText="1"/>
    </xf>
    <xf numFmtId="0" fontId="169" fillId="0" borderId="17" xfId="343" applyFont="1" applyFill="1" applyBorder="1" applyAlignment="1">
      <alignment horizontal="center" vertical="center"/>
    </xf>
    <xf numFmtId="0" fontId="169" fillId="0" borderId="0" xfId="343" applyFont="1" applyFill="1" applyAlignment="1">
      <alignment horizontal="center" vertical="center"/>
    </xf>
    <xf numFmtId="0" fontId="127" fillId="0" borderId="17" xfId="410" applyFont="1" applyFill="1" applyBorder="1" applyAlignment="1">
      <alignment vertical="center" wrapText="1"/>
    </xf>
    <xf numFmtId="223" fontId="127" fillId="0" borderId="17" xfId="360" applyNumberFormat="1" applyFont="1" applyFill="1" applyBorder="1" applyAlignment="1">
      <alignment horizontal="center" vertical="center" wrapText="1"/>
    </xf>
    <xf numFmtId="0" fontId="169" fillId="0" borderId="17" xfId="343" applyFont="1" applyFill="1" applyBorder="1" applyAlignment="1">
      <alignment horizontal="center" vertical="center" wrapText="1"/>
    </xf>
    <xf numFmtId="168" fontId="127" fillId="0" borderId="17" xfId="343" applyNumberFormat="1" applyFont="1" applyFill="1" applyBorder="1" applyAlignment="1">
      <alignment horizontal="left" vertical="center" wrapText="1"/>
    </xf>
    <xf numFmtId="168" fontId="127" fillId="0" borderId="17" xfId="343" applyNumberFormat="1" applyFont="1" applyFill="1" applyBorder="1" applyAlignment="1">
      <alignment horizontal="center" vertical="center" wrapText="1"/>
    </xf>
    <xf numFmtId="0" fontId="170" fillId="0" borderId="0" xfId="415" applyFont="1" applyFill="1" applyAlignment="1">
      <alignment horizontal="center" vertical="center" wrapText="1"/>
    </xf>
    <xf numFmtId="3" fontId="127" fillId="0" borderId="17" xfId="343" applyNumberFormat="1" applyFont="1" applyFill="1" applyBorder="1" applyAlignment="1">
      <alignment horizontal="left" vertical="center" wrapText="1"/>
    </xf>
    <xf numFmtId="1" fontId="127" fillId="0" borderId="17" xfId="343" applyNumberFormat="1" applyFont="1" applyFill="1" applyBorder="1" applyAlignment="1" applyProtection="1">
      <alignment vertical="center" wrapText="1"/>
      <protection locked="0"/>
    </xf>
    <xf numFmtId="3" fontId="162" fillId="0" borderId="17" xfId="343" applyNumberFormat="1" applyFont="1" applyFill="1" applyBorder="1" applyAlignment="1">
      <alignment horizontal="center" vertical="center"/>
    </xf>
    <xf numFmtId="4" fontId="162" fillId="0" borderId="17" xfId="520" applyNumberFormat="1" applyFont="1" applyFill="1" applyBorder="1" applyAlignment="1">
      <alignment horizontal="left" vertical="center" wrapText="1"/>
    </xf>
    <xf numFmtId="4" fontId="201" fillId="0" borderId="25" xfId="520" applyNumberFormat="1" applyFont="1" applyFill="1" applyBorder="1" applyAlignment="1">
      <alignment horizontal="left" vertical="center" wrapText="1"/>
    </xf>
    <xf numFmtId="0" fontId="201" fillId="0" borderId="21" xfId="343" applyFont="1" applyFill="1" applyBorder="1" applyAlignment="1">
      <alignment horizontal="center" vertical="center" wrapText="1"/>
    </xf>
    <xf numFmtId="0" fontId="201" fillId="0" borderId="17" xfId="343" applyFont="1" applyFill="1" applyBorder="1" applyAlignment="1">
      <alignment horizontal="center" vertical="center"/>
    </xf>
    <xf numFmtId="0" fontId="201" fillId="0" borderId="0" xfId="343" applyFont="1" applyFill="1" applyAlignment="1">
      <alignment horizontal="center" vertical="center"/>
    </xf>
    <xf numFmtId="3" fontId="202" fillId="0" borderId="17" xfId="343" applyNumberFormat="1" applyFont="1" applyFill="1" applyBorder="1" applyAlignment="1">
      <alignment horizontal="center" vertical="center"/>
    </xf>
    <xf numFmtId="4" fontId="202" fillId="0" borderId="17" xfId="520" applyNumberFormat="1" applyFont="1" applyFill="1" applyBorder="1" applyAlignment="1">
      <alignment horizontal="left" vertical="center" wrapText="1"/>
    </xf>
    <xf numFmtId="4" fontId="203" fillId="0" borderId="0" xfId="520" applyNumberFormat="1" applyFont="1" applyFill="1" applyAlignment="1">
      <alignment horizontal="left" vertical="center" wrapText="1"/>
    </xf>
    <xf numFmtId="0" fontId="203" fillId="0" borderId="17" xfId="343" applyFont="1" applyFill="1" applyBorder="1" applyAlignment="1">
      <alignment horizontal="center" vertical="center" wrapText="1"/>
    </xf>
    <xf numFmtId="0" fontId="203" fillId="0" borderId="21" xfId="343" applyFont="1" applyFill="1" applyBorder="1" applyAlignment="1">
      <alignment horizontal="center" vertical="center" wrapText="1"/>
    </xf>
    <xf numFmtId="0" fontId="203" fillId="0" borderId="17" xfId="343" applyFont="1" applyFill="1" applyBorder="1" applyAlignment="1">
      <alignment horizontal="center" vertical="center"/>
    </xf>
    <xf numFmtId="0" fontId="168" fillId="0" borderId="0" xfId="343" applyFont="1" applyFill="1" applyAlignment="1">
      <alignment horizontal="center" vertical="center"/>
    </xf>
    <xf numFmtId="2" fontId="162" fillId="0" borderId="17" xfId="343" applyNumberFormat="1" applyFont="1" applyFill="1" applyBorder="1" applyAlignment="1">
      <alignment horizontal="left" vertical="center" wrapText="1"/>
    </xf>
    <xf numFmtId="0" fontId="162" fillId="0" borderId="17" xfId="615" applyFont="1" applyFill="1" applyBorder="1" applyAlignment="1">
      <alignment horizontal="left" vertical="center" wrapText="1"/>
    </xf>
    <xf numFmtId="3" fontId="162" fillId="0" borderId="17" xfId="343" applyNumberFormat="1" applyFont="1" applyFill="1" applyBorder="1" applyAlignment="1">
      <alignment horizontal="center" vertical="center" wrapText="1"/>
    </xf>
    <xf numFmtId="0" fontId="162" fillId="0" borderId="17" xfId="368" applyFont="1" applyFill="1" applyBorder="1" applyAlignment="1">
      <alignment horizontal="center" vertical="center" wrapText="1"/>
    </xf>
    <xf numFmtId="0" fontId="200" fillId="0" borderId="25" xfId="343" applyFont="1" applyFill="1" applyBorder="1" applyAlignment="1">
      <alignment horizontal="left" vertical="center" wrapText="1"/>
    </xf>
    <xf numFmtId="3" fontId="162" fillId="0" borderId="17" xfId="343" applyNumberFormat="1" applyFont="1" applyFill="1" applyBorder="1" applyAlignment="1">
      <alignment horizontal="left" vertical="center" wrapText="1"/>
    </xf>
    <xf numFmtId="4" fontId="162" fillId="0" borderId="17" xfId="519" applyNumberFormat="1" applyFont="1" applyFill="1" applyBorder="1" applyAlignment="1">
      <alignment horizontal="right" vertical="center" wrapText="1"/>
    </xf>
    <xf numFmtId="49" fontId="201" fillId="0" borderId="17" xfId="415" applyNumberFormat="1" applyFont="1" applyFill="1" applyBorder="1" applyAlignment="1">
      <alignment horizontal="center" vertical="center" wrapText="1"/>
    </xf>
    <xf numFmtId="172" fontId="163" fillId="0" borderId="17" xfId="343" applyNumberFormat="1" applyFont="1" applyFill="1" applyBorder="1" applyAlignment="1">
      <alignment horizontal="center" vertical="center" wrapText="1"/>
    </xf>
    <xf numFmtId="0" fontId="162" fillId="0" borderId="17" xfId="610" applyFont="1" applyFill="1" applyBorder="1" applyAlignment="1">
      <alignment vertical="center" wrapText="1"/>
    </xf>
    <xf numFmtId="168" fontId="162" fillId="0" borderId="17" xfId="343" applyNumberFormat="1" applyFont="1" applyFill="1" applyBorder="1" applyAlignment="1">
      <alignment vertical="center"/>
    </xf>
    <xf numFmtId="168" fontId="162" fillId="0" borderId="0" xfId="343" applyNumberFormat="1" applyFont="1" applyFill="1" applyAlignment="1">
      <alignment vertical="center"/>
    </xf>
    <xf numFmtId="0" fontId="162" fillId="0" borderId="17" xfId="523" applyFont="1" applyFill="1" applyBorder="1" applyAlignment="1">
      <alignment horizontal="left" vertical="center" wrapText="1"/>
    </xf>
    <xf numFmtId="0" fontId="163" fillId="0" borderId="17" xfId="523" applyFont="1" applyFill="1" applyBorder="1" applyAlignment="1">
      <alignment horizontal="left" vertical="center" wrapText="1"/>
    </xf>
    <xf numFmtId="0" fontId="162" fillId="0" borderId="17" xfId="410" applyFont="1" applyFill="1" applyBorder="1" applyAlignment="1">
      <alignment vertical="center" wrapText="1"/>
    </xf>
    <xf numFmtId="223" fontId="162" fillId="0" borderId="17" xfId="360" applyNumberFormat="1" applyFont="1" applyFill="1" applyBorder="1" applyAlignment="1">
      <alignment horizontal="center" vertical="center" wrapText="1"/>
    </xf>
    <xf numFmtId="0" fontId="162" fillId="0" borderId="17" xfId="338" applyFont="1" applyFill="1" applyBorder="1" applyAlignment="1">
      <alignment horizontal="center" vertical="center" wrapText="1"/>
    </xf>
    <xf numFmtId="0" fontId="163" fillId="0" borderId="17" xfId="410" applyFont="1" applyFill="1" applyBorder="1" applyAlignment="1">
      <alignment vertical="center" wrapText="1"/>
    </xf>
    <xf numFmtId="223" fontId="163" fillId="0" borderId="17" xfId="360" applyNumberFormat="1" applyFont="1" applyFill="1" applyBorder="1" applyAlignment="1">
      <alignment horizontal="center" vertical="center" wrapText="1"/>
    </xf>
    <xf numFmtId="0" fontId="163" fillId="0" borderId="17" xfId="338" applyFont="1" applyFill="1" applyBorder="1" applyAlignment="1">
      <alignment horizontal="center" vertical="center" wrapText="1"/>
    </xf>
    <xf numFmtId="168" fontId="162" fillId="0" borderId="17" xfId="343" applyNumberFormat="1" applyFont="1" applyFill="1" applyBorder="1" applyAlignment="1">
      <alignment horizontal="left" vertical="center" wrapText="1"/>
    </xf>
    <xf numFmtId="168" fontId="162" fillId="0" borderId="17" xfId="343" applyNumberFormat="1" applyFont="1" applyFill="1" applyBorder="1" applyAlignment="1">
      <alignment horizontal="center" vertical="center" wrapText="1"/>
    </xf>
    <xf numFmtId="168" fontId="163" fillId="0" borderId="17" xfId="343" applyNumberFormat="1" applyFont="1" applyFill="1" applyBorder="1" applyAlignment="1">
      <alignment horizontal="left" vertical="center" wrapText="1"/>
    </xf>
    <xf numFmtId="168" fontId="163" fillId="0" borderId="17" xfId="343" applyNumberFormat="1" applyFont="1" applyFill="1" applyBorder="1" applyAlignment="1">
      <alignment horizontal="center" vertical="center" wrapText="1"/>
    </xf>
    <xf numFmtId="168" fontId="163" fillId="0" borderId="17" xfId="343" applyNumberFormat="1" applyFont="1" applyFill="1" applyBorder="1" applyAlignment="1">
      <alignment vertical="center"/>
    </xf>
    <xf numFmtId="168" fontId="127" fillId="0" borderId="0" xfId="343" applyNumberFormat="1" applyFont="1" applyFill="1" applyAlignment="1">
      <alignment vertical="center"/>
    </xf>
    <xf numFmtId="0" fontId="206" fillId="0" borderId="0" xfId="343" applyFont="1" applyFill="1" applyAlignment="1">
      <alignment horizontal="center" vertical="center" wrapText="1"/>
    </xf>
    <xf numFmtId="0" fontId="206" fillId="0" borderId="17" xfId="343" applyFont="1" applyFill="1" applyBorder="1" applyAlignment="1">
      <alignment vertical="center"/>
    </xf>
    <xf numFmtId="0" fontId="197" fillId="0" borderId="0" xfId="343" applyFont="1" applyFill="1" applyAlignment="1">
      <alignment vertical="center"/>
    </xf>
    <xf numFmtId="0" fontId="163" fillId="0" borderId="0" xfId="343" applyFont="1" applyFill="1" applyAlignment="1">
      <alignment vertical="center" wrapText="1"/>
    </xf>
    <xf numFmtId="168" fontId="162" fillId="0" borderId="17" xfId="616" applyNumberFormat="1" applyFont="1" applyFill="1" applyBorder="1" applyAlignment="1">
      <alignment horizontal="left" vertical="center" wrapText="1"/>
    </xf>
    <xf numFmtId="168" fontId="163" fillId="0" borderId="17" xfId="616" applyNumberFormat="1" applyFont="1" applyFill="1" applyBorder="1" applyAlignment="1">
      <alignment horizontal="left" vertical="center" wrapText="1"/>
    </xf>
    <xf numFmtId="0" fontId="162" fillId="0" borderId="17" xfId="617" applyFont="1" applyFill="1" applyBorder="1" applyAlignment="1">
      <alignment horizontal="left" vertical="center" wrapText="1"/>
    </xf>
    <xf numFmtId="0" fontId="162" fillId="0" borderId="0" xfId="343" applyFont="1" applyFill="1" applyAlignment="1">
      <alignment vertical="center" wrapText="1"/>
    </xf>
    <xf numFmtId="0" fontId="163" fillId="0" borderId="17" xfId="617" applyFont="1" applyFill="1" applyBorder="1" applyAlignment="1">
      <alignment horizontal="left" vertical="center" wrapText="1"/>
    </xf>
    <xf numFmtId="0" fontId="207" fillId="0" borderId="17" xfId="343" applyFont="1" applyFill="1" applyBorder="1" applyAlignment="1">
      <alignment vertical="center" wrapText="1"/>
    </xf>
    <xf numFmtId="0" fontId="208" fillId="0" borderId="17" xfId="343" applyFont="1" applyFill="1" applyBorder="1" applyAlignment="1">
      <alignment vertical="center" wrapText="1"/>
    </xf>
    <xf numFmtId="0" fontId="204" fillId="0" borderId="0" xfId="415" applyFont="1" applyFill="1" applyAlignment="1">
      <alignment horizontal="center" vertical="center" wrapText="1"/>
    </xf>
    <xf numFmtId="0" fontId="206" fillId="0" borderId="0" xfId="343" applyFont="1" applyFill="1" applyAlignment="1">
      <alignment horizontal="center" vertical="center"/>
    </xf>
    <xf numFmtId="0" fontId="206" fillId="0" borderId="0" xfId="343" applyFont="1" applyFill="1" applyAlignment="1">
      <alignment vertical="center"/>
    </xf>
    <xf numFmtId="0" fontId="209" fillId="0" borderId="0" xfId="610" applyFont="1" applyFill="1" applyAlignment="1">
      <alignment horizontal="left" vertical="center" wrapText="1"/>
    </xf>
    <xf numFmtId="4" fontId="202" fillId="0" borderId="17" xfId="343" applyNumberFormat="1" applyFont="1" applyFill="1" applyBorder="1" applyAlignment="1">
      <alignment vertical="center" wrapText="1"/>
    </xf>
    <xf numFmtId="4" fontId="202" fillId="0" borderId="17" xfId="360" applyNumberFormat="1" applyFont="1" applyFill="1" applyBorder="1" applyAlignment="1">
      <alignment horizontal="center" vertical="center" wrapText="1"/>
    </xf>
    <xf numFmtId="4" fontId="202" fillId="0" borderId="0" xfId="343" applyNumberFormat="1" applyFont="1" applyFill="1" applyAlignment="1">
      <alignment horizontal="center" vertical="center" wrapText="1"/>
    </xf>
    <xf numFmtId="4" fontId="203" fillId="0" borderId="0" xfId="343" applyNumberFormat="1" applyFont="1" applyFill="1" applyAlignment="1">
      <alignment vertical="center" wrapText="1"/>
    </xf>
    <xf numFmtId="4" fontId="203" fillId="0" borderId="0" xfId="415" applyNumberFormat="1" applyFont="1" applyFill="1" applyAlignment="1">
      <alignment horizontal="center" vertical="center" wrapText="1"/>
    </xf>
    <xf numFmtId="4" fontId="202" fillId="0" borderId="21" xfId="343" applyNumberFormat="1" applyFont="1" applyFill="1" applyBorder="1" applyAlignment="1">
      <alignment horizontal="center" vertical="center" wrapText="1"/>
    </xf>
    <xf numFmtId="4" fontId="202" fillId="0" borderId="17" xfId="343" applyNumberFormat="1" applyFont="1" applyFill="1" applyBorder="1" applyAlignment="1">
      <alignment horizontal="center" vertical="center"/>
    </xf>
    <xf numFmtId="4" fontId="120" fillId="0" borderId="0" xfId="343" applyNumberFormat="1" applyFont="1" applyFill="1" applyAlignment="1">
      <alignment horizontal="center" vertical="center"/>
    </xf>
    <xf numFmtId="0" fontId="162" fillId="0" borderId="17" xfId="368" applyFont="1" applyFill="1" applyBorder="1" applyAlignment="1">
      <alignment horizontal="left" vertical="center" wrapText="1"/>
    </xf>
    <xf numFmtId="0" fontId="201" fillId="0" borderId="0" xfId="415" applyFont="1" applyFill="1" applyAlignment="1">
      <alignment horizontal="center" vertical="center" wrapText="1"/>
    </xf>
    <xf numFmtId="1" fontId="202" fillId="0" borderId="17" xfId="614" applyNumberFormat="1" applyFont="1" applyFill="1" applyBorder="1" applyAlignment="1">
      <alignment horizontal="left" vertical="center" wrapText="1"/>
    </xf>
    <xf numFmtId="0" fontId="202" fillId="0" borderId="17" xfId="610" applyFont="1" applyFill="1" applyBorder="1" applyAlignment="1">
      <alignment horizontal="center" vertical="center" wrapText="1"/>
    </xf>
    <xf numFmtId="227" fontId="202" fillId="0" borderId="17" xfId="343" applyNumberFormat="1" applyFont="1" applyFill="1" applyBorder="1" applyAlignment="1">
      <alignment horizontal="center" vertical="center"/>
    </xf>
    <xf numFmtId="2" fontId="162" fillId="0" borderId="17" xfId="343" applyNumberFormat="1" applyFont="1" applyFill="1" applyBorder="1" applyAlignment="1">
      <alignment horizontal="center" vertical="center" wrapText="1"/>
    </xf>
    <xf numFmtId="2" fontId="163" fillId="0" borderId="17" xfId="343" applyNumberFormat="1" applyFont="1" applyFill="1" applyBorder="1" applyAlignment="1">
      <alignment horizontal="center" vertical="center" wrapText="1"/>
    </xf>
    <xf numFmtId="4" fontId="162" fillId="0" borderId="17" xfId="343" applyNumberFormat="1" applyFont="1" applyFill="1" applyBorder="1" applyAlignment="1">
      <alignment horizontal="right" vertical="center"/>
    </xf>
    <xf numFmtId="1" fontId="202" fillId="0" borderId="17" xfId="343" applyNumberFormat="1" applyFont="1" applyFill="1" applyBorder="1" applyAlignment="1">
      <alignment horizontal="left" vertical="center" wrapText="1"/>
    </xf>
    <xf numFmtId="1" fontId="162" fillId="0" borderId="17" xfId="614" applyNumberFormat="1" applyFont="1" applyFill="1" applyBorder="1" applyAlignment="1">
      <alignment vertical="center" wrapText="1"/>
    </xf>
    <xf numFmtId="0" fontId="205" fillId="0" borderId="0" xfId="343" applyFont="1" applyFill="1" applyAlignment="1">
      <alignment horizontal="center" vertical="center" wrapText="1"/>
    </xf>
    <xf numFmtId="3" fontId="202" fillId="0" borderId="17" xfId="610" applyNumberFormat="1" applyFont="1" applyFill="1" applyBorder="1" applyAlignment="1">
      <alignment horizontal="center" vertical="center" wrapText="1"/>
    </xf>
    <xf numFmtId="0" fontId="202" fillId="0" borderId="17" xfId="608" applyFont="1" applyFill="1" applyBorder="1" applyAlignment="1">
      <alignment horizontal="center" vertical="center" wrapText="1"/>
    </xf>
    <xf numFmtId="0" fontId="202" fillId="0" borderId="17" xfId="608" applyFont="1" applyFill="1" applyBorder="1" applyAlignment="1">
      <alignment vertical="center" wrapText="1"/>
    </xf>
    <xf numFmtId="0" fontId="162" fillId="0" borderId="17" xfId="415" applyFont="1" applyFill="1" applyBorder="1" applyAlignment="1">
      <alignment horizontal="center" vertical="center" wrapText="1"/>
    </xf>
    <xf numFmtId="0" fontId="163" fillId="0" borderId="17" xfId="415" applyFont="1" applyFill="1" applyBorder="1" applyAlignment="1">
      <alignment horizontal="center" vertical="center" wrapText="1"/>
    </xf>
    <xf numFmtId="0" fontId="162" fillId="0" borderId="17" xfId="523" applyFont="1" applyFill="1" applyBorder="1" applyAlignment="1">
      <alignment horizontal="center" vertical="center" wrapText="1"/>
    </xf>
    <xf numFmtId="4" fontId="162" fillId="0" borderId="17" xfId="343" applyNumberFormat="1" applyFont="1" applyFill="1" applyBorder="1" applyAlignment="1">
      <alignment horizontal="center" vertical="center"/>
    </xf>
    <xf numFmtId="2" fontId="162" fillId="0" borderId="17" xfId="610" applyNumberFormat="1" applyFont="1" applyFill="1" applyBorder="1" applyAlignment="1">
      <alignment horizontal="center" vertical="center" wrapText="1"/>
    </xf>
    <xf numFmtId="0" fontId="162" fillId="0" borderId="0" xfId="619" applyFont="1" applyFill="1" applyAlignment="1">
      <alignment horizontal="center" vertical="center" wrapText="1"/>
    </xf>
    <xf numFmtId="0" fontId="201" fillId="0" borderId="0" xfId="619" applyFont="1" applyFill="1" applyAlignment="1">
      <alignment horizontal="center" vertical="center" wrapText="1"/>
    </xf>
    <xf numFmtId="49" fontId="162" fillId="0" borderId="17" xfId="410" applyNumberFormat="1" applyFont="1" applyFill="1" applyBorder="1" applyAlignment="1">
      <alignment horizontal="center" vertical="center" wrapText="1"/>
    </xf>
    <xf numFmtId="0" fontId="162" fillId="0" borderId="17" xfId="410" applyFont="1" applyFill="1" applyBorder="1" applyAlignment="1">
      <alignment horizontal="center" vertical="center" wrapText="1"/>
    </xf>
    <xf numFmtId="0" fontId="162" fillId="0" borderId="25" xfId="347" applyFont="1" applyFill="1" applyBorder="1" applyAlignment="1">
      <alignment horizontal="center" vertical="center" wrapText="1"/>
    </xf>
    <xf numFmtId="0" fontId="162" fillId="0" borderId="21" xfId="347" applyFont="1" applyFill="1" applyBorder="1" applyAlignment="1">
      <alignment horizontal="center" vertical="center" wrapText="1"/>
    </xf>
    <xf numFmtId="4" fontId="162" fillId="0" borderId="17" xfId="610" applyNumberFormat="1" applyFont="1" applyFill="1" applyBorder="1" applyAlignment="1">
      <alignment horizontal="right" vertical="center" wrapText="1"/>
    </xf>
    <xf numFmtId="0" fontId="162" fillId="0" borderId="17" xfId="616" applyFont="1" applyFill="1" applyBorder="1" applyAlignment="1">
      <alignment vertical="center" wrapText="1"/>
    </xf>
    <xf numFmtId="3" fontId="202" fillId="0" borderId="17" xfId="343" applyNumberFormat="1" applyFont="1" applyFill="1" applyBorder="1" applyAlignment="1">
      <alignment horizontal="left" vertical="center" wrapText="1"/>
    </xf>
    <xf numFmtId="0" fontId="162" fillId="0" borderId="25" xfId="343" applyFont="1" applyFill="1" applyBorder="1" applyAlignment="1">
      <alignment horizontal="center" vertical="center" wrapText="1"/>
    </xf>
    <xf numFmtId="0" fontId="162" fillId="0" borderId="17" xfId="347" applyFont="1" applyFill="1" applyBorder="1" applyAlignment="1">
      <alignment horizontal="center" vertical="center"/>
    </xf>
    <xf numFmtId="0" fontId="201" fillId="0" borderId="17" xfId="347" applyFont="1" applyFill="1" applyBorder="1" applyAlignment="1">
      <alignment horizontal="center" vertical="center"/>
    </xf>
    <xf numFmtId="0" fontId="202" fillId="0" borderId="17" xfId="619" applyFont="1" applyFill="1" applyBorder="1" applyAlignment="1">
      <alignment horizontal="center" vertical="center" wrapText="1"/>
    </xf>
    <xf numFmtId="0" fontId="202" fillId="0" borderId="0" xfId="347" applyFont="1" applyFill="1" applyAlignment="1">
      <alignment horizontal="center" vertical="center"/>
    </xf>
    <xf numFmtId="0" fontId="203" fillId="0" borderId="0" xfId="347" applyFont="1" applyFill="1" applyAlignment="1">
      <alignment horizontal="center" vertical="center"/>
    </xf>
    <xf numFmtId="0" fontId="162" fillId="0" borderId="0" xfId="347" applyFont="1" applyFill="1" applyAlignment="1">
      <alignment horizontal="center" vertical="center"/>
    </xf>
    <xf numFmtId="0" fontId="201" fillId="0" borderId="0" xfId="347" applyFont="1" applyFill="1" applyAlignment="1">
      <alignment horizontal="center" vertical="center"/>
    </xf>
    <xf numFmtId="0" fontId="202" fillId="0" borderId="17" xfId="622" applyFont="1" applyFill="1" applyBorder="1" applyAlignment="1">
      <alignment horizontal="center" vertical="center" wrapText="1"/>
    </xf>
    <xf numFmtId="0" fontId="202" fillId="0" borderId="17" xfId="610" applyFont="1" applyFill="1" applyBorder="1" applyAlignment="1">
      <alignment vertical="center" wrapText="1"/>
    </xf>
    <xf numFmtId="223" fontId="202" fillId="0" borderId="17" xfId="360" applyNumberFormat="1" applyFont="1" applyFill="1" applyBorder="1" applyAlignment="1">
      <alignment horizontal="center" vertical="center" wrapText="1"/>
    </xf>
    <xf numFmtId="4" fontId="162" fillId="0" borderId="17" xfId="520" applyNumberFormat="1" applyFont="1" applyFill="1" applyBorder="1" applyAlignment="1">
      <alignment horizontal="center" vertical="center" wrapText="1"/>
    </xf>
    <xf numFmtId="0" fontId="202" fillId="0" borderId="17" xfId="616" applyFont="1" applyFill="1" applyBorder="1" applyAlignment="1">
      <alignment vertical="center" wrapText="1"/>
    </xf>
    <xf numFmtId="0" fontId="127" fillId="0" borderId="17" xfId="622" applyFont="1" applyFill="1" applyBorder="1" applyAlignment="1">
      <alignment horizontal="left" vertical="center" wrapText="1"/>
    </xf>
    <xf numFmtId="0" fontId="127" fillId="0" borderId="17" xfId="622" applyFont="1" applyFill="1" applyBorder="1" applyAlignment="1">
      <alignment horizontal="center" vertical="center" wrapText="1"/>
    </xf>
    <xf numFmtId="0" fontId="127" fillId="0" borderId="17" xfId="415" applyFont="1" applyFill="1" applyBorder="1" applyAlignment="1">
      <alignment horizontal="center" vertical="center" wrapText="1"/>
    </xf>
    <xf numFmtId="0" fontId="162" fillId="0" borderId="17" xfId="608" applyFont="1" applyFill="1" applyBorder="1" applyAlignment="1">
      <alignment horizontal="center" vertical="center" wrapText="1"/>
    </xf>
    <xf numFmtId="0" fontId="127" fillId="0" borderId="17" xfId="343" applyFont="1" applyFill="1" applyBorder="1" applyAlignment="1">
      <alignment vertical="center" wrapText="1"/>
    </xf>
    <xf numFmtId="172" fontId="127" fillId="0" borderId="17" xfId="343" applyNumberFormat="1" applyFont="1" applyFill="1" applyBorder="1" applyAlignment="1">
      <alignment horizontal="left" vertical="center" wrapText="1"/>
    </xf>
    <xf numFmtId="232" fontId="127" fillId="0" borderId="17" xfId="343" applyNumberFormat="1" applyFont="1" applyFill="1" applyBorder="1" applyAlignment="1">
      <alignment horizontal="center" vertical="center" wrapText="1"/>
    </xf>
    <xf numFmtId="1" fontId="127" fillId="0" borderId="17" xfId="614" applyNumberFormat="1" applyFont="1" applyFill="1" applyBorder="1" applyAlignment="1">
      <alignment vertical="center" wrapText="1"/>
    </xf>
    <xf numFmtId="232" fontId="127" fillId="0" borderId="17" xfId="343" applyNumberFormat="1" applyFont="1" applyFill="1" applyBorder="1" applyAlignment="1">
      <alignment vertical="center" wrapText="1"/>
    </xf>
    <xf numFmtId="0" fontId="127" fillId="0" borderId="17" xfId="521" applyFont="1" applyFill="1" applyBorder="1" applyAlignment="1">
      <alignment horizontal="center" vertical="center" wrapText="1"/>
    </xf>
    <xf numFmtId="1" fontId="128" fillId="0" borderId="17" xfId="343" applyNumberFormat="1" applyFont="1" applyFill="1" applyBorder="1" applyAlignment="1" applyProtection="1">
      <alignment vertical="center" wrapText="1"/>
      <protection locked="0"/>
    </xf>
    <xf numFmtId="0" fontId="128" fillId="0" borderId="17" xfId="608" applyFont="1" applyFill="1" applyBorder="1" applyAlignment="1">
      <alignment horizontal="center" vertical="center" wrapText="1"/>
    </xf>
    <xf numFmtId="0" fontId="128" fillId="0" borderId="17" xfId="619" applyFont="1" applyFill="1" applyBorder="1" applyAlignment="1">
      <alignment horizontal="center" vertical="center" wrapText="1"/>
    </xf>
    <xf numFmtId="0" fontId="127" fillId="0" borderId="17" xfId="610" applyFont="1" applyFill="1" applyBorder="1" applyAlignment="1">
      <alignment horizontal="left" vertical="center" wrapText="1"/>
    </xf>
    <xf numFmtId="0" fontId="128" fillId="0" borderId="23" xfId="619" applyFont="1" applyFill="1" applyBorder="1" applyAlignment="1">
      <alignment horizontal="center" vertical="center" wrapText="1"/>
    </xf>
    <xf numFmtId="0" fontId="127" fillId="0" borderId="17" xfId="619" applyFont="1" applyFill="1" applyBorder="1" applyAlignment="1">
      <alignment horizontal="center" vertical="center" wrapText="1"/>
    </xf>
    <xf numFmtId="0" fontId="127" fillId="0" borderId="17" xfId="623" applyFont="1" applyFill="1" applyBorder="1" applyAlignment="1">
      <alignment horizontal="left" vertical="center" wrapText="1"/>
    </xf>
    <xf numFmtId="232" fontId="127" fillId="0" borderId="17" xfId="343" applyNumberFormat="1" applyFont="1" applyFill="1" applyBorder="1" applyAlignment="1">
      <alignment horizontal="left" vertical="center" wrapText="1"/>
    </xf>
    <xf numFmtId="0" fontId="127" fillId="0" borderId="17" xfId="343" applyFont="1" applyFill="1" applyBorder="1" applyAlignment="1">
      <alignment vertical="center"/>
    </xf>
    <xf numFmtId="0" fontId="127" fillId="0" borderId="17" xfId="368" applyFont="1" applyFill="1" applyBorder="1" applyAlignment="1">
      <alignment horizontal="center" vertical="center" wrapText="1"/>
    </xf>
    <xf numFmtId="0" fontId="127" fillId="0" borderId="17" xfId="368" applyFont="1" applyFill="1" applyBorder="1" applyAlignment="1">
      <alignment horizontal="left" vertical="center" wrapText="1"/>
    </xf>
    <xf numFmtId="4" fontId="202" fillId="0" borderId="17" xfId="343" applyNumberFormat="1" applyFont="1" applyFill="1" applyBorder="1" applyAlignment="1">
      <alignment horizontal="right" vertical="center" wrapText="1"/>
    </xf>
    <xf numFmtId="0" fontId="203" fillId="0" borderId="0" xfId="415" applyFont="1" applyFill="1" applyAlignment="1">
      <alignment horizontal="center" vertical="center" wrapText="1"/>
    </xf>
    <xf numFmtId="0" fontId="162" fillId="0" borderId="17" xfId="624" applyFont="1" applyFill="1" applyBorder="1" applyAlignment="1">
      <alignment horizontal="center" vertical="center" wrapText="1"/>
    </xf>
    <xf numFmtId="0" fontId="125" fillId="0" borderId="0" xfId="610" applyFont="1" applyFill="1" applyAlignment="1">
      <alignment horizontal="left" vertical="center" wrapText="1"/>
    </xf>
    <xf numFmtId="1" fontId="162" fillId="0" borderId="17" xfId="343" applyNumberFormat="1" applyFont="1" applyFill="1" applyBorder="1" applyAlignment="1" applyProtection="1">
      <alignment horizontal="left" vertical="center" wrapText="1"/>
      <protection locked="0"/>
    </xf>
    <xf numFmtId="0" fontId="162" fillId="0" borderId="17" xfId="625" applyFont="1" applyFill="1" applyBorder="1" applyAlignment="1">
      <alignment horizontal="center" vertical="center" wrapText="1"/>
    </xf>
    <xf numFmtId="14" fontId="162" fillId="0" borderId="17" xfId="410" applyNumberFormat="1" applyFont="1" applyFill="1" applyBorder="1" applyAlignment="1">
      <alignment vertical="center" wrapText="1"/>
    </xf>
    <xf numFmtId="0" fontId="162" fillId="0" borderId="17" xfId="625" applyFont="1" applyFill="1" applyBorder="1" applyAlignment="1">
      <alignment vertical="center" wrapText="1"/>
    </xf>
    <xf numFmtId="0" fontId="162" fillId="0" borderId="17" xfId="619" applyFont="1" applyFill="1" applyBorder="1" applyAlignment="1">
      <alignment horizontal="center" vertical="center" wrapText="1"/>
    </xf>
    <xf numFmtId="234" fontId="162" fillId="0" borderId="17" xfId="343" applyNumberFormat="1" applyFont="1" applyFill="1" applyBorder="1" applyAlignment="1">
      <alignment horizontal="center" vertical="center" wrapText="1"/>
    </xf>
    <xf numFmtId="0" fontId="162" fillId="0" borderId="17" xfId="616" applyFont="1" applyFill="1" applyBorder="1" applyAlignment="1">
      <alignment horizontal="center" vertical="center" wrapText="1"/>
    </xf>
    <xf numFmtId="0" fontId="162" fillId="0" borderId="17" xfId="626" applyFont="1" applyFill="1" applyBorder="1" applyAlignment="1">
      <alignment horizontal="center" vertical="center" wrapText="1"/>
    </xf>
    <xf numFmtId="0" fontId="162" fillId="0" borderId="17" xfId="516" applyFont="1" applyFill="1" applyBorder="1" applyAlignment="1">
      <alignment horizontal="center" vertical="center" wrapText="1"/>
    </xf>
    <xf numFmtId="1" fontId="162" fillId="0" borderId="17" xfId="614" applyNumberFormat="1" applyFont="1" applyFill="1" applyBorder="1" applyAlignment="1">
      <alignment horizontal="center" vertical="center" wrapText="1"/>
    </xf>
    <xf numFmtId="0" fontId="202" fillId="0" borderId="17" xfId="516" applyFont="1" applyFill="1" applyBorder="1" applyAlignment="1">
      <alignment horizontal="center" vertical="center" wrapText="1"/>
    </xf>
    <xf numFmtId="168" fontId="162" fillId="0" borderId="17" xfId="343" applyNumberFormat="1" applyFont="1" applyFill="1" applyBorder="1" applyAlignment="1" applyProtection="1">
      <alignment horizontal="center" vertical="center" wrapText="1"/>
      <protection locked="0"/>
    </xf>
    <xf numFmtId="172" fontId="202" fillId="0" borderId="17" xfId="343" applyNumberFormat="1" applyFont="1" applyFill="1" applyBorder="1" applyAlignment="1">
      <alignment horizontal="center" vertical="center"/>
    </xf>
    <xf numFmtId="4" fontId="162" fillId="0" borderId="0" xfId="343" applyNumberFormat="1" applyFont="1" applyFill="1" applyAlignment="1">
      <alignment horizontal="right" vertical="center"/>
    </xf>
    <xf numFmtId="4" fontId="162" fillId="0" borderId="0" xfId="343" applyNumberFormat="1" applyFont="1" applyFill="1" applyAlignment="1">
      <alignment horizontal="center" vertical="center"/>
    </xf>
    <xf numFmtId="0" fontId="125" fillId="0" borderId="17" xfId="515" applyFont="1" applyBorder="1" applyAlignment="1">
      <alignment horizontal="center" vertical="center" wrapText="1"/>
    </xf>
    <xf numFmtId="2" fontId="124" fillId="0" borderId="17" xfId="603" applyNumberFormat="1" applyFont="1" applyBorder="1" applyAlignment="1">
      <alignment horizontal="left" vertical="center" wrapText="1"/>
    </xf>
    <xf numFmtId="2" fontId="124" fillId="0" borderId="17" xfId="603" applyNumberFormat="1" applyFont="1" applyBorder="1" applyAlignment="1">
      <alignment horizontal="center" vertical="center" wrapText="1"/>
    </xf>
    <xf numFmtId="4" fontId="124" fillId="0" borderId="17" xfId="603" applyNumberFormat="1" applyFont="1" applyBorder="1" applyAlignment="1">
      <alignment horizontal="right" vertical="center" wrapText="1"/>
    </xf>
    <xf numFmtId="4" fontId="124" fillId="0" borderId="17" xfId="368" applyNumberFormat="1" applyFont="1" applyBorder="1" applyAlignment="1">
      <alignment horizontal="right" vertical="center" wrapText="1"/>
    </xf>
    <xf numFmtId="2" fontId="126" fillId="0" borderId="17" xfId="603" applyNumberFormat="1" applyFont="1" applyBorder="1" applyAlignment="1">
      <alignment horizontal="left" vertical="center" wrapText="1"/>
    </xf>
    <xf numFmtId="0" fontId="125" fillId="0" borderId="17" xfId="603" applyFont="1" applyBorder="1" applyAlignment="1">
      <alignment horizontal="center" vertical="center" wrapText="1"/>
    </xf>
    <xf numFmtId="2" fontId="125" fillId="0" borderId="17" xfId="603" applyNumberFormat="1" applyFont="1" applyBorder="1" applyAlignment="1">
      <alignment horizontal="left" vertical="center" wrapText="1"/>
    </xf>
    <xf numFmtId="2" fontId="125" fillId="0" borderId="17" xfId="603" applyNumberFormat="1" applyFont="1" applyBorder="1" applyAlignment="1">
      <alignment horizontal="center" vertical="center" wrapText="1"/>
    </xf>
    <xf numFmtId="4" fontId="125" fillId="0" borderId="17" xfId="603" applyNumberFormat="1" applyFont="1" applyBorder="1" applyAlignment="1">
      <alignment horizontal="right" vertical="center" wrapText="1"/>
    </xf>
    <xf numFmtId="4" fontId="125" fillId="0" borderId="17" xfId="368" applyNumberFormat="1" applyFont="1" applyBorder="1" applyAlignment="1">
      <alignment horizontal="right" vertical="center" wrapText="1"/>
    </xf>
    <xf numFmtId="0" fontId="126" fillId="0" borderId="17" xfId="603" applyFont="1" applyBorder="1" applyAlignment="1">
      <alignment horizontal="center" vertical="center" wrapText="1"/>
    </xf>
    <xf numFmtId="2" fontId="126" fillId="0" borderId="17" xfId="603" applyNumberFormat="1" applyFont="1" applyBorder="1" applyAlignment="1">
      <alignment horizontal="center" vertical="center" wrapText="1"/>
    </xf>
    <xf numFmtId="4" fontId="126" fillId="0" borderId="17" xfId="603" applyNumberFormat="1" applyFont="1" applyBorder="1" applyAlignment="1">
      <alignment horizontal="right" vertical="center" wrapText="1"/>
    </xf>
    <xf numFmtId="4" fontId="126" fillId="0" borderId="17" xfId="368" applyNumberFormat="1" applyFont="1" applyBorder="1" applyAlignment="1">
      <alignment horizontal="right" vertical="center" wrapText="1"/>
    </xf>
    <xf numFmtId="4" fontId="125" fillId="0" borderId="17" xfId="409" applyNumberFormat="1" applyFont="1" applyBorder="1" applyAlignment="1">
      <alignment horizontal="right" vertical="center" wrapText="1"/>
    </xf>
    <xf numFmtId="4" fontId="126" fillId="0" borderId="17" xfId="409" applyNumberFormat="1" applyFont="1" applyBorder="1" applyAlignment="1">
      <alignment horizontal="right" vertical="center" wrapText="1"/>
    </xf>
    <xf numFmtId="49" fontId="124" fillId="0" borderId="17" xfId="515" applyNumberFormat="1" applyFont="1" applyBorder="1" applyAlignment="1">
      <alignment horizontal="center" vertical="center"/>
    </xf>
    <xf numFmtId="4" fontId="124" fillId="0" borderId="17" xfId="158" applyNumberFormat="1" applyFont="1" applyFill="1" applyBorder="1" applyAlignment="1">
      <alignment horizontal="right" vertical="center" wrapText="1"/>
    </xf>
    <xf numFmtId="49" fontId="126" fillId="0" borderId="17" xfId="515" applyNumberFormat="1" applyFont="1" applyBorder="1" applyAlignment="1">
      <alignment horizontal="center" vertical="center"/>
    </xf>
    <xf numFmtId="2" fontId="198" fillId="0" borderId="17" xfId="603" applyNumberFormat="1" applyFont="1" applyBorder="1" applyAlignment="1">
      <alignment horizontal="center" vertical="center" wrapText="1"/>
    </xf>
    <xf numFmtId="4" fontId="198" fillId="0" borderId="17" xfId="603" applyNumberFormat="1" applyFont="1" applyBorder="1" applyAlignment="1">
      <alignment horizontal="right" vertical="center" wrapText="1"/>
    </xf>
    <xf numFmtId="4" fontId="126" fillId="0" borderId="17" xfId="158" applyNumberFormat="1" applyFont="1" applyFill="1" applyBorder="1" applyAlignment="1">
      <alignment horizontal="right" vertical="center" wrapText="1"/>
    </xf>
    <xf numFmtId="49" fontId="125" fillId="0" borderId="17" xfId="515" applyNumberFormat="1" applyFont="1" applyBorder="1" applyAlignment="1">
      <alignment horizontal="center" vertical="center"/>
    </xf>
    <xf numFmtId="2" fontId="125" fillId="0" borderId="17" xfId="603" applyNumberFormat="1" applyFont="1" applyBorder="1" applyAlignment="1">
      <alignment horizontal="left" vertical="center"/>
    </xf>
    <xf numFmtId="2" fontId="125" fillId="0" borderId="17" xfId="603" applyNumberFormat="1" applyFont="1" applyBorder="1" applyAlignment="1">
      <alignment horizontal="center" vertical="center"/>
    </xf>
    <xf numFmtId="4" fontId="125" fillId="0" borderId="17" xfId="365" applyNumberFormat="1" applyFont="1" applyBorder="1" applyAlignment="1">
      <alignment horizontal="right" vertical="center" wrapText="1"/>
    </xf>
    <xf numFmtId="0" fontId="125" fillId="0" borderId="17" xfId="604" applyFont="1" applyBorder="1" applyAlignment="1">
      <alignment horizontal="center" vertical="center"/>
    </xf>
    <xf numFmtId="0" fontId="125" fillId="0" borderId="17" xfId="604" applyFont="1" applyBorder="1" applyAlignment="1">
      <alignment horizontal="left" vertical="center"/>
    </xf>
    <xf numFmtId="4" fontId="125" fillId="0" borderId="17" xfId="0" applyNumberFormat="1" applyFont="1" applyBorder="1" applyAlignment="1">
      <alignment horizontal="right" vertical="center" wrapText="1"/>
    </xf>
    <xf numFmtId="4" fontId="125" fillId="0" borderId="17" xfId="0" applyNumberFormat="1" applyFont="1" applyBorder="1" applyAlignment="1">
      <alignment horizontal="right" vertical="center"/>
    </xf>
    <xf numFmtId="0" fontId="123" fillId="0" borderId="2" xfId="0" applyFont="1" applyBorder="1" applyAlignment="1">
      <alignment vertical="center"/>
    </xf>
    <xf numFmtId="0" fontId="124" fillId="0" borderId="17" xfId="0" applyFont="1" applyBorder="1" applyAlignment="1">
      <alignment vertical="center" wrapText="1"/>
    </xf>
    <xf numFmtId="2" fontId="124" fillId="0" borderId="17" xfId="389" applyNumberFormat="1" applyFont="1" applyBorder="1" applyAlignment="1">
      <alignment horizontal="center" vertical="center" wrapText="1"/>
    </xf>
    <xf numFmtId="39" fontId="124" fillId="0" borderId="17" xfId="0" applyNumberFormat="1" applyFont="1" applyBorder="1" applyAlignment="1">
      <alignment horizontal="right" vertical="center" wrapText="1"/>
    </xf>
    <xf numFmtId="39" fontId="124" fillId="0" borderId="21" xfId="0" applyNumberFormat="1" applyFont="1" applyBorder="1" applyAlignment="1">
      <alignment horizontal="right" vertical="center" wrapText="1"/>
    </xf>
    <xf numFmtId="2" fontId="125" fillId="0" borderId="17" xfId="389" applyNumberFormat="1" applyFont="1" applyBorder="1" applyAlignment="1">
      <alignment horizontal="center" vertical="center" wrapText="1"/>
    </xf>
    <xf numFmtId="39" fontId="125" fillId="0" borderId="17" xfId="0" applyNumberFormat="1" applyFont="1" applyBorder="1" applyAlignment="1">
      <alignment horizontal="right" vertical="center" wrapText="1"/>
    </xf>
    <xf numFmtId="2" fontId="126" fillId="0" borderId="17" xfId="389" applyNumberFormat="1" applyFont="1" applyBorder="1" applyAlignment="1">
      <alignment horizontal="center" vertical="center" wrapText="1"/>
    </xf>
    <xf numFmtId="39" fontId="126" fillId="0" borderId="17" xfId="0" applyNumberFormat="1" applyFont="1" applyBorder="1" applyAlignment="1">
      <alignment horizontal="right" vertical="center" wrapText="1"/>
    </xf>
    <xf numFmtId="0" fontId="124" fillId="0" borderId="17" xfId="0" applyFont="1" applyBorder="1" applyAlignment="1">
      <alignment horizontal="right" vertical="center" wrapText="1"/>
    </xf>
    <xf numFmtId="4" fontId="126" fillId="0" borderId="17" xfId="68" applyNumberFormat="1" applyFont="1" applyFill="1" applyBorder="1" applyAlignment="1">
      <alignment horizontal="right" vertical="center" wrapText="1"/>
    </xf>
    <xf numFmtId="229" fontId="134" fillId="0" borderId="17" xfId="603" applyNumberFormat="1" applyFont="1" applyBorder="1" applyAlignment="1">
      <alignment horizontal="right" vertical="center" wrapText="1"/>
    </xf>
    <xf numFmtId="0" fontId="123" fillId="0" borderId="0" xfId="0" applyFont="1" applyAlignment="1">
      <alignment vertical="center" wrapText="1"/>
    </xf>
    <xf numFmtId="0" fontId="128" fillId="0" borderId="0" xfId="515" applyFont="1" applyAlignment="1">
      <alignment vertical="center"/>
    </xf>
    <xf numFmtId="0" fontId="126" fillId="0" borderId="17" xfId="389" applyFont="1" applyBorder="1" applyAlignment="1">
      <alignment horizontal="center" vertical="center" wrapText="1"/>
    </xf>
    <xf numFmtId="0" fontId="126" fillId="0" borderId="17" xfId="0" applyFont="1" applyBorder="1" applyAlignment="1">
      <alignment horizontal="left" vertical="center" wrapText="1"/>
    </xf>
    <xf numFmtId="43" fontId="197" fillId="0" borderId="0" xfId="366" applyNumberFormat="1" applyFont="1" applyAlignment="1">
      <alignment vertical="center" wrapText="1"/>
    </xf>
    <xf numFmtId="0" fontId="124" fillId="0" borderId="17" xfId="0" applyFont="1" applyBorder="1" applyAlignment="1">
      <alignment horizontal="left" vertical="center" wrapText="1"/>
    </xf>
    <xf numFmtId="4" fontId="120" fillId="0" borderId="17" xfId="108" applyNumberFormat="1" applyFont="1" applyFill="1" applyBorder="1" applyAlignment="1">
      <alignment horizontal="right" vertical="center" wrapText="1"/>
    </xf>
    <xf numFmtId="172" fontId="197" fillId="0" borderId="17" xfId="108" applyNumberFormat="1" applyFont="1" applyFill="1" applyBorder="1" applyAlignment="1">
      <alignment horizontal="right" vertical="center" wrapText="1"/>
    </xf>
    <xf numFmtId="172" fontId="120" fillId="0" borderId="17" xfId="108" applyNumberFormat="1" applyFont="1" applyFill="1" applyBorder="1" applyAlignment="1">
      <alignment horizontal="right" vertical="center" wrapText="1"/>
    </xf>
    <xf numFmtId="4" fontId="120" fillId="31" borderId="17" xfId="108" applyNumberFormat="1" applyFont="1" applyFill="1" applyBorder="1" applyAlignment="1">
      <alignment horizontal="right" vertical="center" wrapText="1"/>
    </xf>
    <xf numFmtId="4" fontId="197" fillId="0" borderId="17" xfId="108" applyNumberFormat="1" applyFont="1" applyFill="1" applyBorder="1" applyAlignment="1">
      <alignment horizontal="right" vertical="center" wrapText="1"/>
    </xf>
    <xf numFmtId="4" fontId="128" fillId="0" borderId="17" xfId="108" applyNumberFormat="1" applyFont="1" applyFill="1" applyBorder="1" applyAlignment="1">
      <alignment horizontal="right" vertical="center" wrapText="1"/>
    </xf>
    <xf numFmtId="4" fontId="128" fillId="31" borderId="17" xfId="108" applyNumberFormat="1" applyFont="1" applyFill="1" applyBorder="1" applyAlignment="1">
      <alignment horizontal="right" vertical="center" wrapText="1"/>
    </xf>
    <xf numFmtId="4" fontId="127" fillId="0" borderId="17" xfId="108" applyNumberFormat="1" applyFont="1" applyFill="1" applyBorder="1" applyAlignment="1">
      <alignment horizontal="right" vertical="center" wrapText="1"/>
    </xf>
    <xf numFmtId="172" fontId="127" fillId="31" borderId="17" xfId="108" applyNumberFormat="1" applyFont="1" applyFill="1" applyBorder="1" applyAlignment="1">
      <alignment horizontal="right" vertical="center" wrapText="1"/>
    </xf>
    <xf numFmtId="0" fontId="127" fillId="0" borderId="0" xfId="366" applyFont="1" applyAlignment="1">
      <alignment vertical="center" wrapText="1"/>
    </xf>
    <xf numFmtId="172" fontId="128" fillId="31" borderId="17" xfId="108" applyNumberFormat="1" applyFont="1" applyFill="1" applyBorder="1" applyAlignment="1">
      <alignment horizontal="right" vertical="center" wrapText="1"/>
    </xf>
    <xf numFmtId="172" fontId="128" fillId="0" borderId="17" xfId="108" applyNumberFormat="1" applyFont="1" applyFill="1" applyBorder="1" applyAlignment="1">
      <alignment horizontal="right" vertical="center" wrapText="1"/>
    </xf>
    <xf numFmtId="0" fontId="126" fillId="0" borderId="17" xfId="0" applyFont="1" applyBorder="1" applyAlignment="1">
      <alignment horizontal="center" vertical="center"/>
    </xf>
    <xf numFmtId="4" fontId="127" fillId="0" borderId="17" xfId="68" applyNumberFormat="1" applyFont="1" applyFill="1" applyBorder="1" applyAlignment="1">
      <alignment horizontal="right" vertical="center" wrapText="1"/>
    </xf>
    <xf numFmtId="172" fontId="127" fillId="31" borderId="17" xfId="68" applyNumberFormat="1" applyFont="1" applyFill="1" applyBorder="1" applyAlignment="1">
      <alignment horizontal="right" vertical="center" wrapText="1"/>
    </xf>
    <xf numFmtId="0" fontId="126" fillId="0" borderId="17" xfId="0" applyFont="1" applyBorder="1" applyAlignment="1">
      <alignment horizontal="left"/>
    </xf>
    <xf numFmtId="0" fontId="126" fillId="0" borderId="17" xfId="0" applyFont="1" applyBorder="1" applyAlignment="1">
      <alignment horizontal="center"/>
    </xf>
    <xf numFmtId="0" fontId="125" fillId="0" borderId="17" xfId="0" quotePrefix="1" applyFont="1" applyBorder="1" applyAlignment="1">
      <alignment horizontal="center" vertical="center" wrapText="1"/>
    </xf>
    <xf numFmtId="172" fontId="120" fillId="31" borderId="17" xfId="108" applyNumberFormat="1" applyFont="1" applyFill="1" applyBorder="1" applyAlignment="1">
      <alignment horizontal="right" vertical="center" wrapText="1"/>
    </xf>
    <xf numFmtId="0" fontId="126" fillId="0" borderId="0" xfId="366" applyFont="1" applyAlignment="1">
      <alignment vertical="center" wrapText="1"/>
    </xf>
    <xf numFmtId="4" fontId="133" fillId="0" borderId="0" xfId="409" applyNumberFormat="1" applyFont="1" applyAlignment="1">
      <alignment horizontal="left" vertical="center"/>
    </xf>
    <xf numFmtId="4" fontId="133" fillId="0" borderId="0" xfId="409" applyNumberFormat="1" applyFont="1" applyAlignment="1">
      <alignment horizontal="center" vertical="center" wrapText="1"/>
    </xf>
    <xf numFmtId="4" fontId="123" fillId="0" borderId="2" xfId="409" applyNumberFormat="1" applyFont="1" applyBorder="1" applyAlignment="1">
      <alignment horizontal="right" vertical="center" wrapText="1"/>
    </xf>
    <xf numFmtId="4" fontId="133" fillId="0" borderId="17" xfId="409" applyNumberFormat="1" applyFont="1" applyBorder="1" applyAlignment="1">
      <alignment horizontal="center" vertical="center" wrapText="1"/>
    </xf>
    <xf numFmtId="0" fontId="13" fillId="0" borderId="0" xfId="455" applyFont="1" applyAlignment="1">
      <alignment horizontal="left" vertical="center"/>
    </xf>
    <xf numFmtId="0" fontId="13" fillId="0" borderId="0" xfId="455" applyFont="1" applyAlignment="1">
      <alignment horizontal="center" vertical="center" wrapText="1"/>
    </xf>
    <xf numFmtId="0" fontId="13" fillId="0" borderId="17" xfId="455" applyFont="1" applyBorder="1" applyAlignment="1">
      <alignment horizontal="center" vertical="center" wrapText="1"/>
    </xf>
    <xf numFmtId="0" fontId="140" fillId="0" borderId="0" xfId="603" applyFont="1" applyAlignment="1">
      <alignment horizontal="left" vertical="center" wrapText="1"/>
    </xf>
    <xf numFmtId="0" fontId="13" fillId="0" borderId="0" xfId="603" applyFont="1" applyAlignment="1">
      <alignment horizontal="center" vertical="center" wrapText="1"/>
    </xf>
    <xf numFmtId="0" fontId="13" fillId="0" borderId="0" xfId="603" applyFont="1" applyAlignment="1">
      <alignment horizontal="center" vertical="center"/>
    </xf>
    <xf numFmtId="0" fontId="15" fillId="0" borderId="2" xfId="603" applyFont="1" applyBorder="1" applyAlignment="1">
      <alignment horizontal="right" vertical="center"/>
    </xf>
    <xf numFmtId="0" fontId="13" fillId="0" borderId="17" xfId="603" applyFont="1" applyBorder="1" applyAlignment="1">
      <alignment horizontal="center" vertical="center"/>
    </xf>
    <xf numFmtId="0" fontId="13" fillId="0" borderId="24" xfId="603" applyFont="1" applyBorder="1" applyAlignment="1">
      <alignment horizontal="center" vertical="center" wrapText="1"/>
    </xf>
    <xf numFmtId="0" fontId="13" fillId="0" borderId="8" xfId="603" applyFont="1" applyBorder="1" applyAlignment="1">
      <alignment horizontal="center" vertical="center" wrapText="1"/>
    </xf>
    <xf numFmtId="1" fontId="13" fillId="0" borderId="24" xfId="603" applyNumberFormat="1" applyFont="1" applyBorder="1" applyAlignment="1">
      <alignment horizontal="center" vertical="center" wrapText="1"/>
    </xf>
    <xf numFmtId="1" fontId="13" fillId="0" borderId="8" xfId="603" applyNumberFormat="1" applyFont="1" applyBorder="1" applyAlignment="1">
      <alignment horizontal="center" vertical="center" wrapText="1"/>
    </xf>
    <xf numFmtId="0" fontId="13" fillId="0" borderId="17" xfId="515" applyFont="1" applyBorder="1" applyAlignment="1">
      <alignment horizontal="center" vertical="center" wrapText="1"/>
    </xf>
    <xf numFmtId="0" fontId="13" fillId="0" borderId="17" xfId="515" applyFont="1" applyBorder="1" applyAlignment="1">
      <alignment horizontal="center" vertical="center"/>
    </xf>
    <xf numFmtId="0" fontId="13" fillId="0" borderId="21" xfId="603" applyFont="1" applyBorder="1" applyAlignment="1">
      <alignment horizontal="center" vertical="center" wrapText="1"/>
    </xf>
    <xf numFmtId="0" fontId="13" fillId="0" borderId="16" xfId="603" applyFont="1" applyBorder="1" applyAlignment="1">
      <alignment horizontal="center" vertical="center" wrapText="1"/>
    </xf>
    <xf numFmtId="0" fontId="13" fillId="0" borderId="25" xfId="603" applyFont="1" applyBorder="1" applyAlignment="1">
      <alignment horizontal="center" vertical="center" wrapText="1"/>
    </xf>
    <xf numFmtId="0" fontId="13" fillId="0" borderId="17" xfId="603" applyFont="1" applyBorder="1" applyAlignment="1">
      <alignment horizontal="center" vertical="center" wrapText="1"/>
    </xf>
    <xf numFmtId="0" fontId="15" fillId="0" borderId="27" xfId="603" applyFont="1" applyBorder="1" applyAlignment="1">
      <alignment horizontal="left" vertical="center" wrapText="1"/>
    </xf>
    <xf numFmtId="0" fontId="135" fillId="0" borderId="17" xfId="603" applyFont="1" applyBorder="1" applyAlignment="1">
      <alignment horizontal="center" vertical="center" wrapText="1"/>
    </xf>
    <xf numFmtId="0" fontId="13" fillId="0" borderId="0" xfId="603" applyFont="1" applyAlignment="1">
      <alignment horizontal="left" vertical="center"/>
    </xf>
    <xf numFmtId="0" fontId="13" fillId="0" borderId="0" xfId="515" applyFont="1" applyAlignment="1">
      <alignment horizontal="center" vertical="center" wrapText="1"/>
    </xf>
    <xf numFmtId="0" fontId="123" fillId="0" borderId="2" xfId="515" applyFont="1" applyBorder="1" applyAlignment="1">
      <alignment horizontal="right" vertical="center" wrapText="1"/>
    </xf>
    <xf numFmtId="2" fontId="13" fillId="0" borderId="17" xfId="603" applyNumberFormat="1" applyFont="1" applyBorder="1" applyAlignment="1">
      <alignment horizontal="center" vertical="center"/>
    </xf>
    <xf numFmtId="0" fontId="120" fillId="0" borderId="24" xfId="0" applyFont="1" applyBorder="1" applyAlignment="1">
      <alignment horizontal="center" vertical="center" wrapText="1"/>
    </xf>
    <xf numFmtId="0" fontId="120" fillId="0" borderId="8" xfId="0" applyFont="1" applyBorder="1" applyAlignment="1">
      <alignment horizontal="center" vertical="center" wrapText="1"/>
    </xf>
    <xf numFmtId="0" fontId="120" fillId="0" borderId="17" xfId="0" applyFont="1" applyBorder="1" applyAlignment="1">
      <alignment horizontal="center" vertical="center" wrapText="1"/>
    </xf>
    <xf numFmtId="43" fontId="122" fillId="0" borderId="0" xfId="366" applyNumberFormat="1" applyFont="1" applyAlignment="1">
      <alignment horizontal="left" vertical="center" wrapText="1"/>
    </xf>
    <xf numFmtId="43" fontId="121" fillId="0" borderId="0" xfId="366" applyNumberFormat="1" applyFont="1" applyAlignment="1">
      <alignment horizontal="center" vertical="center" wrapText="1"/>
    </xf>
    <xf numFmtId="0" fontId="127" fillId="0" borderId="2" xfId="366" applyFont="1" applyBorder="1" applyAlignment="1">
      <alignment horizontal="center" vertical="center"/>
    </xf>
    <xf numFmtId="0" fontId="120" fillId="0" borderId="24" xfId="514" applyFont="1" applyBorder="1" applyAlignment="1">
      <alignment horizontal="center" vertical="center" wrapText="1"/>
    </xf>
    <xf numFmtId="0" fontId="120" fillId="0" borderId="8" xfId="514" applyFont="1" applyBorder="1" applyAlignment="1">
      <alignment horizontal="center" vertical="center" wrapText="1"/>
    </xf>
    <xf numFmtId="0" fontId="120" fillId="0" borderId="17" xfId="514" applyFont="1" applyBorder="1" applyAlignment="1">
      <alignment horizontal="center" vertical="center" wrapText="1"/>
    </xf>
    <xf numFmtId="0" fontId="120" fillId="0" borderId="21" xfId="514" applyFont="1" applyBorder="1" applyAlignment="1">
      <alignment horizontal="center" vertical="center" wrapText="1"/>
    </xf>
    <xf numFmtId="0" fontId="120" fillId="0" borderId="21" xfId="0" applyFont="1" applyBorder="1" applyAlignment="1">
      <alignment horizontal="center" vertical="center" wrapText="1"/>
    </xf>
    <xf numFmtId="0" fontId="120" fillId="0" borderId="16" xfId="0" applyFont="1" applyBorder="1" applyAlignment="1">
      <alignment horizontal="center" vertical="center" wrapText="1"/>
    </xf>
    <xf numFmtId="0" fontId="120" fillId="0" borderId="25" xfId="0" applyFont="1" applyBorder="1" applyAlignment="1">
      <alignment horizontal="center" vertical="center" wrapText="1"/>
    </xf>
    <xf numFmtId="172" fontId="120" fillId="0" borderId="24" xfId="0" applyNumberFormat="1" applyFont="1" applyBorder="1" applyAlignment="1">
      <alignment horizontal="center" vertical="center" wrapText="1"/>
    </xf>
    <xf numFmtId="172" fontId="120" fillId="0" borderId="8" xfId="0" applyNumberFormat="1" applyFont="1" applyBorder="1" applyAlignment="1">
      <alignment horizontal="center" vertical="center" wrapText="1"/>
    </xf>
    <xf numFmtId="0" fontId="14" fillId="0" borderId="0" xfId="432" applyFont="1" applyAlignment="1">
      <alignment horizontal="center" vertical="center" wrapText="1"/>
    </xf>
    <xf numFmtId="0" fontId="14" fillId="0" borderId="0" xfId="432" applyFont="1" applyAlignment="1">
      <alignment horizontal="left" vertical="center" wrapText="1"/>
    </xf>
    <xf numFmtId="4" fontId="120" fillId="0" borderId="17" xfId="512" applyNumberFormat="1" applyFont="1" applyBorder="1" applyAlignment="1">
      <alignment horizontal="center" vertical="center" wrapText="1"/>
    </xf>
    <xf numFmtId="4" fontId="124" fillId="0" borderId="0" xfId="512" applyNumberFormat="1" applyFont="1" applyAlignment="1">
      <alignment horizontal="left" vertical="center"/>
    </xf>
    <xf numFmtId="4" fontId="124" fillId="0" borderId="0" xfId="512" applyNumberFormat="1" applyFont="1" applyAlignment="1">
      <alignment horizontal="center" vertical="center"/>
    </xf>
    <xf numFmtId="4" fontId="120" fillId="0" borderId="17" xfId="512" applyNumberFormat="1" applyFont="1" applyBorder="1" applyAlignment="1">
      <alignment horizontal="center" vertical="center"/>
    </xf>
    <xf numFmtId="4" fontId="120" fillId="0" borderId="21" xfId="512" applyNumberFormat="1" applyFont="1" applyBorder="1" applyAlignment="1">
      <alignment horizontal="center" vertical="center" wrapText="1"/>
    </xf>
    <xf numFmtId="4" fontId="120" fillId="0" borderId="16" xfId="512" applyNumberFormat="1" applyFont="1" applyBorder="1" applyAlignment="1">
      <alignment horizontal="center" vertical="center" wrapText="1"/>
    </xf>
    <xf numFmtId="4" fontId="120" fillId="0" borderId="25" xfId="512" applyNumberFormat="1" applyFont="1" applyBorder="1" applyAlignment="1">
      <alignment horizontal="center" vertical="center" wrapText="1"/>
    </xf>
    <xf numFmtId="4" fontId="108" fillId="0" borderId="17" xfId="343" applyNumberFormat="1" applyFont="1" applyBorder="1" applyAlignment="1">
      <alignment horizontal="center" vertical="center" wrapText="1"/>
    </xf>
    <xf numFmtId="4" fontId="108" fillId="0" borderId="0" xfId="605" applyNumberFormat="1" applyFont="1" applyAlignment="1">
      <alignment horizontal="left" vertical="center" wrapText="1"/>
    </xf>
    <xf numFmtId="4" fontId="108" fillId="0" borderId="2" xfId="605" applyNumberFormat="1" applyFont="1" applyBorder="1" applyAlignment="1">
      <alignment horizontal="center" vertical="center" wrapText="1"/>
    </xf>
    <xf numFmtId="4" fontId="108" fillId="0" borderId="17" xfId="605" applyNumberFormat="1" applyFont="1" applyBorder="1" applyAlignment="1">
      <alignment horizontal="center" vertical="center" wrapText="1"/>
    </xf>
    <xf numFmtId="0" fontId="158" fillId="0" borderId="2" xfId="603" applyFont="1" applyBorder="1" applyAlignment="1">
      <alignment horizontal="right" vertical="center" wrapText="1"/>
    </xf>
    <xf numFmtId="0" fontId="102" fillId="0" borderId="0" xfId="513" applyFont="1" applyAlignment="1">
      <alignment horizontal="center" vertical="center" wrapText="1"/>
    </xf>
    <xf numFmtId="170" fontId="11" fillId="0" borderId="17" xfId="0" applyNumberFormat="1" applyFont="1" applyBorder="1" applyAlignment="1">
      <alignment horizontal="center" vertical="center" wrapText="1"/>
    </xf>
    <xf numFmtId="0" fontId="102" fillId="0" borderId="0" xfId="513" applyFont="1" applyAlignment="1">
      <alignment horizontal="left" vertical="center" wrapText="1"/>
    </xf>
    <xf numFmtId="0" fontId="11" fillId="0" borderId="17" xfId="513" applyFont="1" applyBorder="1" applyAlignment="1">
      <alignment horizontal="center" vertical="center" wrapText="1"/>
    </xf>
    <xf numFmtId="170" fontId="11" fillId="0" borderId="17" xfId="513" applyNumberFormat="1" applyFont="1" applyBorder="1" applyAlignment="1">
      <alignment horizontal="center" vertical="center" wrapText="1"/>
    </xf>
    <xf numFmtId="0" fontId="15" fillId="0" borderId="2" xfId="0" applyFont="1" applyBorder="1" applyAlignment="1">
      <alignment horizontal="right" vertical="center" wrapText="1"/>
    </xf>
    <xf numFmtId="170" fontId="120" fillId="0" borderId="17" xfId="0" applyNumberFormat="1" applyFont="1" applyBorder="1" applyAlignment="1">
      <alignment horizontal="center" vertical="center" wrapText="1"/>
    </xf>
    <xf numFmtId="170" fontId="121" fillId="23" borderId="0" xfId="513" applyNumberFormat="1" applyFont="1" applyFill="1" applyAlignment="1">
      <alignment horizontal="left" vertical="center" wrapText="1"/>
    </xf>
    <xf numFmtId="170" fontId="121" fillId="23" borderId="0" xfId="513" applyNumberFormat="1" applyFont="1" applyFill="1" applyAlignment="1">
      <alignment horizontal="center" vertical="center" wrapText="1"/>
    </xf>
    <xf numFmtId="170" fontId="124" fillId="0" borderId="17" xfId="513" applyNumberFormat="1" applyFont="1" applyBorder="1" applyAlignment="1">
      <alignment horizontal="center" vertical="center" wrapText="1"/>
    </xf>
    <xf numFmtId="43" fontId="124" fillId="0" borderId="17" xfId="513" applyNumberFormat="1" applyFont="1" applyBorder="1" applyAlignment="1">
      <alignment horizontal="center" vertical="center" wrapText="1"/>
    </xf>
    <xf numFmtId="3" fontId="124" fillId="0" borderId="17" xfId="513" applyNumberFormat="1" applyFont="1" applyBorder="1" applyAlignment="1">
      <alignment horizontal="center" vertical="center" wrapText="1"/>
    </xf>
    <xf numFmtId="170" fontId="120" fillId="0" borderId="17" xfId="513" applyNumberFormat="1" applyFont="1" applyBorder="1" applyAlignment="1">
      <alignment horizontal="center" vertical="center" wrapText="1"/>
    </xf>
    <xf numFmtId="170" fontId="123" fillId="0" borderId="2" xfId="0" applyNumberFormat="1" applyFont="1" applyBorder="1" applyAlignment="1">
      <alignment horizontal="right" vertical="center"/>
    </xf>
    <xf numFmtId="0" fontId="121" fillId="0" borderId="0" xfId="513" applyFont="1" applyAlignment="1">
      <alignment horizontal="left" vertical="center" wrapText="1"/>
    </xf>
    <xf numFmtId="0" fontId="126" fillId="0" borderId="27" xfId="0" applyFont="1" applyBorder="1" applyAlignment="1">
      <alignment horizontal="left" vertical="center" wrapText="1"/>
    </xf>
    <xf numFmtId="0" fontId="121" fillId="0" borderId="0" xfId="0" applyFont="1" applyAlignment="1">
      <alignment horizontal="center" vertical="center" wrapText="1"/>
    </xf>
    <xf numFmtId="0" fontId="124" fillId="0" borderId="17" xfId="513" applyFont="1" applyBorder="1" applyAlignment="1">
      <alignment horizontal="center" vertical="center" wrapText="1"/>
    </xf>
    <xf numFmtId="0" fontId="123" fillId="0" borderId="2" xfId="0" applyFont="1" applyBorder="1" applyAlignment="1">
      <alignment horizontal="center" vertical="center"/>
    </xf>
    <xf numFmtId="43" fontId="121" fillId="0" borderId="0" xfId="0" applyNumberFormat="1" applyFont="1" applyAlignment="1">
      <alignment horizontal="center" vertical="center" wrapText="1"/>
    </xf>
    <xf numFmtId="0" fontId="122" fillId="0" borderId="0" xfId="0" applyFont="1" applyAlignment="1">
      <alignment horizontal="center" vertical="center" wrapText="1"/>
    </xf>
    <xf numFmtId="0" fontId="123" fillId="0" borderId="2" xfId="0" applyFont="1" applyBorder="1" applyAlignment="1">
      <alignment horizontal="right" vertical="center"/>
    </xf>
    <xf numFmtId="0" fontId="120" fillId="0" borderId="17" xfId="513" applyFont="1" applyBorder="1" applyAlignment="1">
      <alignment horizontal="center" vertical="center" wrapText="1"/>
    </xf>
    <xf numFmtId="0" fontId="123" fillId="0" borderId="2" xfId="0" applyFont="1" applyBorder="1" applyAlignment="1">
      <alignment horizontal="right" vertical="center" wrapText="1"/>
    </xf>
    <xf numFmtId="0" fontId="162" fillId="0" borderId="24" xfId="343" applyFont="1" applyFill="1" applyBorder="1" applyAlignment="1">
      <alignment horizontal="left" vertical="center" wrapText="1"/>
    </xf>
    <xf numFmtId="0" fontId="162" fillId="0" borderId="23" xfId="343" applyFont="1" applyFill="1" applyBorder="1" applyAlignment="1">
      <alignment horizontal="left" vertical="center" wrapText="1"/>
    </xf>
    <xf numFmtId="0" fontId="162" fillId="0" borderId="8" xfId="343" applyFont="1" applyFill="1" applyBorder="1" applyAlignment="1">
      <alignment horizontal="left" vertical="center" wrapText="1"/>
    </xf>
    <xf numFmtId="3" fontId="162" fillId="0" borderId="24" xfId="607" applyNumberFormat="1" applyFont="1" applyFill="1" applyBorder="1" applyAlignment="1">
      <alignment horizontal="center" vertical="center"/>
    </xf>
    <xf numFmtId="3" fontId="162" fillId="0" borderId="23" xfId="607" applyNumberFormat="1" applyFont="1" applyFill="1" applyBorder="1" applyAlignment="1">
      <alignment horizontal="center" vertical="center"/>
    </xf>
    <xf numFmtId="3" fontId="162" fillId="0" borderId="8" xfId="607" applyNumberFormat="1" applyFont="1" applyFill="1" applyBorder="1" applyAlignment="1">
      <alignment horizontal="center" vertical="center"/>
    </xf>
    <xf numFmtId="0" fontId="128" fillId="0" borderId="23" xfId="619" applyFont="1" applyFill="1" applyBorder="1" applyAlignment="1">
      <alignment horizontal="center" vertical="center" wrapText="1"/>
    </xf>
    <xf numFmtId="0" fontId="128" fillId="0" borderId="8" xfId="619" applyFont="1" applyFill="1" applyBorder="1" applyAlignment="1">
      <alignment horizontal="center" vertical="center" wrapText="1"/>
    </xf>
    <xf numFmtId="0" fontId="162" fillId="0" borderId="17" xfId="343" applyFont="1" applyFill="1" applyBorder="1" applyAlignment="1">
      <alignment horizontal="center" vertical="center" wrapText="1"/>
    </xf>
    <xf numFmtId="0" fontId="162" fillId="0" borderId="17" xfId="619" applyFont="1" applyFill="1" applyBorder="1" applyAlignment="1">
      <alignment horizontal="center" vertical="center" wrapText="1"/>
    </xf>
    <xf numFmtId="0" fontId="162" fillId="0" borderId="24" xfId="343" applyFont="1" applyFill="1" applyBorder="1" applyAlignment="1">
      <alignment horizontal="center" vertical="center" wrapText="1"/>
    </xf>
    <xf numFmtId="0" fontId="162" fillId="0" borderId="8" xfId="343" applyFont="1" applyFill="1" applyBorder="1" applyAlignment="1">
      <alignment horizontal="center" vertical="center" wrapText="1"/>
    </xf>
    <xf numFmtId="0" fontId="162" fillId="0" borderId="17" xfId="343" applyFont="1" applyFill="1" applyBorder="1" applyAlignment="1">
      <alignment horizontal="left" vertical="center" wrapText="1"/>
    </xf>
    <xf numFmtId="0" fontId="162" fillId="0" borderId="23" xfId="343" applyFont="1" applyFill="1" applyBorder="1" applyAlignment="1">
      <alignment horizontal="center" vertical="center" wrapText="1"/>
    </xf>
    <xf numFmtId="0" fontId="127" fillId="0" borderId="24" xfId="619" applyFont="1" applyFill="1" applyBorder="1" applyAlignment="1">
      <alignment horizontal="center" vertical="center" wrapText="1"/>
    </xf>
    <xf numFmtId="0" fontId="127" fillId="0" borderId="23" xfId="619" applyFont="1" applyFill="1" applyBorder="1" applyAlignment="1">
      <alignment horizontal="center" vertical="center" wrapText="1"/>
    </xf>
    <xf numFmtId="3" fontId="162" fillId="0" borderId="24" xfId="607" applyNumberFormat="1" applyFont="1" applyFill="1" applyBorder="1" applyAlignment="1">
      <alignment horizontal="center" vertical="center" wrapText="1"/>
    </xf>
    <xf numFmtId="3" fontId="162" fillId="0" borderId="23" xfId="607" applyNumberFormat="1" applyFont="1" applyFill="1" applyBorder="1" applyAlignment="1">
      <alignment horizontal="center" vertical="center" wrapText="1"/>
    </xf>
    <xf numFmtId="3" fontId="162" fillId="0" borderId="8" xfId="607" applyNumberFormat="1" applyFont="1" applyFill="1" applyBorder="1" applyAlignment="1">
      <alignment horizontal="center" vertical="center" wrapText="1"/>
    </xf>
    <xf numFmtId="0" fontId="162" fillId="0" borderId="17" xfId="338" applyFont="1" applyFill="1" applyBorder="1" applyAlignment="1">
      <alignment horizontal="center" vertical="center" wrapText="1"/>
    </xf>
    <xf numFmtId="0" fontId="162" fillId="0" borderId="17" xfId="343" applyFont="1" applyFill="1" applyBorder="1" applyAlignment="1">
      <alignment horizontal="center" vertical="center"/>
    </xf>
    <xf numFmtId="4" fontId="202" fillId="0" borderId="17" xfId="343" applyNumberFormat="1" applyFont="1" applyFill="1" applyBorder="1" applyAlignment="1">
      <alignment horizontal="center" vertical="center" wrapText="1"/>
    </xf>
    <xf numFmtId="0" fontId="127" fillId="0" borderId="17" xfId="343" applyFont="1" applyFill="1" applyBorder="1" applyAlignment="1">
      <alignment horizontal="center" vertical="center" wrapText="1"/>
    </xf>
    <xf numFmtId="0" fontId="202" fillId="0" borderId="17" xfId="343" applyFont="1" applyFill="1" applyBorder="1" applyAlignment="1">
      <alignment horizontal="center" vertical="center" wrapText="1"/>
    </xf>
    <xf numFmtId="0" fontId="202" fillId="0" borderId="6" xfId="343" applyFont="1" applyFill="1" applyBorder="1" applyAlignment="1">
      <alignment horizontal="center" vertical="center" wrapText="1"/>
    </xf>
    <xf numFmtId="0" fontId="203" fillId="0" borderId="0" xfId="343" applyFont="1" applyFill="1" applyAlignment="1">
      <alignment horizontal="center" vertical="center" wrapText="1"/>
    </xf>
    <xf numFmtId="0" fontId="202" fillId="0" borderId="21" xfId="343" applyFont="1" applyFill="1" applyBorder="1" applyAlignment="1">
      <alignment horizontal="center" vertical="center" wrapText="1"/>
    </xf>
    <xf numFmtId="4" fontId="202" fillId="0" borderId="17" xfId="520" applyNumberFormat="1" applyFont="1" applyFill="1" applyBorder="1" applyAlignment="1">
      <alignment horizontal="center" vertical="center" wrapText="1"/>
    </xf>
    <xf numFmtId="170" fontId="202" fillId="0" borderId="17" xfId="607" applyNumberFormat="1" applyFont="1" applyFill="1" applyBorder="1" applyAlignment="1">
      <alignment horizontal="center" vertical="center" wrapText="1"/>
    </xf>
    <xf numFmtId="0" fontId="202" fillId="0" borderId="17" xfId="608" applyFont="1" applyFill="1" applyBorder="1" applyAlignment="1">
      <alignment horizontal="center" vertical="center" wrapText="1"/>
    </xf>
    <xf numFmtId="0" fontId="199" fillId="0" borderId="0" xfId="343" applyFont="1" applyFill="1" applyAlignment="1">
      <alignment horizontal="left" vertical="center"/>
    </xf>
    <xf numFmtId="170" fontId="199" fillId="0" borderId="0" xfId="607" applyNumberFormat="1" applyFont="1" applyFill="1" applyBorder="1" applyAlignment="1">
      <alignment horizontal="center" vertical="center" wrapText="1"/>
    </xf>
    <xf numFmtId="170" fontId="199" fillId="0" borderId="0" xfId="607" applyNumberFormat="1" applyFont="1" applyFill="1" applyBorder="1" applyAlignment="1">
      <alignment horizontal="center" vertical="center"/>
    </xf>
    <xf numFmtId="0" fontId="202" fillId="0" borderId="17" xfId="607" applyNumberFormat="1" applyFont="1" applyFill="1" applyBorder="1" applyAlignment="1">
      <alignment horizontal="center" vertical="center" wrapText="1"/>
    </xf>
    <xf numFmtId="49" fontId="202" fillId="0" borderId="17" xfId="517" applyNumberFormat="1" applyFont="1" applyFill="1" applyBorder="1" applyAlignment="1">
      <alignment horizontal="center" vertical="center" wrapText="1"/>
    </xf>
    <xf numFmtId="43" fontId="11" fillId="0" borderId="21" xfId="0" applyNumberFormat="1" applyFont="1" applyBorder="1" applyAlignment="1">
      <alignment horizontal="center" vertical="center" wrapText="1"/>
    </xf>
    <xf numFmtId="43" fontId="11" fillId="0" borderId="25" xfId="0" applyNumberFormat="1" applyFont="1" applyBorder="1" applyAlignment="1">
      <alignment horizontal="center" vertical="center" wrapText="1"/>
    </xf>
    <xf numFmtId="43" fontId="11" fillId="0" borderId="17" xfId="0" applyNumberFormat="1" applyFont="1" applyBorder="1" applyAlignment="1">
      <alignment horizontal="center" vertical="center" wrapText="1"/>
    </xf>
    <xf numFmtId="0" fontId="11" fillId="0" borderId="0" xfId="513" applyFont="1" applyAlignment="1">
      <alignment horizontal="center" vertical="center"/>
    </xf>
    <xf numFmtId="43" fontId="11" fillId="0" borderId="0" xfId="0" applyNumberFormat="1" applyFont="1" applyAlignment="1">
      <alignment horizontal="center" vertical="center" wrapText="1"/>
    </xf>
    <xf numFmtId="0" fontId="11" fillId="0" borderId="2" xfId="0" applyFont="1" applyBorder="1" applyAlignment="1">
      <alignment horizontal="center" vertical="center"/>
    </xf>
    <xf numFmtId="0" fontId="11" fillId="0" borderId="17" xfId="0" applyFont="1" applyBorder="1" applyAlignment="1">
      <alignment horizontal="center" vertical="center" wrapText="1"/>
    </xf>
    <xf numFmtId="0" fontId="124" fillId="0" borderId="17" xfId="0" applyFont="1" applyBorder="1" applyAlignment="1">
      <alignment horizontal="center" vertical="center" wrapText="1"/>
    </xf>
    <xf numFmtId="172" fontId="120" fillId="0" borderId="17" xfId="0" applyNumberFormat="1" applyFont="1" applyBorder="1" applyAlignment="1">
      <alignment horizontal="center" vertical="center" wrapText="1"/>
    </xf>
    <xf numFmtId="0" fontId="164" fillId="0" borderId="17" xfId="0" applyFont="1" applyBorder="1" applyAlignment="1">
      <alignment horizontal="center" vertical="center" wrapText="1"/>
    </xf>
    <xf numFmtId="0" fontId="189" fillId="0" borderId="17" xfId="0" applyFont="1" applyBorder="1" applyAlignment="1">
      <alignment horizontal="center" vertical="center" wrapText="1"/>
    </xf>
    <xf numFmtId="0" fontId="11" fillId="0" borderId="17" xfId="0" applyFont="1" applyBorder="1" applyAlignment="1">
      <alignment horizontal="center" vertical="center"/>
    </xf>
    <xf numFmtId="0" fontId="175" fillId="0" borderId="0" xfId="0" applyFont="1" applyAlignment="1">
      <alignment horizontal="center" vertical="center"/>
    </xf>
    <xf numFmtId="0" fontId="176" fillId="0" borderId="17" xfId="0" applyFont="1" applyBorder="1" applyAlignment="1">
      <alignment horizontal="center" vertical="center" wrapText="1"/>
    </xf>
    <xf numFmtId="4" fontId="176" fillId="0" borderId="17" xfId="0" applyNumberFormat="1" applyFont="1" applyBorder="1" applyAlignment="1">
      <alignment horizontal="center" vertical="center" wrapText="1"/>
    </xf>
    <xf numFmtId="0" fontId="177" fillId="0" borderId="17" xfId="0" applyFont="1" applyBorder="1" applyAlignment="1">
      <alignment horizontal="center" vertical="center" wrapText="1"/>
    </xf>
    <xf numFmtId="0" fontId="175" fillId="0" borderId="2" xfId="0" applyFont="1" applyBorder="1" applyAlignment="1">
      <alignment horizontal="center"/>
    </xf>
    <xf numFmtId="0" fontId="175" fillId="0" borderId="0" xfId="0" applyFont="1" applyAlignment="1">
      <alignment horizontal="center"/>
    </xf>
    <xf numFmtId="4" fontId="177" fillId="0" borderId="17" xfId="0" applyNumberFormat="1" applyFont="1" applyBorder="1" applyAlignment="1">
      <alignment horizontal="center" vertical="center" wrapText="1"/>
    </xf>
    <xf numFmtId="43" fontId="102" fillId="0" borderId="0" xfId="0" applyNumberFormat="1" applyFont="1" applyAlignment="1">
      <alignment horizontal="left" vertical="center"/>
    </xf>
    <xf numFmtId="43" fontId="102" fillId="0" borderId="0" xfId="158" applyFont="1" applyFill="1" applyBorder="1" applyAlignment="1">
      <alignment horizontal="center" vertical="center" wrapText="1"/>
    </xf>
    <xf numFmtId="1" fontId="13" fillId="0" borderId="17" xfId="158" applyNumberFormat="1" applyFont="1" applyFill="1" applyBorder="1" applyAlignment="1">
      <alignment horizontal="center" vertical="center" wrapText="1"/>
    </xf>
    <xf numFmtId="2" fontId="13" fillId="0" borderId="17" xfId="520" applyNumberFormat="1" applyFont="1" applyBorder="1" applyAlignment="1">
      <alignment horizontal="center" vertical="center" wrapText="1"/>
    </xf>
    <xf numFmtId="43" fontId="13" fillId="0" borderId="17" xfId="520" applyNumberFormat="1" applyFont="1" applyBorder="1" applyAlignment="1">
      <alignment horizontal="center" vertical="center" wrapText="1"/>
    </xf>
    <xf numFmtId="1" fontId="13" fillId="0" borderId="17" xfId="520" applyNumberFormat="1" applyFont="1" applyBorder="1" applyAlignment="1">
      <alignment horizontal="center" vertical="center" wrapText="1"/>
    </xf>
    <xf numFmtId="0" fontId="13" fillId="0" borderId="17" xfId="0" applyFont="1" applyBorder="1" applyAlignment="1">
      <alignment horizontal="center" vertical="center" wrapText="1"/>
    </xf>
    <xf numFmtId="49" fontId="13" fillId="0" borderId="17" xfId="359" applyNumberFormat="1" applyFont="1" applyBorder="1" applyAlignment="1">
      <alignment horizontal="center" vertical="center" wrapText="1"/>
    </xf>
    <xf numFmtId="1" fontId="8" fillId="0" borderId="17" xfId="158" applyNumberFormat="1" applyFont="1" applyFill="1" applyBorder="1" applyAlignment="1">
      <alignment horizontal="center" vertical="center" wrapText="1"/>
    </xf>
    <xf numFmtId="2" fontId="8" fillId="0" borderId="17" xfId="521" applyNumberFormat="1" applyFont="1" applyBorder="1" applyAlignment="1">
      <alignment horizontal="left" vertical="center" wrapText="1"/>
    </xf>
    <xf numFmtId="43" fontId="8" fillId="0" borderId="17" xfId="521" applyNumberFormat="1" applyFont="1" applyBorder="1" applyAlignment="1">
      <alignment horizontal="center" vertical="center" wrapText="1"/>
    </xf>
    <xf numFmtId="43" fontId="8" fillId="0" borderId="17" xfId="0" applyNumberFormat="1" applyFont="1" applyBorder="1" applyAlignment="1">
      <alignment horizontal="center" vertical="center" wrapText="1"/>
    </xf>
    <xf numFmtId="1" fontId="8" fillId="0" borderId="17" xfId="0" applyNumberFormat="1" applyFont="1" applyBorder="1" applyAlignment="1">
      <alignment horizontal="center" vertical="center" wrapText="1"/>
    </xf>
    <xf numFmtId="1" fontId="8" fillId="0" borderId="17" xfId="520" applyNumberFormat="1" applyFont="1" applyBorder="1" applyAlignment="1">
      <alignment horizontal="center" vertical="center" wrapText="1"/>
    </xf>
    <xf numFmtId="2" fontId="8" fillId="0" borderId="17" xfId="0" applyNumberFormat="1" applyFont="1" applyBorder="1" applyAlignment="1">
      <alignment vertical="center"/>
    </xf>
    <xf numFmtId="2" fontId="8" fillId="0" borderId="17" xfId="158" applyNumberFormat="1" applyFont="1" applyFill="1" applyBorder="1" applyAlignment="1">
      <alignment horizontal="left" vertical="center" wrapText="1"/>
    </xf>
    <xf numFmtId="43" fontId="8" fillId="0" borderId="0" xfId="0" applyNumberFormat="1" applyFont="1" applyAlignment="1">
      <alignment horizontal="center" vertical="center"/>
    </xf>
    <xf numFmtId="2" fontId="8" fillId="0" borderId="17" xfId="520" applyNumberFormat="1" applyFont="1" applyBorder="1" applyAlignment="1">
      <alignment horizontal="left" vertical="center" wrapText="1"/>
    </xf>
    <xf numFmtId="1" fontId="8" fillId="0" borderId="17" xfId="359" applyNumberFormat="1" applyFont="1" applyBorder="1" applyAlignment="1">
      <alignment horizontal="center" vertical="center" wrapText="1"/>
    </xf>
    <xf numFmtId="2" fontId="8" fillId="0" borderId="17" xfId="0" applyNumberFormat="1" applyFont="1" applyBorder="1" applyAlignment="1">
      <alignment horizontal="left" vertical="center" wrapText="1"/>
    </xf>
    <xf numFmtId="43" fontId="102" fillId="0" borderId="0" xfId="164" applyFont="1" applyFill="1" applyBorder="1" applyAlignment="1">
      <alignment horizontal="center" vertical="center" wrapText="1"/>
    </xf>
    <xf numFmtId="1" fontId="13" fillId="0" borderId="17" xfId="164" applyNumberFormat="1" applyFont="1" applyFill="1" applyBorder="1" applyAlignment="1">
      <alignment horizontal="center" vertical="center" wrapText="1"/>
    </xf>
    <xf numFmtId="4" fontId="13" fillId="0" borderId="17" xfId="517" applyNumberFormat="1" applyFont="1" applyBorder="1" applyAlignment="1">
      <alignment horizontal="center" vertical="center" wrapText="1"/>
    </xf>
    <xf numFmtId="49" fontId="13" fillId="0" borderId="6" xfId="359" applyNumberFormat="1" applyFont="1" applyBorder="1" applyAlignment="1">
      <alignment horizontal="center" vertical="center" wrapText="1"/>
    </xf>
    <xf numFmtId="0" fontId="8" fillId="0" borderId="17" xfId="372" applyFont="1" applyBorder="1" applyAlignment="1">
      <alignment horizontal="center" vertical="center"/>
    </xf>
    <xf numFmtId="1" fontId="8" fillId="0" borderId="24" xfId="164" applyNumberFormat="1" applyFont="1" applyFill="1" applyBorder="1" applyAlignment="1">
      <alignment horizontal="center" vertical="center" wrapText="1"/>
    </xf>
    <xf numFmtId="1" fontId="8" fillId="0" borderId="23" xfId="164" applyNumberFormat="1" applyFont="1" applyFill="1" applyBorder="1" applyAlignment="1">
      <alignment horizontal="center" vertical="center" wrapText="1"/>
    </xf>
    <xf numFmtId="1" fontId="8" fillId="0" borderId="8" xfId="164" applyNumberFormat="1" applyFont="1" applyFill="1" applyBorder="1" applyAlignment="1">
      <alignment horizontal="center" vertical="center" wrapText="1"/>
    </xf>
    <xf numFmtId="2" fontId="8" fillId="0" borderId="24" xfId="521" applyNumberFormat="1" applyFont="1" applyBorder="1" applyAlignment="1">
      <alignment horizontal="left" vertical="center" wrapText="1"/>
    </xf>
    <xf numFmtId="2" fontId="8" fillId="0" borderId="23" xfId="521" applyNumberFormat="1" applyFont="1" applyBorder="1" applyAlignment="1">
      <alignment horizontal="left" vertical="center" wrapText="1"/>
    </xf>
    <xf numFmtId="2" fontId="8" fillId="0" borderId="8" xfId="521" applyNumberFormat="1" applyFont="1" applyBorder="1" applyAlignment="1">
      <alignment horizontal="left" vertical="center" wrapText="1"/>
    </xf>
    <xf numFmtId="0" fontId="8" fillId="0" borderId="24" xfId="0" applyFont="1" applyBorder="1" applyAlignment="1">
      <alignment horizontal="center" vertical="center" wrapText="1"/>
    </xf>
    <xf numFmtId="0" fontId="8" fillId="0" borderId="23" xfId="0" applyFont="1" applyBorder="1" applyAlignment="1">
      <alignment horizontal="center" vertical="center" wrapText="1"/>
    </xf>
    <xf numFmtId="0" fontId="8" fillId="0" borderId="8" xfId="0" applyFont="1" applyBorder="1" applyAlignment="1">
      <alignment horizontal="center" vertical="center" wrapText="1"/>
    </xf>
    <xf numFmtId="0" fontId="162" fillId="0" borderId="17" xfId="619" applyFont="1" applyFill="1" applyBorder="1" applyAlignment="1">
      <alignment vertical="center" wrapText="1"/>
    </xf>
    <xf numFmtId="0" fontId="162" fillId="0" borderId="24" xfId="619" applyFont="1" applyFill="1" applyBorder="1" applyAlignment="1">
      <alignment horizontal="center" vertical="center" wrapText="1"/>
    </xf>
    <xf numFmtId="0" fontId="162" fillId="0" borderId="23" xfId="619" applyFont="1" applyFill="1" applyBorder="1" applyAlignment="1">
      <alignment horizontal="center" vertical="center" wrapText="1"/>
    </xf>
    <xf numFmtId="0" fontId="162" fillId="0" borderId="8" xfId="619" applyFont="1" applyFill="1" applyBorder="1" applyAlignment="1">
      <alignment horizontal="center" vertical="center" wrapText="1"/>
    </xf>
  </cellXfs>
  <cellStyles count="627">
    <cellStyle name="          _x000d__x000a_shell=progman.exe_x000d__x000a_m" xfId="1"/>
    <cellStyle name="%" xfId="2"/>
    <cellStyle name="??" xfId="3"/>
    <cellStyle name="?? [0.00]_ Att. 1- Cover" xfId="4"/>
    <cellStyle name="?? [0]" xfId="5"/>
    <cellStyle name="?? [0] 2" xfId="6"/>
    <cellStyle name="?? 2" xfId="7"/>
    <cellStyle name="???? [0.00]_PRODUCT DETAIL Q1" xfId="8"/>
    <cellStyle name="????_PRODUCT DETAIL Q1" xfId="9"/>
    <cellStyle name="???[0]_?? DI" xfId="10"/>
    <cellStyle name="???_?? DI" xfId="11"/>
    <cellStyle name="??[0]_BRE" xfId="12"/>
    <cellStyle name="??_ Att. 1- Cover" xfId="13"/>
    <cellStyle name="•W€_STDFOR" xfId="14"/>
    <cellStyle name="W_STDFOR" xfId="15"/>
    <cellStyle name="1" xfId="16"/>
    <cellStyle name="¹éºÐÀ²_±âÅ¸" xfId="17"/>
    <cellStyle name="2" xfId="18"/>
    <cellStyle name="20% - Nhấn1" xfId="19"/>
    <cellStyle name="20% - Nhấn2" xfId="20"/>
    <cellStyle name="20% - Nhấn3" xfId="21"/>
    <cellStyle name="20% - Nhấn4" xfId="22"/>
    <cellStyle name="20% - Nhấn5" xfId="23"/>
    <cellStyle name="20% - Nhấn6" xfId="24"/>
    <cellStyle name="3" xfId="25"/>
    <cellStyle name="4" xfId="26"/>
    <cellStyle name="40% - Nhấn1" xfId="27"/>
    <cellStyle name="40% - Nhấn2" xfId="28"/>
    <cellStyle name="40% - Nhấn3" xfId="29"/>
    <cellStyle name="40% - Nhấn4" xfId="30"/>
    <cellStyle name="40% - Nhấn5" xfId="31"/>
    <cellStyle name="40% - Nhấn6" xfId="32"/>
    <cellStyle name="52" xfId="33"/>
    <cellStyle name="6" xfId="34"/>
    <cellStyle name="6_Book1" xfId="35"/>
    <cellStyle name="60% - Nhấn1" xfId="36"/>
    <cellStyle name="60% - Nhấn2" xfId="37"/>
    <cellStyle name="60% - Nhấn3" xfId="38"/>
    <cellStyle name="60% - Nhấn4" xfId="39"/>
    <cellStyle name="60% - Nhấn5" xfId="40"/>
    <cellStyle name="60% - Nhấn6" xfId="41"/>
    <cellStyle name="a" xfId="42"/>
    <cellStyle name="ÅëÈ­ [0]_¿ì¹°Åë" xfId="43"/>
    <cellStyle name="AeE­ [0]_INQUIRY ¿µ¾÷AßAø " xfId="44"/>
    <cellStyle name="ÅëÈ­ [0]_Sheet1" xfId="45"/>
    <cellStyle name="ÅëÈ­_¿ì¹°Åë" xfId="46"/>
    <cellStyle name="AeE­_INQUIRY ¿µ¾÷AßAø " xfId="47"/>
    <cellStyle name="ÅëÈ­_Sheet1" xfId="48"/>
    <cellStyle name="ÄÞ¸¶ [0]_¿ì¹°Åë" xfId="49"/>
    <cellStyle name="AÞ¸¶ [0]_INQUIRY ¿?¾÷AßAø " xfId="50"/>
    <cellStyle name="ÄÞ¸¶ [0]_L601CPT" xfId="51"/>
    <cellStyle name="ÄÞ¸¶_¿ì¹°Åë" xfId="52"/>
    <cellStyle name="AÞ¸¶_INQUIRY ¿?¾÷AßAø " xfId="53"/>
    <cellStyle name="ÄÞ¸¶_L601CPT" xfId="54"/>
    <cellStyle name="Bình thường 2" xfId="55"/>
    <cellStyle name="Bình thường 2 2" xfId="56"/>
    <cellStyle name="Bình thường 3" xfId="57"/>
    <cellStyle name="Bình thường 3 2" xfId="58"/>
    <cellStyle name="Bình thường 4" xfId="59"/>
    <cellStyle name="C?AØ_¿?¾÷CoE² " xfId="60"/>
    <cellStyle name="Ç¥ÁØ_#2(M17)_1" xfId="61"/>
    <cellStyle name="C￥AØ_¿μ¾÷CoE² " xfId="62"/>
    <cellStyle name="Ç¥ÁØ_±³°¢¼ö·®" xfId="63"/>
    <cellStyle name="Calc Currency (0)" xfId="64"/>
    <cellStyle name="category" xfId="65"/>
    <cellStyle name="CC1" xfId="66"/>
    <cellStyle name="CC2" xfId="67"/>
    <cellStyle name="chchuyen" xfId="272"/>
    <cellStyle name="chu" xfId="273"/>
    <cellStyle name="CHUONG" xfId="274"/>
    <cellStyle name="Comma" xfId="68" builtinId="3"/>
    <cellStyle name="Comma [0] 2" xfId="69"/>
    <cellStyle name="Comma [0] 3" xfId="70"/>
    <cellStyle name="Comma [0] 4" xfId="71"/>
    <cellStyle name="Comma [0] 5" xfId="72"/>
    <cellStyle name="Comma 10" xfId="73"/>
    <cellStyle name="Comma 100" xfId="74"/>
    <cellStyle name="Comma 101" xfId="75"/>
    <cellStyle name="Comma 102" xfId="76"/>
    <cellStyle name="Comma 103" xfId="77"/>
    <cellStyle name="Comma 104" xfId="78"/>
    <cellStyle name="Comma 105" xfId="79"/>
    <cellStyle name="Comma 106" xfId="80"/>
    <cellStyle name="Comma 107" xfId="81"/>
    <cellStyle name="Comma 108" xfId="82"/>
    <cellStyle name="Comma 109" xfId="83"/>
    <cellStyle name="Comma 11" xfId="84"/>
    <cellStyle name="Comma 110" xfId="85"/>
    <cellStyle name="Comma 111" xfId="86"/>
    <cellStyle name="Comma 112" xfId="87"/>
    <cellStyle name="Comma 113" xfId="88"/>
    <cellStyle name="Comma 114" xfId="89"/>
    <cellStyle name="Comma 115" xfId="90"/>
    <cellStyle name="Comma 116" xfId="91"/>
    <cellStyle name="Comma 117" xfId="92"/>
    <cellStyle name="Comma 118" xfId="93"/>
    <cellStyle name="Comma 119" xfId="94"/>
    <cellStyle name="Comma 12" xfId="95"/>
    <cellStyle name="Comma 12 2" xfId="96"/>
    <cellStyle name="Comma 120" xfId="97"/>
    <cellStyle name="Comma 121" xfId="98"/>
    <cellStyle name="Comma 122" xfId="99"/>
    <cellStyle name="Comma 123" xfId="100"/>
    <cellStyle name="Comma 124" xfId="101"/>
    <cellStyle name="Comma 125" xfId="102"/>
    <cellStyle name="Comma 126" xfId="103"/>
    <cellStyle name="Comma 127" xfId="104"/>
    <cellStyle name="Comma 128" xfId="105"/>
    <cellStyle name="Comma 129" xfId="106"/>
    <cellStyle name="Comma 13" xfId="107"/>
    <cellStyle name="Comma 13 2" xfId="108"/>
    <cellStyle name="Comma 130" xfId="109"/>
    <cellStyle name="Comma 131" xfId="110"/>
    <cellStyle name="Comma 132" xfId="111"/>
    <cellStyle name="Comma 133" xfId="112"/>
    <cellStyle name="Comma 134" xfId="113"/>
    <cellStyle name="Comma 135" xfId="114"/>
    <cellStyle name="Comma 14" xfId="115"/>
    <cellStyle name="Comma 15" xfId="116"/>
    <cellStyle name="Comma 16" xfId="117"/>
    <cellStyle name="Comma 17" xfId="118"/>
    <cellStyle name="Comma 18" xfId="119"/>
    <cellStyle name="Comma 19" xfId="120"/>
    <cellStyle name="Comma 2" xfId="121"/>
    <cellStyle name="Comma 2 10" xfId="122"/>
    <cellStyle name="Comma 2 11" xfId="123"/>
    <cellStyle name="Comma 2 11 2" xfId="124"/>
    <cellStyle name="Comma 2 12" xfId="125"/>
    <cellStyle name="Comma 2 2" xfId="126"/>
    <cellStyle name="Comma 2 2 2" xfId="127"/>
    <cellStyle name="Comma 2 2 3" xfId="128"/>
    <cellStyle name="Comma 2 2 4" xfId="129"/>
    <cellStyle name="Comma 2 3" xfId="130"/>
    <cellStyle name="Comma 2 3 2" xfId="131"/>
    <cellStyle name="Comma 2 3 3" xfId="132"/>
    <cellStyle name="Comma 2 3 3 2" xfId="133"/>
    <cellStyle name="Comma 2 3 3 2 2" xfId="134"/>
    <cellStyle name="Comma 2 3 3 3" xfId="135"/>
    <cellStyle name="Comma 2 3 3 4" xfId="607"/>
    <cellStyle name="Comma 2 3 4" xfId="618"/>
    <cellStyle name="Comma 2 4" xfId="136"/>
    <cellStyle name="Comma 2 5" xfId="137"/>
    <cellStyle name="Comma 2 6" xfId="138"/>
    <cellStyle name="Comma 2 6 2" xfId="139"/>
    <cellStyle name="Comma 2 6 3" xfId="140"/>
    <cellStyle name="Comma 2 6 3 2" xfId="141"/>
    <cellStyle name="Comma 2 7" xfId="142"/>
    <cellStyle name="Comma 2 8" xfId="143"/>
    <cellStyle name="Comma 2 8 2" xfId="612"/>
    <cellStyle name="Comma 2 9" xfId="144"/>
    <cellStyle name="Comma 20" xfId="145"/>
    <cellStyle name="Comma 21" xfId="146"/>
    <cellStyle name="Comma 22" xfId="147"/>
    <cellStyle name="Comma 23" xfId="148"/>
    <cellStyle name="Comma 24" xfId="149"/>
    <cellStyle name="Comma 25" xfId="150"/>
    <cellStyle name="Comma 26" xfId="151"/>
    <cellStyle name="Comma 27" xfId="152"/>
    <cellStyle name="Comma 28" xfId="153"/>
    <cellStyle name="Comma 29" xfId="154"/>
    <cellStyle name="Comma 3" xfId="155"/>
    <cellStyle name="Comma 3 2" xfId="156"/>
    <cellStyle name="Comma 3 2 2" xfId="157"/>
    <cellStyle name="Comma 3 2 2 2" xfId="158"/>
    <cellStyle name="Comma 3 2 3" xfId="159"/>
    <cellStyle name="Comma 3 2 3 2" xfId="160"/>
    <cellStyle name="Comma 3 2 4" xfId="161"/>
    <cellStyle name="Comma 3 2 5" xfId="613"/>
    <cellStyle name="Comma 3 3" xfId="162"/>
    <cellStyle name="Comma 3 3 2" xfId="611"/>
    <cellStyle name="Comma 3 4" xfId="163"/>
    <cellStyle name="Comma 3 4 2" xfId="164"/>
    <cellStyle name="Comma 3 5" xfId="165"/>
    <cellStyle name="Comma 3 6" xfId="166"/>
    <cellStyle name="Comma 3 7" xfId="167"/>
    <cellStyle name="Comma 3 7 2" xfId="168"/>
    <cellStyle name="Comma 3 8" xfId="169"/>
    <cellStyle name="Comma 3 8 2" xfId="170"/>
    <cellStyle name="Comma 3 9" xfId="171"/>
    <cellStyle name="Comma 30" xfId="172"/>
    <cellStyle name="Comma 31" xfId="173"/>
    <cellStyle name="Comma 32" xfId="174"/>
    <cellStyle name="Comma 33" xfId="175"/>
    <cellStyle name="Comma 34" xfId="176"/>
    <cellStyle name="Comma 35" xfId="177"/>
    <cellStyle name="Comma 36" xfId="178"/>
    <cellStyle name="Comma 37" xfId="179"/>
    <cellStyle name="Comma 38" xfId="180"/>
    <cellStyle name="Comma 39" xfId="181"/>
    <cellStyle name="Comma 4" xfId="182"/>
    <cellStyle name="Comma 4 2" xfId="183"/>
    <cellStyle name="Comma 4 2 2" xfId="184"/>
    <cellStyle name="Comma 4 2 3" xfId="620"/>
    <cellStyle name="Comma 4 3" xfId="185"/>
    <cellStyle name="Comma 4 4 2 2 2" xfId="186"/>
    <cellStyle name="Comma 40" xfId="187"/>
    <cellStyle name="Comma 41" xfId="188"/>
    <cellStyle name="Comma 42" xfId="189"/>
    <cellStyle name="Comma 43" xfId="190"/>
    <cellStyle name="Comma 44" xfId="191"/>
    <cellStyle name="Comma 45" xfId="192"/>
    <cellStyle name="Comma 46" xfId="193"/>
    <cellStyle name="Comma 47" xfId="194"/>
    <cellStyle name="Comma 48" xfId="195"/>
    <cellStyle name="Comma 49" xfId="196"/>
    <cellStyle name="Comma 5" xfId="197"/>
    <cellStyle name="Comma 5 2" xfId="198"/>
    <cellStyle name="Comma 5 3"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 2" xfId="211"/>
    <cellStyle name="Comma 6 3" xfId="212"/>
    <cellStyle name="Comma 6 4" xfId="609"/>
    <cellStyle name="Comma 60" xfId="213"/>
    <cellStyle name="Comma 61" xfId="214"/>
    <cellStyle name="Comma 62" xfId="215"/>
    <cellStyle name="Comma 63" xfId="216"/>
    <cellStyle name="Comma 64" xfId="217"/>
    <cellStyle name="Comma 65" xfId="218"/>
    <cellStyle name="Comma 66" xfId="219"/>
    <cellStyle name="Comma 67" xfId="220"/>
    <cellStyle name="Comma 68" xfId="221"/>
    <cellStyle name="Comma 69" xfId="222"/>
    <cellStyle name="Comma 7" xfId="223"/>
    <cellStyle name="Comma 70" xfId="224"/>
    <cellStyle name="Comma 71" xfId="225"/>
    <cellStyle name="Comma 72" xfId="226"/>
    <cellStyle name="Comma 73" xfId="227"/>
    <cellStyle name="Comma 74" xfId="228"/>
    <cellStyle name="Comma 75" xfId="229"/>
    <cellStyle name="Comma 76" xfId="230"/>
    <cellStyle name="Comma 77" xfId="231"/>
    <cellStyle name="Comma 78" xfId="232"/>
    <cellStyle name="Comma 79" xfId="233"/>
    <cellStyle name="Comma 8" xfId="234"/>
    <cellStyle name="Comma 8 2" xfId="235"/>
    <cellStyle name="Comma 80" xfId="236"/>
    <cellStyle name="Comma 81" xfId="237"/>
    <cellStyle name="Comma 82" xfId="238"/>
    <cellStyle name="Comma 83" xfId="239"/>
    <cellStyle name="Comma 84" xfId="240"/>
    <cellStyle name="Comma 85" xfId="241"/>
    <cellStyle name="Comma 86" xfId="242"/>
    <cellStyle name="Comma 87" xfId="243"/>
    <cellStyle name="Comma 88" xfId="244"/>
    <cellStyle name="Comma 89" xfId="245"/>
    <cellStyle name="Comma 9" xfId="246"/>
    <cellStyle name="Comma 90" xfId="247"/>
    <cellStyle name="Comma 91" xfId="248"/>
    <cellStyle name="Comma 92" xfId="249"/>
    <cellStyle name="Comma 93" xfId="250"/>
    <cellStyle name="Comma 94" xfId="251"/>
    <cellStyle name="Comma 95" xfId="252"/>
    <cellStyle name="Comma 96" xfId="253"/>
    <cellStyle name="Comma 97" xfId="254"/>
    <cellStyle name="Comma 98" xfId="255"/>
    <cellStyle name="Comma 99" xfId="256"/>
    <cellStyle name="comma zerodec" xfId="257"/>
    <cellStyle name="Comma_Sheet1" xfId="621"/>
    <cellStyle name="Comma0" xfId="258"/>
    <cellStyle name="CT1" xfId="259"/>
    <cellStyle name="CT2" xfId="260"/>
    <cellStyle name="CT4" xfId="261"/>
    <cellStyle name="CT5" xfId="262"/>
    <cellStyle name="ct7" xfId="263"/>
    <cellStyle name="ct8" xfId="264"/>
    <cellStyle name="cth1" xfId="265"/>
    <cellStyle name="Cthuc" xfId="266"/>
    <cellStyle name="Cthuc1" xfId="267"/>
    <cellStyle name="cuong" xfId="268"/>
    <cellStyle name="Currency0" xfId="269"/>
    <cellStyle name="Currency0 2" xfId="270"/>
    <cellStyle name="Currency1" xfId="271"/>
    <cellStyle name="d" xfId="275"/>
    <cellStyle name="d%" xfId="276"/>
    <cellStyle name="D1" xfId="277"/>
    <cellStyle name="Date" xfId="278"/>
    <cellStyle name="Dấu phẩy 2" xfId="279"/>
    <cellStyle name="Dấu phẩy 3" xfId="280"/>
    <cellStyle name="Đầu ra" xfId="284"/>
    <cellStyle name="Đầu vào" xfId="285"/>
    <cellStyle name="Đề mục 1" xfId="286"/>
    <cellStyle name="Đề mục 2" xfId="287"/>
    <cellStyle name="Đề mục 3" xfId="288"/>
    <cellStyle name="Đề mục 4" xfId="289"/>
    <cellStyle name="Dezimal [0]_UXO VII" xfId="281"/>
    <cellStyle name="Dezimal_UXO VII" xfId="282"/>
    <cellStyle name="Dollar (zero dec)" xfId="283"/>
    <cellStyle name="e" xfId="290"/>
    <cellStyle name="f" xfId="291"/>
    <cellStyle name="Fixed" xfId="292"/>
    <cellStyle name="Ghi chú" xfId="293"/>
    <cellStyle name="Grey" xfId="294"/>
    <cellStyle name="Grey 2" xfId="295"/>
    <cellStyle name="ha" xfId="296"/>
    <cellStyle name="hang" xfId="297"/>
    <cellStyle name="HEADER" xfId="298"/>
    <cellStyle name="Header1" xfId="299"/>
    <cellStyle name="Header2" xfId="300"/>
    <cellStyle name="Heading1" xfId="301"/>
    <cellStyle name="HEADING1 2" xfId="302"/>
    <cellStyle name="Heading2" xfId="303"/>
    <cellStyle name="HEADING2 2" xfId="304"/>
    <cellStyle name="Input [yellow]" xfId="305"/>
    <cellStyle name="Input [yellow] 2" xfId="306"/>
    <cellStyle name="Kiểu 1" xfId="307"/>
    <cellStyle name="Ledger 17 x 11 in" xfId="308"/>
    <cellStyle name="luc" xfId="309"/>
    <cellStyle name="luc2" xfId="310"/>
    <cellStyle name="Millares [0]_Well Timing" xfId="311"/>
    <cellStyle name="Millares_Well Timing" xfId="312"/>
    <cellStyle name="Model" xfId="313"/>
    <cellStyle name="moi" xfId="314"/>
    <cellStyle name="Moneda [0]_Well Timing" xfId="315"/>
    <cellStyle name="Moneda_Well Timing" xfId="316"/>
    <cellStyle name="Monétaire [0]_TARIFFS DB" xfId="317"/>
    <cellStyle name="Monétaire_TARIFFS DB" xfId="318"/>
    <cellStyle name="MoneyNumber" xfId="319"/>
    <cellStyle name="n" xfId="320"/>
    <cellStyle name="n1" xfId="321"/>
    <cellStyle name="New Times Roman" xfId="322"/>
    <cellStyle name="Nhấn1" xfId="526"/>
    <cellStyle name="Nhấn2" xfId="527"/>
    <cellStyle name="Nhấn3" xfId="528"/>
    <cellStyle name="Nhấn4" xfId="529"/>
    <cellStyle name="Nhấn5" xfId="530"/>
    <cellStyle name="Nhấn6" xfId="531"/>
    <cellStyle name="No" xfId="323"/>
    <cellStyle name="no dec" xfId="324"/>
    <cellStyle name="ÑONVÒ" xfId="325"/>
    <cellStyle name="Normal" xfId="0" builtinId="0"/>
    <cellStyle name="Normal - Style1" xfId="326"/>
    <cellStyle name="Normal - Style1 2" xfId="327"/>
    <cellStyle name="Normal 10" xfId="328"/>
    <cellStyle name="Normal 10 2" xfId="329"/>
    <cellStyle name="Normal 10 2 2" xfId="330"/>
    <cellStyle name="Normal 10 3" xfId="331"/>
    <cellStyle name="Normal 10 4" xfId="332"/>
    <cellStyle name="Normal 100 2" xfId="333"/>
    <cellStyle name="Normal 106" xfId="334"/>
    <cellStyle name="Normal 106 2" xfId="335"/>
    <cellStyle name="Normal 107" xfId="336"/>
    <cellStyle name="Normal 11" xfId="337"/>
    <cellStyle name="Normal 11 2" xfId="338"/>
    <cellStyle name="Normal 11 3" xfId="608"/>
    <cellStyle name="Normal 114" xfId="339"/>
    <cellStyle name="Normal 117" xfId="340"/>
    <cellStyle name="Normal 12" xfId="341"/>
    <cellStyle name="Normal 12 2" xfId="342"/>
    <cellStyle name="Normal 13" xfId="343"/>
    <cellStyle name="Normal 13 2" xfId="344"/>
    <cellStyle name="Normal 13 2 2" xfId="345"/>
    <cellStyle name="Normal 14" xfId="346"/>
    <cellStyle name="Normal 14 13" xfId="347"/>
    <cellStyle name="Normal 15" xfId="348"/>
    <cellStyle name="Normal 15 2 2" xfId="349"/>
    <cellStyle name="Normal 15 4" xfId="350"/>
    <cellStyle name="Normal 16" xfId="351"/>
    <cellStyle name="Normal 17" xfId="352"/>
    <cellStyle name="Normal 18" xfId="353"/>
    <cellStyle name="Normal 19" xfId="354"/>
    <cellStyle name="Normal 19 2" xfId="355"/>
    <cellStyle name="Normal 2" xfId="356"/>
    <cellStyle name="Normal 2 2" xfId="357"/>
    <cellStyle name="Normal 2 2 10" xfId="358"/>
    <cellStyle name="Normal 2 2 2" xfId="359"/>
    <cellStyle name="Normal 2 2 2 13" xfId="360"/>
    <cellStyle name="Normal 2 2 2 2" xfId="361"/>
    <cellStyle name="Normal 2 2 2 3" xfId="362"/>
    <cellStyle name="Normal 2 2 2 4" xfId="363"/>
    <cellStyle name="Normal 2 2 3" xfId="364"/>
    <cellStyle name="Normal 2 2 3 2" xfId="365"/>
    <cellStyle name="Normal 2 2 4" xfId="366"/>
    <cellStyle name="Normal 2 3" xfId="367"/>
    <cellStyle name="Normal 2 3 2" xfId="368"/>
    <cellStyle name="Normal 2 3 2 3" xfId="369"/>
    <cellStyle name="Normal 2 4" xfId="370"/>
    <cellStyle name="Normal 2 4 2" xfId="617"/>
    <cellStyle name="Normal 2 5" xfId="371"/>
    <cellStyle name="Normal 2 5 2" xfId="372"/>
    <cellStyle name="Normal 2 6" xfId="373"/>
    <cellStyle name="Normal 2 72 2" xfId="374"/>
    <cellStyle name="Normal 20" xfId="375"/>
    <cellStyle name="Normal 21" xfId="376"/>
    <cellStyle name="Normal 22" xfId="377"/>
    <cellStyle name="Normal 22 2" xfId="378"/>
    <cellStyle name="Normal 22 2 2" xfId="379"/>
    <cellStyle name="Normal 23" xfId="380"/>
    <cellStyle name="Normal 24" xfId="381"/>
    <cellStyle name="Normal 25" xfId="382"/>
    <cellStyle name="Normal 26" xfId="383"/>
    <cellStyle name="Normal 27" xfId="384"/>
    <cellStyle name="Normal 27 2" xfId="385"/>
    <cellStyle name="Normal 28" xfId="386"/>
    <cellStyle name="Normal 29" xfId="387"/>
    <cellStyle name="Normal 3" xfId="388"/>
    <cellStyle name="Normal 3 2" xfId="389"/>
    <cellStyle name="Normal 3 2 2" xfId="603"/>
    <cellStyle name="Normal 3 3" xfId="390"/>
    <cellStyle name="Normal 3 4" xfId="391"/>
    <cellStyle name="Normal 3 4 3" xfId="392"/>
    <cellStyle name="Normal 3 5" xfId="393"/>
    <cellStyle name="Normal 3 6" xfId="394"/>
    <cellStyle name="Normal 3 7" xfId="395"/>
    <cellStyle name="Normal 30" xfId="396"/>
    <cellStyle name="Normal 31" xfId="397"/>
    <cellStyle name="Normal 32" xfId="398"/>
    <cellStyle name="Normal 33" xfId="399"/>
    <cellStyle name="Normal 34" xfId="400"/>
    <cellStyle name="Normal 35" xfId="401"/>
    <cellStyle name="Normal 36" xfId="402"/>
    <cellStyle name="Normal 37" xfId="403"/>
    <cellStyle name="Normal 38" xfId="404"/>
    <cellStyle name="Normal 38 2" xfId="405"/>
    <cellStyle name="Normal 39" xfId="406"/>
    <cellStyle name="Normal 4" xfId="407"/>
    <cellStyle name="Normal 4 2" xfId="408"/>
    <cellStyle name="Normal 4 2 2" xfId="409"/>
    <cellStyle name="Normal 4 2 2 2" xfId="410"/>
    <cellStyle name="Normal 4 2 3" xfId="411"/>
    <cellStyle name="Normal 4 2 4" xfId="412"/>
    <cellStyle name="Normal 4 2 5" xfId="413"/>
    <cellStyle name="Normal 4 23" xfId="414"/>
    <cellStyle name="Normal 4 3" xfId="415"/>
    <cellStyle name="Normal 4 3 2" xfId="416"/>
    <cellStyle name="Normal 4 4" xfId="417"/>
    <cellStyle name="Normal 40" xfId="418"/>
    <cellStyle name="Normal 41" xfId="419"/>
    <cellStyle name="Normal 42" xfId="420"/>
    <cellStyle name="Normal 43" xfId="421"/>
    <cellStyle name="Normal 44" xfId="422"/>
    <cellStyle name="Normal 45" xfId="423"/>
    <cellStyle name="Normal 46" xfId="424"/>
    <cellStyle name="Normal 47" xfId="425"/>
    <cellStyle name="Normal 48" xfId="426"/>
    <cellStyle name="Normal 49" xfId="427"/>
    <cellStyle name="Normal 5" xfId="428"/>
    <cellStyle name="Normal 5 115" xfId="623"/>
    <cellStyle name="Normal 5 2" xfId="429"/>
    <cellStyle name="Normal 5 2 2" xfId="430"/>
    <cellStyle name="Normal 5 2 4" xfId="431"/>
    <cellStyle name="Normal 5 2 4 2" xfId="432"/>
    <cellStyle name="Normal 5 3" xfId="433"/>
    <cellStyle name="Normal 5 3 2" xfId="626"/>
    <cellStyle name="Normal 5 4" xfId="434"/>
    <cellStyle name="Normal 5 5" xfId="435"/>
    <cellStyle name="Normal 50" xfId="436"/>
    <cellStyle name="Normal 51" xfId="437"/>
    <cellStyle name="Normal 52" xfId="438"/>
    <cellStyle name="Normal 53" xfId="439"/>
    <cellStyle name="Normal 532" xfId="440"/>
    <cellStyle name="Normal 54" xfId="441"/>
    <cellStyle name="Normal 55" xfId="442"/>
    <cellStyle name="Normal 56" xfId="443"/>
    <cellStyle name="Normal 57" xfId="444"/>
    <cellStyle name="Normal 58" xfId="445"/>
    <cellStyle name="Normal 59" xfId="446"/>
    <cellStyle name="Normal 6" xfId="447"/>
    <cellStyle name="Normal 6 2" xfId="448"/>
    <cellStyle name="Normal 6 2 2" xfId="610"/>
    <cellStyle name="Normal 6 2 2 2" xfId="615"/>
    <cellStyle name="Normal 6 2 5" xfId="625"/>
    <cellStyle name="Normal 6 26" xfId="449"/>
    <cellStyle name="Normal 6 3" xfId="450"/>
    <cellStyle name="Normal 6 4" xfId="451"/>
    <cellStyle name="Normal 6 5" xfId="452"/>
    <cellStyle name="Normal 6 6" xfId="453"/>
    <cellStyle name="Normal 6 7" xfId="454"/>
    <cellStyle name="Normal 6 8" xfId="455"/>
    <cellStyle name="Normal 60" xfId="456"/>
    <cellStyle name="Normal 61" xfId="457"/>
    <cellStyle name="Normal 62" xfId="458"/>
    <cellStyle name="Normal 63" xfId="459"/>
    <cellStyle name="Normal 64" xfId="460"/>
    <cellStyle name="Normal 64 2" xfId="616"/>
    <cellStyle name="Normal 64 7" xfId="461"/>
    <cellStyle name="Normal 65" xfId="462"/>
    <cellStyle name="Normal 66" xfId="463"/>
    <cellStyle name="Normal 67" xfId="464"/>
    <cellStyle name="Normal 68" xfId="465"/>
    <cellStyle name="Normal 69" xfId="466"/>
    <cellStyle name="Normal 7" xfId="467"/>
    <cellStyle name="Normal 7 2" xfId="468"/>
    <cellStyle name="Normal 7 2 2" xfId="469"/>
    <cellStyle name="Normal 7 3" xfId="470"/>
    <cellStyle name="Normal 7 3 2" xfId="622"/>
    <cellStyle name="Normal 7 4" xfId="471"/>
    <cellStyle name="Normal 7 5" xfId="472"/>
    <cellStyle name="Normal 70" xfId="473"/>
    <cellStyle name="Normal 71" xfId="474"/>
    <cellStyle name="Normal 72" xfId="475"/>
    <cellStyle name="Normal 73" xfId="476"/>
    <cellStyle name="Normal 73 2" xfId="477"/>
    <cellStyle name="Normal 74" xfId="478"/>
    <cellStyle name="Normal 75" xfId="479"/>
    <cellStyle name="Normal 76" xfId="480"/>
    <cellStyle name="Normal 77" xfId="481"/>
    <cellStyle name="Normal 78" xfId="482"/>
    <cellStyle name="Normal 79" xfId="483"/>
    <cellStyle name="Normal 8" xfId="484"/>
    <cellStyle name="Normal 8 2" xfId="485"/>
    <cellStyle name="Normal 8 2 2" xfId="486"/>
    <cellStyle name="Normal 8 3" xfId="487"/>
    <cellStyle name="Normal 8 4" xfId="488"/>
    <cellStyle name="Normal 8 6" xfId="489"/>
    <cellStyle name="Normal 8_Danh mục CT theo huyện (Ánh)" xfId="490"/>
    <cellStyle name="Normal 80" xfId="491"/>
    <cellStyle name="Normal 81" xfId="492"/>
    <cellStyle name="Normal 81 2" xfId="493"/>
    <cellStyle name="Normal 82" xfId="494"/>
    <cellStyle name="Normal 83" xfId="495"/>
    <cellStyle name="Normal 84" xfId="496"/>
    <cellStyle name="Normal 85" xfId="497"/>
    <cellStyle name="Normal 86" xfId="498"/>
    <cellStyle name="Normal 87" xfId="499"/>
    <cellStyle name="Normal 88" xfId="500"/>
    <cellStyle name="Normal 89" xfId="501"/>
    <cellStyle name="Normal 9" xfId="502"/>
    <cellStyle name="Normal 9 2" xfId="503"/>
    <cellStyle name="Normal 9 3" xfId="504"/>
    <cellStyle name="Normal 90" xfId="505"/>
    <cellStyle name="Normal 91" xfId="506"/>
    <cellStyle name="Normal 92" xfId="507"/>
    <cellStyle name="Normal 93" xfId="508"/>
    <cellStyle name="Normal 94" xfId="509"/>
    <cellStyle name="Normal 95" xfId="510"/>
    <cellStyle name="Normal 96" xfId="511"/>
    <cellStyle name="Normal_(35-61) 25-10-2004 BieuQH cac cap" xfId="604"/>
    <cellStyle name="Normal_Bieen dong04HT-QH" xfId="512"/>
    <cellStyle name="Normal_Bieu mau (CV )" xfId="614"/>
    <cellStyle name="Normal_Bieu_xa" xfId="513"/>
    <cellStyle name="Normal_Bieu_xa 2" xfId="514"/>
    <cellStyle name="Normal_BIEU-CC1" xfId="606"/>
    <cellStyle name="Normal_bieuDH" xfId="515"/>
    <cellStyle name="Normal_Cong trinh dang thi cong da kiem tra-them cot-Uni" xfId="516"/>
    <cellStyle name="Normal_Cong trinh dang thi cong da kiem tra-them cot-Uni 2" xfId="624"/>
    <cellStyle name="Normal_copy" xfId="517"/>
    <cellStyle name="Normal_D.o" xfId="518"/>
    <cellStyle name="Normal_hien trang 42 xa" xfId="519"/>
    <cellStyle name="Normal_ke hoach tien hai 30-11-2005" xfId="520"/>
    <cellStyle name="Normal_Phu bieu cc36" xfId="521"/>
    <cellStyle name="Normal_QPAN" xfId="522"/>
    <cellStyle name="Normal_Sheet1" xfId="523"/>
    <cellStyle name="Normal_Sheet1_01-THANH BA " xfId="619"/>
    <cellStyle name="Normal_TT.GR HT-QH " xfId="524"/>
    <cellStyle name="Normal_TT.GR HT-QH  2" xfId="605"/>
    <cellStyle name="Normal_UBND" xfId="525"/>
    <cellStyle name="Œ…‹æØ‚è [0.00]_laroux" xfId="532"/>
    <cellStyle name="Œ…‹æØ‚è_laroux" xfId="533"/>
    <cellStyle name="oft Excel]_x000d__x000a_Comment=The open=/f lines load custom functions into the Paste Function list._x000d__x000a_Maximized=2_x000d__x000a_Basics=1_x000d__x000a_A" xfId="534"/>
    <cellStyle name="oft Excel]_x000d__x000a_Comment=The open=/f lines load custom functions into the Paste Function list._x000d__x000a_Maximized=3_x000d__x000a_Basics=1_x000d__x000a_A" xfId="535"/>
    <cellStyle name="omma [0]_Mktg Prog" xfId="536"/>
    <cellStyle name="ormal_Sheet1_1" xfId="537"/>
    <cellStyle name="Percent [2]" xfId="538"/>
    <cellStyle name="Percent 2" xfId="539"/>
    <cellStyle name="RowLevel_1 2 2" xfId="540"/>
    <cellStyle name="s]_x000d__x000a_spooler=yes_x000d__x000a_load=_x000d__x000a_Beep=yes_x000d__x000a_NullPort=None_x000d__x000a_BorderWidth=3_x000d__x000a_CursorBlinkRate=1200_x000d__x000a_DoubleClickSpeed=452_x000d__x000a_Programs=co" xfId="541"/>
    <cellStyle name="Siêu nối kết_ÿÿÿÿÿ" xfId="542"/>
    <cellStyle name="Style 1" xfId="543"/>
    <cellStyle name="style_1" xfId="544"/>
    <cellStyle name="subhead" xfId="545"/>
    <cellStyle name="T" xfId="546"/>
    <cellStyle name="T 2" xfId="547"/>
    <cellStyle name="T_10BDpnn" xfId="548"/>
    <cellStyle name="T_BieuQH Tay Nguyen (co DakNong)" xfId="549"/>
    <cellStyle name="T_Book1" xfId="550"/>
    <cellStyle name="T_Book1_1" xfId="551"/>
    <cellStyle name="T_Book1_1_Book1" xfId="552"/>
    <cellStyle name="T_Book1_2" xfId="553"/>
    <cellStyle name="T_Book1_Book1" xfId="554"/>
    <cellStyle name="T_Book1_Book1_1" xfId="555"/>
    <cellStyle name="T_CN TT DT LUONG T5" xfId="556"/>
    <cellStyle name="T_gủi địa phương in 2.3.06" xfId="557"/>
    <cellStyle name="T_Luong MNTD" xfId="558"/>
    <cellStyle name="T_Lương t4,5" xfId="559"/>
    <cellStyle name="T_SO KE TOAN 2005 + Chi tiet" xfId="560"/>
    <cellStyle name="T_sosanh gui tinh 21-2cuc" xfId="561"/>
    <cellStyle name="tde" xfId="562"/>
    <cellStyle name="th" xfId="565"/>
    <cellStyle name="th 2" xfId="566"/>
    <cellStyle name="þ_x001d_ð·_x000c_æþ'_x000d_ßþU_x0001_Ø_x0005_ü_x0014__x0007__x0001__x0001_" xfId="567"/>
    <cellStyle name="þ_x001d_ðÇ%Uý—&amp;Hý9_x0008_Ÿ s_x000a__x0007__x0001__x0001_" xfId="568"/>
    <cellStyle name="Tiêu đề" xfId="563"/>
    <cellStyle name="Tổng" xfId="564"/>
    <cellStyle name="Trung tính" xfId="569"/>
    <cellStyle name="Văn bản Cảnh báo" xfId="571"/>
    <cellStyle name="VANG1" xfId="570"/>
    <cellStyle name="viet" xfId="572"/>
    <cellStyle name="viet 2" xfId="573"/>
    <cellStyle name="viet2" xfId="574"/>
    <cellStyle name="viet2 2" xfId="575"/>
    <cellStyle name="vnhead1" xfId="578"/>
    <cellStyle name="vnhead3" xfId="579"/>
    <cellStyle name="vntxt1" xfId="576"/>
    <cellStyle name="vntxt2" xfId="577"/>
    <cellStyle name="Währung [0]_UXO VII" xfId="580"/>
    <cellStyle name="Währung_UXO VII" xfId="581"/>
    <cellStyle name="xuan" xfId="582"/>
    <cellStyle name=" [0.00]_ Att. 1- Cover" xfId="583"/>
    <cellStyle name="_ Att. 1- Cover" xfId="584"/>
    <cellStyle name="?_ Att. 1- Cover" xfId="585"/>
    <cellStyle name="똿뗦먛귟 [0.00]_PRODUCT DETAIL Q1" xfId="586"/>
    <cellStyle name="똿뗦먛귟_PRODUCT DETAIL Q1" xfId="587"/>
    <cellStyle name="믅됞 [0.00]_PRODUCT DETAIL Q1" xfId="588"/>
    <cellStyle name="믅됞_PRODUCT DETAIL Q1" xfId="589"/>
    <cellStyle name="백분율_95" xfId="590"/>
    <cellStyle name="뷭?_BOOKSHIP" xfId="591"/>
    <cellStyle name="콤마 [0]_ 비목별 월별기술 " xfId="592"/>
    <cellStyle name="콤마_ 비목별 월별기술 " xfId="593"/>
    <cellStyle name="통화 [0]_1202" xfId="594"/>
    <cellStyle name="통화_1202" xfId="595"/>
    <cellStyle name="표준_(정보부문)월별인원계획" xfId="596"/>
    <cellStyle name="一般_00Q3902REV.1" xfId="597"/>
    <cellStyle name="千分位[0]_00Q3902REV.1" xfId="598"/>
    <cellStyle name="千分位_00Q3902REV.1" xfId="599"/>
    <cellStyle name="貨幣 [0]_00Q3902REV.1" xfId="600"/>
    <cellStyle name="貨幣[0]_BRE" xfId="601"/>
    <cellStyle name="貨幣_00Q3902REV.1" xfId="602"/>
  </cellStyles>
  <dxfs count="285">
    <dxf>
      <font>
        <condense val="0"/>
        <extend val="0"/>
        <color indexed="9"/>
      </font>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9"/>
      </font>
    </dxf>
    <dxf>
      <font>
        <condense val="0"/>
        <extend val="0"/>
        <color indexed="9"/>
      </font>
      <fill>
        <patternFill>
          <fgColor indexed="64"/>
        </patternFill>
      </fill>
    </dxf>
    <dxf>
      <font>
        <condense val="0"/>
        <extend val="0"/>
        <color indexed="9"/>
      </font>
    </dxf>
    <dxf>
      <font>
        <condense val="0"/>
        <extend val="0"/>
        <color indexed="9"/>
      </font>
    </dxf>
    <dxf>
      <font>
        <condense val="0"/>
        <extend val="0"/>
        <color indexed="9"/>
      </font>
      <fill>
        <patternFill>
          <fgColor indexed="64"/>
        </patternFill>
      </fill>
    </dxf>
    <dxf>
      <font>
        <condense val="0"/>
        <extend val="0"/>
        <color indexed="9"/>
      </font>
    </dxf>
    <dxf>
      <font>
        <condense val="0"/>
        <extend val="0"/>
        <color indexed="9"/>
      </font>
    </dxf>
    <dxf>
      <font>
        <condense val="0"/>
        <extend val="0"/>
        <color indexed="9"/>
      </font>
    </dxf>
    <dxf>
      <font>
        <color theme="0"/>
      </font>
    </dxf>
    <dxf>
      <font>
        <condense val="0"/>
        <extend val="0"/>
        <color indexed="9"/>
      </font>
      <fill>
        <patternFill>
          <fgColor indexed="64"/>
        </patternFill>
      </fill>
    </dxf>
    <dxf>
      <font>
        <condense val="0"/>
        <extend val="0"/>
        <color indexed="9"/>
      </font>
    </dxf>
    <dxf>
      <font>
        <condense val="0"/>
        <extend val="0"/>
        <color indexed="9"/>
      </font>
    </dxf>
    <dxf>
      <font>
        <color theme="0"/>
      </font>
    </dxf>
    <dxf>
      <font>
        <condense val="0"/>
        <extend val="0"/>
        <color indexed="9"/>
      </font>
    </dxf>
    <dxf>
      <font>
        <condense val="0"/>
        <extend val="0"/>
        <color indexed="9"/>
      </font>
      <fill>
        <patternFill>
          <fgColor indexed="64"/>
        </patternFill>
      </fill>
    </dxf>
    <dxf>
      <font>
        <condense val="0"/>
        <extend val="0"/>
        <color indexed="9"/>
      </font>
      <fill>
        <patternFill>
          <fgColor indexed="64"/>
        </patternFill>
      </fill>
    </dxf>
    <dxf>
      <font>
        <condense val="0"/>
        <extend val="0"/>
        <color indexed="9"/>
      </font>
    </dxf>
    <dxf>
      <font>
        <condense val="0"/>
        <extend val="0"/>
        <color indexed="9"/>
      </font>
    </dxf>
    <dxf>
      <font>
        <condense val="0"/>
        <extend val="0"/>
        <color indexed="9"/>
      </font>
      <fill>
        <patternFill>
          <fgColor indexed="64"/>
        </patternFill>
      </fill>
    </dxf>
    <dxf>
      <font>
        <condense val="0"/>
        <extend val="0"/>
        <color indexed="9"/>
      </font>
      <fill>
        <patternFill>
          <fgColor indexed="64"/>
        </patternFill>
      </fill>
    </dxf>
    <dxf>
      <font>
        <condense val="0"/>
        <extend val="0"/>
        <color indexed="9"/>
      </font>
    </dxf>
    <dxf>
      <font>
        <condense val="0"/>
        <extend val="0"/>
        <color indexed="9"/>
      </font>
    </dxf>
    <dxf>
      <font>
        <condense val="0"/>
        <extend val="0"/>
        <color indexed="9"/>
      </font>
      <fill>
        <patternFill>
          <fgColor indexed="64"/>
        </patternFill>
      </fill>
    </dxf>
    <dxf>
      <font>
        <condense val="0"/>
        <extend val="0"/>
        <color indexed="9"/>
      </font>
      <fill>
        <patternFill>
          <fgColor indexed="64"/>
        </patternFill>
      </fill>
    </dxf>
    <dxf>
      <font>
        <condense val="0"/>
        <extend val="0"/>
        <color indexed="9"/>
      </font>
    </dxf>
    <dxf>
      <font>
        <condense val="0"/>
        <extend val="0"/>
        <color indexed="9"/>
      </font>
    </dxf>
    <dxf>
      <font>
        <condense val="0"/>
        <extend val="0"/>
        <color indexed="9"/>
      </font>
      <fill>
        <patternFill>
          <fgColor indexed="64"/>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fgColor indexed="64"/>
        </patternFill>
      </fill>
    </dxf>
    <dxf>
      <font>
        <condense val="0"/>
        <extend val="0"/>
        <color indexed="9"/>
      </font>
    </dxf>
    <dxf>
      <font>
        <condense val="0"/>
        <extend val="0"/>
        <color indexed="9"/>
      </font>
    </dxf>
    <dxf>
      <font>
        <condense val="0"/>
        <extend val="0"/>
        <color indexed="9"/>
      </font>
    </dxf>
    <dxf>
      <font>
        <condense val="0"/>
        <extend val="0"/>
        <color indexed="9"/>
      </font>
      <fill>
        <patternFill>
          <fgColor indexed="64"/>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fgColor indexed="64"/>
        </patternFill>
      </fill>
    </dxf>
    <dxf>
      <font>
        <condense val="0"/>
        <extend val="0"/>
        <color indexed="9"/>
      </font>
    </dxf>
    <dxf>
      <font>
        <condense val="0"/>
        <extend val="0"/>
        <color indexed="9"/>
      </font>
    </dxf>
    <dxf>
      <font>
        <condense val="0"/>
        <extend val="0"/>
        <color indexed="9"/>
      </font>
      <fill>
        <patternFill>
          <fgColor indexed="64"/>
        </patternFill>
      </fill>
    </dxf>
    <dxf>
      <font>
        <condense val="0"/>
        <extend val="0"/>
        <color indexed="9"/>
      </font>
    </dxf>
    <dxf>
      <font>
        <condense val="0"/>
        <extend val="0"/>
        <color indexed="9"/>
      </font>
    </dxf>
    <dxf>
      <font>
        <condense val="0"/>
        <extend val="0"/>
        <color indexed="9"/>
      </font>
      <fill>
        <patternFill>
          <fgColor indexed="64"/>
        </patternFill>
      </fill>
    </dxf>
    <dxf>
      <font>
        <condense val="0"/>
        <extend val="0"/>
        <color indexed="9"/>
      </font>
    </dxf>
    <dxf>
      <font>
        <condense val="0"/>
        <extend val="0"/>
        <color indexed="9"/>
      </font>
    </dxf>
    <dxf>
      <font>
        <condense val="0"/>
        <extend val="0"/>
        <color indexed="9"/>
      </font>
      <fill>
        <patternFill>
          <fgColor indexed="64"/>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fgColor indexed="64"/>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fgColor indexed="64"/>
        </patternFill>
      </fill>
    </dxf>
    <dxf>
      <font>
        <condense val="0"/>
        <extend val="0"/>
        <color indexed="9"/>
      </font>
    </dxf>
    <dxf>
      <font>
        <condense val="0"/>
        <extend val="0"/>
        <color indexed="9"/>
      </font>
    </dxf>
    <dxf>
      <font>
        <condense val="0"/>
        <extend val="0"/>
        <color indexed="9"/>
      </font>
    </dxf>
    <dxf>
      <font>
        <condense val="0"/>
        <extend val="0"/>
        <color indexed="9"/>
      </font>
      <fill>
        <patternFill>
          <fgColor indexed="64"/>
        </patternFill>
      </fill>
    </dxf>
    <dxf>
      <font>
        <condense val="0"/>
        <extend val="0"/>
        <color indexed="9"/>
      </font>
    </dxf>
    <dxf>
      <font>
        <condense val="0"/>
        <extend val="0"/>
        <color indexed="9"/>
      </font>
      <fill>
        <patternFill>
          <fgColor indexed="64"/>
        </patternFill>
      </fill>
    </dxf>
    <dxf>
      <font>
        <condense val="0"/>
        <extend val="0"/>
        <color indexed="9"/>
      </font>
    </dxf>
    <dxf>
      <font>
        <condense val="0"/>
        <extend val="0"/>
        <color indexed="9"/>
      </font>
      <fill>
        <patternFill>
          <fgColor indexed="64"/>
        </patternFill>
      </fill>
    </dxf>
    <dxf>
      <font>
        <condense val="0"/>
        <extend val="0"/>
        <color indexed="9"/>
      </font>
    </dxf>
    <dxf>
      <font>
        <condense val="0"/>
        <extend val="0"/>
        <color indexed="9"/>
      </font>
    </dxf>
    <dxf>
      <font>
        <condense val="0"/>
        <extend val="0"/>
        <color indexed="9"/>
      </font>
      <fill>
        <patternFill>
          <fgColor indexed="64"/>
        </patternFill>
      </fill>
    </dxf>
    <dxf>
      <font>
        <condense val="0"/>
        <extend val="0"/>
        <color indexed="9"/>
      </font>
      <fill>
        <patternFill>
          <fgColor indexed="64"/>
        </patternFill>
      </fill>
    </dxf>
    <dxf>
      <font>
        <condense val="0"/>
        <extend val="0"/>
        <color indexed="9"/>
      </font>
    </dxf>
    <dxf>
      <font>
        <condense val="0"/>
        <extend val="0"/>
        <color indexed="9"/>
      </font>
    </dxf>
    <dxf>
      <font>
        <condense val="0"/>
        <extend val="0"/>
        <color indexed="9"/>
      </font>
      <fill>
        <patternFill>
          <fgColor indexed="64"/>
        </patternFill>
      </fill>
    </dxf>
    <dxf>
      <font>
        <condense val="0"/>
        <extend val="0"/>
        <color indexed="9"/>
      </font>
    </dxf>
    <dxf>
      <font>
        <condense val="0"/>
        <extend val="0"/>
        <color indexed="9"/>
      </font>
    </dxf>
    <dxf>
      <font>
        <condense val="0"/>
        <extend val="0"/>
        <color indexed="9"/>
      </font>
      <fill>
        <patternFill>
          <fgColor indexed="64"/>
        </patternFill>
      </fill>
    </dxf>
    <dxf>
      <font>
        <condense val="0"/>
        <extend val="0"/>
        <color indexed="9"/>
      </font>
    </dxf>
    <dxf>
      <font>
        <condense val="0"/>
        <extend val="0"/>
        <color indexed="9"/>
      </font>
    </dxf>
    <dxf>
      <font>
        <condense val="0"/>
        <extend val="0"/>
        <color indexed="9"/>
      </font>
    </dxf>
    <dxf>
      <font>
        <condense val="0"/>
        <extend val="0"/>
        <color indexed="9"/>
      </font>
    </dxf>
    <dxf>
      <font>
        <color indexed="9"/>
      </font>
    </dxf>
    <dxf>
      <font>
        <color theme="0"/>
      </font>
    </dxf>
    <dxf>
      <font>
        <color indexed="9"/>
      </font>
    </dxf>
    <dxf>
      <font>
        <color theme="0"/>
      </font>
    </dxf>
    <dxf>
      <font>
        <condense val="0"/>
        <extend val="0"/>
        <color indexed="9"/>
      </font>
    </dxf>
    <dxf>
      <font>
        <color theme="0"/>
      </font>
    </dxf>
    <dxf>
      <font>
        <color indexed="9"/>
      </font>
    </dxf>
    <dxf>
      <font>
        <color theme="0"/>
      </font>
    </dxf>
    <dxf>
      <font>
        <color indexed="9"/>
      </font>
    </dxf>
    <dxf>
      <font>
        <color theme="0"/>
      </font>
    </dxf>
    <dxf>
      <font>
        <color theme="0"/>
      </font>
    </dxf>
    <dxf>
      <font>
        <color indexed="9"/>
      </font>
    </dxf>
    <dxf>
      <font>
        <color theme="0"/>
      </font>
    </dxf>
    <dxf>
      <font>
        <color indexed="9"/>
      </font>
    </dxf>
    <dxf>
      <font>
        <color indexed="9"/>
      </font>
    </dxf>
    <dxf>
      <font>
        <color theme="0"/>
      </font>
    </dxf>
    <dxf>
      <font>
        <condense val="0"/>
        <extend val="0"/>
        <color indexed="9"/>
      </font>
    </dxf>
    <dxf>
      <font>
        <condense val="0"/>
        <extend val="0"/>
        <color indexed="9"/>
      </font>
      <fill>
        <patternFill>
          <fgColor indexed="64"/>
        </patternFill>
      </fill>
    </dxf>
    <dxf>
      <font>
        <condense val="0"/>
        <extend val="0"/>
        <color indexed="9"/>
      </font>
    </dxf>
    <dxf>
      <font>
        <condense val="0"/>
        <extend val="0"/>
        <color indexed="9"/>
      </font>
      <fill>
        <patternFill>
          <fgColor indexed="64"/>
        </patternFill>
      </fill>
    </dxf>
    <dxf>
      <font>
        <condense val="0"/>
        <extend val="0"/>
        <color indexed="9"/>
      </font>
    </dxf>
    <dxf>
      <font>
        <color theme="0"/>
      </font>
    </dxf>
    <dxf>
      <font>
        <condense val="0"/>
        <extend val="0"/>
        <color indexed="9"/>
      </font>
    </dxf>
    <dxf>
      <font>
        <condense val="0"/>
        <extend val="0"/>
        <color indexed="9"/>
      </font>
      <fill>
        <patternFill>
          <fgColor indexed="64"/>
        </patternFill>
      </fill>
    </dxf>
    <dxf>
      <font>
        <condense val="0"/>
        <extend val="0"/>
        <color indexed="9"/>
      </font>
    </dxf>
    <dxf>
      <font>
        <color auto="1"/>
      </font>
    </dxf>
    <dxf>
      <font>
        <color theme="0"/>
      </font>
    </dxf>
    <dxf>
      <font>
        <color theme="0"/>
      </font>
    </dxf>
    <dxf>
      <font>
        <color indexed="9"/>
      </font>
    </dxf>
    <dxf>
      <font>
        <color indexed="9"/>
      </font>
    </dxf>
    <dxf>
      <font>
        <color theme="0"/>
      </font>
    </dxf>
    <dxf>
      <font>
        <color theme="0"/>
      </font>
    </dxf>
    <dxf>
      <font>
        <condense val="0"/>
        <extend val="0"/>
        <color indexed="9"/>
      </font>
    </dxf>
    <dxf>
      <font>
        <condense val="0"/>
        <extend val="0"/>
        <color indexed="9"/>
      </font>
      <fill>
        <patternFill>
          <fgColor indexed="64"/>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fgColor indexed="64"/>
        </patternFill>
      </fill>
    </dxf>
    <dxf>
      <font>
        <color theme="0"/>
      </font>
    </dxf>
    <dxf>
      <font>
        <condense val="0"/>
        <extend val="0"/>
        <color indexed="9"/>
      </font>
    </dxf>
    <dxf>
      <font>
        <condense val="0"/>
        <extend val="0"/>
        <color indexed="9"/>
      </font>
    </dxf>
    <dxf>
      <font>
        <condense val="0"/>
        <extend val="0"/>
        <color indexed="9"/>
      </font>
      <fill>
        <patternFill>
          <fgColor indexed="64"/>
        </patternFill>
      </fill>
    </dxf>
    <dxf>
      <font>
        <condense val="0"/>
        <extend val="0"/>
        <color indexed="9"/>
      </font>
      <fill>
        <patternFill>
          <fgColor indexed="64"/>
        </patternFill>
      </fill>
    </dxf>
    <dxf>
      <font>
        <condense val="0"/>
        <extend val="0"/>
        <color indexed="9"/>
      </font>
    </dxf>
    <dxf>
      <font>
        <condense val="0"/>
        <extend val="0"/>
        <color indexed="9"/>
      </font>
    </dxf>
    <dxf>
      <font>
        <condense val="0"/>
        <extend val="0"/>
        <color indexed="9"/>
      </font>
      <fill>
        <patternFill>
          <fgColor indexed="64"/>
        </patternFill>
      </fill>
    </dxf>
    <dxf>
      <font>
        <condense val="0"/>
        <extend val="0"/>
        <color indexed="9"/>
      </font>
      <fill>
        <patternFill>
          <fgColor indexed="64"/>
        </patternFill>
      </fill>
    </dxf>
    <dxf>
      <font>
        <condense val="0"/>
        <extend val="0"/>
        <color indexed="9"/>
      </font>
    </dxf>
    <dxf>
      <font>
        <condense val="0"/>
        <extend val="0"/>
        <color indexed="9"/>
      </font>
    </dxf>
    <dxf>
      <font>
        <condense val="0"/>
        <extend val="0"/>
        <color indexed="9"/>
      </font>
      <fill>
        <patternFill>
          <fgColor indexed="64"/>
        </patternFill>
      </fill>
    </dxf>
    <dxf>
      <font>
        <condense val="0"/>
        <extend val="0"/>
        <color indexed="9"/>
      </font>
      <fill>
        <patternFill>
          <fgColor indexed="64"/>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fgColor indexed="64"/>
        </patternFill>
      </fill>
    </dxf>
    <dxf>
      <font>
        <condense val="0"/>
        <extend val="0"/>
        <color indexed="9"/>
      </font>
    </dxf>
    <dxf>
      <font>
        <condense val="0"/>
        <extend val="0"/>
        <color indexed="9"/>
      </font>
    </dxf>
    <dxf>
      <font>
        <condense val="0"/>
        <extend val="0"/>
        <color indexed="9"/>
      </font>
    </dxf>
    <dxf>
      <font>
        <condense val="0"/>
        <extend val="0"/>
        <color indexed="9"/>
      </font>
      <fill>
        <patternFill>
          <fgColor indexed="64"/>
        </patternFill>
      </fill>
    </dxf>
    <dxf>
      <font>
        <condense val="0"/>
        <extend val="0"/>
        <color indexed="9"/>
      </font>
    </dxf>
    <dxf>
      <font>
        <condense val="0"/>
        <extend val="0"/>
        <color indexed="9"/>
      </font>
      <fill>
        <patternFill>
          <fgColor indexed="64"/>
        </patternFill>
      </fill>
    </dxf>
    <dxf>
      <font>
        <condense val="0"/>
        <extend val="0"/>
        <color indexed="9"/>
      </font>
    </dxf>
    <dxf>
      <font>
        <condense val="0"/>
        <extend val="0"/>
        <color indexed="9"/>
      </font>
      <fill>
        <patternFill>
          <fgColor indexed="64"/>
        </patternFill>
      </fill>
    </dxf>
    <dxf>
      <font>
        <condense val="0"/>
        <extend val="0"/>
        <color indexed="9"/>
      </font>
    </dxf>
    <dxf>
      <font>
        <condense val="0"/>
        <extend val="0"/>
        <color indexed="9"/>
      </font>
      <fill>
        <patternFill>
          <fgColor indexed="64"/>
        </patternFill>
      </fill>
    </dxf>
    <dxf>
      <font>
        <condense val="0"/>
        <extend val="0"/>
        <color indexed="9"/>
      </font>
    </dxf>
    <dxf>
      <font>
        <condense val="0"/>
        <extend val="0"/>
        <color indexed="9"/>
      </font>
    </dxf>
    <dxf>
      <font>
        <condense val="0"/>
        <extend val="0"/>
        <color indexed="9"/>
      </font>
      <fill>
        <patternFill>
          <fgColor indexed="64"/>
        </patternFill>
      </fill>
    </dxf>
    <dxf>
      <font>
        <condense val="0"/>
        <extend val="0"/>
        <color indexed="9"/>
      </font>
    </dxf>
    <dxf>
      <font>
        <condense val="0"/>
        <extend val="0"/>
        <color indexed="9"/>
      </font>
    </dxf>
    <dxf>
      <font>
        <condense val="0"/>
        <extend val="0"/>
        <color indexed="9"/>
      </font>
    </dxf>
    <dxf>
      <font>
        <condense val="0"/>
        <extend val="0"/>
        <color indexed="9"/>
      </font>
      <fill>
        <patternFill>
          <fgColor indexed="64"/>
        </patternFill>
      </fill>
    </dxf>
    <dxf>
      <font>
        <condense val="0"/>
        <extend val="0"/>
        <color indexed="9"/>
      </font>
      <fill>
        <patternFill>
          <fgColor indexed="64"/>
        </patternFill>
      </fill>
    </dxf>
    <dxf>
      <font>
        <condense val="0"/>
        <extend val="0"/>
        <color indexed="9"/>
      </font>
    </dxf>
    <dxf>
      <font>
        <condense val="0"/>
        <extend val="0"/>
        <color indexed="9"/>
      </font>
    </dxf>
    <dxf>
      <font>
        <condense val="0"/>
        <extend val="0"/>
        <color indexed="9"/>
      </font>
      <fill>
        <patternFill>
          <fgColor indexed="64"/>
        </patternFill>
      </fill>
    </dxf>
    <dxf>
      <font>
        <condense val="0"/>
        <extend val="0"/>
        <color indexed="9"/>
      </font>
      <fill>
        <patternFill>
          <fgColor indexed="64"/>
        </patternFill>
      </fill>
    </dxf>
    <dxf>
      <font>
        <condense val="0"/>
        <extend val="0"/>
        <color indexed="9"/>
      </font>
    </dxf>
    <dxf>
      <font>
        <condense val="0"/>
        <extend val="0"/>
        <color indexed="9"/>
      </font>
    </dxf>
    <dxf>
      <font>
        <condense val="0"/>
        <extend val="0"/>
        <color indexed="9"/>
      </font>
    </dxf>
    <dxf>
      <font>
        <condense val="0"/>
        <extend val="0"/>
        <color indexed="9"/>
      </font>
      <fill>
        <patternFill>
          <fgColor indexed="64"/>
        </patternFill>
      </fill>
    </dxf>
    <dxf>
      <font>
        <condense val="0"/>
        <extend val="0"/>
        <color indexed="9"/>
      </font>
    </dxf>
    <dxf>
      <font>
        <condense val="0"/>
        <extend val="0"/>
        <color indexed="9"/>
      </font>
    </dxf>
    <dxf>
      <font>
        <condense val="0"/>
        <extend val="0"/>
        <color indexed="9"/>
      </font>
      <fill>
        <patternFill>
          <fgColor indexed="64"/>
        </patternFill>
      </fill>
    </dxf>
    <dxf>
      <font>
        <condense val="0"/>
        <extend val="0"/>
        <color indexed="9"/>
      </font>
    </dxf>
    <dxf>
      <font>
        <condense val="0"/>
        <extend val="0"/>
        <color indexed="9"/>
      </font>
    </dxf>
    <dxf>
      <font>
        <condense val="0"/>
        <extend val="0"/>
        <color indexed="9"/>
      </font>
      <fill>
        <patternFill>
          <fgColor indexed="64"/>
        </patternFill>
      </fill>
    </dxf>
    <dxf>
      <font>
        <condense val="0"/>
        <extend val="0"/>
        <color indexed="9"/>
      </font>
      <fill>
        <patternFill>
          <fgColor indexed="64"/>
        </patternFill>
      </fill>
    </dxf>
    <dxf>
      <font>
        <condense val="0"/>
        <extend val="0"/>
        <color indexed="9"/>
      </font>
    </dxf>
    <dxf>
      <font>
        <condense val="0"/>
        <extend val="0"/>
        <color indexed="9"/>
      </font>
    </dxf>
    <dxf>
      <font>
        <condense val="0"/>
        <extend val="0"/>
        <color indexed="9"/>
      </font>
      <fill>
        <patternFill>
          <fgColor indexed="64"/>
        </patternFill>
      </fill>
    </dxf>
    <dxf>
      <font>
        <condense val="0"/>
        <extend val="0"/>
        <color indexed="9"/>
      </font>
    </dxf>
    <dxf>
      <font>
        <condense val="0"/>
        <extend val="0"/>
        <color indexed="9"/>
      </font>
      <fill>
        <patternFill>
          <fgColor indexed="64"/>
        </patternFill>
      </fill>
    </dxf>
    <dxf>
      <font>
        <condense val="0"/>
        <extend val="0"/>
        <color indexed="9"/>
      </font>
    </dxf>
    <dxf>
      <font>
        <condense val="0"/>
        <extend val="0"/>
        <color indexed="9"/>
      </font>
      <fill>
        <patternFill>
          <fgColor indexed="64"/>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fgColor indexed="64"/>
        </patternFill>
      </fill>
    </dxf>
    <dxf>
      <font>
        <condense val="0"/>
        <extend val="0"/>
        <color indexed="9"/>
      </font>
    </dxf>
    <dxf>
      <font>
        <condense val="0"/>
        <extend val="0"/>
        <color indexed="9"/>
      </font>
    </dxf>
    <dxf>
      <font>
        <condense val="0"/>
        <extend val="0"/>
        <color indexed="9"/>
      </font>
    </dxf>
    <dxf>
      <font>
        <condense val="0"/>
        <extend val="0"/>
        <color indexed="9"/>
      </font>
      <fill>
        <patternFill>
          <fgColor indexed="64"/>
        </patternFill>
      </fill>
    </dxf>
    <dxf>
      <font>
        <condense val="0"/>
        <extend val="0"/>
        <color indexed="9"/>
      </font>
    </dxf>
    <dxf>
      <font>
        <condense val="0"/>
        <extend val="0"/>
        <color indexed="9"/>
      </font>
    </dxf>
    <dxf>
      <font>
        <condense val="0"/>
        <extend val="0"/>
        <color indexed="9"/>
      </font>
    </dxf>
    <dxf>
      <font>
        <condense val="0"/>
        <extend val="0"/>
        <color indexed="9"/>
      </font>
      <fill>
        <patternFill>
          <fgColor indexed="64"/>
        </patternFill>
      </fill>
    </dxf>
    <dxf>
      <font>
        <condense val="0"/>
        <extend val="0"/>
        <color indexed="9"/>
      </font>
    </dxf>
    <dxf>
      <font>
        <condense val="0"/>
        <extend val="0"/>
        <color indexed="9"/>
      </font>
      <fill>
        <patternFill>
          <fgColor indexed="64"/>
        </patternFill>
      </fill>
    </dxf>
    <dxf>
      <font>
        <condense val="0"/>
        <extend val="0"/>
        <color indexed="9"/>
      </font>
      <fill>
        <patternFill>
          <fgColor indexed="64"/>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fgColor indexed="64"/>
        </patternFill>
      </fill>
    </dxf>
    <dxf>
      <font>
        <condense val="0"/>
        <extend val="0"/>
        <color indexed="9"/>
      </font>
    </dxf>
    <dxf>
      <font>
        <condense val="0"/>
        <extend val="0"/>
        <color indexed="9"/>
      </font>
      <fill>
        <patternFill>
          <fgColor indexed="64"/>
        </patternFill>
      </fill>
    </dxf>
    <dxf>
      <font>
        <condense val="0"/>
        <extend val="0"/>
        <color indexed="9"/>
      </font>
    </dxf>
    <dxf>
      <font>
        <condense val="0"/>
        <extend val="0"/>
        <color indexed="9"/>
      </font>
      <fill>
        <patternFill>
          <fgColor indexed="64"/>
        </patternFill>
      </fill>
    </dxf>
    <dxf>
      <font>
        <condense val="0"/>
        <extend val="0"/>
        <color indexed="9"/>
      </font>
    </dxf>
    <dxf>
      <font>
        <condense val="0"/>
        <extend val="0"/>
        <color indexed="9"/>
      </font>
      <fill>
        <patternFill>
          <fgColor indexed="64"/>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fgColor indexed="64"/>
        </patternFill>
      </fill>
    </dxf>
    <dxf>
      <font>
        <condense val="0"/>
        <extend val="0"/>
        <color indexed="9"/>
      </font>
    </dxf>
    <dxf>
      <font>
        <condense val="0"/>
        <extend val="0"/>
        <color indexed="9"/>
      </font>
      <fill>
        <patternFill>
          <fgColor indexed="64"/>
        </patternFill>
      </fill>
    </dxf>
    <dxf>
      <font>
        <condense val="0"/>
        <extend val="0"/>
        <color indexed="9"/>
      </font>
    </dxf>
    <dxf>
      <font>
        <condense val="0"/>
        <extend val="0"/>
        <color indexed="9"/>
      </font>
    </dxf>
    <dxf>
      <font>
        <condense val="0"/>
        <extend val="0"/>
        <color indexed="9"/>
      </font>
    </dxf>
    <dxf>
      <font>
        <condense val="0"/>
        <extend val="0"/>
        <color indexed="9"/>
      </font>
      <fill>
        <patternFill>
          <fgColor indexed="64"/>
        </patternFill>
      </fill>
    </dxf>
    <dxf>
      <font>
        <condense val="0"/>
        <extend val="0"/>
        <color indexed="9"/>
      </font>
      <fill>
        <patternFill>
          <fgColor indexed="64"/>
        </patternFill>
      </fill>
    </dxf>
    <dxf>
      <font>
        <condense val="0"/>
        <extend val="0"/>
        <color indexed="9"/>
      </font>
      <fill>
        <patternFill>
          <fgColor indexed="64"/>
        </patternFill>
      </fill>
    </dxf>
    <dxf>
      <font>
        <condense val="0"/>
        <extend val="0"/>
        <color indexed="9"/>
      </font>
    </dxf>
    <dxf>
      <font>
        <condense val="0"/>
        <extend val="0"/>
        <color indexed="9"/>
      </font>
    </dxf>
    <dxf>
      <font>
        <condense val="0"/>
        <extend val="0"/>
        <color indexed="9"/>
      </font>
      <fill>
        <patternFill>
          <fgColor indexed="64"/>
        </patternFill>
      </fill>
    </dxf>
    <dxf>
      <font>
        <condense val="0"/>
        <extend val="0"/>
        <color indexed="9"/>
      </font>
    </dxf>
    <dxf>
      <font>
        <condense val="0"/>
        <extend val="0"/>
        <color indexed="9"/>
      </font>
      <fill>
        <patternFill>
          <fgColor indexed="64"/>
        </patternFill>
      </fill>
    </dxf>
    <dxf>
      <font>
        <condense val="0"/>
        <extend val="0"/>
        <color indexed="9"/>
      </font>
    </dxf>
    <dxf>
      <font>
        <condense val="0"/>
        <extend val="0"/>
        <color indexed="9"/>
      </font>
    </dxf>
    <dxf>
      <font>
        <condense val="0"/>
        <extend val="0"/>
        <color indexed="9"/>
      </font>
      <fill>
        <patternFill>
          <fgColor indexed="64"/>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fgColor indexed="64"/>
        </patternFill>
      </fill>
    </dxf>
    <dxf>
      <font>
        <condense val="0"/>
        <extend val="0"/>
        <color indexed="9"/>
      </font>
    </dxf>
    <dxf>
      <font>
        <condense val="0"/>
        <extend val="0"/>
        <color indexed="9"/>
      </font>
      <fill>
        <patternFill>
          <fgColor indexed="64"/>
        </patternFill>
      </fill>
    </dxf>
    <dxf>
      <font>
        <condense val="0"/>
        <extend val="0"/>
        <color indexed="9"/>
      </font>
    </dxf>
    <dxf>
      <font>
        <condense val="0"/>
        <extend val="0"/>
        <color indexed="9"/>
      </font>
    </dxf>
    <dxf>
      <font>
        <condense val="0"/>
        <extend val="0"/>
        <color indexed="9"/>
      </font>
      <fill>
        <patternFill>
          <fgColor indexed="64"/>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fgColor indexed="64"/>
        </patternFill>
      </fill>
    </dxf>
    <dxf>
      <font>
        <condense val="0"/>
        <extend val="0"/>
        <color indexed="9"/>
      </font>
    </dxf>
    <dxf>
      <font>
        <condense val="0"/>
        <extend val="0"/>
        <color indexed="9"/>
      </font>
    </dxf>
    <dxf>
      <font>
        <condense val="0"/>
        <extend val="0"/>
        <color indexed="9"/>
      </font>
      <fill>
        <patternFill>
          <fgColor indexed="64"/>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fgColor indexed="64"/>
        </patternFill>
      </fill>
    </dxf>
    <dxf>
      <font>
        <condense val="0"/>
        <extend val="0"/>
        <color indexed="9"/>
      </font>
    </dxf>
    <dxf>
      <font>
        <color rgb="FF9C0006"/>
      </font>
      <fill>
        <patternFill>
          <bgColor rgb="FFFFC7CE"/>
        </patternFill>
      </fill>
    </dxf>
    <dxf>
      <font>
        <color rgb="FF9C0006"/>
      </font>
      <fill>
        <patternFill>
          <bgColor rgb="FFFFC7CE"/>
        </patternFill>
      </fill>
    </dxf>
    <dxf>
      <font>
        <condense val="0"/>
        <extend val="0"/>
        <color indexed="9"/>
      </font>
    </dxf>
    <dxf>
      <font>
        <condense val="0"/>
        <extend val="0"/>
        <color indexed="9"/>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4.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5.xml"/><Relationship Id="rId48"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editAs="oneCell">
    <xdr:from>
      <xdr:col>61</xdr:col>
      <xdr:colOff>0</xdr:colOff>
      <xdr:row>375</xdr:row>
      <xdr:rowOff>0</xdr:rowOff>
    </xdr:from>
    <xdr:to>
      <xdr:col>61</xdr:col>
      <xdr:colOff>314325</xdr:colOff>
      <xdr:row>378</xdr:row>
      <xdr:rowOff>364312</xdr:rowOff>
    </xdr:to>
    <xdr:sp macro="" textlink="">
      <xdr:nvSpPr>
        <xdr:cNvPr id="2" name="AutoShape 301" descr="blob:file:///6d9a172c-d58b-404c-a004-b93b325d46b9">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6391275" y="185908950"/>
          <a:ext cx="314325" cy="3643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61</xdr:col>
      <xdr:colOff>0</xdr:colOff>
      <xdr:row>375</xdr:row>
      <xdr:rowOff>0</xdr:rowOff>
    </xdr:from>
    <xdr:to>
      <xdr:col>61</xdr:col>
      <xdr:colOff>314325</xdr:colOff>
      <xdr:row>378</xdr:row>
      <xdr:rowOff>364312</xdr:rowOff>
    </xdr:to>
    <xdr:sp macro="" textlink="">
      <xdr:nvSpPr>
        <xdr:cNvPr id="3" name="AutoShape 301" descr="blob:file:///6d9a172c-d58b-404c-a004-b93b325d46b9">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6391275" y="185908950"/>
          <a:ext cx="314325" cy="3643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61</xdr:col>
      <xdr:colOff>0</xdr:colOff>
      <xdr:row>375</xdr:row>
      <xdr:rowOff>0</xdr:rowOff>
    </xdr:from>
    <xdr:to>
      <xdr:col>61</xdr:col>
      <xdr:colOff>295275</xdr:colOff>
      <xdr:row>378</xdr:row>
      <xdr:rowOff>364312</xdr:rowOff>
    </xdr:to>
    <xdr:sp macro="" textlink="">
      <xdr:nvSpPr>
        <xdr:cNvPr id="4" name="AutoShape 301" descr="blob:file:///6d9a172c-d58b-404c-a004-b93b325d46b9">
          <a:extLst>
            <a:ext uri="{FF2B5EF4-FFF2-40B4-BE49-F238E27FC236}">
              <a16:creationId xmlns:a16="http://schemas.microsoft.com/office/drawing/2014/main" id="{00000000-0008-0000-0000-000004000000}"/>
            </a:ext>
          </a:extLst>
        </xdr:cNvPr>
        <xdr:cNvSpPr>
          <a:spLocks noChangeAspect="1" noChangeArrowheads="1"/>
        </xdr:cNvSpPr>
      </xdr:nvSpPr>
      <xdr:spPr bwMode="auto">
        <a:xfrm>
          <a:off x="6391275" y="185908950"/>
          <a:ext cx="295275" cy="3643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61</xdr:col>
      <xdr:colOff>0</xdr:colOff>
      <xdr:row>375</xdr:row>
      <xdr:rowOff>0</xdr:rowOff>
    </xdr:from>
    <xdr:to>
      <xdr:col>61</xdr:col>
      <xdr:colOff>295275</xdr:colOff>
      <xdr:row>378</xdr:row>
      <xdr:rowOff>364312</xdr:rowOff>
    </xdr:to>
    <xdr:sp macro="" textlink="">
      <xdr:nvSpPr>
        <xdr:cNvPr id="5" name="AutoShape 301" descr="blob:file:///6d9a172c-d58b-404c-a004-b93b325d46b9">
          <a:extLst>
            <a:ext uri="{FF2B5EF4-FFF2-40B4-BE49-F238E27FC236}">
              <a16:creationId xmlns:a16="http://schemas.microsoft.com/office/drawing/2014/main" id="{00000000-0008-0000-0000-000005000000}"/>
            </a:ext>
          </a:extLst>
        </xdr:cNvPr>
        <xdr:cNvSpPr>
          <a:spLocks noChangeAspect="1" noChangeArrowheads="1"/>
        </xdr:cNvSpPr>
      </xdr:nvSpPr>
      <xdr:spPr bwMode="auto">
        <a:xfrm>
          <a:off x="6391275" y="185908950"/>
          <a:ext cx="295275" cy="3643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61</xdr:col>
      <xdr:colOff>0</xdr:colOff>
      <xdr:row>372</xdr:row>
      <xdr:rowOff>0</xdr:rowOff>
    </xdr:from>
    <xdr:to>
      <xdr:col>61</xdr:col>
      <xdr:colOff>314325</xdr:colOff>
      <xdr:row>373</xdr:row>
      <xdr:rowOff>528728</xdr:rowOff>
    </xdr:to>
    <xdr:sp macro="" textlink="">
      <xdr:nvSpPr>
        <xdr:cNvPr id="6" name="AutoShape 301" descr="blob:file:///6d9a172c-d58b-404c-a004-b93b325d46b9">
          <a:extLst>
            <a:ext uri="{FF2B5EF4-FFF2-40B4-BE49-F238E27FC236}">
              <a16:creationId xmlns:a16="http://schemas.microsoft.com/office/drawing/2014/main" id="{00000000-0008-0000-0000-000006000000}"/>
            </a:ext>
          </a:extLst>
        </xdr:cNvPr>
        <xdr:cNvSpPr>
          <a:spLocks noChangeAspect="1" noChangeArrowheads="1"/>
        </xdr:cNvSpPr>
      </xdr:nvSpPr>
      <xdr:spPr bwMode="auto">
        <a:xfrm>
          <a:off x="6391275" y="183299100"/>
          <a:ext cx="314325" cy="528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61</xdr:col>
      <xdr:colOff>0</xdr:colOff>
      <xdr:row>372</xdr:row>
      <xdr:rowOff>0</xdr:rowOff>
    </xdr:from>
    <xdr:to>
      <xdr:col>61</xdr:col>
      <xdr:colOff>314325</xdr:colOff>
      <xdr:row>373</xdr:row>
      <xdr:rowOff>528728</xdr:rowOff>
    </xdr:to>
    <xdr:sp macro="" textlink="">
      <xdr:nvSpPr>
        <xdr:cNvPr id="7" name="AutoShape 301" descr="blob:file:///6d9a172c-d58b-404c-a004-b93b325d46b9">
          <a:extLst>
            <a:ext uri="{FF2B5EF4-FFF2-40B4-BE49-F238E27FC236}">
              <a16:creationId xmlns:a16="http://schemas.microsoft.com/office/drawing/2014/main" id="{00000000-0008-0000-0000-000007000000}"/>
            </a:ext>
          </a:extLst>
        </xdr:cNvPr>
        <xdr:cNvSpPr>
          <a:spLocks noChangeAspect="1" noChangeArrowheads="1"/>
        </xdr:cNvSpPr>
      </xdr:nvSpPr>
      <xdr:spPr bwMode="auto">
        <a:xfrm>
          <a:off x="6391275" y="183299100"/>
          <a:ext cx="314325" cy="528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61</xdr:col>
      <xdr:colOff>0</xdr:colOff>
      <xdr:row>372</xdr:row>
      <xdr:rowOff>0</xdr:rowOff>
    </xdr:from>
    <xdr:to>
      <xdr:col>61</xdr:col>
      <xdr:colOff>295275</xdr:colOff>
      <xdr:row>373</xdr:row>
      <xdr:rowOff>528728</xdr:rowOff>
    </xdr:to>
    <xdr:sp macro="" textlink="">
      <xdr:nvSpPr>
        <xdr:cNvPr id="8" name="AutoShape 301" descr="blob:file:///6d9a172c-d58b-404c-a004-b93b325d46b9">
          <a:extLst>
            <a:ext uri="{FF2B5EF4-FFF2-40B4-BE49-F238E27FC236}">
              <a16:creationId xmlns:a16="http://schemas.microsoft.com/office/drawing/2014/main" id="{00000000-0008-0000-0000-000008000000}"/>
            </a:ext>
          </a:extLst>
        </xdr:cNvPr>
        <xdr:cNvSpPr>
          <a:spLocks noChangeAspect="1" noChangeArrowheads="1"/>
        </xdr:cNvSpPr>
      </xdr:nvSpPr>
      <xdr:spPr bwMode="auto">
        <a:xfrm>
          <a:off x="6391275" y="183299100"/>
          <a:ext cx="295275" cy="528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61</xdr:col>
      <xdr:colOff>0</xdr:colOff>
      <xdr:row>372</xdr:row>
      <xdr:rowOff>0</xdr:rowOff>
    </xdr:from>
    <xdr:to>
      <xdr:col>61</xdr:col>
      <xdr:colOff>295275</xdr:colOff>
      <xdr:row>373</xdr:row>
      <xdr:rowOff>528728</xdr:rowOff>
    </xdr:to>
    <xdr:sp macro="" textlink="">
      <xdr:nvSpPr>
        <xdr:cNvPr id="9" name="AutoShape 301" descr="blob:file:///6d9a172c-d58b-404c-a004-b93b325d46b9">
          <a:extLst>
            <a:ext uri="{FF2B5EF4-FFF2-40B4-BE49-F238E27FC236}">
              <a16:creationId xmlns:a16="http://schemas.microsoft.com/office/drawing/2014/main" id="{00000000-0008-0000-0000-000009000000}"/>
            </a:ext>
          </a:extLst>
        </xdr:cNvPr>
        <xdr:cNvSpPr>
          <a:spLocks noChangeAspect="1" noChangeArrowheads="1"/>
        </xdr:cNvSpPr>
      </xdr:nvSpPr>
      <xdr:spPr bwMode="auto">
        <a:xfrm>
          <a:off x="6391275" y="183299100"/>
          <a:ext cx="295275" cy="528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61</xdr:col>
      <xdr:colOff>0</xdr:colOff>
      <xdr:row>371</xdr:row>
      <xdr:rowOff>0</xdr:rowOff>
    </xdr:from>
    <xdr:to>
      <xdr:col>61</xdr:col>
      <xdr:colOff>295275</xdr:colOff>
      <xdr:row>373</xdr:row>
      <xdr:rowOff>752037</xdr:rowOff>
    </xdr:to>
    <xdr:sp macro="" textlink="">
      <xdr:nvSpPr>
        <xdr:cNvPr id="10" name="AutoShape 301" descr="blob:file:///6d9a172c-d58b-404c-a004-b93b325d46b9">
          <a:extLst>
            <a:ext uri="{FF2B5EF4-FFF2-40B4-BE49-F238E27FC236}">
              <a16:creationId xmlns:a16="http://schemas.microsoft.com/office/drawing/2014/main" id="{00000000-0008-0000-0000-00000A000000}"/>
            </a:ext>
          </a:extLst>
        </xdr:cNvPr>
        <xdr:cNvSpPr>
          <a:spLocks noChangeAspect="1" noChangeArrowheads="1"/>
        </xdr:cNvSpPr>
      </xdr:nvSpPr>
      <xdr:spPr bwMode="auto">
        <a:xfrm>
          <a:off x="6391275" y="183299100"/>
          <a:ext cx="295275" cy="7520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61</xdr:col>
      <xdr:colOff>0</xdr:colOff>
      <xdr:row>371</xdr:row>
      <xdr:rowOff>0</xdr:rowOff>
    </xdr:from>
    <xdr:to>
      <xdr:col>61</xdr:col>
      <xdr:colOff>295275</xdr:colOff>
      <xdr:row>373</xdr:row>
      <xdr:rowOff>752037</xdr:rowOff>
    </xdr:to>
    <xdr:sp macro="" textlink="">
      <xdr:nvSpPr>
        <xdr:cNvPr id="11" name="AutoShape 301" descr="blob:file:///6d9a172c-d58b-404c-a004-b93b325d46b9">
          <a:extLst>
            <a:ext uri="{FF2B5EF4-FFF2-40B4-BE49-F238E27FC236}">
              <a16:creationId xmlns:a16="http://schemas.microsoft.com/office/drawing/2014/main" id="{00000000-0008-0000-0000-00000B000000}"/>
            </a:ext>
          </a:extLst>
        </xdr:cNvPr>
        <xdr:cNvSpPr>
          <a:spLocks noChangeAspect="1" noChangeArrowheads="1"/>
        </xdr:cNvSpPr>
      </xdr:nvSpPr>
      <xdr:spPr bwMode="auto">
        <a:xfrm>
          <a:off x="6391275" y="183299100"/>
          <a:ext cx="295275" cy="7520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61</xdr:col>
      <xdr:colOff>0</xdr:colOff>
      <xdr:row>371</xdr:row>
      <xdr:rowOff>0</xdr:rowOff>
    </xdr:from>
    <xdr:to>
      <xdr:col>61</xdr:col>
      <xdr:colOff>295275</xdr:colOff>
      <xdr:row>373</xdr:row>
      <xdr:rowOff>752037</xdr:rowOff>
    </xdr:to>
    <xdr:sp macro="" textlink="">
      <xdr:nvSpPr>
        <xdr:cNvPr id="12" name="AutoShape 301" descr="blob:file:///6d9a172c-d58b-404c-a004-b93b325d46b9">
          <a:extLst>
            <a:ext uri="{FF2B5EF4-FFF2-40B4-BE49-F238E27FC236}">
              <a16:creationId xmlns:a16="http://schemas.microsoft.com/office/drawing/2014/main" id="{00000000-0008-0000-0000-00000C000000}"/>
            </a:ext>
          </a:extLst>
        </xdr:cNvPr>
        <xdr:cNvSpPr>
          <a:spLocks noChangeAspect="1" noChangeArrowheads="1"/>
        </xdr:cNvSpPr>
      </xdr:nvSpPr>
      <xdr:spPr bwMode="auto">
        <a:xfrm>
          <a:off x="6391275" y="183299100"/>
          <a:ext cx="295275" cy="7520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61</xdr:col>
      <xdr:colOff>0</xdr:colOff>
      <xdr:row>371</xdr:row>
      <xdr:rowOff>0</xdr:rowOff>
    </xdr:from>
    <xdr:to>
      <xdr:col>61</xdr:col>
      <xdr:colOff>295275</xdr:colOff>
      <xdr:row>373</xdr:row>
      <xdr:rowOff>752037</xdr:rowOff>
    </xdr:to>
    <xdr:sp macro="" textlink="">
      <xdr:nvSpPr>
        <xdr:cNvPr id="13" name="AutoShape 301" descr="blob:file:///6d9a172c-d58b-404c-a004-b93b325d46b9">
          <a:extLst>
            <a:ext uri="{FF2B5EF4-FFF2-40B4-BE49-F238E27FC236}">
              <a16:creationId xmlns:a16="http://schemas.microsoft.com/office/drawing/2014/main" id="{00000000-0008-0000-0000-00000D000000}"/>
            </a:ext>
          </a:extLst>
        </xdr:cNvPr>
        <xdr:cNvSpPr>
          <a:spLocks noChangeAspect="1" noChangeArrowheads="1"/>
        </xdr:cNvSpPr>
      </xdr:nvSpPr>
      <xdr:spPr bwMode="auto">
        <a:xfrm>
          <a:off x="6391275" y="183299100"/>
          <a:ext cx="295275" cy="7520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61</xdr:col>
      <xdr:colOff>0</xdr:colOff>
      <xdr:row>335</xdr:row>
      <xdr:rowOff>0</xdr:rowOff>
    </xdr:from>
    <xdr:to>
      <xdr:col>61</xdr:col>
      <xdr:colOff>314325</xdr:colOff>
      <xdr:row>336</xdr:row>
      <xdr:rowOff>49744</xdr:rowOff>
    </xdr:to>
    <xdr:sp macro="" textlink="">
      <xdr:nvSpPr>
        <xdr:cNvPr id="14" name="AutoShape 301" descr="blob:file:///6d9a172c-d58b-404c-a004-b93b325d46b9">
          <a:extLst>
            <a:ext uri="{FF2B5EF4-FFF2-40B4-BE49-F238E27FC236}">
              <a16:creationId xmlns:a16="http://schemas.microsoft.com/office/drawing/2014/main" id="{00000000-0008-0000-0000-00000E000000}"/>
            </a:ext>
          </a:extLst>
        </xdr:cNvPr>
        <xdr:cNvSpPr>
          <a:spLocks noChangeAspect="1" noChangeArrowheads="1"/>
        </xdr:cNvSpPr>
      </xdr:nvSpPr>
      <xdr:spPr bwMode="auto">
        <a:xfrm>
          <a:off x="6391275" y="167173275"/>
          <a:ext cx="314325" cy="4497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61</xdr:col>
      <xdr:colOff>0</xdr:colOff>
      <xdr:row>400</xdr:row>
      <xdr:rowOff>0</xdr:rowOff>
    </xdr:from>
    <xdr:to>
      <xdr:col>61</xdr:col>
      <xdr:colOff>304800</xdr:colOff>
      <xdr:row>406</xdr:row>
      <xdr:rowOff>280593</xdr:rowOff>
    </xdr:to>
    <xdr:sp macro="" textlink="">
      <xdr:nvSpPr>
        <xdr:cNvPr id="15" name="AutoShape 301" descr="blob:file:///6d9a172c-d58b-404c-a004-b93b325d46b9">
          <a:extLst>
            <a:ext uri="{FF2B5EF4-FFF2-40B4-BE49-F238E27FC236}">
              <a16:creationId xmlns:a16="http://schemas.microsoft.com/office/drawing/2014/main" id="{2F91355A-ADA8-4D47-BF30-5543488F5E96}"/>
            </a:ext>
          </a:extLst>
        </xdr:cNvPr>
        <xdr:cNvSpPr>
          <a:spLocks noChangeAspect="1" noChangeArrowheads="1"/>
        </xdr:cNvSpPr>
      </xdr:nvSpPr>
      <xdr:spPr bwMode="auto">
        <a:xfrm>
          <a:off x="6391275" y="192528825"/>
          <a:ext cx="304800" cy="566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61</xdr:col>
      <xdr:colOff>0</xdr:colOff>
      <xdr:row>400</xdr:row>
      <xdr:rowOff>0</xdr:rowOff>
    </xdr:from>
    <xdr:to>
      <xdr:col>61</xdr:col>
      <xdr:colOff>304800</xdr:colOff>
      <xdr:row>406</xdr:row>
      <xdr:rowOff>280593</xdr:rowOff>
    </xdr:to>
    <xdr:sp macro="" textlink="">
      <xdr:nvSpPr>
        <xdr:cNvPr id="16" name="AutoShape 301" descr="blob:file:///6d9a172c-d58b-404c-a004-b93b325d46b9">
          <a:extLst>
            <a:ext uri="{FF2B5EF4-FFF2-40B4-BE49-F238E27FC236}">
              <a16:creationId xmlns:a16="http://schemas.microsoft.com/office/drawing/2014/main" id="{6B6827D7-C679-4A93-B446-C386141D6E6D}"/>
            </a:ext>
          </a:extLst>
        </xdr:cNvPr>
        <xdr:cNvSpPr>
          <a:spLocks noChangeAspect="1" noChangeArrowheads="1"/>
        </xdr:cNvSpPr>
      </xdr:nvSpPr>
      <xdr:spPr bwMode="auto">
        <a:xfrm>
          <a:off x="6391275" y="192528825"/>
          <a:ext cx="304800" cy="566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50</xdr:row>
      <xdr:rowOff>0</xdr:rowOff>
    </xdr:from>
    <xdr:to>
      <xdr:col>2</xdr:col>
      <xdr:colOff>0</xdr:colOff>
      <xdr:row>51</xdr:row>
      <xdr:rowOff>120650</xdr:rowOff>
    </xdr:to>
    <xdr:sp macro="" textlink="">
      <xdr:nvSpPr>
        <xdr:cNvPr id="303500" name="TextBox 1080">
          <a:extLst>
            <a:ext uri="{FF2B5EF4-FFF2-40B4-BE49-F238E27FC236}">
              <a16:creationId xmlns:a16="http://schemas.microsoft.com/office/drawing/2014/main" id="{00000000-0008-0000-2200-00008CA10400}"/>
            </a:ext>
          </a:extLst>
        </xdr:cNvPr>
        <xdr:cNvSpPr txBox="1">
          <a:spLocks noChangeArrowheads="1"/>
        </xdr:cNvSpPr>
      </xdr:nvSpPr>
      <xdr:spPr bwMode="auto">
        <a:xfrm>
          <a:off x="3651250" y="15855950"/>
          <a:ext cx="0" cy="355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50</xdr:row>
      <xdr:rowOff>0</xdr:rowOff>
    </xdr:from>
    <xdr:to>
      <xdr:col>2</xdr:col>
      <xdr:colOff>0</xdr:colOff>
      <xdr:row>51</xdr:row>
      <xdr:rowOff>120650</xdr:rowOff>
    </xdr:to>
    <xdr:sp macro="" textlink="">
      <xdr:nvSpPr>
        <xdr:cNvPr id="303501" name="TextBox 1211">
          <a:extLst>
            <a:ext uri="{FF2B5EF4-FFF2-40B4-BE49-F238E27FC236}">
              <a16:creationId xmlns:a16="http://schemas.microsoft.com/office/drawing/2014/main" id="{00000000-0008-0000-2200-00008DA10400}"/>
            </a:ext>
          </a:extLst>
        </xdr:cNvPr>
        <xdr:cNvSpPr txBox="1">
          <a:spLocks noChangeArrowheads="1"/>
        </xdr:cNvSpPr>
      </xdr:nvSpPr>
      <xdr:spPr bwMode="auto">
        <a:xfrm>
          <a:off x="3651250" y="15855950"/>
          <a:ext cx="0" cy="355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50</xdr:row>
      <xdr:rowOff>0</xdr:rowOff>
    </xdr:from>
    <xdr:to>
      <xdr:col>2</xdr:col>
      <xdr:colOff>0</xdr:colOff>
      <xdr:row>51</xdr:row>
      <xdr:rowOff>120650</xdr:rowOff>
    </xdr:to>
    <xdr:sp macro="" textlink="">
      <xdr:nvSpPr>
        <xdr:cNvPr id="303502" name="TextBox 1080">
          <a:extLst>
            <a:ext uri="{FF2B5EF4-FFF2-40B4-BE49-F238E27FC236}">
              <a16:creationId xmlns:a16="http://schemas.microsoft.com/office/drawing/2014/main" id="{00000000-0008-0000-2200-00008EA10400}"/>
            </a:ext>
          </a:extLst>
        </xdr:cNvPr>
        <xdr:cNvSpPr txBox="1">
          <a:spLocks noChangeArrowheads="1"/>
        </xdr:cNvSpPr>
      </xdr:nvSpPr>
      <xdr:spPr bwMode="auto">
        <a:xfrm>
          <a:off x="3651250" y="15855950"/>
          <a:ext cx="0" cy="355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50</xdr:row>
      <xdr:rowOff>0</xdr:rowOff>
    </xdr:from>
    <xdr:to>
      <xdr:col>2</xdr:col>
      <xdr:colOff>0</xdr:colOff>
      <xdr:row>51</xdr:row>
      <xdr:rowOff>120650</xdr:rowOff>
    </xdr:to>
    <xdr:sp macro="" textlink="">
      <xdr:nvSpPr>
        <xdr:cNvPr id="303503" name="TextBox 1211">
          <a:extLst>
            <a:ext uri="{FF2B5EF4-FFF2-40B4-BE49-F238E27FC236}">
              <a16:creationId xmlns:a16="http://schemas.microsoft.com/office/drawing/2014/main" id="{00000000-0008-0000-2200-00008FA10400}"/>
            </a:ext>
          </a:extLst>
        </xdr:cNvPr>
        <xdr:cNvSpPr txBox="1">
          <a:spLocks noChangeArrowheads="1"/>
        </xdr:cNvSpPr>
      </xdr:nvSpPr>
      <xdr:spPr bwMode="auto">
        <a:xfrm>
          <a:off x="3651250" y="15855950"/>
          <a:ext cx="0" cy="355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50</xdr:row>
      <xdr:rowOff>0</xdr:rowOff>
    </xdr:from>
    <xdr:to>
      <xdr:col>2</xdr:col>
      <xdr:colOff>0</xdr:colOff>
      <xdr:row>51</xdr:row>
      <xdr:rowOff>120650</xdr:rowOff>
    </xdr:to>
    <xdr:sp macro="" textlink="">
      <xdr:nvSpPr>
        <xdr:cNvPr id="303504" name="TextBox 1080">
          <a:extLst>
            <a:ext uri="{FF2B5EF4-FFF2-40B4-BE49-F238E27FC236}">
              <a16:creationId xmlns:a16="http://schemas.microsoft.com/office/drawing/2014/main" id="{00000000-0008-0000-2200-000090A10400}"/>
            </a:ext>
          </a:extLst>
        </xdr:cNvPr>
        <xdr:cNvSpPr txBox="1">
          <a:spLocks noChangeArrowheads="1"/>
        </xdr:cNvSpPr>
      </xdr:nvSpPr>
      <xdr:spPr bwMode="auto">
        <a:xfrm>
          <a:off x="3651250" y="15855950"/>
          <a:ext cx="0" cy="355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50</xdr:row>
      <xdr:rowOff>0</xdr:rowOff>
    </xdr:from>
    <xdr:to>
      <xdr:col>2</xdr:col>
      <xdr:colOff>0</xdr:colOff>
      <xdr:row>51</xdr:row>
      <xdr:rowOff>120650</xdr:rowOff>
    </xdr:to>
    <xdr:sp macro="" textlink="">
      <xdr:nvSpPr>
        <xdr:cNvPr id="303505" name="TextBox 1211">
          <a:extLst>
            <a:ext uri="{FF2B5EF4-FFF2-40B4-BE49-F238E27FC236}">
              <a16:creationId xmlns:a16="http://schemas.microsoft.com/office/drawing/2014/main" id="{00000000-0008-0000-2200-000091A10400}"/>
            </a:ext>
          </a:extLst>
        </xdr:cNvPr>
        <xdr:cNvSpPr txBox="1">
          <a:spLocks noChangeArrowheads="1"/>
        </xdr:cNvSpPr>
      </xdr:nvSpPr>
      <xdr:spPr bwMode="auto">
        <a:xfrm>
          <a:off x="3651250" y="15855950"/>
          <a:ext cx="0" cy="355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50</xdr:row>
      <xdr:rowOff>0</xdr:rowOff>
    </xdr:from>
    <xdr:to>
      <xdr:col>2</xdr:col>
      <xdr:colOff>0</xdr:colOff>
      <xdr:row>51</xdr:row>
      <xdr:rowOff>120650</xdr:rowOff>
    </xdr:to>
    <xdr:sp macro="" textlink="">
      <xdr:nvSpPr>
        <xdr:cNvPr id="303506" name="TextBox 1080">
          <a:extLst>
            <a:ext uri="{FF2B5EF4-FFF2-40B4-BE49-F238E27FC236}">
              <a16:creationId xmlns:a16="http://schemas.microsoft.com/office/drawing/2014/main" id="{00000000-0008-0000-2200-000092A10400}"/>
            </a:ext>
          </a:extLst>
        </xdr:cNvPr>
        <xdr:cNvSpPr txBox="1">
          <a:spLocks noChangeArrowheads="1"/>
        </xdr:cNvSpPr>
      </xdr:nvSpPr>
      <xdr:spPr bwMode="auto">
        <a:xfrm>
          <a:off x="3651250" y="15855950"/>
          <a:ext cx="0" cy="355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50</xdr:row>
      <xdr:rowOff>0</xdr:rowOff>
    </xdr:from>
    <xdr:to>
      <xdr:col>2</xdr:col>
      <xdr:colOff>0</xdr:colOff>
      <xdr:row>51</xdr:row>
      <xdr:rowOff>120650</xdr:rowOff>
    </xdr:to>
    <xdr:sp macro="" textlink="">
      <xdr:nvSpPr>
        <xdr:cNvPr id="303507" name="TextBox 1211">
          <a:extLst>
            <a:ext uri="{FF2B5EF4-FFF2-40B4-BE49-F238E27FC236}">
              <a16:creationId xmlns:a16="http://schemas.microsoft.com/office/drawing/2014/main" id="{00000000-0008-0000-2200-000093A10400}"/>
            </a:ext>
          </a:extLst>
        </xdr:cNvPr>
        <xdr:cNvSpPr txBox="1">
          <a:spLocks noChangeArrowheads="1"/>
        </xdr:cNvSpPr>
      </xdr:nvSpPr>
      <xdr:spPr bwMode="auto">
        <a:xfrm>
          <a:off x="3651250" y="15855950"/>
          <a:ext cx="0" cy="355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50</xdr:row>
      <xdr:rowOff>0</xdr:rowOff>
    </xdr:from>
    <xdr:to>
      <xdr:col>2</xdr:col>
      <xdr:colOff>0</xdr:colOff>
      <xdr:row>51</xdr:row>
      <xdr:rowOff>120650</xdr:rowOff>
    </xdr:to>
    <xdr:sp macro="" textlink="">
      <xdr:nvSpPr>
        <xdr:cNvPr id="303508" name="TextBox 1080">
          <a:extLst>
            <a:ext uri="{FF2B5EF4-FFF2-40B4-BE49-F238E27FC236}">
              <a16:creationId xmlns:a16="http://schemas.microsoft.com/office/drawing/2014/main" id="{00000000-0008-0000-2200-000094A10400}"/>
            </a:ext>
          </a:extLst>
        </xdr:cNvPr>
        <xdr:cNvSpPr txBox="1">
          <a:spLocks noChangeArrowheads="1"/>
        </xdr:cNvSpPr>
      </xdr:nvSpPr>
      <xdr:spPr bwMode="auto">
        <a:xfrm>
          <a:off x="3651250" y="15855950"/>
          <a:ext cx="0" cy="355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50</xdr:row>
      <xdr:rowOff>0</xdr:rowOff>
    </xdr:from>
    <xdr:to>
      <xdr:col>2</xdr:col>
      <xdr:colOff>0</xdr:colOff>
      <xdr:row>51</xdr:row>
      <xdr:rowOff>120650</xdr:rowOff>
    </xdr:to>
    <xdr:sp macro="" textlink="">
      <xdr:nvSpPr>
        <xdr:cNvPr id="303509" name="TextBox 1211">
          <a:extLst>
            <a:ext uri="{FF2B5EF4-FFF2-40B4-BE49-F238E27FC236}">
              <a16:creationId xmlns:a16="http://schemas.microsoft.com/office/drawing/2014/main" id="{00000000-0008-0000-2200-000095A10400}"/>
            </a:ext>
          </a:extLst>
        </xdr:cNvPr>
        <xdr:cNvSpPr txBox="1">
          <a:spLocks noChangeArrowheads="1"/>
        </xdr:cNvSpPr>
      </xdr:nvSpPr>
      <xdr:spPr bwMode="auto">
        <a:xfrm>
          <a:off x="3651250" y="15855950"/>
          <a:ext cx="0" cy="355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50</xdr:row>
      <xdr:rowOff>0</xdr:rowOff>
    </xdr:from>
    <xdr:to>
      <xdr:col>2</xdr:col>
      <xdr:colOff>0</xdr:colOff>
      <xdr:row>51</xdr:row>
      <xdr:rowOff>120650</xdr:rowOff>
    </xdr:to>
    <xdr:sp macro="" textlink="">
      <xdr:nvSpPr>
        <xdr:cNvPr id="303510" name="TextBox 1080">
          <a:extLst>
            <a:ext uri="{FF2B5EF4-FFF2-40B4-BE49-F238E27FC236}">
              <a16:creationId xmlns:a16="http://schemas.microsoft.com/office/drawing/2014/main" id="{00000000-0008-0000-2200-000096A10400}"/>
            </a:ext>
          </a:extLst>
        </xdr:cNvPr>
        <xdr:cNvSpPr txBox="1">
          <a:spLocks noChangeArrowheads="1"/>
        </xdr:cNvSpPr>
      </xdr:nvSpPr>
      <xdr:spPr bwMode="auto">
        <a:xfrm>
          <a:off x="3651250" y="15855950"/>
          <a:ext cx="0" cy="355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50</xdr:row>
      <xdr:rowOff>0</xdr:rowOff>
    </xdr:from>
    <xdr:to>
      <xdr:col>2</xdr:col>
      <xdr:colOff>0</xdr:colOff>
      <xdr:row>51</xdr:row>
      <xdr:rowOff>120650</xdr:rowOff>
    </xdr:to>
    <xdr:sp macro="" textlink="">
      <xdr:nvSpPr>
        <xdr:cNvPr id="303511" name="TextBox 1211">
          <a:extLst>
            <a:ext uri="{FF2B5EF4-FFF2-40B4-BE49-F238E27FC236}">
              <a16:creationId xmlns:a16="http://schemas.microsoft.com/office/drawing/2014/main" id="{00000000-0008-0000-2200-000097A10400}"/>
            </a:ext>
          </a:extLst>
        </xdr:cNvPr>
        <xdr:cNvSpPr txBox="1">
          <a:spLocks noChangeArrowheads="1"/>
        </xdr:cNvSpPr>
      </xdr:nvSpPr>
      <xdr:spPr bwMode="auto">
        <a:xfrm>
          <a:off x="3651250" y="15855950"/>
          <a:ext cx="0" cy="355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50</xdr:row>
      <xdr:rowOff>0</xdr:rowOff>
    </xdr:from>
    <xdr:to>
      <xdr:col>2</xdr:col>
      <xdr:colOff>0</xdr:colOff>
      <xdr:row>50</xdr:row>
      <xdr:rowOff>196850</xdr:rowOff>
    </xdr:to>
    <xdr:sp macro="" textlink="">
      <xdr:nvSpPr>
        <xdr:cNvPr id="303512" name="TextBox 1080">
          <a:extLst>
            <a:ext uri="{FF2B5EF4-FFF2-40B4-BE49-F238E27FC236}">
              <a16:creationId xmlns:a16="http://schemas.microsoft.com/office/drawing/2014/main" id="{00000000-0008-0000-2200-000098A10400}"/>
            </a:ext>
          </a:extLst>
        </xdr:cNvPr>
        <xdr:cNvSpPr txBox="1">
          <a:spLocks noChangeArrowheads="1"/>
        </xdr:cNvSpPr>
      </xdr:nvSpPr>
      <xdr:spPr bwMode="auto">
        <a:xfrm>
          <a:off x="3651250" y="15855950"/>
          <a:ext cx="0" cy="19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50</xdr:row>
      <xdr:rowOff>0</xdr:rowOff>
    </xdr:from>
    <xdr:to>
      <xdr:col>2</xdr:col>
      <xdr:colOff>0</xdr:colOff>
      <xdr:row>50</xdr:row>
      <xdr:rowOff>196850</xdr:rowOff>
    </xdr:to>
    <xdr:sp macro="" textlink="">
      <xdr:nvSpPr>
        <xdr:cNvPr id="303513" name="TextBox 1211">
          <a:extLst>
            <a:ext uri="{FF2B5EF4-FFF2-40B4-BE49-F238E27FC236}">
              <a16:creationId xmlns:a16="http://schemas.microsoft.com/office/drawing/2014/main" id="{00000000-0008-0000-2200-000099A10400}"/>
            </a:ext>
          </a:extLst>
        </xdr:cNvPr>
        <xdr:cNvSpPr txBox="1">
          <a:spLocks noChangeArrowheads="1"/>
        </xdr:cNvSpPr>
      </xdr:nvSpPr>
      <xdr:spPr bwMode="auto">
        <a:xfrm>
          <a:off x="3651250" y="15855950"/>
          <a:ext cx="0" cy="19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50</xdr:row>
      <xdr:rowOff>0</xdr:rowOff>
    </xdr:from>
    <xdr:to>
      <xdr:col>2</xdr:col>
      <xdr:colOff>0</xdr:colOff>
      <xdr:row>50</xdr:row>
      <xdr:rowOff>196850</xdr:rowOff>
    </xdr:to>
    <xdr:sp macro="" textlink="">
      <xdr:nvSpPr>
        <xdr:cNvPr id="303514" name="TextBox 1080">
          <a:extLst>
            <a:ext uri="{FF2B5EF4-FFF2-40B4-BE49-F238E27FC236}">
              <a16:creationId xmlns:a16="http://schemas.microsoft.com/office/drawing/2014/main" id="{00000000-0008-0000-2200-00009AA10400}"/>
            </a:ext>
          </a:extLst>
        </xdr:cNvPr>
        <xdr:cNvSpPr txBox="1">
          <a:spLocks noChangeArrowheads="1"/>
        </xdr:cNvSpPr>
      </xdr:nvSpPr>
      <xdr:spPr bwMode="auto">
        <a:xfrm>
          <a:off x="3651250" y="15855950"/>
          <a:ext cx="0" cy="19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50</xdr:row>
      <xdr:rowOff>0</xdr:rowOff>
    </xdr:from>
    <xdr:to>
      <xdr:col>2</xdr:col>
      <xdr:colOff>0</xdr:colOff>
      <xdr:row>50</xdr:row>
      <xdr:rowOff>196850</xdr:rowOff>
    </xdr:to>
    <xdr:sp macro="" textlink="">
      <xdr:nvSpPr>
        <xdr:cNvPr id="303515" name="TextBox 1211">
          <a:extLst>
            <a:ext uri="{FF2B5EF4-FFF2-40B4-BE49-F238E27FC236}">
              <a16:creationId xmlns:a16="http://schemas.microsoft.com/office/drawing/2014/main" id="{00000000-0008-0000-2200-00009BA10400}"/>
            </a:ext>
          </a:extLst>
        </xdr:cNvPr>
        <xdr:cNvSpPr txBox="1">
          <a:spLocks noChangeArrowheads="1"/>
        </xdr:cNvSpPr>
      </xdr:nvSpPr>
      <xdr:spPr bwMode="auto">
        <a:xfrm>
          <a:off x="3651250" y="15855950"/>
          <a:ext cx="0" cy="19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50</xdr:row>
      <xdr:rowOff>0</xdr:rowOff>
    </xdr:from>
    <xdr:to>
      <xdr:col>2</xdr:col>
      <xdr:colOff>0</xdr:colOff>
      <xdr:row>50</xdr:row>
      <xdr:rowOff>196850</xdr:rowOff>
    </xdr:to>
    <xdr:sp macro="" textlink="">
      <xdr:nvSpPr>
        <xdr:cNvPr id="303516" name="TextBox 1080">
          <a:extLst>
            <a:ext uri="{FF2B5EF4-FFF2-40B4-BE49-F238E27FC236}">
              <a16:creationId xmlns:a16="http://schemas.microsoft.com/office/drawing/2014/main" id="{00000000-0008-0000-2200-00009CA10400}"/>
            </a:ext>
          </a:extLst>
        </xdr:cNvPr>
        <xdr:cNvSpPr txBox="1">
          <a:spLocks noChangeArrowheads="1"/>
        </xdr:cNvSpPr>
      </xdr:nvSpPr>
      <xdr:spPr bwMode="auto">
        <a:xfrm>
          <a:off x="3651250" y="15855950"/>
          <a:ext cx="0" cy="19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50</xdr:row>
      <xdr:rowOff>0</xdr:rowOff>
    </xdr:from>
    <xdr:to>
      <xdr:col>2</xdr:col>
      <xdr:colOff>0</xdr:colOff>
      <xdr:row>50</xdr:row>
      <xdr:rowOff>196850</xdr:rowOff>
    </xdr:to>
    <xdr:sp macro="" textlink="">
      <xdr:nvSpPr>
        <xdr:cNvPr id="303517" name="TextBox 1211">
          <a:extLst>
            <a:ext uri="{FF2B5EF4-FFF2-40B4-BE49-F238E27FC236}">
              <a16:creationId xmlns:a16="http://schemas.microsoft.com/office/drawing/2014/main" id="{00000000-0008-0000-2200-00009DA10400}"/>
            </a:ext>
          </a:extLst>
        </xdr:cNvPr>
        <xdr:cNvSpPr txBox="1">
          <a:spLocks noChangeArrowheads="1"/>
        </xdr:cNvSpPr>
      </xdr:nvSpPr>
      <xdr:spPr bwMode="auto">
        <a:xfrm>
          <a:off x="3651250" y="15855950"/>
          <a:ext cx="0" cy="19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50</xdr:row>
      <xdr:rowOff>0</xdr:rowOff>
    </xdr:from>
    <xdr:to>
      <xdr:col>2</xdr:col>
      <xdr:colOff>0</xdr:colOff>
      <xdr:row>50</xdr:row>
      <xdr:rowOff>196850</xdr:rowOff>
    </xdr:to>
    <xdr:sp macro="" textlink="">
      <xdr:nvSpPr>
        <xdr:cNvPr id="303518" name="TextBox 1080">
          <a:extLst>
            <a:ext uri="{FF2B5EF4-FFF2-40B4-BE49-F238E27FC236}">
              <a16:creationId xmlns:a16="http://schemas.microsoft.com/office/drawing/2014/main" id="{00000000-0008-0000-2200-00009EA10400}"/>
            </a:ext>
          </a:extLst>
        </xdr:cNvPr>
        <xdr:cNvSpPr txBox="1">
          <a:spLocks noChangeArrowheads="1"/>
        </xdr:cNvSpPr>
      </xdr:nvSpPr>
      <xdr:spPr bwMode="auto">
        <a:xfrm>
          <a:off x="3651250" y="15855950"/>
          <a:ext cx="0" cy="19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50</xdr:row>
      <xdr:rowOff>0</xdr:rowOff>
    </xdr:from>
    <xdr:to>
      <xdr:col>2</xdr:col>
      <xdr:colOff>0</xdr:colOff>
      <xdr:row>50</xdr:row>
      <xdr:rowOff>196850</xdr:rowOff>
    </xdr:to>
    <xdr:sp macro="" textlink="">
      <xdr:nvSpPr>
        <xdr:cNvPr id="303519" name="TextBox 1211">
          <a:extLst>
            <a:ext uri="{FF2B5EF4-FFF2-40B4-BE49-F238E27FC236}">
              <a16:creationId xmlns:a16="http://schemas.microsoft.com/office/drawing/2014/main" id="{00000000-0008-0000-2200-00009FA10400}"/>
            </a:ext>
          </a:extLst>
        </xdr:cNvPr>
        <xdr:cNvSpPr txBox="1">
          <a:spLocks noChangeArrowheads="1"/>
        </xdr:cNvSpPr>
      </xdr:nvSpPr>
      <xdr:spPr bwMode="auto">
        <a:xfrm>
          <a:off x="3651250" y="15855950"/>
          <a:ext cx="0" cy="19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50</xdr:row>
      <xdr:rowOff>0</xdr:rowOff>
    </xdr:from>
    <xdr:to>
      <xdr:col>2</xdr:col>
      <xdr:colOff>0</xdr:colOff>
      <xdr:row>50</xdr:row>
      <xdr:rowOff>196850</xdr:rowOff>
    </xdr:to>
    <xdr:sp macro="" textlink="">
      <xdr:nvSpPr>
        <xdr:cNvPr id="303520" name="TextBox 1080">
          <a:extLst>
            <a:ext uri="{FF2B5EF4-FFF2-40B4-BE49-F238E27FC236}">
              <a16:creationId xmlns:a16="http://schemas.microsoft.com/office/drawing/2014/main" id="{00000000-0008-0000-2200-0000A0A10400}"/>
            </a:ext>
          </a:extLst>
        </xdr:cNvPr>
        <xdr:cNvSpPr txBox="1">
          <a:spLocks noChangeArrowheads="1"/>
        </xdr:cNvSpPr>
      </xdr:nvSpPr>
      <xdr:spPr bwMode="auto">
        <a:xfrm>
          <a:off x="3651250" y="15855950"/>
          <a:ext cx="0" cy="19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50</xdr:row>
      <xdr:rowOff>0</xdr:rowOff>
    </xdr:from>
    <xdr:to>
      <xdr:col>2</xdr:col>
      <xdr:colOff>0</xdr:colOff>
      <xdr:row>50</xdr:row>
      <xdr:rowOff>196850</xdr:rowOff>
    </xdr:to>
    <xdr:sp macro="" textlink="">
      <xdr:nvSpPr>
        <xdr:cNvPr id="303521" name="TextBox 1211">
          <a:extLst>
            <a:ext uri="{FF2B5EF4-FFF2-40B4-BE49-F238E27FC236}">
              <a16:creationId xmlns:a16="http://schemas.microsoft.com/office/drawing/2014/main" id="{00000000-0008-0000-2200-0000A1A10400}"/>
            </a:ext>
          </a:extLst>
        </xdr:cNvPr>
        <xdr:cNvSpPr txBox="1">
          <a:spLocks noChangeArrowheads="1"/>
        </xdr:cNvSpPr>
      </xdr:nvSpPr>
      <xdr:spPr bwMode="auto">
        <a:xfrm>
          <a:off x="3651250" y="15855950"/>
          <a:ext cx="0" cy="19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50</xdr:row>
      <xdr:rowOff>0</xdr:rowOff>
    </xdr:from>
    <xdr:to>
      <xdr:col>2</xdr:col>
      <xdr:colOff>0</xdr:colOff>
      <xdr:row>50</xdr:row>
      <xdr:rowOff>196850</xdr:rowOff>
    </xdr:to>
    <xdr:sp macro="" textlink="">
      <xdr:nvSpPr>
        <xdr:cNvPr id="303522" name="TextBox 1080">
          <a:extLst>
            <a:ext uri="{FF2B5EF4-FFF2-40B4-BE49-F238E27FC236}">
              <a16:creationId xmlns:a16="http://schemas.microsoft.com/office/drawing/2014/main" id="{00000000-0008-0000-2200-0000A2A10400}"/>
            </a:ext>
          </a:extLst>
        </xdr:cNvPr>
        <xdr:cNvSpPr txBox="1">
          <a:spLocks noChangeArrowheads="1"/>
        </xdr:cNvSpPr>
      </xdr:nvSpPr>
      <xdr:spPr bwMode="auto">
        <a:xfrm>
          <a:off x="3651250" y="15855950"/>
          <a:ext cx="0" cy="19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50</xdr:row>
      <xdr:rowOff>0</xdr:rowOff>
    </xdr:from>
    <xdr:to>
      <xdr:col>2</xdr:col>
      <xdr:colOff>0</xdr:colOff>
      <xdr:row>50</xdr:row>
      <xdr:rowOff>196850</xdr:rowOff>
    </xdr:to>
    <xdr:sp macro="" textlink="">
      <xdr:nvSpPr>
        <xdr:cNvPr id="303523" name="TextBox 1211">
          <a:extLst>
            <a:ext uri="{FF2B5EF4-FFF2-40B4-BE49-F238E27FC236}">
              <a16:creationId xmlns:a16="http://schemas.microsoft.com/office/drawing/2014/main" id="{00000000-0008-0000-2200-0000A3A10400}"/>
            </a:ext>
          </a:extLst>
        </xdr:cNvPr>
        <xdr:cNvSpPr txBox="1">
          <a:spLocks noChangeArrowheads="1"/>
        </xdr:cNvSpPr>
      </xdr:nvSpPr>
      <xdr:spPr bwMode="auto">
        <a:xfrm>
          <a:off x="3651250" y="15855950"/>
          <a:ext cx="0" cy="19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50</xdr:row>
      <xdr:rowOff>0</xdr:rowOff>
    </xdr:from>
    <xdr:to>
      <xdr:col>2</xdr:col>
      <xdr:colOff>0</xdr:colOff>
      <xdr:row>50</xdr:row>
      <xdr:rowOff>196850</xdr:rowOff>
    </xdr:to>
    <xdr:sp macro="" textlink="">
      <xdr:nvSpPr>
        <xdr:cNvPr id="303524" name="TextBox 1080">
          <a:extLst>
            <a:ext uri="{FF2B5EF4-FFF2-40B4-BE49-F238E27FC236}">
              <a16:creationId xmlns:a16="http://schemas.microsoft.com/office/drawing/2014/main" id="{00000000-0008-0000-2200-0000A4A10400}"/>
            </a:ext>
          </a:extLst>
        </xdr:cNvPr>
        <xdr:cNvSpPr txBox="1">
          <a:spLocks noChangeArrowheads="1"/>
        </xdr:cNvSpPr>
      </xdr:nvSpPr>
      <xdr:spPr bwMode="auto">
        <a:xfrm>
          <a:off x="3651250" y="15855950"/>
          <a:ext cx="0" cy="19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50</xdr:row>
      <xdr:rowOff>0</xdr:rowOff>
    </xdr:from>
    <xdr:to>
      <xdr:col>2</xdr:col>
      <xdr:colOff>0</xdr:colOff>
      <xdr:row>50</xdr:row>
      <xdr:rowOff>196850</xdr:rowOff>
    </xdr:to>
    <xdr:sp macro="" textlink="">
      <xdr:nvSpPr>
        <xdr:cNvPr id="303525" name="TextBox 1211">
          <a:extLst>
            <a:ext uri="{FF2B5EF4-FFF2-40B4-BE49-F238E27FC236}">
              <a16:creationId xmlns:a16="http://schemas.microsoft.com/office/drawing/2014/main" id="{00000000-0008-0000-2200-0000A5A10400}"/>
            </a:ext>
          </a:extLst>
        </xdr:cNvPr>
        <xdr:cNvSpPr txBox="1">
          <a:spLocks noChangeArrowheads="1"/>
        </xdr:cNvSpPr>
      </xdr:nvSpPr>
      <xdr:spPr bwMode="auto">
        <a:xfrm>
          <a:off x="3651250" y="15855950"/>
          <a:ext cx="0" cy="19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50</xdr:row>
      <xdr:rowOff>0</xdr:rowOff>
    </xdr:from>
    <xdr:to>
      <xdr:col>2</xdr:col>
      <xdr:colOff>0</xdr:colOff>
      <xdr:row>50</xdr:row>
      <xdr:rowOff>196850</xdr:rowOff>
    </xdr:to>
    <xdr:sp macro="" textlink="">
      <xdr:nvSpPr>
        <xdr:cNvPr id="303526" name="TextBox 1080">
          <a:extLst>
            <a:ext uri="{FF2B5EF4-FFF2-40B4-BE49-F238E27FC236}">
              <a16:creationId xmlns:a16="http://schemas.microsoft.com/office/drawing/2014/main" id="{00000000-0008-0000-2200-0000A6A10400}"/>
            </a:ext>
          </a:extLst>
        </xdr:cNvPr>
        <xdr:cNvSpPr txBox="1">
          <a:spLocks noChangeArrowheads="1"/>
        </xdr:cNvSpPr>
      </xdr:nvSpPr>
      <xdr:spPr bwMode="auto">
        <a:xfrm>
          <a:off x="3651250" y="15855950"/>
          <a:ext cx="0" cy="19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50</xdr:row>
      <xdr:rowOff>0</xdr:rowOff>
    </xdr:from>
    <xdr:to>
      <xdr:col>2</xdr:col>
      <xdr:colOff>0</xdr:colOff>
      <xdr:row>50</xdr:row>
      <xdr:rowOff>196850</xdr:rowOff>
    </xdr:to>
    <xdr:sp macro="" textlink="">
      <xdr:nvSpPr>
        <xdr:cNvPr id="303527" name="TextBox 1211">
          <a:extLst>
            <a:ext uri="{FF2B5EF4-FFF2-40B4-BE49-F238E27FC236}">
              <a16:creationId xmlns:a16="http://schemas.microsoft.com/office/drawing/2014/main" id="{00000000-0008-0000-2200-0000A7A10400}"/>
            </a:ext>
          </a:extLst>
        </xdr:cNvPr>
        <xdr:cNvSpPr txBox="1">
          <a:spLocks noChangeArrowheads="1"/>
        </xdr:cNvSpPr>
      </xdr:nvSpPr>
      <xdr:spPr bwMode="auto">
        <a:xfrm>
          <a:off x="3651250" y="15855950"/>
          <a:ext cx="0" cy="19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54</xdr:row>
      <xdr:rowOff>0</xdr:rowOff>
    </xdr:from>
    <xdr:to>
      <xdr:col>1</xdr:col>
      <xdr:colOff>990600</xdr:colOff>
      <xdr:row>56</xdr:row>
      <xdr:rowOff>406400</xdr:rowOff>
    </xdr:to>
    <xdr:sp macro="" textlink="">
      <xdr:nvSpPr>
        <xdr:cNvPr id="303528" name="TextBox 1080">
          <a:extLst>
            <a:ext uri="{FF2B5EF4-FFF2-40B4-BE49-F238E27FC236}">
              <a16:creationId xmlns:a16="http://schemas.microsoft.com/office/drawing/2014/main" id="{00000000-0008-0000-2200-0000A8A10400}"/>
            </a:ext>
          </a:extLst>
        </xdr:cNvPr>
        <xdr:cNvSpPr txBox="1">
          <a:spLocks noChangeArrowheads="1"/>
        </xdr:cNvSpPr>
      </xdr:nvSpPr>
      <xdr:spPr bwMode="auto">
        <a:xfrm>
          <a:off x="1524000" y="16960850"/>
          <a:ext cx="0" cy="1054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54</xdr:row>
      <xdr:rowOff>0</xdr:rowOff>
    </xdr:from>
    <xdr:to>
      <xdr:col>1</xdr:col>
      <xdr:colOff>990600</xdr:colOff>
      <xdr:row>56</xdr:row>
      <xdr:rowOff>406400</xdr:rowOff>
    </xdr:to>
    <xdr:sp macro="" textlink="">
      <xdr:nvSpPr>
        <xdr:cNvPr id="303529" name="TextBox 1211">
          <a:extLst>
            <a:ext uri="{FF2B5EF4-FFF2-40B4-BE49-F238E27FC236}">
              <a16:creationId xmlns:a16="http://schemas.microsoft.com/office/drawing/2014/main" id="{00000000-0008-0000-2200-0000A9A10400}"/>
            </a:ext>
          </a:extLst>
        </xdr:cNvPr>
        <xdr:cNvSpPr txBox="1">
          <a:spLocks noChangeArrowheads="1"/>
        </xdr:cNvSpPr>
      </xdr:nvSpPr>
      <xdr:spPr bwMode="auto">
        <a:xfrm>
          <a:off x="1524000" y="16960850"/>
          <a:ext cx="0" cy="1054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54</xdr:row>
      <xdr:rowOff>0</xdr:rowOff>
    </xdr:from>
    <xdr:to>
      <xdr:col>1</xdr:col>
      <xdr:colOff>990600</xdr:colOff>
      <xdr:row>56</xdr:row>
      <xdr:rowOff>406400</xdr:rowOff>
    </xdr:to>
    <xdr:sp macro="" textlink="">
      <xdr:nvSpPr>
        <xdr:cNvPr id="303530" name="TextBox 1080">
          <a:extLst>
            <a:ext uri="{FF2B5EF4-FFF2-40B4-BE49-F238E27FC236}">
              <a16:creationId xmlns:a16="http://schemas.microsoft.com/office/drawing/2014/main" id="{00000000-0008-0000-2200-0000AAA10400}"/>
            </a:ext>
          </a:extLst>
        </xdr:cNvPr>
        <xdr:cNvSpPr txBox="1">
          <a:spLocks noChangeArrowheads="1"/>
        </xdr:cNvSpPr>
      </xdr:nvSpPr>
      <xdr:spPr bwMode="auto">
        <a:xfrm>
          <a:off x="1524000" y="16960850"/>
          <a:ext cx="0" cy="1054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54</xdr:row>
      <xdr:rowOff>0</xdr:rowOff>
    </xdr:from>
    <xdr:to>
      <xdr:col>1</xdr:col>
      <xdr:colOff>990600</xdr:colOff>
      <xdr:row>56</xdr:row>
      <xdr:rowOff>406400</xdr:rowOff>
    </xdr:to>
    <xdr:sp macro="" textlink="">
      <xdr:nvSpPr>
        <xdr:cNvPr id="303531" name="TextBox 1211">
          <a:extLst>
            <a:ext uri="{FF2B5EF4-FFF2-40B4-BE49-F238E27FC236}">
              <a16:creationId xmlns:a16="http://schemas.microsoft.com/office/drawing/2014/main" id="{00000000-0008-0000-2200-0000ABA10400}"/>
            </a:ext>
          </a:extLst>
        </xdr:cNvPr>
        <xdr:cNvSpPr txBox="1">
          <a:spLocks noChangeArrowheads="1"/>
        </xdr:cNvSpPr>
      </xdr:nvSpPr>
      <xdr:spPr bwMode="auto">
        <a:xfrm>
          <a:off x="1524000" y="16960850"/>
          <a:ext cx="0" cy="1054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54</xdr:row>
      <xdr:rowOff>0</xdr:rowOff>
    </xdr:from>
    <xdr:to>
      <xdr:col>1</xdr:col>
      <xdr:colOff>990600</xdr:colOff>
      <xdr:row>57</xdr:row>
      <xdr:rowOff>31750</xdr:rowOff>
    </xdr:to>
    <xdr:sp macro="" textlink="">
      <xdr:nvSpPr>
        <xdr:cNvPr id="303532" name="TextBox 1080">
          <a:extLst>
            <a:ext uri="{FF2B5EF4-FFF2-40B4-BE49-F238E27FC236}">
              <a16:creationId xmlns:a16="http://schemas.microsoft.com/office/drawing/2014/main" id="{00000000-0008-0000-2200-0000ACA10400}"/>
            </a:ext>
          </a:extLst>
        </xdr:cNvPr>
        <xdr:cNvSpPr txBox="1">
          <a:spLocks noChangeArrowheads="1"/>
        </xdr:cNvSpPr>
      </xdr:nvSpPr>
      <xdr:spPr bwMode="auto">
        <a:xfrm>
          <a:off x="1524000" y="169608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54</xdr:row>
      <xdr:rowOff>0</xdr:rowOff>
    </xdr:from>
    <xdr:to>
      <xdr:col>1</xdr:col>
      <xdr:colOff>990600</xdr:colOff>
      <xdr:row>57</xdr:row>
      <xdr:rowOff>31750</xdr:rowOff>
    </xdr:to>
    <xdr:sp macro="" textlink="">
      <xdr:nvSpPr>
        <xdr:cNvPr id="303533" name="TextBox 1211">
          <a:extLst>
            <a:ext uri="{FF2B5EF4-FFF2-40B4-BE49-F238E27FC236}">
              <a16:creationId xmlns:a16="http://schemas.microsoft.com/office/drawing/2014/main" id="{00000000-0008-0000-2200-0000ADA10400}"/>
            </a:ext>
          </a:extLst>
        </xdr:cNvPr>
        <xdr:cNvSpPr txBox="1">
          <a:spLocks noChangeArrowheads="1"/>
        </xdr:cNvSpPr>
      </xdr:nvSpPr>
      <xdr:spPr bwMode="auto">
        <a:xfrm>
          <a:off x="1524000" y="169608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54</xdr:row>
      <xdr:rowOff>0</xdr:rowOff>
    </xdr:from>
    <xdr:to>
      <xdr:col>1</xdr:col>
      <xdr:colOff>990600</xdr:colOff>
      <xdr:row>57</xdr:row>
      <xdr:rowOff>31750</xdr:rowOff>
    </xdr:to>
    <xdr:sp macro="" textlink="">
      <xdr:nvSpPr>
        <xdr:cNvPr id="303534" name="TextBox 1080">
          <a:extLst>
            <a:ext uri="{FF2B5EF4-FFF2-40B4-BE49-F238E27FC236}">
              <a16:creationId xmlns:a16="http://schemas.microsoft.com/office/drawing/2014/main" id="{00000000-0008-0000-2200-0000AEA10400}"/>
            </a:ext>
          </a:extLst>
        </xdr:cNvPr>
        <xdr:cNvSpPr txBox="1">
          <a:spLocks noChangeArrowheads="1"/>
        </xdr:cNvSpPr>
      </xdr:nvSpPr>
      <xdr:spPr bwMode="auto">
        <a:xfrm>
          <a:off x="1524000" y="169608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54</xdr:row>
      <xdr:rowOff>0</xdr:rowOff>
    </xdr:from>
    <xdr:to>
      <xdr:col>1</xdr:col>
      <xdr:colOff>990600</xdr:colOff>
      <xdr:row>57</xdr:row>
      <xdr:rowOff>31750</xdr:rowOff>
    </xdr:to>
    <xdr:sp macro="" textlink="">
      <xdr:nvSpPr>
        <xdr:cNvPr id="303535" name="TextBox 1211">
          <a:extLst>
            <a:ext uri="{FF2B5EF4-FFF2-40B4-BE49-F238E27FC236}">
              <a16:creationId xmlns:a16="http://schemas.microsoft.com/office/drawing/2014/main" id="{00000000-0008-0000-2200-0000AFA10400}"/>
            </a:ext>
          </a:extLst>
        </xdr:cNvPr>
        <xdr:cNvSpPr txBox="1">
          <a:spLocks noChangeArrowheads="1"/>
        </xdr:cNvSpPr>
      </xdr:nvSpPr>
      <xdr:spPr bwMode="auto">
        <a:xfrm>
          <a:off x="1524000" y="169608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54</xdr:row>
      <xdr:rowOff>0</xdr:rowOff>
    </xdr:from>
    <xdr:to>
      <xdr:col>2</xdr:col>
      <xdr:colOff>0</xdr:colOff>
      <xdr:row>57</xdr:row>
      <xdr:rowOff>184150</xdr:rowOff>
    </xdr:to>
    <xdr:sp macro="" textlink="">
      <xdr:nvSpPr>
        <xdr:cNvPr id="303536" name="TextBox 1080">
          <a:extLst>
            <a:ext uri="{FF2B5EF4-FFF2-40B4-BE49-F238E27FC236}">
              <a16:creationId xmlns:a16="http://schemas.microsoft.com/office/drawing/2014/main" id="{00000000-0008-0000-2200-0000B0A10400}"/>
            </a:ext>
          </a:extLst>
        </xdr:cNvPr>
        <xdr:cNvSpPr txBox="1">
          <a:spLocks noChangeArrowheads="1"/>
        </xdr:cNvSpPr>
      </xdr:nvSpPr>
      <xdr:spPr bwMode="auto">
        <a:xfrm>
          <a:off x="3651250" y="16960850"/>
          <a:ext cx="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54</xdr:row>
      <xdr:rowOff>0</xdr:rowOff>
    </xdr:from>
    <xdr:to>
      <xdr:col>2</xdr:col>
      <xdr:colOff>0</xdr:colOff>
      <xdr:row>57</xdr:row>
      <xdr:rowOff>184150</xdr:rowOff>
    </xdr:to>
    <xdr:sp macro="" textlink="">
      <xdr:nvSpPr>
        <xdr:cNvPr id="303537" name="TextBox 1211">
          <a:extLst>
            <a:ext uri="{FF2B5EF4-FFF2-40B4-BE49-F238E27FC236}">
              <a16:creationId xmlns:a16="http://schemas.microsoft.com/office/drawing/2014/main" id="{00000000-0008-0000-2200-0000B1A10400}"/>
            </a:ext>
          </a:extLst>
        </xdr:cNvPr>
        <xdr:cNvSpPr txBox="1">
          <a:spLocks noChangeArrowheads="1"/>
        </xdr:cNvSpPr>
      </xdr:nvSpPr>
      <xdr:spPr bwMode="auto">
        <a:xfrm>
          <a:off x="3651250" y="16960850"/>
          <a:ext cx="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54</xdr:row>
      <xdr:rowOff>0</xdr:rowOff>
    </xdr:from>
    <xdr:to>
      <xdr:col>2</xdr:col>
      <xdr:colOff>0</xdr:colOff>
      <xdr:row>57</xdr:row>
      <xdr:rowOff>184150</xdr:rowOff>
    </xdr:to>
    <xdr:sp macro="" textlink="">
      <xdr:nvSpPr>
        <xdr:cNvPr id="303538" name="TextBox 1080">
          <a:extLst>
            <a:ext uri="{FF2B5EF4-FFF2-40B4-BE49-F238E27FC236}">
              <a16:creationId xmlns:a16="http://schemas.microsoft.com/office/drawing/2014/main" id="{00000000-0008-0000-2200-0000B2A10400}"/>
            </a:ext>
          </a:extLst>
        </xdr:cNvPr>
        <xdr:cNvSpPr txBox="1">
          <a:spLocks noChangeArrowheads="1"/>
        </xdr:cNvSpPr>
      </xdr:nvSpPr>
      <xdr:spPr bwMode="auto">
        <a:xfrm>
          <a:off x="3651250" y="16960850"/>
          <a:ext cx="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54</xdr:row>
      <xdr:rowOff>0</xdr:rowOff>
    </xdr:from>
    <xdr:to>
      <xdr:col>2</xdr:col>
      <xdr:colOff>0</xdr:colOff>
      <xdr:row>57</xdr:row>
      <xdr:rowOff>184150</xdr:rowOff>
    </xdr:to>
    <xdr:sp macro="" textlink="">
      <xdr:nvSpPr>
        <xdr:cNvPr id="303539" name="TextBox 1211">
          <a:extLst>
            <a:ext uri="{FF2B5EF4-FFF2-40B4-BE49-F238E27FC236}">
              <a16:creationId xmlns:a16="http://schemas.microsoft.com/office/drawing/2014/main" id="{00000000-0008-0000-2200-0000B3A10400}"/>
            </a:ext>
          </a:extLst>
        </xdr:cNvPr>
        <xdr:cNvSpPr txBox="1">
          <a:spLocks noChangeArrowheads="1"/>
        </xdr:cNvSpPr>
      </xdr:nvSpPr>
      <xdr:spPr bwMode="auto">
        <a:xfrm>
          <a:off x="3651250" y="16960850"/>
          <a:ext cx="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54</xdr:row>
      <xdr:rowOff>0</xdr:rowOff>
    </xdr:from>
    <xdr:to>
      <xdr:col>2</xdr:col>
      <xdr:colOff>0</xdr:colOff>
      <xdr:row>56</xdr:row>
      <xdr:rowOff>184150</xdr:rowOff>
    </xdr:to>
    <xdr:sp macro="" textlink="">
      <xdr:nvSpPr>
        <xdr:cNvPr id="303540" name="TextBox 1080">
          <a:extLst>
            <a:ext uri="{FF2B5EF4-FFF2-40B4-BE49-F238E27FC236}">
              <a16:creationId xmlns:a16="http://schemas.microsoft.com/office/drawing/2014/main" id="{00000000-0008-0000-2200-0000B4A10400}"/>
            </a:ext>
          </a:extLst>
        </xdr:cNvPr>
        <xdr:cNvSpPr txBox="1">
          <a:spLocks noChangeArrowheads="1"/>
        </xdr:cNvSpPr>
      </xdr:nvSpPr>
      <xdr:spPr bwMode="auto">
        <a:xfrm>
          <a:off x="3651250" y="16960850"/>
          <a:ext cx="0" cy="831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54</xdr:row>
      <xdr:rowOff>0</xdr:rowOff>
    </xdr:from>
    <xdr:to>
      <xdr:col>2</xdr:col>
      <xdr:colOff>0</xdr:colOff>
      <xdr:row>56</xdr:row>
      <xdr:rowOff>184150</xdr:rowOff>
    </xdr:to>
    <xdr:sp macro="" textlink="">
      <xdr:nvSpPr>
        <xdr:cNvPr id="303541" name="TextBox 1211">
          <a:extLst>
            <a:ext uri="{FF2B5EF4-FFF2-40B4-BE49-F238E27FC236}">
              <a16:creationId xmlns:a16="http://schemas.microsoft.com/office/drawing/2014/main" id="{00000000-0008-0000-2200-0000B5A10400}"/>
            </a:ext>
          </a:extLst>
        </xdr:cNvPr>
        <xdr:cNvSpPr txBox="1">
          <a:spLocks noChangeArrowheads="1"/>
        </xdr:cNvSpPr>
      </xdr:nvSpPr>
      <xdr:spPr bwMode="auto">
        <a:xfrm>
          <a:off x="3651250" y="16960850"/>
          <a:ext cx="0" cy="831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54</xdr:row>
      <xdr:rowOff>0</xdr:rowOff>
    </xdr:from>
    <xdr:to>
      <xdr:col>2</xdr:col>
      <xdr:colOff>0</xdr:colOff>
      <xdr:row>56</xdr:row>
      <xdr:rowOff>184150</xdr:rowOff>
    </xdr:to>
    <xdr:sp macro="" textlink="">
      <xdr:nvSpPr>
        <xdr:cNvPr id="303542" name="TextBox 1080">
          <a:extLst>
            <a:ext uri="{FF2B5EF4-FFF2-40B4-BE49-F238E27FC236}">
              <a16:creationId xmlns:a16="http://schemas.microsoft.com/office/drawing/2014/main" id="{00000000-0008-0000-2200-0000B6A10400}"/>
            </a:ext>
          </a:extLst>
        </xdr:cNvPr>
        <xdr:cNvSpPr txBox="1">
          <a:spLocks noChangeArrowheads="1"/>
        </xdr:cNvSpPr>
      </xdr:nvSpPr>
      <xdr:spPr bwMode="auto">
        <a:xfrm>
          <a:off x="3651250" y="16960850"/>
          <a:ext cx="0" cy="831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54</xdr:row>
      <xdr:rowOff>0</xdr:rowOff>
    </xdr:from>
    <xdr:to>
      <xdr:col>2</xdr:col>
      <xdr:colOff>0</xdr:colOff>
      <xdr:row>56</xdr:row>
      <xdr:rowOff>184150</xdr:rowOff>
    </xdr:to>
    <xdr:sp macro="" textlink="">
      <xdr:nvSpPr>
        <xdr:cNvPr id="303543" name="TextBox 1211">
          <a:extLst>
            <a:ext uri="{FF2B5EF4-FFF2-40B4-BE49-F238E27FC236}">
              <a16:creationId xmlns:a16="http://schemas.microsoft.com/office/drawing/2014/main" id="{00000000-0008-0000-2200-0000B7A10400}"/>
            </a:ext>
          </a:extLst>
        </xdr:cNvPr>
        <xdr:cNvSpPr txBox="1">
          <a:spLocks noChangeArrowheads="1"/>
        </xdr:cNvSpPr>
      </xdr:nvSpPr>
      <xdr:spPr bwMode="auto">
        <a:xfrm>
          <a:off x="3651250" y="16960850"/>
          <a:ext cx="0" cy="831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54</xdr:row>
      <xdr:rowOff>0</xdr:rowOff>
    </xdr:from>
    <xdr:to>
      <xdr:col>2</xdr:col>
      <xdr:colOff>0</xdr:colOff>
      <xdr:row>57</xdr:row>
      <xdr:rowOff>184150</xdr:rowOff>
    </xdr:to>
    <xdr:sp macro="" textlink="">
      <xdr:nvSpPr>
        <xdr:cNvPr id="303544" name="TextBox 1080">
          <a:extLst>
            <a:ext uri="{FF2B5EF4-FFF2-40B4-BE49-F238E27FC236}">
              <a16:creationId xmlns:a16="http://schemas.microsoft.com/office/drawing/2014/main" id="{00000000-0008-0000-2200-0000B8A10400}"/>
            </a:ext>
          </a:extLst>
        </xdr:cNvPr>
        <xdr:cNvSpPr txBox="1">
          <a:spLocks noChangeArrowheads="1"/>
        </xdr:cNvSpPr>
      </xdr:nvSpPr>
      <xdr:spPr bwMode="auto">
        <a:xfrm>
          <a:off x="3651250" y="16960850"/>
          <a:ext cx="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54</xdr:row>
      <xdr:rowOff>0</xdr:rowOff>
    </xdr:from>
    <xdr:to>
      <xdr:col>2</xdr:col>
      <xdr:colOff>0</xdr:colOff>
      <xdr:row>57</xdr:row>
      <xdr:rowOff>184150</xdr:rowOff>
    </xdr:to>
    <xdr:sp macro="" textlink="">
      <xdr:nvSpPr>
        <xdr:cNvPr id="303545" name="TextBox 1211">
          <a:extLst>
            <a:ext uri="{FF2B5EF4-FFF2-40B4-BE49-F238E27FC236}">
              <a16:creationId xmlns:a16="http://schemas.microsoft.com/office/drawing/2014/main" id="{00000000-0008-0000-2200-0000B9A10400}"/>
            </a:ext>
          </a:extLst>
        </xdr:cNvPr>
        <xdr:cNvSpPr txBox="1">
          <a:spLocks noChangeArrowheads="1"/>
        </xdr:cNvSpPr>
      </xdr:nvSpPr>
      <xdr:spPr bwMode="auto">
        <a:xfrm>
          <a:off x="3651250" y="16960850"/>
          <a:ext cx="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54</xdr:row>
      <xdr:rowOff>0</xdr:rowOff>
    </xdr:from>
    <xdr:to>
      <xdr:col>2</xdr:col>
      <xdr:colOff>0</xdr:colOff>
      <xdr:row>57</xdr:row>
      <xdr:rowOff>184150</xdr:rowOff>
    </xdr:to>
    <xdr:sp macro="" textlink="">
      <xdr:nvSpPr>
        <xdr:cNvPr id="303546" name="TextBox 1080">
          <a:extLst>
            <a:ext uri="{FF2B5EF4-FFF2-40B4-BE49-F238E27FC236}">
              <a16:creationId xmlns:a16="http://schemas.microsoft.com/office/drawing/2014/main" id="{00000000-0008-0000-2200-0000BAA10400}"/>
            </a:ext>
          </a:extLst>
        </xdr:cNvPr>
        <xdr:cNvSpPr txBox="1">
          <a:spLocks noChangeArrowheads="1"/>
        </xdr:cNvSpPr>
      </xdr:nvSpPr>
      <xdr:spPr bwMode="auto">
        <a:xfrm>
          <a:off x="3651250" y="16960850"/>
          <a:ext cx="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54</xdr:row>
      <xdr:rowOff>0</xdr:rowOff>
    </xdr:from>
    <xdr:to>
      <xdr:col>2</xdr:col>
      <xdr:colOff>0</xdr:colOff>
      <xdr:row>57</xdr:row>
      <xdr:rowOff>184150</xdr:rowOff>
    </xdr:to>
    <xdr:sp macro="" textlink="">
      <xdr:nvSpPr>
        <xdr:cNvPr id="303547" name="TextBox 1211">
          <a:extLst>
            <a:ext uri="{FF2B5EF4-FFF2-40B4-BE49-F238E27FC236}">
              <a16:creationId xmlns:a16="http://schemas.microsoft.com/office/drawing/2014/main" id="{00000000-0008-0000-2200-0000BBA10400}"/>
            </a:ext>
          </a:extLst>
        </xdr:cNvPr>
        <xdr:cNvSpPr txBox="1">
          <a:spLocks noChangeArrowheads="1"/>
        </xdr:cNvSpPr>
      </xdr:nvSpPr>
      <xdr:spPr bwMode="auto">
        <a:xfrm>
          <a:off x="3651250" y="16960850"/>
          <a:ext cx="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54</xdr:row>
      <xdr:rowOff>0</xdr:rowOff>
    </xdr:from>
    <xdr:to>
      <xdr:col>2</xdr:col>
      <xdr:colOff>0</xdr:colOff>
      <xdr:row>56</xdr:row>
      <xdr:rowOff>184150</xdr:rowOff>
    </xdr:to>
    <xdr:sp macro="" textlink="">
      <xdr:nvSpPr>
        <xdr:cNvPr id="303548" name="TextBox 1080">
          <a:extLst>
            <a:ext uri="{FF2B5EF4-FFF2-40B4-BE49-F238E27FC236}">
              <a16:creationId xmlns:a16="http://schemas.microsoft.com/office/drawing/2014/main" id="{00000000-0008-0000-2200-0000BCA10400}"/>
            </a:ext>
          </a:extLst>
        </xdr:cNvPr>
        <xdr:cNvSpPr txBox="1">
          <a:spLocks noChangeArrowheads="1"/>
        </xdr:cNvSpPr>
      </xdr:nvSpPr>
      <xdr:spPr bwMode="auto">
        <a:xfrm>
          <a:off x="3651250" y="16960850"/>
          <a:ext cx="0" cy="831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54</xdr:row>
      <xdr:rowOff>0</xdr:rowOff>
    </xdr:from>
    <xdr:to>
      <xdr:col>2</xdr:col>
      <xdr:colOff>0</xdr:colOff>
      <xdr:row>56</xdr:row>
      <xdr:rowOff>184150</xdr:rowOff>
    </xdr:to>
    <xdr:sp macro="" textlink="">
      <xdr:nvSpPr>
        <xdr:cNvPr id="303549" name="TextBox 1211">
          <a:extLst>
            <a:ext uri="{FF2B5EF4-FFF2-40B4-BE49-F238E27FC236}">
              <a16:creationId xmlns:a16="http://schemas.microsoft.com/office/drawing/2014/main" id="{00000000-0008-0000-2200-0000BDA10400}"/>
            </a:ext>
          </a:extLst>
        </xdr:cNvPr>
        <xdr:cNvSpPr txBox="1">
          <a:spLocks noChangeArrowheads="1"/>
        </xdr:cNvSpPr>
      </xdr:nvSpPr>
      <xdr:spPr bwMode="auto">
        <a:xfrm>
          <a:off x="3651250" y="16960850"/>
          <a:ext cx="0" cy="831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54</xdr:row>
      <xdr:rowOff>0</xdr:rowOff>
    </xdr:from>
    <xdr:to>
      <xdr:col>2</xdr:col>
      <xdr:colOff>0</xdr:colOff>
      <xdr:row>56</xdr:row>
      <xdr:rowOff>184150</xdr:rowOff>
    </xdr:to>
    <xdr:sp macro="" textlink="">
      <xdr:nvSpPr>
        <xdr:cNvPr id="303550" name="TextBox 1080">
          <a:extLst>
            <a:ext uri="{FF2B5EF4-FFF2-40B4-BE49-F238E27FC236}">
              <a16:creationId xmlns:a16="http://schemas.microsoft.com/office/drawing/2014/main" id="{00000000-0008-0000-2200-0000BEA10400}"/>
            </a:ext>
          </a:extLst>
        </xdr:cNvPr>
        <xdr:cNvSpPr txBox="1">
          <a:spLocks noChangeArrowheads="1"/>
        </xdr:cNvSpPr>
      </xdr:nvSpPr>
      <xdr:spPr bwMode="auto">
        <a:xfrm>
          <a:off x="3651250" y="16960850"/>
          <a:ext cx="0" cy="831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54</xdr:row>
      <xdr:rowOff>0</xdr:rowOff>
    </xdr:from>
    <xdr:to>
      <xdr:col>2</xdr:col>
      <xdr:colOff>0</xdr:colOff>
      <xdr:row>56</xdr:row>
      <xdr:rowOff>184150</xdr:rowOff>
    </xdr:to>
    <xdr:sp macro="" textlink="">
      <xdr:nvSpPr>
        <xdr:cNvPr id="303551" name="TextBox 1211">
          <a:extLst>
            <a:ext uri="{FF2B5EF4-FFF2-40B4-BE49-F238E27FC236}">
              <a16:creationId xmlns:a16="http://schemas.microsoft.com/office/drawing/2014/main" id="{00000000-0008-0000-2200-0000BFA10400}"/>
            </a:ext>
          </a:extLst>
        </xdr:cNvPr>
        <xdr:cNvSpPr txBox="1">
          <a:spLocks noChangeArrowheads="1"/>
        </xdr:cNvSpPr>
      </xdr:nvSpPr>
      <xdr:spPr bwMode="auto">
        <a:xfrm>
          <a:off x="3651250" y="16960850"/>
          <a:ext cx="0" cy="831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54</xdr:row>
      <xdr:rowOff>0</xdr:rowOff>
    </xdr:from>
    <xdr:to>
      <xdr:col>2</xdr:col>
      <xdr:colOff>0</xdr:colOff>
      <xdr:row>57</xdr:row>
      <xdr:rowOff>184150</xdr:rowOff>
    </xdr:to>
    <xdr:sp macro="" textlink="">
      <xdr:nvSpPr>
        <xdr:cNvPr id="303552" name="TextBox 1080">
          <a:extLst>
            <a:ext uri="{FF2B5EF4-FFF2-40B4-BE49-F238E27FC236}">
              <a16:creationId xmlns:a16="http://schemas.microsoft.com/office/drawing/2014/main" id="{00000000-0008-0000-2200-0000C0A10400}"/>
            </a:ext>
          </a:extLst>
        </xdr:cNvPr>
        <xdr:cNvSpPr txBox="1">
          <a:spLocks noChangeArrowheads="1"/>
        </xdr:cNvSpPr>
      </xdr:nvSpPr>
      <xdr:spPr bwMode="auto">
        <a:xfrm>
          <a:off x="3651250" y="16960850"/>
          <a:ext cx="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54</xdr:row>
      <xdr:rowOff>0</xdr:rowOff>
    </xdr:from>
    <xdr:to>
      <xdr:col>2</xdr:col>
      <xdr:colOff>0</xdr:colOff>
      <xdr:row>57</xdr:row>
      <xdr:rowOff>184150</xdr:rowOff>
    </xdr:to>
    <xdr:sp macro="" textlink="">
      <xdr:nvSpPr>
        <xdr:cNvPr id="303553" name="TextBox 1211">
          <a:extLst>
            <a:ext uri="{FF2B5EF4-FFF2-40B4-BE49-F238E27FC236}">
              <a16:creationId xmlns:a16="http://schemas.microsoft.com/office/drawing/2014/main" id="{00000000-0008-0000-2200-0000C1A10400}"/>
            </a:ext>
          </a:extLst>
        </xdr:cNvPr>
        <xdr:cNvSpPr txBox="1">
          <a:spLocks noChangeArrowheads="1"/>
        </xdr:cNvSpPr>
      </xdr:nvSpPr>
      <xdr:spPr bwMode="auto">
        <a:xfrm>
          <a:off x="3651250" y="16960850"/>
          <a:ext cx="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54</xdr:row>
      <xdr:rowOff>0</xdr:rowOff>
    </xdr:from>
    <xdr:to>
      <xdr:col>2</xdr:col>
      <xdr:colOff>0</xdr:colOff>
      <xdr:row>57</xdr:row>
      <xdr:rowOff>184150</xdr:rowOff>
    </xdr:to>
    <xdr:sp macro="" textlink="">
      <xdr:nvSpPr>
        <xdr:cNvPr id="303554" name="TextBox 1080">
          <a:extLst>
            <a:ext uri="{FF2B5EF4-FFF2-40B4-BE49-F238E27FC236}">
              <a16:creationId xmlns:a16="http://schemas.microsoft.com/office/drawing/2014/main" id="{00000000-0008-0000-2200-0000C2A10400}"/>
            </a:ext>
          </a:extLst>
        </xdr:cNvPr>
        <xdr:cNvSpPr txBox="1">
          <a:spLocks noChangeArrowheads="1"/>
        </xdr:cNvSpPr>
      </xdr:nvSpPr>
      <xdr:spPr bwMode="auto">
        <a:xfrm>
          <a:off x="3651250" y="16960850"/>
          <a:ext cx="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54</xdr:row>
      <xdr:rowOff>0</xdr:rowOff>
    </xdr:from>
    <xdr:to>
      <xdr:col>2</xdr:col>
      <xdr:colOff>0</xdr:colOff>
      <xdr:row>57</xdr:row>
      <xdr:rowOff>184150</xdr:rowOff>
    </xdr:to>
    <xdr:sp macro="" textlink="">
      <xdr:nvSpPr>
        <xdr:cNvPr id="303555" name="TextBox 1211">
          <a:extLst>
            <a:ext uri="{FF2B5EF4-FFF2-40B4-BE49-F238E27FC236}">
              <a16:creationId xmlns:a16="http://schemas.microsoft.com/office/drawing/2014/main" id="{00000000-0008-0000-2200-0000C3A10400}"/>
            </a:ext>
          </a:extLst>
        </xdr:cNvPr>
        <xdr:cNvSpPr txBox="1">
          <a:spLocks noChangeArrowheads="1"/>
        </xdr:cNvSpPr>
      </xdr:nvSpPr>
      <xdr:spPr bwMode="auto">
        <a:xfrm>
          <a:off x="3651250" y="16960850"/>
          <a:ext cx="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54</xdr:row>
      <xdr:rowOff>0</xdr:rowOff>
    </xdr:from>
    <xdr:to>
      <xdr:col>2</xdr:col>
      <xdr:colOff>0</xdr:colOff>
      <xdr:row>56</xdr:row>
      <xdr:rowOff>184150</xdr:rowOff>
    </xdr:to>
    <xdr:sp macro="" textlink="">
      <xdr:nvSpPr>
        <xdr:cNvPr id="303556" name="TextBox 1080">
          <a:extLst>
            <a:ext uri="{FF2B5EF4-FFF2-40B4-BE49-F238E27FC236}">
              <a16:creationId xmlns:a16="http://schemas.microsoft.com/office/drawing/2014/main" id="{00000000-0008-0000-2200-0000C4A10400}"/>
            </a:ext>
          </a:extLst>
        </xdr:cNvPr>
        <xdr:cNvSpPr txBox="1">
          <a:spLocks noChangeArrowheads="1"/>
        </xdr:cNvSpPr>
      </xdr:nvSpPr>
      <xdr:spPr bwMode="auto">
        <a:xfrm>
          <a:off x="3651250" y="16960850"/>
          <a:ext cx="0" cy="831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54</xdr:row>
      <xdr:rowOff>0</xdr:rowOff>
    </xdr:from>
    <xdr:to>
      <xdr:col>2</xdr:col>
      <xdr:colOff>0</xdr:colOff>
      <xdr:row>56</xdr:row>
      <xdr:rowOff>184150</xdr:rowOff>
    </xdr:to>
    <xdr:sp macro="" textlink="">
      <xdr:nvSpPr>
        <xdr:cNvPr id="303557" name="TextBox 1211">
          <a:extLst>
            <a:ext uri="{FF2B5EF4-FFF2-40B4-BE49-F238E27FC236}">
              <a16:creationId xmlns:a16="http://schemas.microsoft.com/office/drawing/2014/main" id="{00000000-0008-0000-2200-0000C5A10400}"/>
            </a:ext>
          </a:extLst>
        </xdr:cNvPr>
        <xdr:cNvSpPr txBox="1">
          <a:spLocks noChangeArrowheads="1"/>
        </xdr:cNvSpPr>
      </xdr:nvSpPr>
      <xdr:spPr bwMode="auto">
        <a:xfrm>
          <a:off x="3651250" y="16960850"/>
          <a:ext cx="0" cy="831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54</xdr:row>
      <xdr:rowOff>0</xdr:rowOff>
    </xdr:from>
    <xdr:to>
      <xdr:col>2</xdr:col>
      <xdr:colOff>0</xdr:colOff>
      <xdr:row>56</xdr:row>
      <xdr:rowOff>184150</xdr:rowOff>
    </xdr:to>
    <xdr:sp macro="" textlink="">
      <xdr:nvSpPr>
        <xdr:cNvPr id="303558" name="TextBox 1080">
          <a:extLst>
            <a:ext uri="{FF2B5EF4-FFF2-40B4-BE49-F238E27FC236}">
              <a16:creationId xmlns:a16="http://schemas.microsoft.com/office/drawing/2014/main" id="{00000000-0008-0000-2200-0000C6A10400}"/>
            </a:ext>
          </a:extLst>
        </xdr:cNvPr>
        <xdr:cNvSpPr txBox="1">
          <a:spLocks noChangeArrowheads="1"/>
        </xdr:cNvSpPr>
      </xdr:nvSpPr>
      <xdr:spPr bwMode="auto">
        <a:xfrm>
          <a:off x="3651250" y="16960850"/>
          <a:ext cx="0" cy="831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54</xdr:row>
      <xdr:rowOff>0</xdr:rowOff>
    </xdr:from>
    <xdr:to>
      <xdr:col>2</xdr:col>
      <xdr:colOff>0</xdr:colOff>
      <xdr:row>56</xdr:row>
      <xdr:rowOff>184150</xdr:rowOff>
    </xdr:to>
    <xdr:sp macro="" textlink="">
      <xdr:nvSpPr>
        <xdr:cNvPr id="303559" name="TextBox 1211">
          <a:extLst>
            <a:ext uri="{FF2B5EF4-FFF2-40B4-BE49-F238E27FC236}">
              <a16:creationId xmlns:a16="http://schemas.microsoft.com/office/drawing/2014/main" id="{00000000-0008-0000-2200-0000C7A10400}"/>
            </a:ext>
          </a:extLst>
        </xdr:cNvPr>
        <xdr:cNvSpPr txBox="1">
          <a:spLocks noChangeArrowheads="1"/>
        </xdr:cNvSpPr>
      </xdr:nvSpPr>
      <xdr:spPr bwMode="auto">
        <a:xfrm>
          <a:off x="3651250" y="16960850"/>
          <a:ext cx="0" cy="831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54</xdr:row>
      <xdr:rowOff>0</xdr:rowOff>
    </xdr:from>
    <xdr:to>
      <xdr:col>2</xdr:col>
      <xdr:colOff>0</xdr:colOff>
      <xdr:row>57</xdr:row>
      <xdr:rowOff>146050</xdr:rowOff>
    </xdr:to>
    <xdr:sp macro="" textlink="">
      <xdr:nvSpPr>
        <xdr:cNvPr id="303560" name="TextBox 1080">
          <a:extLst>
            <a:ext uri="{FF2B5EF4-FFF2-40B4-BE49-F238E27FC236}">
              <a16:creationId xmlns:a16="http://schemas.microsoft.com/office/drawing/2014/main" id="{00000000-0008-0000-2200-0000C8A10400}"/>
            </a:ext>
          </a:extLst>
        </xdr:cNvPr>
        <xdr:cNvSpPr txBox="1">
          <a:spLocks noChangeArrowheads="1"/>
        </xdr:cNvSpPr>
      </xdr:nvSpPr>
      <xdr:spPr bwMode="auto">
        <a:xfrm>
          <a:off x="3651250" y="16960850"/>
          <a:ext cx="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54</xdr:row>
      <xdr:rowOff>0</xdr:rowOff>
    </xdr:from>
    <xdr:to>
      <xdr:col>2</xdr:col>
      <xdr:colOff>0</xdr:colOff>
      <xdr:row>57</xdr:row>
      <xdr:rowOff>146050</xdr:rowOff>
    </xdr:to>
    <xdr:sp macro="" textlink="">
      <xdr:nvSpPr>
        <xdr:cNvPr id="303561" name="TextBox 1211">
          <a:extLst>
            <a:ext uri="{FF2B5EF4-FFF2-40B4-BE49-F238E27FC236}">
              <a16:creationId xmlns:a16="http://schemas.microsoft.com/office/drawing/2014/main" id="{00000000-0008-0000-2200-0000C9A10400}"/>
            </a:ext>
          </a:extLst>
        </xdr:cNvPr>
        <xdr:cNvSpPr txBox="1">
          <a:spLocks noChangeArrowheads="1"/>
        </xdr:cNvSpPr>
      </xdr:nvSpPr>
      <xdr:spPr bwMode="auto">
        <a:xfrm>
          <a:off x="3651250" y="16960850"/>
          <a:ext cx="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54</xdr:row>
      <xdr:rowOff>0</xdr:rowOff>
    </xdr:from>
    <xdr:to>
      <xdr:col>2</xdr:col>
      <xdr:colOff>0</xdr:colOff>
      <xdr:row>57</xdr:row>
      <xdr:rowOff>146050</xdr:rowOff>
    </xdr:to>
    <xdr:sp macro="" textlink="">
      <xdr:nvSpPr>
        <xdr:cNvPr id="303562" name="TextBox 1080">
          <a:extLst>
            <a:ext uri="{FF2B5EF4-FFF2-40B4-BE49-F238E27FC236}">
              <a16:creationId xmlns:a16="http://schemas.microsoft.com/office/drawing/2014/main" id="{00000000-0008-0000-2200-0000CAA10400}"/>
            </a:ext>
          </a:extLst>
        </xdr:cNvPr>
        <xdr:cNvSpPr txBox="1">
          <a:spLocks noChangeArrowheads="1"/>
        </xdr:cNvSpPr>
      </xdr:nvSpPr>
      <xdr:spPr bwMode="auto">
        <a:xfrm>
          <a:off x="3651250" y="16960850"/>
          <a:ext cx="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54</xdr:row>
      <xdr:rowOff>0</xdr:rowOff>
    </xdr:from>
    <xdr:to>
      <xdr:col>2</xdr:col>
      <xdr:colOff>0</xdr:colOff>
      <xdr:row>57</xdr:row>
      <xdr:rowOff>146050</xdr:rowOff>
    </xdr:to>
    <xdr:sp macro="" textlink="">
      <xdr:nvSpPr>
        <xdr:cNvPr id="303563" name="TextBox 1211">
          <a:extLst>
            <a:ext uri="{FF2B5EF4-FFF2-40B4-BE49-F238E27FC236}">
              <a16:creationId xmlns:a16="http://schemas.microsoft.com/office/drawing/2014/main" id="{00000000-0008-0000-2200-0000CBA10400}"/>
            </a:ext>
          </a:extLst>
        </xdr:cNvPr>
        <xdr:cNvSpPr txBox="1">
          <a:spLocks noChangeArrowheads="1"/>
        </xdr:cNvSpPr>
      </xdr:nvSpPr>
      <xdr:spPr bwMode="auto">
        <a:xfrm>
          <a:off x="3651250" y="16960850"/>
          <a:ext cx="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54</xdr:row>
      <xdr:rowOff>0</xdr:rowOff>
    </xdr:from>
    <xdr:to>
      <xdr:col>2</xdr:col>
      <xdr:colOff>0</xdr:colOff>
      <xdr:row>57</xdr:row>
      <xdr:rowOff>31750</xdr:rowOff>
    </xdr:to>
    <xdr:sp macro="" textlink="">
      <xdr:nvSpPr>
        <xdr:cNvPr id="303564" name="TextBox 1080">
          <a:extLst>
            <a:ext uri="{FF2B5EF4-FFF2-40B4-BE49-F238E27FC236}">
              <a16:creationId xmlns:a16="http://schemas.microsoft.com/office/drawing/2014/main" id="{00000000-0008-0000-2200-0000CCA10400}"/>
            </a:ext>
          </a:extLst>
        </xdr:cNvPr>
        <xdr:cNvSpPr txBox="1">
          <a:spLocks noChangeArrowheads="1"/>
        </xdr:cNvSpPr>
      </xdr:nvSpPr>
      <xdr:spPr bwMode="auto">
        <a:xfrm>
          <a:off x="3651250" y="169608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54</xdr:row>
      <xdr:rowOff>0</xdr:rowOff>
    </xdr:from>
    <xdr:to>
      <xdr:col>2</xdr:col>
      <xdr:colOff>0</xdr:colOff>
      <xdr:row>57</xdr:row>
      <xdr:rowOff>31750</xdr:rowOff>
    </xdr:to>
    <xdr:sp macro="" textlink="">
      <xdr:nvSpPr>
        <xdr:cNvPr id="303565" name="TextBox 1211">
          <a:extLst>
            <a:ext uri="{FF2B5EF4-FFF2-40B4-BE49-F238E27FC236}">
              <a16:creationId xmlns:a16="http://schemas.microsoft.com/office/drawing/2014/main" id="{00000000-0008-0000-2200-0000CDA10400}"/>
            </a:ext>
          </a:extLst>
        </xdr:cNvPr>
        <xdr:cNvSpPr txBox="1">
          <a:spLocks noChangeArrowheads="1"/>
        </xdr:cNvSpPr>
      </xdr:nvSpPr>
      <xdr:spPr bwMode="auto">
        <a:xfrm>
          <a:off x="3651250" y="169608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54</xdr:row>
      <xdr:rowOff>0</xdr:rowOff>
    </xdr:from>
    <xdr:to>
      <xdr:col>2</xdr:col>
      <xdr:colOff>0</xdr:colOff>
      <xdr:row>57</xdr:row>
      <xdr:rowOff>31750</xdr:rowOff>
    </xdr:to>
    <xdr:sp macro="" textlink="">
      <xdr:nvSpPr>
        <xdr:cNvPr id="303566" name="TextBox 1080">
          <a:extLst>
            <a:ext uri="{FF2B5EF4-FFF2-40B4-BE49-F238E27FC236}">
              <a16:creationId xmlns:a16="http://schemas.microsoft.com/office/drawing/2014/main" id="{00000000-0008-0000-2200-0000CEA10400}"/>
            </a:ext>
          </a:extLst>
        </xdr:cNvPr>
        <xdr:cNvSpPr txBox="1">
          <a:spLocks noChangeArrowheads="1"/>
        </xdr:cNvSpPr>
      </xdr:nvSpPr>
      <xdr:spPr bwMode="auto">
        <a:xfrm>
          <a:off x="3651250" y="169608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54</xdr:row>
      <xdr:rowOff>0</xdr:rowOff>
    </xdr:from>
    <xdr:to>
      <xdr:col>2</xdr:col>
      <xdr:colOff>0</xdr:colOff>
      <xdr:row>57</xdr:row>
      <xdr:rowOff>31750</xdr:rowOff>
    </xdr:to>
    <xdr:sp macro="" textlink="">
      <xdr:nvSpPr>
        <xdr:cNvPr id="303567" name="TextBox 1211">
          <a:extLst>
            <a:ext uri="{FF2B5EF4-FFF2-40B4-BE49-F238E27FC236}">
              <a16:creationId xmlns:a16="http://schemas.microsoft.com/office/drawing/2014/main" id="{00000000-0008-0000-2200-0000CFA10400}"/>
            </a:ext>
          </a:extLst>
        </xdr:cNvPr>
        <xdr:cNvSpPr txBox="1">
          <a:spLocks noChangeArrowheads="1"/>
        </xdr:cNvSpPr>
      </xdr:nvSpPr>
      <xdr:spPr bwMode="auto">
        <a:xfrm>
          <a:off x="3651250" y="169608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54</xdr:row>
      <xdr:rowOff>0</xdr:rowOff>
    </xdr:from>
    <xdr:to>
      <xdr:col>1</xdr:col>
      <xdr:colOff>990600</xdr:colOff>
      <xdr:row>57</xdr:row>
      <xdr:rowOff>31750</xdr:rowOff>
    </xdr:to>
    <xdr:sp macro="" textlink="">
      <xdr:nvSpPr>
        <xdr:cNvPr id="303568" name="TextBox 1080">
          <a:extLst>
            <a:ext uri="{FF2B5EF4-FFF2-40B4-BE49-F238E27FC236}">
              <a16:creationId xmlns:a16="http://schemas.microsoft.com/office/drawing/2014/main" id="{00000000-0008-0000-2200-0000D0A10400}"/>
            </a:ext>
          </a:extLst>
        </xdr:cNvPr>
        <xdr:cNvSpPr txBox="1">
          <a:spLocks noChangeArrowheads="1"/>
        </xdr:cNvSpPr>
      </xdr:nvSpPr>
      <xdr:spPr bwMode="auto">
        <a:xfrm>
          <a:off x="1524000" y="169608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54</xdr:row>
      <xdr:rowOff>0</xdr:rowOff>
    </xdr:from>
    <xdr:to>
      <xdr:col>1</xdr:col>
      <xdr:colOff>990600</xdr:colOff>
      <xdr:row>57</xdr:row>
      <xdr:rowOff>31750</xdr:rowOff>
    </xdr:to>
    <xdr:sp macro="" textlink="">
      <xdr:nvSpPr>
        <xdr:cNvPr id="303569" name="TextBox 1211">
          <a:extLst>
            <a:ext uri="{FF2B5EF4-FFF2-40B4-BE49-F238E27FC236}">
              <a16:creationId xmlns:a16="http://schemas.microsoft.com/office/drawing/2014/main" id="{00000000-0008-0000-2200-0000D1A10400}"/>
            </a:ext>
          </a:extLst>
        </xdr:cNvPr>
        <xdr:cNvSpPr txBox="1">
          <a:spLocks noChangeArrowheads="1"/>
        </xdr:cNvSpPr>
      </xdr:nvSpPr>
      <xdr:spPr bwMode="auto">
        <a:xfrm>
          <a:off x="1524000" y="169608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54</xdr:row>
      <xdr:rowOff>0</xdr:rowOff>
    </xdr:from>
    <xdr:to>
      <xdr:col>1</xdr:col>
      <xdr:colOff>990600</xdr:colOff>
      <xdr:row>57</xdr:row>
      <xdr:rowOff>31750</xdr:rowOff>
    </xdr:to>
    <xdr:sp macro="" textlink="">
      <xdr:nvSpPr>
        <xdr:cNvPr id="303570" name="TextBox 1080">
          <a:extLst>
            <a:ext uri="{FF2B5EF4-FFF2-40B4-BE49-F238E27FC236}">
              <a16:creationId xmlns:a16="http://schemas.microsoft.com/office/drawing/2014/main" id="{00000000-0008-0000-2200-0000D2A10400}"/>
            </a:ext>
          </a:extLst>
        </xdr:cNvPr>
        <xdr:cNvSpPr txBox="1">
          <a:spLocks noChangeArrowheads="1"/>
        </xdr:cNvSpPr>
      </xdr:nvSpPr>
      <xdr:spPr bwMode="auto">
        <a:xfrm>
          <a:off x="1524000" y="169608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54</xdr:row>
      <xdr:rowOff>0</xdr:rowOff>
    </xdr:from>
    <xdr:to>
      <xdr:col>1</xdr:col>
      <xdr:colOff>990600</xdr:colOff>
      <xdr:row>57</xdr:row>
      <xdr:rowOff>31750</xdr:rowOff>
    </xdr:to>
    <xdr:sp macro="" textlink="">
      <xdr:nvSpPr>
        <xdr:cNvPr id="303571" name="TextBox 1211">
          <a:extLst>
            <a:ext uri="{FF2B5EF4-FFF2-40B4-BE49-F238E27FC236}">
              <a16:creationId xmlns:a16="http://schemas.microsoft.com/office/drawing/2014/main" id="{00000000-0008-0000-2200-0000D3A10400}"/>
            </a:ext>
          </a:extLst>
        </xdr:cNvPr>
        <xdr:cNvSpPr txBox="1">
          <a:spLocks noChangeArrowheads="1"/>
        </xdr:cNvSpPr>
      </xdr:nvSpPr>
      <xdr:spPr bwMode="auto">
        <a:xfrm>
          <a:off x="1524000" y="169608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54</xdr:row>
      <xdr:rowOff>0</xdr:rowOff>
    </xdr:from>
    <xdr:to>
      <xdr:col>2</xdr:col>
      <xdr:colOff>0</xdr:colOff>
      <xdr:row>55</xdr:row>
      <xdr:rowOff>152400</xdr:rowOff>
    </xdr:to>
    <xdr:sp macro="" textlink="">
      <xdr:nvSpPr>
        <xdr:cNvPr id="303572" name="TextBox 1080">
          <a:extLst>
            <a:ext uri="{FF2B5EF4-FFF2-40B4-BE49-F238E27FC236}">
              <a16:creationId xmlns:a16="http://schemas.microsoft.com/office/drawing/2014/main" id="{00000000-0008-0000-2200-0000D4A10400}"/>
            </a:ext>
          </a:extLst>
        </xdr:cNvPr>
        <xdr:cNvSpPr txBox="1">
          <a:spLocks noChangeArrowheads="1"/>
        </xdr:cNvSpPr>
      </xdr:nvSpPr>
      <xdr:spPr bwMode="auto">
        <a:xfrm>
          <a:off x="3651250" y="16960850"/>
          <a:ext cx="0" cy="38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54</xdr:row>
      <xdr:rowOff>0</xdr:rowOff>
    </xdr:from>
    <xdr:to>
      <xdr:col>2</xdr:col>
      <xdr:colOff>0</xdr:colOff>
      <xdr:row>55</xdr:row>
      <xdr:rowOff>152400</xdr:rowOff>
    </xdr:to>
    <xdr:sp macro="" textlink="">
      <xdr:nvSpPr>
        <xdr:cNvPr id="303573" name="TextBox 1211">
          <a:extLst>
            <a:ext uri="{FF2B5EF4-FFF2-40B4-BE49-F238E27FC236}">
              <a16:creationId xmlns:a16="http://schemas.microsoft.com/office/drawing/2014/main" id="{00000000-0008-0000-2200-0000D5A10400}"/>
            </a:ext>
          </a:extLst>
        </xdr:cNvPr>
        <xdr:cNvSpPr txBox="1">
          <a:spLocks noChangeArrowheads="1"/>
        </xdr:cNvSpPr>
      </xdr:nvSpPr>
      <xdr:spPr bwMode="auto">
        <a:xfrm>
          <a:off x="3651250" y="16960850"/>
          <a:ext cx="0" cy="38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54</xdr:row>
      <xdr:rowOff>0</xdr:rowOff>
    </xdr:from>
    <xdr:to>
      <xdr:col>2</xdr:col>
      <xdr:colOff>0</xdr:colOff>
      <xdr:row>55</xdr:row>
      <xdr:rowOff>152400</xdr:rowOff>
    </xdr:to>
    <xdr:sp macro="" textlink="">
      <xdr:nvSpPr>
        <xdr:cNvPr id="303574" name="TextBox 1080">
          <a:extLst>
            <a:ext uri="{FF2B5EF4-FFF2-40B4-BE49-F238E27FC236}">
              <a16:creationId xmlns:a16="http://schemas.microsoft.com/office/drawing/2014/main" id="{00000000-0008-0000-2200-0000D6A10400}"/>
            </a:ext>
          </a:extLst>
        </xdr:cNvPr>
        <xdr:cNvSpPr txBox="1">
          <a:spLocks noChangeArrowheads="1"/>
        </xdr:cNvSpPr>
      </xdr:nvSpPr>
      <xdr:spPr bwMode="auto">
        <a:xfrm>
          <a:off x="3651250" y="16960850"/>
          <a:ext cx="0" cy="38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54</xdr:row>
      <xdr:rowOff>0</xdr:rowOff>
    </xdr:from>
    <xdr:to>
      <xdr:col>2</xdr:col>
      <xdr:colOff>0</xdr:colOff>
      <xdr:row>55</xdr:row>
      <xdr:rowOff>152400</xdr:rowOff>
    </xdr:to>
    <xdr:sp macro="" textlink="">
      <xdr:nvSpPr>
        <xdr:cNvPr id="303575" name="TextBox 1211">
          <a:extLst>
            <a:ext uri="{FF2B5EF4-FFF2-40B4-BE49-F238E27FC236}">
              <a16:creationId xmlns:a16="http://schemas.microsoft.com/office/drawing/2014/main" id="{00000000-0008-0000-2200-0000D7A10400}"/>
            </a:ext>
          </a:extLst>
        </xdr:cNvPr>
        <xdr:cNvSpPr txBox="1">
          <a:spLocks noChangeArrowheads="1"/>
        </xdr:cNvSpPr>
      </xdr:nvSpPr>
      <xdr:spPr bwMode="auto">
        <a:xfrm>
          <a:off x="3651250" y="16960850"/>
          <a:ext cx="0" cy="38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54</xdr:row>
      <xdr:rowOff>0</xdr:rowOff>
    </xdr:from>
    <xdr:to>
      <xdr:col>2</xdr:col>
      <xdr:colOff>0</xdr:colOff>
      <xdr:row>55</xdr:row>
      <xdr:rowOff>152400</xdr:rowOff>
    </xdr:to>
    <xdr:sp macro="" textlink="">
      <xdr:nvSpPr>
        <xdr:cNvPr id="303576" name="TextBox 1080">
          <a:extLst>
            <a:ext uri="{FF2B5EF4-FFF2-40B4-BE49-F238E27FC236}">
              <a16:creationId xmlns:a16="http://schemas.microsoft.com/office/drawing/2014/main" id="{00000000-0008-0000-2200-0000D8A10400}"/>
            </a:ext>
          </a:extLst>
        </xdr:cNvPr>
        <xdr:cNvSpPr txBox="1">
          <a:spLocks noChangeArrowheads="1"/>
        </xdr:cNvSpPr>
      </xdr:nvSpPr>
      <xdr:spPr bwMode="auto">
        <a:xfrm>
          <a:off x="3651250" y="16960850"/>
          <a:ext cx="0" cy="38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54</xdr:row>
      <xdr:rowOff>0</xdr:rowOff>
    </xdr:from>
    <xdr:to>
      <xdr:col>2</xdr:col>
      <xdr:colOff>0</xdr:colOff>
      <xdr:row>55</xdr:row>
      <xdr:rowOff>152400</xdr:rowOff>
    </xdr:to>
    <xdr:sp macro="" textlink="">
      <xdr:nvSpPr>
        <xdr:cNvPr id="303577" name="TextBox 1211">
          <a:extLst>
            <a:ext uri="{FF2B5EF4-FFF2-40B4-BE49-F238E27FC236}">
              <a16:creationId xmlns:a16="http://schemas.microsoft.com/office/drawing/2014/main" id="{00000000-0008-0000-2200-0000D9A10400}"/>
            </a:ext>
          </a:extLst>
        </xdr:cNvPr>
        <xdr:cNvSpPr txBox="1">
          <a:spLocks noChangeArrowheads="1"/>
        </xdr:cNvSpPr>
      </xdr:nvSpPr>
      <xdr:spPr bwMode="auto">
        <a:xfrm>
          <a:off x="3651250" y="16960850"/>
          <a:ext cx="0" cy="38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54</xdr:row>
      <xdr:rowOff>0</xdr:rowOff>
    </xdr:from>
    <xdr:to>
      <xdr:col>2</xdr:col>
      <xdr:colOff>0</xdr:colOff>
      <xdr:row>55</xdr:row>
      <xdr:rowOff>152400</xdr:rowOff>
    </xdr:to>
    <xdr:sp macro="" textlink="">
      <xdr:nvSpPr>
        <xdr:cNvPr id="303578" name="TextBox 1080">
          <a:extLst>
            <a:ext uri="{FF2B5EF4-FFF2-40B4-BE49-F238E27FC236}">
              <a16:creationId xmlns:a16="http://schemas.microsoft.com/office/drawing/2014/main" id="{00000000-0008-0000-2200-0000DAA10400}"/>
            </a:ext>
          </a:extLst>
        </xdr:cNvPr>
        <xdr:cNvSpPr txBox="1">
          <a:spLocks noChangeArrowheads="1"/>
        </xdr:cNvSpPr>
      </xdr:nvSpPr>
      <xdr:spPr bwMode="auto">
        <a:xfrm>
          <a:off x="3651250" y="16960850"/>
          <a:ext cx="0" cy="38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54</xdr:row>
      <xdr:rowOff>0</xdr:rowOff>
    </xdr:from>
    <xdr:to>
      <xdr:col>2</xdr:col>
      <xdr:colOff>0</xdr:colOff>
      <xdr:row>55</xdr:row>
      <xdr:rowOff>152400</xdr:rowOff>
    </xdr:to>
    <xdr:sp macro="" textlink="">
      <xdr:nvSpPr>
        <xdr:cNvPr id="303579" name="TextBox 1211">
          <a:extLst>
            <a:ext uri="{FF2B5EF4-FFF2-40B4-BE49-F238E27FC236}">
              <a16:creationId xmlns:a16="http://schemas.microsoft.com/office/drawing/2014/main" id="{00000000-0008-0000-2200-0000DBA10400}"/>
            </a:ext>
          </a:extLst>
        </xdr:cNvPr>
        <xdr:cNvSpPr txBox="1">
          <a:spLocks noChangeArrowheads="1"/>
        </xdr:cNvSpPr>
      </xdr:nvSpPr>
      <xdr:spPr bwMode="auto">
        <a:xfrm>
          <a:off x="3651250" y="16960850"/>
          <a:ext cx="0" cy="38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1016000</xdr:colOff>
      <xdr:row>54</xdr:row>
      <xdr:rowOff>0</xdr:rowOff>
    </xdr:from>
    <xdr:to>
      <xdr:col>1</xdr:col>
      <xdr:colOff>1016000</xdr:colOff>
      <xdr:row>57</xdr:row>
      <xdr:rowOff>31750</xdr:rowOff>
    </xdr:to>
    <xdr:sp macro="" textlink="">
      <xdr:nvSpPr>
        <xdr:cNvPr id="303580" name="TextBox 1080">
          <a:extLst>
            <a:ext uri="{FF2B5EF4-FFF2-40B4-BE49-F238E27FC236}">
              <a16:creationId xmlns:a16="http://schemas.microsoft.com/office/drawing/2014/main" id="{00000000-0008-0000-2200-0000DCA10400}"/>
            </a:ext>
          </a:extLst>
        </xdr:cNvPr>
        <xdr:cNvSpPr txBox="1">
          <a:spLocks noChangeArrowheads="1"/>
        </xdr:cNvSpPr>
      </xdr:nvSpPr>
      <xdr:spPr bwMode="auto">
        <a:xfrm>
          <a:off x="1549400" y="169608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1016000</xdr:colOff>
      <xdr:row>54</xdr:row>
      <xdr:rowOff>0</xdr:rowOff>
    </xdr:from>
    <xdr:to>
      <xdr:col>1</xdr:col>
      <xdr:colOff>1016000</xdr:colOff>
      <xdr:row>57</xdr:row>
      <xdr:rowOff>31750</xdr:rowOff>
    </xdr:to>
    <xdr:sp macro="" textlink="">
      <xdr:nvSpPr>
        <xdr:cNvPr id="303581" name="TextBox 1211">
          <a:extLst>
            <a:ext uri="{FF2B5EF4-FFF2-40B4-BE49-F238E27FC236}">
              <a16:creationId xmlns:a16="http://schemas.microsoft.com/office/drawing/2014/main" id="{00000000-0008-0000-2200-0000DDA10400}"/>
            </a:ext>
          </a:extLst>
        </xdr:cNvPr>
        <xdr:cNvSpPr txBox="1">
          <a:spLocks noChangeArrowheads="1"/>
        </xdr:cNvSpPr>
      </xdr:nvSpPr>
      <xdr:spPr bwMode="auto">
        <a:xfrm>
          <a:off x="1549400" y="169608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1016000</xdr:colOff>
      <xdr:row>54</xdr:row>
      <xdr:rowOff>0</xdr:rowOff>
    </xdr:from>
    <xdr:to>
      <xdr:col>1</xdr:col>
      <xdr:colOff>1016000</xdr:colOff>
      <xdr:row>57</xdr:row>
      <xdr:rowOff>31750</xdr:rowOff>
    </xdr:to>
    <xdr:sp macro="" textlink="">
      <xdr:nvSpPr>
        <xdr:cNvPr id="303582" name="TextBox 1080">
          <a:extLst>
            <a:ext uri="{FF2B5EF4-FFF2-40B4-BE49-F238E27FC236}">
              <a16:creationId xmlns:a16="http://schemas.microsoft.com/office/drawing/2014/main" id="{00000000-0008-0000-2200-0000DEA10400}"/>
            </a:ext>
          </a:extLst>
        </xdr:cNvPr>
        <xdr:cNvSpPr txBox="1">
          <a:spLocks noChangeArrowheads="1"/>
        </xdr:cNvSpPr>
      </xdr:nvSpPr>
      <xdr:spPr bwMode="auto">
        <a:xfrm>
          <a:off x="1549400" y="169608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1016000</xdr:colOff>
      <xdr:row>54</xdr:row>
      <xdr:rowOff>0</xdr:rowOff>
    </xdr:from>
    <xdr:to>
      <xdr:col>1</xdr:col>
      <xdr:colOff>1016000</xdr:colOff>
      <xdr:row>57</xdr:row>
      <xdr:rowOff>31750</xdr:rowOff>
    </xdr:to>
    <xdr:sp macro="" textlink="">
      <xdr:nvSpPr>
        <xdr:cNvPr id="303583" name="TextBox 1211">
          <a:extLst>
            <a:ext uri="{FF2B5EF4-FFF2-40B4-BE49-F238E27FC236}">
              <a16:creationId xmlns:a16="http://schemas.microsoft.com/office/drawing/2014/main" id="{00000000-0008-0000-2200-0000DFA10400}"/>
            </a:ext>
          </a:extLst>
        </xdr:cNvPr>
        <xdr:cNvSpPr txBox="1">
          <a:spLocks noChangeArrowheads="1"/>
        </xdr:cNvSpPr>
      </xdr:nvSpPr>
      <xdr:spPr bwMode="auto">
        <a:xfrm>
          <a:off x="1549400" y="169608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54</xdr:row>
      <xdr:rowOff>0</xdr:rowOff>
    </xdr:from>
    <xdr:to>
      <xdr:col>2</xdr:col>
      <xdr:colOff>0</xdr:colOff>
      <xdr:row>57</xdr:row>
      <xdr:rowOff>31750</xdr:rowOff>
    </xdr:to>
    <xdr:sp macro="" textlink="">
      <xdr:nvSpPr>
        <xdr:cNvPr id="303584" name="TextBox 1080">
          <a:extLst>
            <a:ext uri="{FF2B5EF4-FFF2-40B4-BE49-F238E27FC236}">
              <a16:creationId xmlns:a16="http://schemas.microsoft.com/office/drawing/2014/main" id="{00000000-0008-0000-2200-0000E0A10400}"/>
            </a:ext>
          </a:extLst>
        </xdr:cNvPr>
        <xdr:cNvSpPr txBox="1">
          <a:spLocks noChangeArrowheads="1"/>
        </xdr:cNvSpPr>
      </xdr:nvSpPr>
      <xdr:spPr bwMode="auto">
        <a:xfrm>
          <a:off x="3651250" y="169608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54</xdr:row>
      <xdr:rowOff>0</xdr:rowOff>
    </xdr:from>
    <xdr:to>
      <xdr:col>2</xdr:col>
      <xdr:colOff>0</xdr:colOff>
      <xdr:row>57</xdr:row>
      <xdr:rowOff>31750</xdr:rowOff>
    </xdr:to>
    <xdr:sp macro="" textlink="">
      <xdr:nvSpPr>
        <xdr:cNvPr id="303585" name="TextBox 1211">
          <a:extLst>
            <a:ext uri="{FF2B5EF4-FFF2-40B4-BE49-F238E27FC236}">
              <a16:creationId xmlns:a16="http://schemas.microsoft.com/office/drawing/2014/main" id="{00000000-0008-0000-2200-0000E1A10400}"/>
            </a:ext>
          </a:extLst>
        </xdr:cNvPr>
        <xdr:cNvSpPr txBox="1">
          <a:spLocks noChangeArrowheads="1"/>
        </xdr:cNvSpPr>
      </xdr:nvSpPr>
      <xdr:spPr bwMode="auto">
        <a:xfrm>
          <a:off x="3651250" y="169608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54</xdr:row>
      <xdr:rowOff>0</xdr:rowOff>
    </xdr:from>
    <xdr:to>
      <xdr:col>2</xdr:col>
      <xdr:colOff>0</xdr:colOff>
      <xdr:row>57</xdr:row>
      <xdr:rowOff>31750</xdr:rowOff>
    </xdr:to>
    <xdr:sp macro="" textlink="">
      <xdr:nvSpPr>
        <xdr:cNvPr id="303586" name="TextBox 1080">
          <a:extLst>
            <a:ext uri="{FF2B5EF4-FFF2-40B4-BE49-F238E27FC236}">
              <a16:creationId xmlns:a16="http://schemas.microsoft.com/office/drawing/2014/main" id="{00000000-0008-0000-2200-0000E2A10400}"/>
            </a:ext>
          </a:extLst>
        </xdr:cNvPr>
        <xdr:cNvSpPr txBox="1">
          <a:spLocks noChangeArrowheads="1"/>
        </xdr:cNvSpPr>
      </xdr:nvSpPr>
      <xdr:spPr bwMode="auto">
        <a:xfrm>
          <a:off x="3651250" y="169608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54</xdr:row>
      <xdr:rowOff>0</xdr:rowOff>
    </xdr:from>
    <xdr:to>
      <xdr:col>2</xdr:col>
      <xdr:colOff>0</xdr:colOff>
      <xdr:row>57</xdr:row>
      <xdr:rowOff>31750</xdr:rowOff>
    </xdr:to>
    <xdr:sp macro="" textlink="">
      <xdr:nvSpPr>
        <xdr:cNvPr id="303587" name="TextBox 1211">
          <a:extLst>
            <a:ext uri="{FF2B5EF4-FFF2-40B4-BE49-F238E27FC236}">
              <a16:creationId xmlns:a16="http://schemas.microsoft.com/office/drawing/2014/main" id="{00000000-0008-0000-2200-0000E3A10400}"/>
            </a:ext>
          </a:extLst>
        </xdr:cNvPr>
        <xdr:cNvSpPr txBox="1">
          <a:spLocks noChangeArrowheads="1"/>
        </xdr:cNvSpPr>
      </xdr:nvSpPr>
      <xdr:spPr bwMode="auto">
        <a:xfrm>
          <a:off x="3651250" y="169608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1016000</xdr:colOff>
      <xdr:row>54</xdr:row>
      <xdr:rowOff>0</xdr:rowOff>
    </xdr:from>
    <xdr:to>
      <xdr:col>1</xdr:col>
      <xdr:colOff>1016000</xdr:colOff>
      <xdr:row>57</xdr:row>
      <xdr:rowOff>31750</xdr:rowOff>
    </xdr:to>
    <xdr:sp macro="" textlink="">
      <xdr:nvSpPr>
        <xdr:cNvPr id="303588" name="TextBox 1080">
          <a:extLst>
            <a:ext uri="{FF2B5EF4-FFF2-40B4-BE49-F238E27FC236}">
              <a16:creationId xmlns:a16="http://schemas.microsoft.com/office/drawing/2014/main" id="{00000000-0008-0000-2200-0000E4A10400}"/>
            </a:ext>
          </a:extLst>
        </xdr:cNvPr>
        <xdr:cNvSpPr txBox="1">
          <a:spLocks noChangeArrowheads="1"/>
        </xdr:cNvSpPr>
      </xdr:nvSpPr>
      <xdr:spPr bwMode="auto">
        <a:xfrm>
          <a:off x="1549400" y="169608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1016000</xdr:colOff>
      <xdr:row>54</xdr:row>
      <xdr:rowOff>0</xdr:rowOff>
    </xdr:from>
    <xdr:to>
      <xdr:col>1</xdr:col>
      <xdr:colOff>1016000</xdr:colOff>
      <xdr:row>57</xdr:row>
      <xdr:rowOff>31750</xdr:rowOff>
    </xdr:to>
    <xdr:sp macro="" textlink="">
      <xdr:nvSpPr>
        <xdr:cNvPr id="303589" name="TextBox 1211">
          <a:extLst>
            <a:ext uri="{FF2B5EF4-FFF2-40B4-BE49-F238E27FC236}">
              <a16:creationId xmlns:a16="http://schemas.microsoft.com/office/drawing/2014/main" id="{00000000-0008-0000-2200-0000E5A10400}"/>
            </a:ext>
          </a:extLst>
        </xdr:cNvPr>
        <xdr:cNvSpPr txBox="1">
          <a:spLocks noChangeArrowheads="1"/>
        </xdr:cNvSpPr>
      </xdr:nvSpPr>
      <xdr:spPr bwMode="auto">
        <a:xfrm>
          <a:off x="1549400" y="169608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1016000</xdr:colOff>
      <xdr:row>54</xdr:row>
      <xdr:rowOff>0</xdr:rowOff>
    </xdr:from>
    <xdr:to>
      <xdr:col>1</xdr:col>
      <xdr:colOff>1016000</xdr:colOff>
      <xdr:row>57</xdr:row>
      <xdr:rowOff>31750</xdr:rowOff>
    </xdr:to>
    <xdr:sp macro="" textlink="">
      <xdr:nvSpPr>
        <xdr:cNvPr id="303590" name="TextBox 1080">
          <a:extLst>
            <a:ext uri="{FF2B5EF4-FFF2-40B4-BE49-F238E27FC236}">
              <a16:creationId xmlns:a16="http://schemas.microsoft.com/office/drawing/2014/main" id="{00000000-0008-0000-2200-0000E6A10400}"/>
            </a:ext>
          </a:extLst>
        </xdr:cNvPr>
        <xdr:cNvSpPr txBox="1">
          <a:spLocks noChangeArrowheads="1"/>
        </xdr:cNvSpPr>
      </xdr:nvSpPr>
      <xdr:spPr bwMode="auto">
        <a:xfrm>
          <a:off x="1549400" y="16960850"/>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965200</xdr:colOff>
      <xdr:row>54</xdr:row>
      <xdr:rowOff>0</xdr:rowOff>
    </xdr:from>
    <xdr:to>
      <xdr:col>1</xdr:col>
      <xdr:colOff>965200</xdr:colOff>
      <xdr:row>57</xdr:row>
      <xdr:rowOff>266700</xdr:rowOff>
    </xdr:to>
    <xdr:sp macro="" textlink="">
      <xdr:nvSpPr>
        <xdr:cNvPr id="303591" name="TextBox 1211">
          <a:extLst>
            <a:ext uri="{FF2B5EF4-FFF2-40B4-BE49-F238E27FC236}">
              <a16:creationId xmlns:a16="http://schemas.microsoft.com/office/drawing/2014/main" id="{00000000-0008-0000-2200-0000E7A10400}"/>
            </a:ext>
          </a:extLst>
        </xdr:cNvPr>
        <xdr:cNvSpPr txBox="1">
          <a:spLocks noChangeArrowheads="1"/>
        </xdr:cNvSpPr>
      </xdr:nvSpPr>
      <xdr:spPr bwMode="auto">
        <a:xfrm>
          <a:off x="1498600" y="16960850"/>
          <a:ext cx="0" cy="1358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54</xdr:row>
      <xdr:rowOff>0</xdr:rowOff>
    </xdr:from>
    <xdr:to>
      <xdr:col>2</xdr:col>
      <xdr:colOff>0</xdr:colOff>
      <xdr:row>57</xdr:row>
      <xdr:rowOff>165100</xdr:rowOff>
    </xdr:to>
    <xdr:sp macro="" textlink="">
      <xdr:nvSpPr>
        <xdr:cNvPr id="303592" name="TextBox 1080">
          <a:extLst>
            <a:ext uri="{FF2B5EF4-FFF2-40B4-BE49-F238E27FC236}">
              <a16:creationId xmlns:a16="http://schemas.microsoft.com/office/drawing/2014/main" id="{00000000-0008-0000-2200-0000E8A10400}"/>
            </a:ext>
          </a:extLst>
        </xdr:cNvPr>
        <xdr:cNvSpPr txBox="1">
          <a:spLocks noChangeArrowheads="1"/>
        </xdr:cNvSpPr>
      </xdr:nvSpPr>
      <xdr:spPr bwMode="auto">
        <a:xfrm>
          <a:off x="3651250" y="16960850"/>
          <a:ext cx="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54</xdr:row>
      <xdr:rowOff>0</xdr:rowOff>
    </xdr:from>
    <xdr:to>
      <xdr:col>2</xdr:col>
      <xdr:colOff>0</xdr:colOff>
      <xdr:row>57</xdr:row>
      <xdr:rowOff>165100</xdr:rowOff>
    </xdr:to>
    <xdr:sp macro="" textlink="">
      <xdr:nvSpPr>
        <xdr:cNvPr id="303593" name="TextBox 1211">
          <a:extLst>
            <a:ext uri="{FF2B5EF4-FFF2-40B4-BE49-F238E27FC236}">
              <a16:creationId xmlns:a16="http://schemas.microsoft.com/office/drawing/2014/main" id="{00000000-0008-0000-2200-0000E9A10400}"/>
            </a:ext>
          </a:extLst>
        </xdr:cNvPr>
        <xdr:cNvSpPr txBox="1">
          <a:spLocks noChangeArrowheads="1"/>
        </xdr:cNvSpPr>
      </xdr:nvSpPr>
      <xdr:spPr bwMode="auto">
        <a:xfrm>
          <a:off x="3651250" y="16960850"/>
          <a:ext cx="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54</xdr:row>
      <xdr:rowOff>0</xdr:rowOff>
    </xdr:from>
    <xdr:to>
      <xdr:col>2</xdr:col>
      <xdr:colOff>0</xdr:colOff>
      <xdr:row>57</xdr:row>
      <xdr:rowOff>165100</xdr:rowOff>
    </xdr:to>
    <xdr:sp macro="" textlink="">
      <xdr:nvSpPr>
        <xdr:cNvPr id="303594" name="TextBox 1080">
          <a:extLst>
            <a:ext uri="{FF2B5EF4-FFF2-40B4-BE49-F238E27FC236}">
              <a16:creationId xmlns:a16="http://schemas.microsoft.com/office/drawing/2014/main" id="{00000000-0008-0000-2200-0000EAA10400}"/>
            </a:ext>
          </a:extLst>
        </xdr:cNvPr>
        <xdr:cNvSpPr txBox="1">
          <a:spLocks noChangeArrowheads="1"/>
        </xdr:cNvSpPr>
      </xdr:nvSpPr>
      <xdr:spPr bwMode="auto">
        <a:xfrm>
          <a:off x="3651250" y="16960850"/>
          <a:ext cx="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54</xdr:row>
      <xdr:rowOff>0</xdr:rowOff>
    </xdr:from>
    <xdr:to>
      <xdr:col>2</xdr:col>
      <xdr:colOff>0</xdr:colOff>
      <xdr:row>57</xdr:row>
      <xdr:rowOff>165100</xdr:rowOff>
    </xdr:to>
    <xdr:sp macro="" textlink="">
      <xdr:nvSpPr>
        <xdr:cNvPr id="303595" name="TextBox 1211">
          <a:extLst>
            <a:ext uri="{FF2B5EF4-FFF2-40B4-BE49-F238E27FC236}">
              <a16:creationId xmlns:a16="http://schemas.microsoft.com/office/drawing/2014/main" id="{00000000-0008-0000-2200-0000EBA10400}"/>
            </a:ext>
          </a:extLst>
        </xdr:cNvPr>
        <xdr:cNvSpPr txBox="1">
          <a:spLocks noChangeArrowheads="1"/>
        </xdr:cNvSpPr>
      </xdr:nvSpPr>
      <xdr:spPr bwMode="auto">
        <a:xfrm>
          <a:off x="3651250" y="16960850"/>
          <a:ext cx="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54</xdr:row>
      <xdr:rowOff>0</xdr:rowOff>
    </xdr:from>
    <xdr:to>
      <xdr:col>2</xdr:col>
      <xdr:colOff>0</xdr:colOff>
      <xdr:row>56</xdr:row>
      <xdr:rowOff>184150</xdr:rowOff>
    </xdr:to>
    <xdr:sp macro="" textlink="">
      <xdr:nvSpPr>
        <xdr:cNvPr id="303596" name="TextBox 1080">
          <a:extLst>
            <a:ext uri="{FF2B5EF4-FFF2-40B4-BE49-F238E27FC236}">
              <a16:creationId xmlns:a16="http://schemas.microsoft.com/office/drawing/2014/main" id="{00000000-0008-0000-2200-0000ECA10400}"/>
            </a:ext>
          </a:extLst>
        </xdr:cNvPr>
        <xdr:cNvSpPr txBox="1">
          <a:spLocks noChangeArrowheads="1"/>
        </xdr:cNvSpPr>
      </xdr:nvSpPr>
      <xdr:spPr bwMode="auto">
        <a:xfrm>
          <a:off x="3651250" y="16960850"/>
          <a:ext cx="0" cy="831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54</xdr:row>
      <xdr:rowOff>0</xdr:rowOff>
    </xdr:from>
    <xdr:to>
      <xdr:col>2</xdr:col>
      <xdr:colOff>0</xdr:colOff>
      <xdr:row>56</xdr:row>
      <xdr:rowOff>184150</xdr:rowOff>
    </xdr:to>
    <xdr:sp macro="" textlink="">
      <xdr:nvSpPr>
        <xdr:cNvPr id="303597" name="TextBox 1211">
          <a:extLst>
            <a:ext uri="{FF2B5EF4-FFF2-40B4-BE49-F238E27FC236}">
              <a16:creationId xmlns:a16="http://schemas.microsoft.com/office/drawing/2014/main" id="{00000000-0008-0000-2200-0000EDA10400}"/>
            </a:ext>
          </a:extLst>
        </xdr:cNvPr>
        <xdr:cNvSpPr txBox="1">
          <a:spLocks noChangeArrowheads="1"/>
        </xdr:cNvSpPr>
      </xdr:nvSpPr>
      <xdr:spPr bwMode="auto">
        <a:xfrm>
          <a:off x="3651250" y="16960850"/>
          <a:ext cx="0" cy="831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54</xdr:row>
      <xdr:rowOff>0</xdr:rowOff>
    </xdr:from>
    <xdr:to>
      <xdr:col>2</xdr:col>
      <xdr:colOff>0</xdr:colOff>
      <xdr:row>56</xdr:row>
      <xdr:rowOff>184150</xdr:rowOff>
    </xdr:to>
    <xdr:sp macro="" textlink="">
      <xdr:nvSpPr>
        <xdr:cNvPr id="303598" name="TextBox 1080">
          <a:extLst>
            <a:ext uri="{FF2B5EF4-FFF2-40B4-BE49-F238E27FC236}">
              <a16:creationId xmlns:a16="http://schemas.microsoft.com/office/drawing/2014/main" id="{00000000-0008-0000-2200-0000EEA10400}"/>
            </a:ext>
          </a:extLst>
        </xdr:cNvPr>
        <xdr:cNvSpPr txBox="1">
          <a:spLocks noChangeArrowheads="1"/>
        </xdr:cNvSpPr>
      </xdr:nvSpPr>
      <xdr:spPr bwMode="auto">
        <a:xfrm>
          <a:off x="3651250" y="16960850"/>
          <a:ext cx="0" cy="831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54</xdr:row>
      <xdr:rowOff>0</xdr:rowOff>
    </xdr:from>
    <xdr:to>
      <xdr:col>2</xdr:col>
      <xdr:colOff>0</xdr:colOff>
      <xdr:row>56</xdr:row>
      <xdr:rowOff>184150</xdr:rowOff>
    </xdr:to>
    <xdr:sp macro="" textlink="">
      <xdr:nvSpPr>
        <xdr:cNvPr id="303599" name="TextBox 1211">
          <a:extLst>
            <a:ext uri="{FF2B5EF4-FFF2-40B4-BE49-F238E27FC236}">
              <a16:creationId xmlns:a16="http://schemas.microsoft.com/office/drawing/2014/main" id="{00000000-0008-0000-2200-0000EFA10400}"/>
            </a:ext>
          </a:extLst>
        </xdr:cNvPr>
        <xdr:cNvSpPr txBox="1">
          <a:spLocks noChangeArrowheads="1"/>
        </xdr:cNvSpPr>
      </xdr:nvSpPr>
      <xdr:spPr bwMode="auto">
        <a:xfrm>
          <a:off x="3651250" y="16960850"/>
          <a:ext cx="0" cy="831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54</xdr:row>
      <xdr:rowOff>0</xdr:rowOff>
    </xdr:from>
    <xdr:to>
      <xdr:col>2</xdr:col>
      <xdr:colOff>0</xdr:colOff>
      <xdr:row>56</xdr:row>
      <xdr:rowOff>184150</xdr:rowOff>
    </xdr:to>
    <xdr:sp macro="" textlink="">
      <xdr:nvSpPr>
        <xdr:cNvPr id="303600" name="TextBox 1080">
          <a:extLst>
            <a:ext uri="{FF2B5EF4-FFF2-40B4-BE49-F238E27FC236}">
              <a16:creationId xmlns:a16="http://schemas.microsoft.com/office/drawing/2014/main" id="{00000000-0008-0000-2200-0000F0A10400}"/>
            </a:ext>
          </a:extLst>
        </xdr:cNvPr>
        <xdr:cNvSpPr txBox="1">
          <a:spLocks noChangeArrowheads="1"/>
        </xdr:cNvSpPr>
      </xdr:nvSpPr>
      <xdr:spPr bwMode="auto">
        <a:xfrm>
          <a:off x="3651250" y="16960850"/>
          <a:ext cx="0" cy="831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54</xdr:row>
      <xdr:rowOff>0</xdr:rowOff>
    </xdr:from>
    <xdr:to>
      <xdr:col>2</xdr:col>
      <xdr:colOff>0</xdr:colOff>
      <xdr:row>56</xdr:row>
      <xdr:rowOff>184150</xdr:rowOff>
    </xdr:to>
    <xdr:sp macro="" textlink="">
      <xdr:nvSpPr>
        <xdr:cNvPr id="303601" name="TextBox 1211">
          <a:extLst>
            <a:ext uri="{FF2B5EF4-FFF2-40B4-BE49-F238E27FC236}">
              <a16:creationId xmlns:a16="http://schemas.microsoft.com/office/drawing/2014/main" id="{00000000-0008-0000-2200-0000F1A10400}"/>
            </a:ext>
          </a:extLst>
        </xdr:cNvPr>
        <xdr:cNvSpPr txBox="1">
          <a:spLocks noChangeArrowheads="1"/>
        </xdr:cNvSpPr>
      </xdr:nvSpPr>
      <xdr:spPr bwMode="auto">
        <a:xfrm>
          <a:off x="3651250" y="16960850"/>
          <a:ext cx="0" cy="831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54</xdr:row>
      <xdr:rowOff>0</xdr:rowOff>
    </xdr:from>
    <xdr:to>
      <xdr:col>2</xdr:col>
      <xdr:colOff>0</xdr:colOff>
      <xdr:row>56</xdr:row>
      <xdr:rowOff>184150</xdr:rowOff>
    </xdr:to>
    <xdr:sp macro="" textlink="">
      <xdr:nvSpPr>
        <xdr:cNvPr id="303602" name="TextBox 1080">
          <a:extLst>
            <a:ext uri="{FF2B5EF4-FFF2-40B4-BE49-F238E27FC236}">
              <a16:creationId xmlns:a16="http://schemas.microsoft.com/office/drawing/2014/main" id="{00000000-0008-0000-2200-0000F2A10400}"/>
            </a:ext>
          </a:extLst>
        </xdr:cNvPr>
        <xdr:cNvSpPr txBox="1">
          <a:spLocks noChangeArrowheads="1"/>
        </xdr:cNvSpPr>
      </xdr:nvSpPr>
      <xdr:spPr bwMode="auto">
        <a:xfrm>
          <a:off x="3651250" y="16960850"/>
          <a:ext cx="0" cy="831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54</xdr:row>
      <xdr:rowOff>0</xdr:rowOff>
    </xdr:from>
    <xdr:to>
      <xdr:col>2</xdr:col>
      <xdr:colOff>0</xdr:colOff>
      <xdr:row>56</xdr:row>
      <xdr:rowOff>184150</xdr:rowOff>
    </xdr:to>
    <xdr:sp macro="" textlink="">
      <xdr:nvSpPr>
        <xdr:cNvPr id="303603" name="TextBox 1211">
          <a:extLst>
            <a:ext uri="{FF2B5EF4-FFF2-40B4-BE49-F238E27FC236}">
              <a16:creationId xmlns:a16="http://schemas.microsoft.com/office/drawing/2014/main" id="{00000000-0008-0000-2200-0000F3A10400}"/>
            </a:ext>
          </a:extLst>
        </xdr:cNvPr>
        <xdr:cNvSpPr txBox="1">
          <a:spLocks noChangeArrowheads="1"/>
        </xdr:cNvSpPr>
      </xdr:nvSpPr>
      <xdr:spPr bwMode="auto">
        <a:xfrm>
          <a:off x="3651250" y="16960850"/>
          <a:ext cx="0" cy="831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54</xdr:row>
      <xdr:rowOff>0</xdr:rowOff>
    </xdr:from>
    <xdr:to>
      <xdr:col>2</xdr:col>
      <xdr:colOff>0</xdr:colOff>
      <xdr:row>57</xdr:row>
      <xdr:rowOff>165100</xdr:rowOff>
    </xdr:to>
    <xdr:sp macro="" textlink="">
      <xdr:nvSpPr>
        <xdr:cNvPr id="303604" name="TextBox 1080">
          <a:extLst>
            <a:ext uri="{FF2B5EF4-FFF2-40B4-BE49-F238E27FC236}">
              <a16:creationId xmlns:a16="http://schemas.microsoft.com/office/drawing/2014/main" id="{00000000-0008-0000-2200-0000F4A10400}"/>
            </a:ext>
          </a:extLst>
        </xdr:cNvPr>
        <xdr:cNvSpPr txBox="1">
          <a:spLocks noChangeArrowheads="1"/>
        </xdr:cNvSpPr>
      </xdr:nvSpPr>
      <xdr:spPr bwMode="auto">
        <a:xfrm>
          <a:off x="3651250" y="16960850"/>
          <a:ext cx="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54</xdr:row>
      <xdr:rowOff>0</xdr:rowOff>
    </xdr:from>
    <xdr:to>
      <xdr:col>2</xdr:col>
      <xdr:colOff>0</xdr:colOff>
      <xdr:row>57</xdr:row>
      <xdr:rowOff>165100</xdr:rowOff>
    </xdr:to>
    <xdr:sp macro="" textlink="">
      <xdr:nvSpPr>
        <xdr:cNvPr id="303605" name="TextBox 1211">
          <a:extLst>
            <a:ext uri="{FF2B5EF4-FFF2-40B4-BE49-F238E27FC236}">
              <a16:creationId xmlns:a16="http://schemas.microsoft.com/office/drawing/2014/main" id="{00000000-0008-0000-2200-0000F5A10400}"/>
            </a:ext>
          </a:extLst>
        </xdr:cNvPr>
        <xdr:cNvSpPr txBox="1">
          <a:spLocks noChangeArrowheads="1"/>
        </xdr:cNvSpPr>
      </xdr:nvSpPr>
      <xdr:spPr bwMode="auto">
        <a:xfrm>
          <a:off x="3651250" y="16960850"/>
          <a:ext cx="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54</xdr:row>
      <xdr:rowOff>0</xdr:rowOff>
    </xdr:from>
    <xdr:to>
      <xdr:col>2</xdr:col>
      <xdr:colOff>0</xdr:colOff>
      <xdr:row>57</xdr:row>
      <xdr:rowOff>165100</xdr:rowOff>
    </xdr:to>
    <xdr:sp macro="" textlink="">
      <xdr:nvSpPr>
        <xdr:cNvPr id="303606" name="TextBox 1080">
          <a:extLst>
            <a:ext uri="{FF2B5EF4-FFF2-40B4-BE49-F238E27FC236}">
              <a16:creationId xmlns:a16="http://schemas.microsoft.com/office/drawing/2014/main" id="{00000000-0008-0000-2200-0000F6A10400}"/>
            </a:ext>
          </a:extLst>
        </xdr:cNvPr>
        <xdr:cNvSpPr txBox="1">
          <a:spLocks noChangeArrowheads="1"/>
        </xdr:cNvSpPr>
      </xdr:nvSpPr>
      <xdr:spPr bwMode="auto">
        <a:xfrm>
          <a:off x="3651250" y="16960850"/>
          <a:ext cx="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54</xdr:row>
      <xdr:rowOff>0</xdr:rowOff>
    </xdr:from>
    <xdr:to>
      <xdr:col>2</xdr:col>
      <xdr:colOff>0</xdr:colOff>
      <xdr:row>57</xdr:row>
      <xdr:rowOff>165100</xdr:rowOff>
    </xdr:to>
    <xdr:sp macro="" textlink="">
      <xdr:nvSpPr>
        <xdr:cNvPr id="303607" name="TextBox 1211">
          <a:extLst>
            <a:ext uri="{FF2B5EF4-FFF2-40B4-BE49-F238E27FC236}">
              <a16:creationId xmlns:a16="http://schemas.microsoft.com/office/drawing/2014/main" id="{00000000-0008-0000-2200-0000F7A10400}"/>
            </a:ext>
          </a:extLst>
        </xdr:cNvPr>
        <xdr:cNvSpPr txBox="1">
          <a:spLocks noChangeArrowheads="1"/>
        </xdr:cNvSpPr>
      </xdr:nvSpPr>
      <xdr:spPr bwMode="auto">
        <a:xfrm>
          <a:off x="3651250" y="16960850"/>
          <a:ext cx="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54</xdr:row>
      <xdr:rowOff>0</xdr:rowOff>
    </xdr:from>
    <xdr:to>
      <xdr:col>2</xdr:col>
      <xdr:colOff>0</xdr:colOff>
      <xdr:row>57</xdr:row>
      <xdr:rowOff>165100</xdr:rowOff>
    </xdr:to>
    <xdr:sp macro="" textlink="">
      <xdr:nvSpPr>
        <xdr:cNvPr id="303608" name="TextBox 1080">
          <a:extLst>
            <a:ext uri="{FF2B5EF4-FFF2-40B4-BE49-F238E27FC236}">
              <a16:creationId xmlns:a16="http://schemas.microsoft.com/office/drawing/2014/main" id="{00000000-0008-0000-2200-0000F8A10400}"/>
            </a:ext>
          </a:extLst>
        </xdr:cNvPr>
        <xdr:cNvSpPr txBox="1">
          <a:spLocks noChangeArrowheads="1"/>
        </xdr:cNvSpPr>
      </xdr:nvSpPr>
      <xdr:spPr bwMode="auto">
        <a:xfrm>
          <a:off x="3651250" y="16960850"/>
          <a:ext cx="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54</xdr:row>
      <xdr:rowOff>0</xdr:rowOff>
    </xdr:from>
    <xdr:to>
      <xdr:col>2</xdr:col>
      <xdr:colOff>0</xdr:colOff>
      <xdr:row>57</xdr:row>
      <xdr:rowOff>165100</xdr:rowOff>
    </xdr:to>
    <xdr:sp macro="" textlink="">
      <xdr:nvSpPr>
        <xdr:cNvPr id="303609" name="TextBox 1211">
          <a:extLst>
            <a:ext uri="{FF2B5EF4-FFF2-40B4-BE49-F238E27FC236}">
              <a16:creationId xmlns:a16="http://schemas.microsoft.com/office/drawing/2014/main" id="{00000000-0008-0000-2200-0000F9A10400}"/>
            </a:ext>
          </a:extLst>
        </xdr:cNvPr>
        <xdr:cNvSpPr txBox="1">
          <a:spLocks noChangeArrowheads="1"/>
        </xdr:cNvSpPr>
      </xdr:nvSpPr>
      <xdr:spPr bwMode="auto">
        <a:xfrm>
          <a:off x="3651250" y="16960850"/>
          <a:ext cx="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54</xdr:row>
      <xdr:rowOff>0</xdr:rowOff>
    </xdr:from>
    <xdr:to>
      <xdr:col>2</xdr:col>
      <xdr:colOff>0</xdr:colOff>
      <xdr:row>57</xdr:row>
      <xdr:rowOff>165100</xdr:rowOff>
    </xdr:to>
    <xdr:sp macro="" textlink="">
      <xdr:nvSpPr>
        <xdr:cNvPr id="303610" name="TextBox 1080">
          <a:extLst>
            <a:ext uri="{FF2B5EF4-FFF2-40B4-BE49-F238E27FC236}">
              <a16:creationId xmlns:a16="http://schemas.microsoft.com/office/drawing/2014/main" id="{00000000-0008-0000-2200-0000FAA10400}"/>
            </a:ext>
          </a:extLst>
        </xdr:cNvPr>
        <xdr:cNvSpPr txBox="1">
          <a:spLocks noChangeArrowheads="1"/>
        </xdr:cNvSpPr>
      </xdr:nvSpPr>
      <xdr:spPr bwMode="auto">
        <a:xfrm>
          <a:off x="3651250" y="16960850"/>
          <a:ext cx="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54</xdr:row>
      <xdr:rowOff>0</xdr:rowOff>
    </xdr:from>
    <xdr:to>
      <xdr:col>2</xdr:col>
      <xdr:colOff>0</xdr:colOff>
      <xdr:row>57</xdr:row>
      <xdr:rowOff>165100</xdr:rowOff>
    </xdr:to>
    <xdr:sp macro="" textlink="">
      <xdr:nvSpPr>
        <xdr:cNvPr id="303611" name="TextBox 1211">
          <a:extLst>
            <a:ext uri="{FF2B5EF4-FFF2-40B4-BE49-F238E27FC236}">
              <a16:creationId xmlns:a16="http://schemas.microsoft.com/office/drawing/2014/main" id="{00000000-0008-0000-2200-0000FBA10400}"/>
            </a:ext>
          </a:extLst>
        </xdr:cNvPr>
        <xdr:cNvSpPr txBox="1">
          <a:spLocks noChangeArrowheads="1"/>
        </xdr:cNvSpPr>
      </xdr:nvSpPr>
      <xdr:spPr bwMode="auto">
        <a:xfrm>
          <a:off x="3651250" y="16960850"/>
          <a:ext cx="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193</xdr:row>
      <xdr:rowOff>0</xdr:rowOff>
    </xdr:from>
    <xdr:to>
      <xdr:col>2</xdr:col>
      <xdr:colOff>0</xdr:colOff>
      <xdr:row>194</xdr:row>
      <xdr:rowOff>177800</xdr:rowOff>
    </xdr:to>
    <xdr:sp macro="" textlink="">
      <xdr:nvSpPr>
        <xdr:cNvPr id="303612" name="TextBox 1080">
          <a:extLst>
            <a:ext uri="{FF2B5EF4-FFF2-40B4-BE49-F238E27FC236}">
              <a16:creationId xmlns:a16="http://schemas.microsoft.com/office/drawing/2014/main" id="{00000000-0008-0000-2200-0000FCA10400}"/>
            </a:ext>
          </a:extLst>
        </xdr:cNvPr>
        <xdr:cNvSpPr txBox="1">
          <a:spLocks noChangeArrowheads="1"/>
        </xdr:cNvSpPr>
      </xdr:nvSpPr>
      <xdr:spPr bwMode="auto">
        <a:xfrm>
          <a:off x="3651250" y="61810900"/>
          <a:ext cx="0" cy="412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193</xdr:row>
      <xdr:rowOff>0</xdr:rowOff>
    </xdr:from>
    <xdr:to>
      <xdr:col>2</xdr:col>
      <xdr:colOff>0</xdr:colOff>
      <xdr:row>194</xdr:row>
      <xdr:rowOff>177800</xdr:rowOff>
    </xdr:to>
    <xdr:sp macro="" textlink="">
      <xdr:nvSpPr>
        <xdr:cNvPr id="303613" name="TextBox 1211">
          <a:extLst>
            <a:ext uri="{FF2B5EF4-FFF2-40B4-BE49-F238E27FC236}">
              <a16:creationId xmlns:a16="http://schemas.microsoft.com/office/drawing/2014/main" id="{00000000-0008-0000-2200-0000FDA10400}"/>
            </a:ext>
          </a:extLst>
        </xdr:cNvPr>
        <xdr:cNvSpPr txBox="1">
          <a:spLocks noChangeArrowheads="1"/>
        </xdr:cNvSpPr>
      </xdr:nvSpPr>
      <xdr:spPr bwMode="auto">
        <a:xfrm>
          <a:off x="3651250" y="61810900"/>
          <a:ext cx="0" cy="412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193</xdr:row>
      <xdr:rowOff>0</xdr:rowOff>
    </xdr:from>
    <xdr:to>
      <xdr:col>2</xdr:col>
      <xdr:colOff>0</xdr:colOff>
      <xdr:row>194</xdr:row>
      <xdr:rowOff>177800</xdr:rowOff>
    </xdr:to>
    <xdr:sp macro="" textlink="">
      <xdr:nvSpPr>
        <xdr:cNvPr id="303614" name="TextBox 1080">
          <a:extLst>
            <a:ext uri="{FF2B5EF4-FFF2-40B4-BE49-F238E27FC236}">
              <a16:creationId xmlns:a16="http://schemas.microsoft.com/office/drawing/2014/main" id="{00000000-0008-0000-2200-0000FEA10400}"/>
            </a:ext>
          </a:extLst>
        </xdr:cNvPr>
        <xdr:cNvSpPr txBox="1">
          <a:spLocks noChangeArrowheads="1"/>
        </xdr:cNvSpPr>
      </xdr:nvSpPr>
      <xdr:spPr bwMode="auto">
        <a:xfrm>
          <a:off x="3651250" y="61810900"/>
          <a:ext cx="0" cy="412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193</xdr:row>
      <xdr:rowOff>0</xdr:rowOff>
    </xdr:from>
    <xdr:to>
      <xdr:col>2</xdr:col>
      <xdr:colOff>0</xdr:colOff>
      <xdr:row>194</xdr:row>
      <xdr:rowOff>177800</xdr:rowOff>
    </xdr:to>
    <xdr:sp macro="" textlink="">
      <xdr:nvSpPr>
        <xdr:cNvPr id="303615" name="TextBox 1211">
          <a:extLst>
            <a:ext uri="{FF2B5EF4-FFF2-40B4-BE49-F238E27FC236}">
              <a16:creationId xmlns:a16="http://schemas.microsoft.com/office/drawing/2014/main" id="{00000000-0008-0000-2200-0000FFA10400}"/>
            </a:ext>
          </a:extLst>
        </xdr:cNvPr>
        <xdr:cNvSpPr txBox="1">
          <a:spLocks noChangeArrowheads="1"/>
        </xdr:cNvSpPr>
      </xdr:nvSpPr>
      <xdr:spPr bwMode="auto">
        <a:xfrm>
          <a:off x="3651250" y="61810900"/>
          <a:ext cx="0" cy="412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193</xdr:row>
      <xdr:rowOff>0</xdr:rowOff>
    </xdr:from>
    <xdr:to>
      <xdr:col>2</xdr:col>
      <xdr:colOff>0</xdr:colOff>
      <xdr:row>194</xdr:row>
      <xdr:rowOff>177800</xdr:rowOff>
    </xdr:to>
    <xdr:sp macro="" textlink="">
      <xdr:nvSpPr>
        <xdr:cNvPr id="303616" name="TextBox 1080">
          <a:extLst>
            <a:ext uri="{FF2B5EF4-FFF2-40B4-BE49-F238E27FC236}">
              <a16:creationId xmlns:a16="http://schemas.microsoft.com/office/drawing/2014/main" id="{00000000-0008-0000-2200-000000A20400}"/>
            </a:ext>
          </a:extLst>
        </xdr:cNvPr>
        <xdr:cNvSpPr txBox="1">
          <a:spLocks noChangeArrowheads="1"/>
        </xdr:cNvSpPr>
      </xdr:nvSpPr>
      <xdr:spPr bwMode="auto">
        <a:xfrm>
          <a:off x="3651250" y="61810900"/>
          <a:ext cx="0" cy="412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193</xdr:row>
      <xdr:rowOff>0</xdr:rowOff>
    </xdr:from>
    <xdr:to>
      <xdr:col>2</xdr:col>
      <xdr:colOff>0</xdr:colOff>
      <xdr:row>194</xdr:row>
      <xdr:rowOff>177800</xdr:rowOff>
    </xdr:to>
    <xdr:sp macro="" textlink="">
      <xdr:nvSpPr>
        <xdr:cNvPr id="303617" name="TextBox 1211">
          <a:extLst>
            <a:ext uri="{FF2B5EF4-FFF2-40B4-BE49-F238E27FC236}">
              <a16:creationId xmlns:a16="http://schemas.microsoft.com/office/drawing/2014/main" id="{00000000-0008-0000-2200-000001A20400}"/>
            </a:ext>
          </a:extLst>
        </xdr:cNvPr>
        <xdr:cNvSpPr txBox="1">
          <a:spLocks noChangeArrowheads="1"/>
        </xdr:cNvSpPr>
      </xdr:nvSpPr>
      <xdr:spPr bwMode="auto">
        <a:xfrm>
          <a:off x="3651250" y="61810900"/>
          <a:ext cx="0" cy="412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193</xdr:row>
      <xdr:rowOff>0</xdr:rowOff>
    </xdr:from>
    <xdr:to>
      <xdr:col>2</xdr:col>
      <xdr:colOff>0</xdr:colOff>
      <xdr:row>194</xdr:row>
      <xdr:rowOff>177800</xdr:rowOff>
    </xdr:to>
    <xdr:sp macro="" textlink="">
      <xdr:nvSpPr>
        <xdr:cNvPr id="303618" name="TextBox 1080">
          <a:extLst>
            <a:ext uri="{FF2B5EF4-FFF2-40B4-BE49-F238E27FC236}">
              <a16:creationId xmlns:a16="http://schemas.microsoft.com/office/drawing/2014/main" id="{00000000-0008-0000-2200-000002A20400}"/>
            </a:ext>
          </a:extLst>
        </xdr:cNvPr>
        <xdr:cNvSpPr txBox="1">
          <a:spLocks noChangeArrowheads="1"/>
        </xdr:cNvSpPr>
      </xdr:nvSpPr>
      <xdr:spPr bwMode="auto">
        <a:xfrm>
          <a:off x="3651250" y="61810900"/>
          <a:ext cx="0" cy="412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193</xdr:row>
      <xdr:rowOff>0</xdr:rowOff>
    </xdr:from>
    <xdr:to>
      <xdr:col>2</xdr:col>
      <xdr:colOff>0</xdr:colOff>
      <xdr:row>194</xdr:row>
      <xdr:rowOff>177800</xdr:rowOff>
    </xdr:to>
    <xdr:sp macro="" textlink="">
      <xdr:nvSpPr>
        <xdr:cNvPr id="303619" name="TextBox 1211">
          <a:extLst>
            <a:ext uri="{FF2B5EF4-FFF2-40B4-BE49-F238E27FC236}">
              <a16:creationId xmlns:a16="http://schemas.microsoft.com/office/drawing/2014/main" id="{00000000-0008-0000-2200-000003A20400}"/>
            </a:ext>
          </a:extLst>
        </xdr:cNvPr>
        <xdr:cNvSpPr txBox="1">
          <a:spLocks noChangeArrowheads="1"/>
        </xdr:cNvSpPr>
      </xdr:nvSpPr>
      <xdr:spPr bwMode="auto">
        <a:xfrm>
          <a:off x="3651250" y="61810900"/>
          <a:ext cx="0" cy="412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193</xdr:row>
      <xdr:rowOff>0</xdr:rowOff>
    </xdr:from>
    <xdr:to>
      <xdr:col>2</xdr:col>
      <xdr:colOff>0</xdr:colOff>
      <xdr:row>194</xdr:row>
      <xdr:rowOff>196850</xdr:rowOff>
    </xdr:to>
    <xdr:sp macro="" textlink="">
      <xdr:nvSpPr>
        <xdr:cNvPr id="303620" name="TextBox 1080">
          <a:extLst>
            <a:ext uri="{FF2B5EF4-FFF2-40B4-BE49-F238E27FC236}">
              <a16:creationId xmlns:a16="http://schemas.microsoft.com/office/drawing/2014/main" id="{00000000-0008-0000-2200-000004A20400}"/>
            </a:ext>
          </a:extLst>
        </xdr:cNvPr>
        <xdr:cNvSpPr txBox="1">
          <a:spLocks noChangeArrowheads="1"/>
        </xdr:cNvSpPr>
      </xdr:nvSpPr>
      <xdr:spPr bwMode="auto">
        <a:xfrm>
          <a:off x="3651250" y="61810900"/>
          <a:ext cx="0" cy="43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193</xdr:row>
      <xdr:rowOff>0</xdr:rowOff>
    </xdr:from>
    <xdr:to>
      <xdr:col>2</xdr:col>
      <xdr:colOff>0</xdr:colOff>
      <xdr:row>194</xdr:row>
      <xdr:rowOff>196850</xdr:rowOff>
    </xdr:to>
    <xdr:sp macro="" textlink="">
      <xdr:nvSpPr>
        <xdr:cNvPr id="303621" name="TextBox 1211">
          <a:extLst>
            <a:ext uri="{FF2B5EF4-FFF2-40B4-BE49-F238E27FC236}">
              <a16:creationId xmlns:a16="http://schemas.microsoft.com/office/drawing/2014/main" id="{00000000-0008-0000-2200-000005A20400}"/>
            </a:ext>
          </a:extLst>
        </xdr:cNvPr>
        <xdr:cNvSpPr txBox="1">
          <a:spLocks noChangeArrowheads="1"/>
        </xdr:cNvSpPr>
      </xdr:nvSpPr>
      <xdr:spPr bwMode="auto">
        <a:xfrm>
          <a:off x="3651250" y="61810900"/>
          <a:ext cx="0" cy="43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193</xdr:row>
      <xdr:rowOff>0</xdr:rowOff>
    </xdr:from>
    <xdr:to>
      <xdr:col>2</xdr:col>
      <xdr:colOff>0</xdr:colOff>
      <xdr:row>194</xdr:row>
      <xdr:rowOff>196850</xdr:rowOff>
    </xdr:to>
    <xdr:sp macro="" textlink="">
      <xdr:nvSpPr>
        <xdr:cNvPr id="303622" name="TextBox 1080">
          <a:extLst>
            <a:ext uri="{FF2B5EF4-FFF2-40B4-BE49-F238E27FC236}">
              <a16:creationId xmlns:a16="http://schemas.microsoft.com/office/drawing/2014/main" id="{00000000-0008-0000-2200-000006A20400}"/>
            </a:ext>
          </a:extLst>
        </xdr:cNvPr>
        <xdr:cNvSpPr txBox="1">
          <a:spLocks noChangeArrowheads="1"/>
        </xdr:cNvSpPr>
      </xdr:nvSpPr>
      <xdr:spPr bwMode="auto">
        <a:xfrm>
          <a:off x="3651250" y="61810900"/>
          <a:ext cx="0" cy="43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193</xdr:row>
      <xdr:rowOff>0</xdr:rowOff>
    </xdr:from>
    <xdr:to>
      <xdr:col>2</xdr:col>
      <xdr:colOff>0</xdr:colOff>
      <xdr:row>194</xdr:row>
      <xdr:rowOff>196850</xdr:rowOff>
    </xdr:to>
    <xdr:sp macro="" textlink="">
      <xdr:nvSpPr>
        <xdr:cNvPr id="303623" name="TextBox 1211">
          <a:extLst>
            <a:ext uri="{FF2B5EF4-FFF2-40B4-BE49-F238E27FC236}">
              <a16:creationId xmlns:a16="http://schemas.microsoft.com/office/drawing/2014/main" id="{00000000-0008-0000-2200-000007A20400}"/>
            </a:ext>
          </a:extLst>
        </xdr:cNvPr>
        <xdr:cNvSpPr txBox="1">
          <a:spLocks noChangeArrowheads="1"/>
        </xdr:cNvSpPr>
      </xdr:nvSpPr>
      <xdr:spPr bwMode="auto">
        <a:xfrm>
          <a:off x="3651250" y="61810900"/>
          <a:ext cx="0" cy="43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193</xdr:row>
      <xdr:rowOff>0</xdr:rowOff>
    </xdr:from>
    <xdr:to>
      <xdr:col>2</xdr:col>
      <xdr:colOff>0</xdr:colOff>
      <xdr:row>194</xdr:row>
      <xdr:rowOff>196850</xdr:rowOff>
    </xdr:to>
    <xdr:sp macro="" textlink="">
      <xdr:nvSpPr>
        <xdr:cNvPr id="303624" name="TextBox 1080">
          <a:extLst>
            <a:ext uri="{FF2B5EF4-FFF2-40B4-BE49-F238E27FC236}">
              <a16:creationId xmlns:a16="http://schemas.microsoft.com/office/drawing/2014/main" id="{00000000-0008-0000-2200-000008A20400}"/>
            </a:ext>
          </a:extLst>
        </xdr:cNvPr>
        <xdr:cNvSpPr txBox="1">
          <a:spLocks noChangeArrowheads="1"/>
        </xdr:cNvSpPr>
      </xdr:nvSpPr>
      <xdr:spPr bwMode="auto">
        <a:xfrm>
          <a:off x="3651250" y="61810900"/>
          <a:ext cx="0" cy="43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193</xdr:row>
      <xdr:rowOff>0</xdr:rowOff>
    </xdr:from>
    <xdr:to>
      <xdr:col>2</xdr:col>
      <xdr:colOff>0</xdr:colOff>
      <xdr:row>194</xdr:row>
      <xdr:rowOff>196850</xdr:rowOff>
    </xdr:to>
    <xdr:sp macro="" textlink="">
      <xdr:nvSpPr>
        <xdr:cNvPr id="303625" name="TextBox 1211">
          <a:extLst>
            <a:ext uri="{FF2B5EF4-FFF2-40B4-BE49-F238E27FC236}">
              <a16:creationId xmlns:a16="http://schemas.microsoft.com/office/drawing/2014/main" id="{00000000-0008-0000-2200-000009A20400}"/>
            </a:ext>
          </a:extLst>
        </xdr:cNvPr>
        <xdr:cNvSpPr txBox="1">
          <a:spLocks noChangeArrowheads="1"/>
        </xdr:cNvSpPr>
      </xdr:nvSpPr>
      <xdr:spPr bwMode="auto">
        <a:xfrm>
          <a:off x="3651250" y="61810900"/>
          <a:ext cx="0" cy="43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193</xdr:row>
      <xdr:rowOff>0</xdr:rowOff>
    </xdr:from>
    <xdr:to>
      <xdr:col>2</xdr:col>
      <xdr:colOff>0</xdr:colOff>
      <xdr:row>194</xdr:row>
      <xdr:rowOff>196850</xdr:rowOff>
    </xdr:to>
    <xdr:sp macro="" textlink="">
      <xdr:nvSpPr>
        <xdr:cNvPr id="303626" name="TextBox 1080">
          <a:extLst>
            <a:ext uri="{FF2B5EF4-FFF2-40B4-BE49-F238E27FC236}">
              <a16:creationId xmlns:a16="http://schemas.microsoft.com/office/drawing/2014/main" id="{00000000-0008-0000-2200-00000AA20400}"/>
            </a:ext>
          </a:extLst>
        </xdr:cNvPr>
        <xdr:cNvSpPr txBox="1">
          <a:spLocks noChangeArrowheads="1"/>
        </xdr:cNvSpPr>
      </xdr:nvSpPr>
      <xdr:spPr bwMode="auto">
        <a:xfrm>
          <a:off x="3651250" y="61810900"/>
          <a:ext cx="0" cy="43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193</xdr:row>
      <xdr:rowOff>0</xdr:rowOff>
    </xdr:from>
    <xdr:to>
      <xdr:col>2</xdr:col>
      <xdr:colOff>0</xdr:colOff>
      <xdr:row>194</xdr:row>
      <xdr:rowOff>196850</xdr:rowOff>
    </xdr:to>
    <xdr:sp macro="" textlink="">
      <xdr:nvSpPr>
        <xdr:cNvPr id="303627" name="TextBox 1211">
          <a:extLst>
            <a:ext uri="{FF2B5EF4-FFF2-40B4-BE49-F238E27FC236}">
              <a16:creationId xmlns:a16="http://schemas.microsoft.com/office/drawing/2014/main" id="{00000000-0008-0000-2200-00000BA20400}"/>
            </a:ext>
          </a:extLst>
        </xdr:cNvPr>
        <xdr:cNvSpPr txBox="1">
          <a:spLocks noChangeArrowheads="1"/>
        </xdr:cNvSpPr>
      </xdr:nvSpPr>
      <xdr:spPr bwMode="auto">
        <a:xfrm>
          <a:off x="3651250" y="61810900"/>
          <a:ext cx="0" cy="43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193</xdr:row>
      <xdr:rowOff>0</xdr:rowOff>
    </xdr:from>
    <xdr:to>
      <xdr:col>2</xdr:col>
      <xdr:colOff>0</xdr:colOff>
      <xdr:row>194</xdr:row>
      <xdr:rowOff>177800</xdr:rowOff>
    </xdr:to>
    <xdr:sp macro="" textlink="">
      <xdr:nvSpPr>
        <xdr:cNvPr id="303628" name="TextBox 1080">
          <a:extLst>
            <a:ext uri="{FF2B5EF4-FFF2-40B4-BE49-F238E27FC236}">
              <a16:creationId xmlns:a16="http://schemas.microsoft.com/office/drawing/2014/main" id="{00000000-0008-0000-2200-00000CA20400}"/>
            </a:ext>
          </a:extLst>
        </xdr:cNvPr>
        <xdr:cNvSpPr txBox="1">
          <a:spLocks noChangeArrowheads="1"/>
        </xdr:cNvSpPr>
      </xdr:nvSpPr>
      <xdr:spPr bwMode="auto">
        <a:xfrm>
          <a:off x="3651250" y="61810900"/>
          <a:ext cx="0" cy="412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193</xdr:row>
      <xdr:rowOff>0</xdr:rowOff>
    </xdr:from>
    <xdr:to>
      <xdr:col>2</xdr:col>
      <xdr:colOff>0</xdr:colOff>
      <xdr:row>194</xdr:row>
      <xdr:rowOff>177800</xdr:rowOff>
    </xdr:to>
    <xdr:sp macro="" textlink="">
      <xdr:nvSpPr>
        <xdr:cNvPr id="303629" name="TextBox 1211">
          <a:extLst>
            <a:ext uri="{FF2B5EF4-FFF2-40B4-BE49-F238E27FC236}">
              <a16:creationId xmlns:a16="http://schemas.microsoft.com/office/drawing/2014/main" id="{00000000-0008-0000-2200-00000DA20400}"/>
            </a:ext>
          </a:extLst>
        </xdr:cNvPr>
        <xdr:cNvSpPr txBox="1">
          <a:spLocks noChangeArrowheads="1"/>
        </xdr:cNvSpPr>
      </xdr:nvSpPr>
      <xdr:spPr bwMode="auto">
        <a:xfrm>
          <a:off x="3651250" y="61810900"/>
          <a:ext cx="0" cy="412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193</xdr:row>
      <xdr:rowOff>0</xdr:rowOff>
    </xdr:from>
    <xdr:to>
      <xdr:col>2</xdr:col>
      <xdr:colOff>0</xdr:colOff>
      <xdr:row>194</xdr:row>
      <xdr:rowOff>177800</xdr:rowOff>
    </xdr:to>
    <xdr:sp macro="" textlink="">
      <xdr:nvSpPr>
        <xdr:cNvPr id="303630" name="TextBox 1080">
          <a:extLst>
            <a:ext uri="{FF2B5EF4-FFF2-40B4-BE49-F238E27FC236}">
              <a16:creationId xmlns:a16="http://schemas.microsoft.com/office/drawing/2014/main" id="{00000000-0008-0000-2200-00000EA20400}"/>
            </a:ext>
          </a:extLst>
        </xdr:cNvPr>
        <xdr:cNvSpPr txBox="1">
          <a:spLocks noChangeArrowheads="1"/>
        </xdr:cNvSpPr>
      </xdr:nvSpPr>
      <xdr:spPr bwMode="auto">
        <a:xfrm>
          <a:off x="3651250" y="61810900"/>
          <a:ext cx="0" cy="412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193</xdr:row>
      <xdr:rowOff>0</xdr:rowOff>
    </xdr:from>
    <xdr:to>
      <xdr:col>2</xdr:col>
      <xdr:colOff>0</xdr:colOff>
      <xdr:row>194</xdr:row>
      <xdr:rowOff>177800</xdr:rowOff>
    </xdr:to>
    <xdr:sp macro="" textlink="">
      <xdr:nvSpPr>
        <xdr:cNvPr id="303631" name="TextBox 1211">
          <a:extLst>
            <a:ext uri="{FF2B5EF4-FFF2-40B4-BE49-F238E27FC236}">
              <a16:creationId xmlns:a16="http://schemas.microsoft.com/office/drawing/2014/main" id="{00000000-0008-0000-2200-00000FA20400}"/>
            </a:ext>
          </a:extLst>
        </xdr:cNvPr>
        <xdr:cNvSpPr txBox="1">
          <a:spLocks noChangeArrowheads="1"/>
        </xdr:cNvSpPr>
      </xdr:nvSpPr>
      <xdr:spPr bwMode="auto">
        <a:xfrm>
          <a:off x="3651250" y="61810900"/>
          <a:ext cx="0" cy="412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193</xdr:row>
      <xdr:rowOff>0</xdr:rowOff>
    </xdr:from>
    <xdr:to>
      <xdr:col>2</xdr:col>
      <xdr:colOff>0</xdr:colOff>
      <xdr:row>194</xdr:row>
      <xdr:rowOff>177800</xdr:rowOff>
    </xdr:to>
    <xdr:sp macro="" textlink="">
      <xdr:nvSpPr>
        <xdr:cNvPr id="303632" name="TextBox 1080">
          <a:extLst>
            <a:ext uri="{FF2B5EF4-FFF2-40B4-BE49-F238E27FC236}">
              <a16:creationId xmlns:a16="http://schemas.microsoft.com/office/drawing/2014/main" id="{00000000-0008-0000-2200-000010A20400}"/>
            </a:ext>
          </a:extLst>
        </xdr:cNvPr>
        <xdr:cNvSpPr txBox="1">
          <a:spLocks noChangeArrowheads="1"/>
        </xdr:cNvSpPr>
      </xdr:nvSpPr>
      <xdr:spPr bwMode="auto">
        <a:xfrm>
          <a:off x="3651250" y="61810900"/>
          <a:ext cx="0" cy="412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193</xdr:row>
      <xdr:rowOff>0</xdr:rowOff>
    </xdr:from>
    <xdr:to>
      <xdr:col>2</xdr:col>
      <xdr:colOff>0</xdr:colOff>
      <xdr:row>194</xdr:row>
      <xdr:rowOff>177800</xdr:rowOff>
    </xdr:to>
    <xdr:sp macro="" textlink="">
      <xdr:nvSpPr>
        <xdr:cNvPr id="303633" name="TextBox 1211">
          <a:extLst>
            <a:ext uri="{FF2B5EF4-FFF2-40B4-BE49-F238E27FC236}">
              <a16:creationId xmlns:a16="http://schemas.microsoft.com/office/drawing/2014/main" id="{00000000-0008-0000-2200-000011A20400}"/>
            </a:ext>
          </a:extLst>
        </xdr:cNvPr>
        <xdr:cNvSpPr txBox="1">
          <a:spLocks noChangeArrowheads="1"/>
        </xdr:cNvSpPr>
      </xdr:nvSpPr>
      <xdr:spPr bwMode="auto">
        <a:xfrm>
          <a:off x="3651250" y="61810900"/>
          <a:ext cx="0" cy="412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193</xdr:row>
      <xdr:rowOff>0</xdr:rowOff>
    </xdr:from>
    <xdr:to>
      <xdr:col>2</xdr:col>
      <xdr:colOff>0</xdr:colOff>
      <xdr:row>194</xdr:row>
      <xdr:rowOff>177800</xdr:rowOff>
    </xdr:to>
    <xdr:sp macro="" textlink="">
      <xdr:nvSpPr>
        <xdr:cNvPr id="303634" name="TextBox 1080">
          <a:extLst>
            <a:ext uri="{FF2B5EF4-FFF2-40B4-BE49-F238E27FC236}">
              <a16:creationId xmlns:a16="http://schemas.microsoft.com/office/drawing/2014/main" id="{00000000-0008-0000-2200-000012A20400}"/>
            </a:ext>
          </a:extLst>
        </xdr:cNvPr>
        <xdr:cNvSpPr txBox="1">
          <a:spLocks noChangeArrowheads="1"/>
        </xdr:cNvSpPr>
      </xdr:nvSpPr>
      <xdr:spPr bwMode="auto">
        <a:xfrm>
          <a:off x="3651250" y="61810900"/>
          <a:ext cx="0" cy="412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193</xdr:row>
      <xdr:rowOff>0</xdr:rowOff>
    </xdr:from>
    <xdr:to>
      <xdr:col>2</xdr:col>
      <xdr:colOff>0</xdr:colOff>
      <xdr:row>194</xdr:row>
      <xdr:rowOff>177800</xdr:rowOff>
    </xdr:to>
    <xdr:sp macro="" textlink="">
      <xdr:nvSpPr>
        <xdr:cNvPr id="303635" name="TextBox 1211">
          <a:extLst>
            <a:ext uri="{FF2B5EF4-FFF2-40B4-BE49-F238E27FC236}">
              <a16:creationId xmlns:a16="http://schemas.microsoft.com/office/drawing/2014/main" id="{00000000-0008-0000-2200-000013A20400}"/>
            </a:ext>
          </a:extLst>
        </xdr:cNvPr>
        <xdr:cNvSpPr txBox="1">
          <a:spLocks noChangeArrowheads="1"/>
        </xdr:cNvSpPr>
      </xdr:nvSpPr>
      <xdr:spPr bwMode="auto">
        <a:xfrm>
          <a:off x="3651250" y="61810900"/>
          <a:ext cx="0" cy="412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193</xdr:row>
      <xdr:rowOff>0</xdr:rowOff>
    </xdr:from>
    <xdr:to>
      <xdr:col>2</xdr:col>
      <xdr:colOff>0</xdr:colOff>
      <xdr:row>194</xdr:row>
      <xdr:rowOff>196850</xdr:rowOff>
    </xdr:to>
    <xdr:sp macro="" textlink="">
      <xdr:nvSpPr>
        <xdr:cNvPr id="303636" name="TextBox 1080">
          <a:extLst>
            <a:ext uri="{FF2B5EF4-FFF2-40B4-BE49-F238E27FC236}">
              <a16:creationId xmlns:a16="http://schemas.microsoft.com/office/drawing/2014/main" id="{00000000-0008-0000-2200-000014A20400}"/>
            </a:ext>
          </a:extLst>
        </xdr:cNvPr>
        <xdr:cNvSpPr txBox="1">
          <a:spLocks noChangeArrowheads="1"/>
        </xdr:cNvSpPr>
      </xdr:nvSpPr>
      <xdr:spPr bwMode="auto">
        <a:xfrm>
          <a:off x="3651250" y="61810900"/>
          <a:ext cx="0" cy="43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193</xdr:row>
      <xdr:rowOff>0</xdr:rowOff>
    </xdr:from>
    <xdr:to>
      <xdr:col>2</xdr:col>
      <xdr:colOff>0</xdr:colOff>
      <xdr:row>194</xdr:row>
      <xdr:rowOff>196850</xdr:rowOff>
    </xdr:to>
    <xdr:sp macro="" textlink="">
      <xdr:nvSpPr>
        <xdr:cNvPr id="303637" name="TextBox 1211">
          <a:extLst>
            <a:ext uri="{FF2B5EF4-FFF2-40B4-BE49-F238E27FC236}">
              <a16:creationId xmlns:a16="http://schemas.microsoft.com/office/drawing/2014/main" id="{00000000-0008-0000-2200-000015A20400}"/>
            </a:ext>
          </a:extLst>
        </xdr:cNvPr>
        <xdr:cNvSpPr txBox="1">
          <a:spLocks noChangeArrowheads="1"/>
        </xdr:cNvSpPr>
      </xdr:nvSpPr>
      <xdr:spPr bwMode="auto">
        <a:xfrm>
          <a:off x="3651250" y="61810900"/>
          <a:ext cx="0" cy="43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193</xdr:row>
      <xdr:rowOff>0</xdr:rowOff>
    </xdr:from>
    <xdr:to>
      <xdr:col>2</xdr:col>
      <xdr:colOff>0</xdr:colOff>
      <xdr:row>194</xdr:row>
      <xdr:rowOff>196850</xdr:rowOff>
    </xdr:to>
    <xdr:sp macro="" textlink="">
      <xdr:nvSpPr>
        <xdr:cNvPr id="303638" name="TextBox 1080">
          <a:extLst>
            <a:ext uri="{FF2B5EF4-FFF2-40B4-BE49-F238E27FC236}">
              <a16:creationId xmlns:a16="http://schemas.microsoft.com/office/drawing/2014/main" id="{00000000-0008-0000-2200-000016A20400}"/>
            </a:ext>
          </a:extLst>
        </xdr:cNvPr>
        <xdr:cNvSpPr txBox="1">
          <a:spLocks noChangeArrowheads="1"/>
        </xdr:cNvSpPr>
      </xdr:nvSpPr>
      <xdr:spPr bwMode="auto">
        <a:xfrm>
          <a:off x="3651250" y="61810900"/>
          <a:ext cx="0" cy="43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193</xdr:row>
      <xdr:rowOff>0</xdr:rowOff>
    </xdr:from>
    <xdr:to>
      <xdr:col>2</xdr:col>
      <xdr:colOff>0</xdr:colOff>
      <xdr:row>194</xdr:row>
      <xdr:rowOff>196850</xdr:rowOff>
    </xdr:to>
    <xdr:sp macro="" textlink="">
      <xdr:nvSpPr>
        <xdr:cNvPr id="303639" name="TextBox 1211">
          <a:extLst>
            <a:ext uri="{FF2B5EF4-FFF2-40B4-BE49-F238E27FC236}">
              <a16:creationId xmlns:a16="http://schemas.microsoft.com/office/drawing/2014/main" id="{00000000-0008-0000-2200-000017A20400}"/>
            </a:ext>
          </a:extLst>
        </xdr:cNvPr>
        <xdr:cNvSpPr txBox="1">
          <a:spLocks noChangeArrowheads="1"/>
        </xdr:cNvSpPr>
      </xdr:nvSpPr>
      <xdr:spPr bwMode="auto">
        <a:xfrm>
          <a:off x="3651250" y="61810900"/>
          <a:ext cx="0" cy="43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193</xdr:row>
      <xdr:rowOff>0</xdr:rowOff>
    </xdr:from>
    <xdr:to>
      <xdr:col>2</xdr:col>
      <xdr:colOff>0</xdr:colOff>
      <xdr:row>194</xdr:row>
      <xdr:rowOff>196850</xdr:rowOff>
    </xdr:to>
    <xdr:sp macro="" textlink="">
      <xdr:nvSpPr>
        <xdr:cNvPr id="303640" name="TextBox 1080">
          <a:extLst>
            <a:ext uri="{FF2B5EF4-FFF2-40B4-BE49-F238E27FC236}">
              <a16:creationId xmlns:a16="http://schemas.microsoft.com/office/drawing/2014/main" id="{00000000-0008-0000-2200-000018A20400}"/>
            </a:ext>
          </a:extLst>
        </xdr:cNvPr>
        <xdr:cNvSpPr txBox="1">
          <a:spLocks noChangeArrowheads="1"/>
        </xdr:cNvSpPr>
      </xdr:nvSpPr>
      <xdr:spPr bwMode="auto">
        <a:xfrm>
          <a:off x="3651250" y="61810900"/>
          <a:ext cx="0" cy="43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193</xdr:row>
      <xdr:rowOff>0</xdr:rowOff>
    </xdr:from>
    <xdr:to>
      <xdr:col>2</xdr:col>
      <xdr:colOff>0</xdr:colOff>
      <xdr:row>194</xdr:row>
      <xdr:rowOff>196850</xdr:rowOff>
    </xdr:to>
    <xdr:sp macro="" textlink="">
      <xdr:nvSpPr>
        <xdr:cNvPr id="303641" name="TextBox 1211">
          <a:extLst>
            <a:ext uri="{FF2B5EF4-FFF2-40B4-BE49-F238E27FC236}">
              <a16:creationId xmlns:a16="http://schemas.microsoft.com/office/drawing/2014/main" id="{00000000-0008-0000-2200-000019A20400}"/>
            </a:ext>
          </a:extLst>
        </xdr:cNvPr>
        <xdr:cNvSpPr txBox="1">
          <a:spLocks noChangeArrowheads="1"/>
        </xdr:cNvSpPr>
      </xdr:nvSpPr>
      <xdr:spPr bwMode="auto">
        <a:xfrm>
          <a:off x="3651250" y="61810900"/>
          <a:ext cx="0" cy="43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193</xdr:row>
      <xdr:rowOff>0</xdr:rowOff>
    </xdr:from>
    <xdr:to>
      <xdr:col>2</xdr:col>
      <xdr:colOff>0</xdr:colOff>
      <xdr:row>194</xdr:row>
      <xdr:rowOff>196850</xdr:rowOff>
    </xdr:to>
    <xdr:sp macro="" textlink="">
      <xdr:nvSpPr>
        <xdr:cNvPr id="303642" name="TextBox 1080">
          <a:extLst>
            <a:ext uri="{FF2B5EF4-FFF2-40B4-BE49-F238E27FC236}">
              <a16:creationId xmlns:a16="http://schemas.microsoft.com/office/drawing/2014/main" id="{00000000-0008-0000-2200-00001AA20400}"/>
            </a:ext>
          </a:extLst>
        </xdr:cNvPr>
        <xdr:cNvSpPr txBox="1">
          <a:spLocks noChangeArrowheads="1"/>
        </xdr:cNvSpPr>
      </xdr:nvSpPr>
      <xdr:spPr bwMode="auto">
        <a:xfrm>
          <a:off x="3651250" y="61810900"/>
          <a:ext cx="0" cy="43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193</xdr:row>
      <xdr:rowOff>0</xdr:rowOff>
    </xdr:from>
    <xdr:to>
      <xdr:col>2</xdr:col>
      <xdr:colOff>0</xdr:colOff>
      <xdr:row>194</xdr:row>
      <xdr:rowOff>196850</xdr:rowOff>
    </xdr:to>
    <xdr:sp macro="" textlink="">
      <xdr:nvSpPr>
        <xdr:cNvPr id="303643" name="TextBox 1211">
          <a:extLst>
            <a:ext uri="{FF2B5EF4-FFF2-40B4-BE49-F238E27FC236}">
              <a16:creationId xmlns:a16="http://schemas.microsoft.com/office/drawing/2014/main" id="{00000000-0008-0000-2200-00001BA20400}"/>
            </a:ext>
          </a:extLst>
        </xdr:cNvPr>
        <xdr:cNvSpPr txBox="1">
          <a:spLocks noChangeArrowheads="1"/>
        </xdr:cNvSpPr>
      </xdr:nvSpPr>
      <xdr:spPr bwMode="auto">
        <a:xfrm>
          <a:off x="3651250" y="61810900"/>
          <a:ext cx="0" cy="43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946150</xdr:colOff>
      <xdr:row>63</xdr:row>
      <xdr:rowOff>0</xdr:rowOff>
    </xdr:from>
    <xdr:to>
      <xdr:col>1</xdr:col>
      <xdr:colOff>946150</xdr:colOff>
      <xdr:row>65</xdr:row>
      <xdr:rowOff>158750</xdr:rowOff>
    </xdr:to>
    <xdr:sp macro="" textlink="">
      <xdr:nvSpPr>
        <xdr:cNvPr id="303644" name="TextBox 1080">
          <a:extLst>
            <a:ext uri="{FF2B5EF4-FFF2-40B4-BE49-F238E27FC236}">
              <a16:creationId xmlns:a16="http://schemas.microsoft.com/office/drawing/2014/main" id="{00000000-0008-0000-2200-00001CA20400}"/>
            </a:ext>
          </a:extLst>
        </xdr:cNvPr>
        <xdr:cNvSpPr txBox="1">
          <a:spLocks noChangeArrowheads="1"/>
        </xdr:cNvSpPr>
      </xdr:nvSpPr>
      <xdr:spPr bwMode="auto">
        <a:xfrm>
          <a:off x="1479550" y="198120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946150</xdr:colOff>
      <xdr:row>63</xdr:row>
      <xdr:rowOff>0</xdr:rowOff>
    </xdr:from>
    <xdr:to>
      <xdr:col>1</xdr:col>
      <xdr:colOff>946150</xdr:colOff>
      <xdr:row>65</xdr:row>
      <xdr:rowOff>158750</xdr:rowOff>
    </xdr:to>
    <xdr:sp macro="" textlink="">
      <xdr:nvSpPr>
        <xdr:cNvPr id="303645" name="TextBox 1211">
          <a:extLst>
            <a:ext uri="{FF2B5EF4-FFF2-40B4-BE49-F238E27FC236}">
              <a16:creationId xmlns:a16="http://schemas.microsoft.com/office/drawing/2014/main" id="{00000000-0008-0000-2200-00001DA20400}"/>
            </a:ext>
          </a:extLst>
        </xdr:cNvPr>
        <xdr:cNvSpPr txBox="1">
          <a:spLocks noChangeArrowheads="1"/>
        </xdr:cNvSpPr>
      </xdr:nvSpPr>
      <xdr:spPr bwMode="auto">
        <a:xfrm>
          <a:off x="1479550" y="198120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946150</xdr:colOff>
      <xdr:row>63</xdr:row>
      <xdr:rowOff>0</xdr:rowOff>
    </xdr:from>
    <xdr:to>
      <xdr:col>1</xdr:col>
      <xdr:colOff>946150</xdr:colOff>
      <xdr:row>65</xdr:row>
      <xdr:rowOff>158750</xdr:rowOff>
    </xdr:to>
    <xdr:sp macro="" textlink="">
      <xdr:nvSpPr>
        <xdr:cNvPr id="303646" name="TextBox 1080">
          <a:extLst>
            <a:ext uri="{FF2B5EF4-FFF2-40B4-BE49-F238E27FC236}">
              <a16:creationId xmlns:a16="http://schemas.microsoft.com/office/drawing/2014/main" id="{00000000-0008-0000-2200-00001EA20400}"/>
            </a:ext>
          </a:extLst>
        </xdr:cNvPr>
        <xdr:cNvSpPr txBox="1">
          <a:spLocks noChangeArrowheads="1"/>
        </xdr:cNvSpPr>
      </xdr:nvSpPr>
      <xdr:spPr bwMode="auto">
        <a:xfrm>
          <a:off x="1479550" y="198120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946150</xdr:colOff>
      <xdr:row>63</xdr:row>
      <xdr:rowOff>0</xdr:rowOff>
    </xdr:from>
    <xdr:to>
      <xdr:col>1</xdr:col>
      <xdr:colOff>946150</xdr:colOff>
      <xdr:row>65</xdr:row>
      <xdr:rowOff>158750</xdr:rowOff>
    </xdr:to>
    <xdr:sp macro="" textlink="">
      <xdr:nvSpPr>
        <xdr:cNvPr id="303647" name="TextBox 1211">
          <a:extLst>
            <a:ext uri="{FF2B5EF4-FFF2-40B4-BE49-F238E27FC236}">
              <a16:creationId xmlns:a16="http://schemas.microsoft.com/office/drawing/2014/main" id="{00000000-0008-0000-2200-00001FA20400}"/>
            </a:ext>
          </a:extLst>
        </xdr:cNvPr>
        <xdr:cNvSpPr txBox="1">
          <a:spLocks noChangeArrowheads="1"/>
        </xdr:cNvSpPr>
      </xdr:nvSpPr>
      <xdr:spPr bwMode="auto">
        <a:xfrm>
          <a:off x="1479550" y="198120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946150</xdr:colOff>
      <xdr:row>63</xdr:row>
      <xdr:rowOff>0</xdr:rowOff>
    </xdr:from>
    <xdr:to>
      <xdr:col>1</xdr:col>
      <xdr:colOff>946150</xdr:colOff>
      <xdr:row>66</xdr:row>
      <xdr:rowOff>12700</xdr:rowOff>
    </xdr:to>
    <xdr:sp macro="" textlink="">
      <xdr:nvSpPr>
        <xdr:cNvPr id="303648" name="TextBox 1080">
          <a:extLst>
            <a:ext uri="{FF2B5EF4-FFF2-40B4-BE49-F238E27FC236}">
              <a16:creationId xmlns:a16="http://schemas.microsoft.com/office/drawing/2014/main" id="{00000000-0008-0000-2200-000020A20400}"/>
            </a:ext>
          </a:extLst>
        </xdr:cNvPr>
        <xdr:cNvSpPr txBox="1">
          <a:spLocks noChangeArrowheads="1"/>
        </xdr:cNvSpPr>
      </xdr:nvSpPr>
      <xdr:spPr bwMode="auto">
        <a:xfrm>
          <a:off x="1479550" y="19812000"/>
          <a:ext cx="0" cy="901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946150</xdr:colOff>
      <xdr:row>63</xdr:row>
      <xdr:rowOff>0</xdr:rowOff>
    </xdr:from>
    <xdr:to>
      <xdr:col>1</xdr:col>
      <xdr:colOff>946150</xdr:colOff>
      <xdr:row>66</xdr:row>
      <xdr:rowOff>12700</xdr:rowOff>
    </xdr:to>
    <xdr:sp macro="" textlink="">
      <xdr:nvSpPr>
        <xdr:cNvPr id="303649" name="TextBox 1211">
          <a:extLst>
            <a:ext uri="{FF2B5EF4-FFF2-40B4-BE49-F238E27FC236}">
              <a16:creationId xmlns:a16="http://schemas.microsoft.com/office/drawing/2014/main" id="{00000000-0008-0000-2200-000021A20400}"/>
            </a:ext>
          </a:extLst>
        </xdr:cNvPr>
        <xdr:cNvSpPr txBox="1">
          <a:spLocks noChangeArrowheads="1"/>
        </xdr:cNvSpPr>
      </xdr:nvSpPr>
      <xdr:spPr bwMode="auto">
        <a:xfrm>
          <a:off x="1479550" y="19812000"/>
          <a:ext cx="0" cy="901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946150</xdr:colOff>
      <xdr:row>63</xdr:row>
      <xdr:rowOff>0</xdr:rowOff>
    </xdr:from>
    <xdr:to>
      <xdr:col>1</xdr:col>
      <xdr:colOff>946150</xdr:colOff>
      <xdr:row>66</xdr:row>
      <xdr:rowOff>12700</xdr:rowOff>
    </xdr:to>
    <xdr:sp macro="" textlink="">
      <xdr:nvSpPr>
        <xdr:cNvPr id="303650" name="TextBox 1080">
          <a:extLst>
            <a:ext uri="{FF2B5EF4-FFF2-40B4-BE49-F238E27FC236}">
              <a16:creationId xmlns:a16="http://schemas.microsoft.com/office/drawing/2014/main" id="{00000000-0008-0000-2200-000022A20400}"/>
            </a:ext>
          </a:extLst>
        </xdr:cNvPr>
        <xdr:cNvSpPr txBox="1">
          <a:spLocks noChangeArrowheads="1"/>
        </xdr:cNvSpPr>
      </xdr:nvSpPr>
      <xdr:spPr bwMode="auto">
        <a:xfrm>
          <a:off x="1479550" y="19812000"/>
          <a:ext cx="0" cy="901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946150</xdr:colOff>
      <xdr:row>63</xdr:row>
      <xdr:rowOff>0</xdr:rowOff>
    </xdr:from>
    <xdr:to>
      <xdr:col>1</xdr:col>
      <xdr:colOff>946150</xdr:colOff>
      <xdr:row>66</xdr:row>
      <xdr:rowOff>12700</xdr:rowOff>
    </xdr:to>
    <xdr:sp macro="" textlink="">
      <xdr:nvSpPr>
        <xdr:cNvPr id="303651" name="TextBox 1211">
          <a:extLst>
            <a:ext uri="{FF2B5EF4-FFF2-40B4-BE49-F238E27FC236}">
              <a16:creationId xmlns:a16="http://schemas.microsoft.com/office/drawing/2014/main" id="{00000000-0008-0000-2200-000023A20400}"/>
            </a:ext>
          </a:extLst>
        </xdr:cNvPr>
        <xdr:cNvSpPr txBox="1">
          <a:spLocks noChangeArrowheads="1"/>
        </xdr:cNvSpPr>
      </xdr:nvSpPr>
      <xdr:spPr bwMode="auto">
        <a:xfrm>
          <a:off x="1479550" y="19812000"/>
          <a:ext cx="0" cy="901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63</xdr:row>
      <xdr:rowOff>0</xdr:rowOff>
    </xdr:from>
    <xdr:to>
      <xdr:col>2</xdr:col>
      <xdr:colOff>0</xdr:colOff>
      <xdr:row>66</xdr:row>
      <xdr:rowOff>177800</xdr:rowOff>
    </xdr:to>
    <xdr:sp macro="" textlink="">
      <xdr:nvSpPr>
        <xdr:cNvPr id="303652" name="TextBox 1080">
          <a:extLst>
            <a:ext uri="{FF2B5EF4-FFF2-40B4-BE49-F238E27FC236}">
              <a16:creationId xmlns:a16="http://schemas.microsoft.com/office/drawing/2014/main" id="{00000000-0008-0000-2200-000024A20400}"/>
            </a:ext>
          </a:extLst>
        </xdr:cNvPr>
        <xdr:cNvSpPr txBox="1">
          <a:spLocks noChangeArrowheads="1"/>
        </xdr:cNvSpPr>
      </xdr:nvSpPr>
      <xdr:spPr bwMode="auto">
        <a:xfrm>
          <a:off x="3651250" y="19812000"/>
          <a:ext cx="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63</xdr:row>
      <xdr:rowOff>0</xdr:rowOff>
    </xdr:from>
    <xdr:to>
      <xdr:col>2</xdr:col>
      <xdr:colOff>0</xdr:colOff>
      <xdr:row>66</xdr:row>
      <xdr:rowOff>177800</xdr:rowOff>
    </xdr:to>
    <xdr:sp macro="" textlink="">
      <xdr:nvSpPr>
        <xdr:cNvPr id="303653" name="TextBox 1211">
          <a:extLst>
            <a:ext uri="{FF2B5EF4-FFF2-40B4-BE49-F238E27FC236}">
              <a16:creationId xmlns:a16="http://schemas.microsoft.com/office/drawing/2014/main" id="{00000000-0008-0000-2200-000025A20400}"/>
            </a:ext>
          </a:extLst>
        </xdr:cNvPr>
        <xdr:cNvSpPr txBox="1">
          <a:spLocks noChangeArrowheads="1"/>
        </xdr:cNvSpPr>
      </xdr:nvSpPr>
      <xdr:spPr bwMode="auto">
        <a:xfrm>
          <a:off x="3651250" y="19812000"/>
          <a:ext cx="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63</xdr:row>
      <xdr:rowOff>0</xdr:rowOff>
    </xdr:from>
    <xdr:to>
      <xdr:col>2</xdr:col>
      <xdr:colOff>0</xdr:colOff>
      <xdr:row>66</xdr:row>
      <xdr:rowOff>177800</xdr:rowOff>
    </xdr:to>
    <xdr:sp macro="" textlink="">
      <xdr:nvSpPr>
        <xdr:cNvPr id="303654" name="TextBox 1080">
          <a:extLst>
            <a:ext uri="{FF2B5EF4-FFF2-40B4-BE49-F238E27FC236}">
              <a16:creationId xmlns:a16="http://schemas.microsoft.com/office/drawing/2014/main" id="{00000000-0008-0000-2200-000026A20400}"/>
            </a:ext>
          </a:extLst>
        </xdr:cNvPr>
        <xdr:cNvSpPr txBox="1">
          <a:spLocks noChangeArrowheads="1"/>
        </xdr:cNvSpPr>
      </xdr:nvSpPr>
      <xdr:spPr bwMode="auto">
        <a:xfrm>
          <a:off x="3651250" y="19812000"/>
          <a:ext cx="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63</xdr:row>
      <xdr:rowOff>0</xdr:rowOff>
    </xdr:from>
    <xdr:to>
      <xdr:col>2</xdr:col>
      <xdr:colOff>0</xdr:colOff>
      <xdr:row>66</xdr:row>
      <xdr:rowOff>177800</xdr:rowOff>
    </xdr:to>
    <xdr:sp macro="" textlink="">
      <xdr:nvSpPr>
        <xdr:cNvPr id="303655" name="TextBox 1211">
          <a:extLst>
            <a:ext uri="{FF2B5EF4-FFF2-40B4-BE49-F238E27FC236}">
              <a16:creationId xmlns:a16="http://schemas.microsoft.com/office/drawing/2014/main" id="{00000000-0008-0000-2200-000027A20400}"/>
            </a:ext>
          </a:extLst>
        </xdr:cNvPr>
        <xdr:cNvSpPr txBox="1">
          <a:spLocks noChangeArrowheads="1"/>
        </xdr:cNvSpPr>
      </xdr:nvSpPr>
      <xdr:spPr bwMode="auto">
        <a:xfrm>
          <a:off x="3651250" y="19812000"/>
          <a:ext cx="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63</xdr:row>
      <xdr:rowOff>0</xdr:rowOff>
    </xdr:from>
    <xdr:to>
      <xdr:col>2</xdr:col>
      <xdr:colOff>0</xdr:colOff>
      <xdr:row>65</xdr:row>
      <xdr:rowOff>101600</xdr:rowOff>
    </xdr:to>
    <xdr:sp macro="" textlink="">
      <xdr:nvSpPr>
        <xdr:cNvPr id="303656" name="TextBox 1080">
          <a:extLst>
            <a:ext uri="{FF2B5EF4-FFF2-40B4-BE49-F238E27FC236}">
              <a16:creationId xmlns:a16="http://schemas.microsoft.com/office/drawing/2014/main" id="{00000000-0008-0000-2200-000028A20400}"/>
            </a:ext>
          </a:extLst>
        </xdr:cNvPr>
        <xdr:cNvSpPr txBox="1">
          <a:spLocks noChangeArrowheads="1"/>
        </xdr:cNvSpPr>
      </xdr:nvSpPr>
      <xdr:spPr bwMode="auto">
        <a:xfrm>
          <a:off x="3651250" y="19812000"/>
          <a:ext cx="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63</xdr:row>
      <xdr:rowOff>0</xdr:rowOff>
    </xdr:from>
    <xdr:to>
      <xdr:col>2</xdr:col>
      <xdr:colOff>0</xdr:colOff>
      <xdr:row>65</xdr:row>
      <xdr:rowOff>101600</xdr:rowOff>
    </xdr:to>
    <xdr:sp macro="" textlink="">
      <xdr:nvSpPr>
        <xdr:cNvPr id="303657" name="TextBox 1211">
          <a:extLst>
            <a:ext uri="{FF2B5EF4-FFF2-40B4-BE49-F238E27FC236}">
              <a16:creationId xmlns:a16="http://schemas.microsoft.com/office/drawing/2014/main" id="{00000000-0008-0000-2200-000029A20400}"/>
            </a:ext>
          </a:extLst>
        </xdr:cNvPr>
        <xdr:cNvSpPr txBox="1">
          <a:spLocks noChangeArrowheads="1"/>
        </xdr:cNvSpPr>
      </xdr:nvSpPr>
      <xdr:spPr bwMode="auto">
        <a:xfrm>
          <a:off x="3651250" y="19812000"/>
          <a:ext cx="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63</xdr:row>
      <xdr:rowOff>0</xdr:rowOff>
    </xdr:from>
    <xdr:to>
      <xdr:col>2</xdr:col>
      <xdr:colOff>0</xdr:colOff>
      <xdr:row>65</xdr:row>
      <xdr:rowOff>101600</xdr:rowOff>
    </xdr:to>
    <xdr:sp macro="" textlink="">
      <xdr:nvSpPr>
        <xdr:cNvPr id="303658" name="TextBox 1080">
          <a:extLst>
            <a:ext uri="{FF2B5EF4-FFF2-40B4-BE49-F238E27FC236}">
              <a16:creationId xmlns:a16="http://schemas.microsoft.com/office/drawing/2014/main" id="{00000000-0008-0000-2200-00002AA20400}"/>
            </a:ext>
          </a:extLst>
        </xdr:cNvPr>
        <xdr:cNvSpPr txBox="1">
          <a:spLocks noChangeArrowheads="1"/>
        </xdr:cNvSpPr>
      </xdr:nvSpPr>
      <xdr:spPr bwMode="auto">
        <a:xfrm>
          <a:off x="3651250" y="19812000"/>
          <a:ext cx="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63</xdr:row>
      <xdr:rowOff>0</xdr:rowOff>
    </xdr:from>
    <xdr:to>
      <xdr:col>2</xdr:col>
      <xdr:colOff>0</xdr:colOff>
      <xdr:row>65</xdr:row>
      <xdr:rowOff>101600</xdr:rowOff>
    </xdr:to>
    <xdr:sp macro="" textlink="">
      <xdr:nvSpPr>
        <xdr:cNvPr id="303659" name="TextBox 1211">
          <a:extLst>
            <a:ext uri="{FF2B5EF4-FFF2-40B4-BE49-F238E27FC236}">
              <a16:creationId xmlns:a16="http://schemas.microsoft.com/office/drawing/2014/main" id="{00000000-0008-0000-2200-00002BA20400}"/>
            </a:ext>
          </a:extLst>
        </xdr:cNvPr>
        <xdr:cNvSpPr txBox="1">
          <a:spLocks noChangeArrowheads="1"/>
        </xdr:cNvSpPr>
      </xdr:nvSpPr>
      <xdr:spPr bwMode="auto">
        <a:xfrm>
          <a:off x="3651250" y="19812000"/>
          <a:ext cx="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63</xdr:row>
      <xdr:rowOff>0</xdr:rowOff>
    </xdr:from>
    <xdr:to>
      <xdr:col>2</xdr:col>
      <xdr:colOff>0</xdr:colOff>
      <xdr:row>66</xdr:row>
      <xdr:rowOff>177800</xdr:rowOff>
    </xdr:to>
    <xdr:sp macro="" textlink="">
      <xdr:nvSpPr>
        <xdr:cNvPr id="303660" name="TextBox 1080">
          <a:extLst>
            <a:ext uri="{FF2B5EF4-FFF2-40B4-BE49-F238E27FC236}">
              <a16:creationId xmlns:a16="http://schemas.microsoft.com/office/drawing/2014/main" id="{00000000-0008-0000-2200-00002CA20400}"/>
            </a:ext>
          </a:extLst>
        </xdr:cNvPr>
        <xdr:cNvSpPr txBox="1">
          <a:spLocks noChangeArrowheads="1"/>
        </xdr:cNvSpPr>
      </xdr:nvSpPr>
      <xdr:spPr bwMode="auto">
        <a:xfrm>
          <a:off x="3651250" y="19812000"/>
          <a:ext cx="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63</xdr:row>
      <xdr:rowOff>0</xdr:rowOff>
    </xdr:from>
    <xdr:to>
      <xdr:col>2</xdr:col>
      <xdr:colOff>0</xdr:colOff>
      <xdr:row>66</xdr:row>
      <xdr:rowOff>177800</xdr:rowOff>
    </xdr:to>
    <xdr:sp macro="" textlink="">
      <xdr:nvSpPr>
        <xdr:cNvPr id="303661" name="TextBox 1211">
          <a:extLst>
            <a:ext uri="{FF2B5EF4-FFF2-40B4-BE49-F238E27FC236}">
              <a16:creationId xmlns:a16="http://schemas.microsoft.com/office/drawing/2014/main" id="{00000000-0008-0000-2200-00002DA20400}"/>
            </a:ext>
          </a:extLst>
        </xdr:cNvPr>
        <xdr:cNvSpPr txBox="1">
          <a:spLocks noChangeArrowheads="1"/>
        </xdr:cNvSpPr>
      </xdr:nvSpPr>
      <xdr:spPr bwMode="auto">
        <a:xfrm>
          <a:off x="3651250" y="19812000"/>
          <a:ext cx="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63</xdr:row>
      <xdr:rowOff>0</xdr:rowOff>
    </xdr:from>
    <xdr:to>
      <xdr:col>2</xdr:col>
      <xdr:colOff>0</xdr:colOff>
      <xdr:row>66</xdr:row>
      <xdr:rowOff>177800</xdr:rowOff>
    </xdr:to>
    <xdr:sp macro="" textlink="">
      <xdr:nvSpPr>
        <xdr:cNvPr id="303662" name="TextBox 1080">
          <a:extLst>
            <a:ext uri="{FF2B5EF4-FFF2-40B4-BE49-F238E27FC236}">
              <a16:creationId xmlns:a16="http://schemas.microsoft.com/office/drawing/2014/main" id="{00000000-0008-0000-2200-00002EA20400}"/>
            </a:ext>
          </a:extLst>
        </xdr:cNvPr>
        <xdr:cNvSpPr txBox="1">
          <a:spLocks noChangeArrowheads="1"/>
        </xdr:cNvSpPr>
      </xdr:nvSpPr>
      <xdr:spPr bwMode="auto">
        <a:xfrm>
          <a:off x="3651250" y="19812000"/>
          <a:ext cx="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63</xdr:row>
      <xdr:rowOff>0</xdr:rowOff>
    </xdr:from>
    <xdr:to>
      <xdr:col>2</xdr:col>
      <xdr:colOff>0</xdr:colOff>
      <xdr:row>66</xdr:row>
      <xdr:rowOff>177800</xdr:rowOff>
    </xdr:to>
    <xdr:sp macro="" textlink="">
      <xdr:nvSpPr>
        <xdr:cNvPr id="303663" name="TextBox 1211">
          <a:extLst>
            <a:ext uri="{FF2B5EF4-FFF2-40B4-BE49-F238E27FC236}">
              <a16:creationId xmlns:a16="http://schemas.microsoft.com/office/drawing/2014/main" id="{00000000-0008-0000-2200-00002FA20400}"/>
            </a:ext>
          </a:extLst>
        </xdr:cNvPr>
        <xdr:cNvSpPr txBox="1">
          <a:spLocks noChangeArrowheads="1"/>
        </xdr:cNvSpPr>
      </xdr:nvSpPr>
      <xdr:spPr bwMode="auto">
        <a:xfrm>
          <a:off x="3651250" y="19812000"/>
          <a:ext cx="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63</xdr:row>
      <xdr:rowOff>0</xdr:rowOff>
    </xdr:from>
    <xdr:to>
      <xdr:col>2</xdr:col>
      <xdr:colOff>0</xdr:colOff>
      <xdr:row>65</xdr:row>
      <xdr:rowOff>101600</xdr:rowOff>
    </xdr:to>
    <xdr:sp macro="" textlink="">
      <xdr:nvSpPr>
        <xdr:cNvPr id="303664" name="TextBox 1080">
          <a:extLst>
            <a:ext uri="{FF2B5EF4-FFF2-40B4-BE49-F238E27FC236}">
              <a16:creationId xmlns:a16="http://schemas.microsoft.com/office/drawing/2014/main" id="{00000000-0008-0000-2200-000030A20400}"/>
            </a:ext>
          </a:extLst>
        </xdr:cNvPr>
        <xdr:cNvSpPr txBox="1">
          <a:spLocks noChangeArrowheads="1"/>
        </xdr:cNvSpPr>
      </xdr:nvSpPr>
      <xdr:spPr bwMode="auto">
        <a:xfrm>
          <a:off x="3651250" y="19812000"/>
          <a:ext cx="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63</xdr:row>
      <xdr:rowOff>0</xdr:rowOff>
    </xdr:from>
    <xdr:to>
      <xdr:col>2</xdr:col>
      <xdr:colOff>0</xdr:colOff>
      <xdr:row>65</xdr:row>
      <xdr:rowOff>101600</xdr:rowOff>
    </xdr:to>
    <xdr:sp macro="" textlink="">
      <xdr:nvSpPr>
        <xdr:cNvPr id="303665" name="TextBox 1211">
          <a:extLst>
            <a:ext uri="{FF2B5EF4-FFF2-40B4-BE49-F238E27FC236}">
              <a16:creationId xmlns:a16="http://schemas.microsoft.com/office/drawing/2014/main" id="{00000000-0008-0000-2200-000031A20400}"/>
            </a:ext>
          </a:extLst>
        </xdr:cNvPr>
        <xdr:cNvSpPr txBox="1">
          <a:spLocks noChangeArrowheads="1"/>
        </xdr:cNvSpPr>
      </xdr:nvSpPr>
      <xdr:spPr bwMode="auto">
        <a:xfrm>
          <a:off x="3651250" y="19812000"/>
          <a:ext cx="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63</xdr:row>
      <xdr:rowOff>0</xdr:rowOff>
    </xdr:from>
    <xdr:to>
      <xdr:col>2</xdr:col>
      <xdr:colOff>0</xdr:colOff>
      <xdr:row>65</xdr:row>
      <xdr:rowOff>101600</xdr:rowOff>
    </xdr:to>
    <xdr:sp macro="" textlink="">
      <xdr:nvSpPr>
        <xdr:cNvPr id="303666" name="TextBox 1080">
          <a:extLst>
            <a:ext uri="{FF2B5EF4-FFF2-40B4-BE49-F238E27FC236}">
              <a16:creationId xmlns:a16="http://schemas.microsoft.com/office/drawing/2014/main" id="{00000000-0008-0000-2200-000032A20400}"/>
            </a:ext>
          </a:extLst>
        </xdr:cNvPr>
        <xdr:cNvSpPr txBox="1">
          <a:spLocks noChangeArrowheads="1"/>
        </xdr:cNvSpPr>
      </xdr:nvSpPr>
      <xdr:spPr bwMode="auto">
        <a:xfrm>
          <a:off x="3651250" y="19812000"/>
          <a:ext cx="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63</xdr:row>
      <xdr:rowOff>0</xdr:rowOff>
    </xdr:from>
    <xdr:to>
      <xdr:col>2</xdr:col>
      <xdr:colOff>0</xdr:colOff>
      <xdr:row>65</xdr:row>
      <xdr:rowOff>101600</xdr:rowOff>
    </xdr:to>
    <xdr:sp macro="" textlink="">
      <xdr:nvSpPr>
        <xdr:cNvPr id="303667" name="TextBox 1211">
          <a:extLst>
            <a:ext uri="{FF2B5EF4-FFF2-40B4-BE49-F238E27FC236}">
              <a16:creationId xmlns:a16="http://schemas.microsoft.com/office/drawing/2014/main" id="{00000000-0008-0000-2200-000033A20400}"/>
            </a:ext>
          </a:extLst>
        </xdr:cNvPr>
        <xdr:cNvSpPr txBox="1">
          <a:spLocks noChangeArrowheads="1"/>
        </xdr:cNvSpPr>
      </xdr:nvSpPr>
      <xdr:spPr bwMode="auto">
        <a:xfrm>
          <a:off x="3651250" y="19812000"/>
          <a:ext cx="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63</xdr:row>
      <xdr:rowOff>0</xdr:rowOff>
    </xdr:from>
    <xdr:to>
      <xdr:col>2</xdr:col>
      <xdr:colOff>0</xdr:colOff>
      <xdr:row>66</xdr:row>
      <xdr:rowOff>177800</xdr:rowOff>
    </xdr:to>
    <xdr:sp macro="" textlink="">
      <xdr:nvSpPr>
        <xdr:cNvPr id="303668" name="TextBox 1080">
          <a:extLst>
            <a:ext uri="{FF2B5EF4-FFF2-40B4-BE49-F238E27FC236}">
              <a16:creationId xmlns:a16="http://schemas.microsoft.com/office/drawing/2014/main" id="{00000000-0008-0000-2200-000034A20400}"/>
            </a:ext>
          </a:extLst>
        </xdr:cNvPr>
        <xdr:cNvSpPr txBox="1">
          <a:spLocks noChangeArrowheads="1"/>
        </xdr:cNvSpPr>
      </xdr:nvSpPr>
      <xdr:spPr bwMode="auto">
        <a:xfrm>
          <a:off x="3651250" y="19812000"/>
          <a:ext cx="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63</xdr:row>
      <xdr:rowOff>0</xdr:rowOff>
    </xdr:from>
    <xdr:to>
      <xdr:col>2</xdr:col>
      <xdr:colOff>0</xdr:colOff>
      <xdr:row>66</xdr:row>
      <xdr:rowOff>177800</xdr:rowOff>
    </xdr:to>
    <xdr:sp macro="" textlink="">
      <xdr:nvSpPr>
        <xdr:cNvPr id="303669" name="TextBox 1211">
          <a:extLst>
            <a:ext uri="{FF2B5EF4-FFF2-40B4-BE49-F238E27FC236}">
              <a16:creationId xmlns:a16="http://schemas.microsoft.com/office/drawing/2014/main" id="{00000000-0008-0000-2200-000035A20400}"/>
            </a:ext>
          </a:extLst>
        </xdr:cNvPr>
        <xdr:cNvSpPr txBox="1">
          <a:spLocks noChangeArrowheads="1"/>
        </xdr:cNvSpPr>
      </xdr:nvSpPr>
      <xdr:spPr bwMode="auto">
        <a:xfrm>
          <a:off x="3651250" y="19812000"/>
          <a:ext cx="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63</xdr:row>
      <xdr:rowOff>0</xdr:rowOff>
    </xdr:from>
    <xdr:to>
      <xdr:col>2</xdr:col>
      <xdr:colOff>0</xdr:colOff>
      <xdr:row>66</xdr:row>
      <xdr:rowOff>177800</xdr:rowOff>
    </xdr:to>
    <xdr:sp macro="" textlink="">
      <xdr:nvSpPr>
        <xdr:cNvPr id="303670" name="TextBox 1080">
          <a:extLst>
            <a:ext uri="{FF2B5EF4-FFF2-40B4-BE49-F238E27FC236}">
              <a16:creationId xmlns:a16="http://schemas.microsoft.com/office/drawing/2014/main" id="{00000000-0008-0000-2200-000036A20400}"/>
            </a:ext>
          </a:extLst>
        </xdr:cNvPr>
        <xdr:cNvSpPr txBox="1">
          <a:spLocks noChangeArrowheads="1"/>
        </xdr:cNvSpPr>
      </xdr:nvSpPr>
      <xdr:spPr bwMode="auto">
        <a:xfrm>
          <a:off x="3651250" y="19812000"/>
          <a:ext cx="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63</xdr:row>
      <xdr:rowOff>0</xdr:rowOff>
    </xdr:from>
    <xdr:to>
      <xdr:col>2</xdr:col>
      <xdr:colOff>0</xdr:colOff>
      <xdr:row>66</xdr:row>
      <xdr:rowOff>177800</xdr:rowOff>
    </xdr:to>
    <xdr:sp macro="" textlink="">
      <xdr:nvSpPr>
        <xdr:cNvPr id="303671" name="TextBox 1211">
          <a:extLst>
            <a:ext uri="{FF2B5EF4-FFF2-40B4-BE49-F238E27FC236}">
              <a16:creationId xmlns:a16="http://schemas.microsoft.com/office/drawing/2014/main" id="{00000000-0008-0000-2200-000037A20400}"/>
            </a:ext>
          </a:extLst>
        </xdr:cNvPr>
        <xdr:cNvSpPr txBox="1">
          <a:spLocks noChangeArrowheads="1"/>
        </xdr:cNvSpPr>
      </xdr:nvSpPr>
      <xdr:spPr bwMode="auto">
        <a:xfrm>
          <a:off x="3651250" y="19812000"/>
          <a:ext cx="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63</xdr:row>
      <xdr:rowOff>0</xdr:rowOff>
    </xdr:from>
    <xdr:to>
      <xdr:col>2</xdr:col>
      <xdr:colOff>0</xdr:colOff>
      <xdr:row>65</xdr:row>
      <xdr:rowOff>101600</xdr:rowOff>
    </xdr:to>
    <xdr:sp macro="" textlink="">
      <xdr:nvSpPr>
        <xdr:cNvPr id="303672" name="TextBox 1080">
          <a:extLst>
            <a:ext uri="{FF2B5EF4-FFF2-40B4-BE49-F238E27FC236}">
              <a16:creationId xmlns:a16="http://schemas.microsoft.com/office/drawing/2014/main" id="{00000000-0008-0000-2200-000038A20400}"/>
            </a:ext>
          </a:extLst>
        </xdr:cNvPr>
        <xdr:cNvSpPr txBox="1">
          <a:spLocks noChangeArrowheads="1"/>
        </xdr:cNvSpPr>
      </xdr:nvSpPr>
      <xdr:spPr bwMode="auto">
        <a:xfrm>
          <a:off x="3651250" y="19812000"/>
          <a:ext cx="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63</xdr:row>
      <xdr:rowOff>0</xdr:rowOff>
    </xdr:from>
    <xdr:to>
      <xdr:col>2</xdr:col>
      <xdr:colOff>0</xdr:colOff>
      <xdr:row>65</xdr:row>
      <xdr:rowOff>101600</xdr:rowOff>
    </xdr:to>
    <xdr:sp macro="" textlink="">
      <xdr:nvSpPr>
        <xdr:cNvPr id="303673" name="TextBox 1211">
          <a:extLst>
            <a:ext uri="{FF2B5EF4-FFF2-40B4-BE49-F238E27FC236}">
              <a16:creationId xmlns:a16="http://schemas.microsoft.com/office/drawing/2014/main" id="{00000000-0008-0000-2200-000039A20400}"/>
            </a:ext>
          </a:extLst>
        </xdr:cNvPr>
        <xdr:cNvSpPr txBox="1">
          <a:spLocks noChangeArrowheads="1"/>
        </xdr:cNvSpPr>
      </xdr:nvSpPr>
      <xdr:spPr bwMode="auto">
        <a:xfrm>
          <a:off x="3651250" y="19812000"/>
          <a:ext cx="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63</xdr:row>
      <xdr:rowOff>0</xdr:rowOff>
    </xdr:from>
    <xdr:to>
      <xdr:col>2</xdr:col>
      <xdr:colOff>0</xdr:colOff>
      <xdr:row>65</xdr:row>
      <xdr:rowOff>101600</xdr:rowOff>
    </xdr:to>
    <xdr:sp macro="" textlink="">
      <xdr:nvSpPr>
        <xdr:cNvPr id="303674" name="TextBox 1080">
          <a:extLst>
            <a:ext uri="{FF2B5EF4-FFF2-40B4-BE49-F238E27FC236}">
              <a16:creationId xmlns:a16="http://schemas.microsoft.com/office/drawing/2014/main" id="{00000000-0008-0000-2200-00003AA20400}"/>
            </a:ext>
          </a:extLst>
        </xdr:cNvPr>
        <xdr:cNvSpPr txBox="1">
          <a:spLocks noChangeArrowheads="1"/>
        </xdr:cNvSpPr>
      </xdr:nvSpPr>
      <xdr:spPr bwMode="auto">
        <a:xfrm>
          <a:off x="3651250" y="19812000"/>
          <a:ext cx="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63</xdr:row>
      <xdr:rowOff>0</xdr:rowOff>
    </xdr:from>
    <xdr:to>
      <xdr:col>2</xdr:col>
      <xdr:colOff>0</xdr:colOff>
      <xdr:row>65</xdr:row>
      <xdr:rowOff>101600</xdr:rowOff>
    </xdr:to>
    <xdr:sp macro="" textlink="">
      <xdr:nvSpPr>
        <xdr:cNvPr id="303675" name="TextBox 1211">
          <a:extLst>
            <a:ext uri="{FF2B5EF4-FFF2-40B4-BE49-F238E27FC236}">
              <a16:creationId xmlns:a16="http://schemas.microsoft.com/office/drawing/2014/main" id="{00000000-0008-0000-2200-00003BA20400}"/>
            </a:ext>
          </a:extLst>
        </xdr:cNvPr>
        <xdr:cNvSpPr txBox="1">
          <a:spLocks noChangeArrowheads="1"/>
        </xdr:cNvSpPr>
      </xdr:nvSpPr>
      <xdr:spPr bwMode="auto">
        <a:xfrm>
          <a:off x="3651250" y="19812000"/>
          <a:ext cx="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63</xdr:row>
      <xdr:rowOff>0</xdr:rowOff>
    </xdr:from>
    <xdr:to>
      <xdr:col>2</xdr:col>
      <xdr:colOff>0</xdr:colOff>
      <xdr:row>66</xdr:row>
      <xdr:rowOff>152400</xdr:rowOff>
    </xdr:to>
    <xdr:sp macro="" textlink="">
      <xdr:nvSpPr>
        <xdr:cNvPr id="303676" name="TextBox 1080">
          <a:extLst>
            <a:ext uri="{FF2B5EF4-FFF2-40B4-BE49-F238E27FC236}">
              <a16:creationId xmlns:a16="http://schemas.microsoft.com/office/drawing/2014/main" id="{00000000-0008-0000-2200-00003CA20400}"/>
            </a:ext>
          </a:extLst>
        </xdr:cNvPr>
        <xdr:cNvSpPr txBox="1">
          <a:spLocks noChangeArrowheads="1"/>
        </xdr:cNvSpPr>
      </xdr:nvSpPr>
      <xdr:spPr bwMode="auto">
        <a:xfrm>
          <a:off x="3651250" y="19812000"/>
          <a:ext cx="0" cy="104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63</xdr:row>
      <xdr:rowOff>0</xdr:rowOff>
    </xdr:from>
    <xdr:to>
      <xdr:col>2</xdr:col>
      <xdr:colOff>0</xdr:colOff>
      <xdr:row>66</xdr:row>
      <xdr:rowOff>152400</xdr:rowOff>
    </xdr:to>
    <xdr:sp macro="" textlink="">
      <xdr:nvSpPr>
        <xdr:cNvPr id="303677" name="TextBox 1211">
          <a:extLst>
            <a:ext uri="{FF2B5EF4-FFF2-40B4-BE49-F238E27FC236}">
              <a16:creationId xmlns:a16="http://schemas.microsoft.com/office/drawing/2014/main" id="{00000000-0008-0000-2200-00003DA20400}"/>
            </a:ext>
          </a:extLst>
        </xdr:cNvPr>
        <xdr:cNvSpPr txBox="1">
          <a:spLocks noChangeArrowheads="1"/>
        </xdr:cNvSpPr>
      </xdr:nvSpPr>
      <xdr:spPr bwMode="auto">
        <a:xfrm>
          <a:off x="3651250" y="19812000"/>
          <a:ext cx="0" cy="104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63</xdr:row>
      <xdr:rowOff>0</xdr:rowOff>
    </xdr:from>
    <xdr:to>
      <xdr:col>2</xdr:col>
      <xdr:colOff>0</xdr:colOff>
      <xdr:row>66</xdr:row>
      <xdr:rowOff>152400</xdr:rowOff>
    </xdr:to>
    <xdr:sp macro="" textlink="">
      <xdr:nvSpPr>
        <xdr:cNvPr id="303678" name="TextBox 1080">
          <a:extLst>
            <a:ext uri="{FF2B5EF4-FFF2-40B4-BE49-F238E27FC236}">
              <a16:creationId xmlns:a16="http://schemas.microsoft.com/office/drawing/2014/main" id="{00000000-0008-0000-2200-00003EA20400}"/>
            </a:ext>
          </a:extLst>
        </xdr:cNvPr>
        <xdr:cNvSpPr txBox="1">
          <a:spLocks noChangeArrowheads="1"/>
        </xdr:cNvSpPr>
      </xdr:nvSpPr>
      <xdr:spPr bwMode="auto">
        <a:xfrm>
          <a:off x="3651250" y="19812000"/>
          <a:ext cx="0" cy="104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63</xdr:row>
      <xdr:rowOff>0</xdr:rowOff>
    </xdr:from>
    <xdr:to>
      <xdr:col>2</xdr:col>
      <xdr:colOff>0</xdr:colOff>
      <xdr:row>66</xdr:row>
      <xdr:rowOff>152400</xdr:rowOff>
    </xdr:to>
    <xdr:sp macro="" textlink="">
      <xdr:nvSpPr>
        <xdr:cNvPr id="303679" name="TextBox 1211">
          <a:extLst>
            <a:ext uri="{FF2B5EF4-FFF2-40B4-BE49-F238E27FC236}">
              <a16:creationId xmlns:a16="http://schemas.microsoft.com/office/drawing/2014/main" id="{00000000-0008-0000-2200-00003FA20400}"/>
            </a:ext>
          </a:extLst>
        </xdr:cNvPr>
        <xdr:cNvSpPr txBox="1">
          <a:spLocks noChangeArrowheads="1"/>
        </xdr:cNvSpPr>
      </xdr:nvSpPr>
      <xdr:spPr bwMode="auto">
        <a:xfrm>
          <a:off x="3651250" y="19812000"/>
          <a:ext cx="0" cy="104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63</xdr:row>
      <xdr:rowOff>0</xdr:rowOff>
    </xdr:from>
    <xdr:to>
      <xdr:col>2</xdr:col>
      <xdr:colOff>0</xdr:colOff>
      <xdr:row>66</xdr:row>
      <xdr:rowOff>12700</xdr:rowOff>
    </xdr:to>
    <xdr:sp macro="" textlink="">
      <xdr:nvSpPr>
        <xdr:cNvPr id="303680" name="TextBox 1080">
          <a:extLst>
            <a:ext uri="{FF2B5EF4-FFF2-40B4-BE49-F238E27FC236}">
              <a16:creationId xmlns:a16="http://schemas.microsoft.com/office/drawing/2014/main" id="{00000000-0008-0000-2200-000040A20400}"/>
            </a:ext>
          </a:extLst>
        </xdr:cNvPr>
        <xdr:cNvSpPr txBox="1">
          <a:spLocks noChangeArrowheads="1"/>
        </xdr:cNvSpPr>
      </xdr:nvSpPr>
      <xdr:spPr bwMode="auto">
        <a:xfrm>
          <a:off x="3651250" y="19812000"/>
          <a:ext cx="0" cy="901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63</xdr:row>
      <xdr:rowOff>0</xdr:rowOff>
    </xdr:from>
    <xdr:to>
      <xdr:col>2</xdr:col>
      <xdr:colOff>0</xdr:colOff>
      <xdr:row>66</xdr:row>
      <xdr:rowOff>12700</xdr:rowOff>
    </xdr:to>
    <xdr:sp macro="" textlink="">
      <xdr:nvSpPr>
        <xdr:cNvPr id="303681" name="TextBox 1211">
          <a:extLst>
            <a:ext uri="{FF2B5EF4-FFF2-40B4-BE49-F238E27FC236}">
              <a16:creationId xmlns:a16="http://schemas.microsoft.com/office/drawing/2014/main" id="{00000000-0008-0000-2200-000041A20400}"/>
            </a:ext>
          </a:extLst>
        </xdr:cNvPr>
        <xdr:cNvSpPr txBox="1">
          <a:spLocks noChangeArrowheads="1"/>
        </xdr:cNvSpPr>
      </xdr:nvSpPr>
      <xdr:spPr bwMode="auto">
        <a:xfrm>
          <a:off x="3651250" y="19812000"/>
          <a:ext cx="0" cy="901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63</xdr:row>
      <xdr:rowOff>0</xdr:rowOff>
    </xdr:from>
    <xdr:to>
      <xdr:col>2</xdr:col>
      <xdr:colOff>0</xdr:colOff>
      <xdr:row>66</xdr:row>
      <xdr:rowOff>12700</xdr:rowOff>
    </xdr:to>
    <xdr:sp macro="" textlink="">
      <xdr:nvSpPr>
        <xdr:cNvPr id="303682" name="TextBox 1080">
          <a:extLst>
            <a:ext uri="{FF2B5EF4-FFF2-40B4-BE49-F238E27FC236}">
              <a16:creationId xmlns:a16="http://schemas.microsoft.com/office/drawing/2014/main" id="{00000000-0008-0000-2200-000042A20400}"/>
            </a:ext>
          </a:extLst>
        </xdr:cNvPr>
        <xdr:cNvSpPr txBox="1">
          <a:spLocks noChangeArrowheads="1"/>
        </xdr:cNvSpPr>
      </xdr:nvSpPr>
      <xdr:spPr bwMode="auto">
        <a:xfrm>
          <a:off x="3651250" y="19812000"/>
          <a:ext cx="0" cy="901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63</xdr:row>
      <xdr:rowOff>0</xdr:rowOff>
    </xdr:from>
    <xdr:to>
      <xdr:col>2</xdr:col>
      <xdr:colOff>0</xdr:colOff>
      <xdr:row>66</xdr:row>
      <xdr:rowOff>12700</xdr:rowOff>
    </xdr:to>
    <xdr:sp macro="" textlink="">
      <xdr:nvSpPr>
        <xdr:cNvPr id="303683" name="TextBox 1211">
          <a:extLst>
            <a:ext uri="{FF2B5EF4-FFF2-40B4-BE49-F238E27FC236}">
              <a16:creationId xmlns:a16="http://schemas.microsoft.com/office/drawing/2014/main" id="{00000000-0008-0000-2200-000043A20400}"/>
            </a:ext>
          </a:extLst>
        </xdr:cNvPr>
        <xdr:cNvSpPr txBox="1">
          <a:spLocks noChangeArrowheads="1"/>
        </xdr:cNvSpPr>
      </xdr:nvSpPr>
      <xdr:spPr bwMode="auto">
        <a:xfrm>
          <a:off x="3651250" y="19812000"/>
          <a:ext cx="0" cy="901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946150</xdr:colOff>
      <xdr:row>63</xdr:row>
      <xdr:rowOff>0</xdr:rowOff>
    </xdr:from>
    <xdr:to>
      <xdr:col>1</xdr:col>
      <xdr:colOff>946150</xdr:colOff>
      <xdr:row>66</xdr:row>
      <xdr:rowOff>12700</xdr:rowOff>
    </xdr:to>
    <xdr:sp macro="" textlink="">
      <xdr:nvSpPr>
        <xdr:cNvPr id="303684" name="TextBox 1080">
          <a:extLst>
            <a:ext uri="{FF2B5EF4-FFF2-40B4-BE49-F238E27FC236}">
              <a16:creationId xmlns:a16="http://schemas.microsoft.com/office/drawing/2014/main" id="{00000000-0008-0000-2200-000044A20400}"/>
            </a:ext>
          </a:extLst>
        </xdr:cNvPr>
        <xdr:cNvSpPr txBox="1">
          <a:spLocks noChangeArrowheads="1"/>
        </xdr:cNvSpPr>
      </xdr:nvSpPr>
      <xdr:spPr bwMode="auto">
        <a:xfrm>
          <a:off x="1479550" y="19812000"/>
          <a:ext cx="0" cy="901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946150</xdr:colOff>
      <xdr:row>63</xdr:row>
      <xdr:rowOff>0</xdr:rowOff>
    </xdr:from>
    <xdr:to>
      <xdr:col>1</xdr:col>
      <xdr:colOff>946150</xdr:colOff>
      <xdr:row>66</xdr:row>
      <xdr:rowOff>12700</xdr:rowOff>
    </xdr:to>
    <xdr:sp macro="" textlink="">
      <xdr:nvSpPr>
        <xdr:cNvPr id="303685" name="TextBox 1211">
          <a:extLst>
            <a:ext uri="{FF2B5EF4-FFF2-40B4-BE49-F238E27FC236}">
              <a16:creationId xmlns:a16="http://schemas.microsoft.com/office/drawing/2014/main" id="{00000000-0008-0000-2200-000045A20400}"/>
            </a:ext>
          </a:extLst>
        </xdr:cNvPr>
        <xdr:cNvSpPr txBox="1">
          <a:spLocks noChangeArrowheads="1"/>
        </xdr:cNvSpPr>
      </xdr:nvSpPr>
      <xdr:spPr bwMode="auto">
        <a:xfrm>
          <a:off x="1479550" y="19812000"/>
          <a:ext cx="0" cy="901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946150</xdr:colOff>
      <xdr:row>63</xdr:row>
      <xdr:rowOff>0</xdr:rowOff>
    </xdr:from>
    <xdr:to>
      <xdr:col>1</xdr:col>
      <xdr:colOff>946150</xdr:colOff>
      <xdr:row>66</xdr:row>
      <xdr:rowOff>12700</xdr:rowOff>
    </xdr:to>
    <xdr:sp macro="" textlink="">
      <xdr:nvSpPr>
        <xdr:cNvPr id="303686" name="TextBox 1080">
          <a:extLst>
            <a:ext uri="{FF2B5EF4-FFF2-40B4-BE49-F238E27FC236}">
              <a16:creationId xmlns:a16="http://schemas.microsoft.com/office/drawing/2014/main" id="{00000000-0008-0000-2200-000046A20400}"/>
            </a:ext>
          </a:extLst>
        </xdr:cNvPr>
        <xdr:cNvSpPr txBox="1">
          <a:spLocks noChangeArrowheads="1"/>
        </xdr:cNvSpPr>
      </xdr:nvSpPr>
      <xdr:spPr bwMode="auto">
        <a:xfrm>
          <a:off x="1479550" y="19812000"/>
          <a:ext cx="0" cy="901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946150</xdr:colOff>
      <xdr:row>63</xdr:row>
      <xdr:rowOff>0</xdr:rowOff>
    </xdr:from>
    <xdr:to>
      <xdr:col>1</xdr:col>
      <xdr:colOff>946150</xdr:colOff>
      <xdr:row>66</xdr:row>
      <xdr:rowOff>12700</xdr:rowOff>
    </xdr:to>
    <xdr:sp macro="" textlink="">
      <xdr:nvSpPr>
        <xdr:cNvPr id="303687" name="TextBox 1211">
          <a:extLst>
            <a:ext uri="{FF2B5EF4-FFF2-40B4-BE49-F238E27FC236}">
              <a16:creationId xmlns:a16="http://schemas.microsoft.com/office/drawing/2014/main" id="{00000000-0008-0000-2200-000047A20400}"/>
            </a:ext>
          </a:extLst>
        </xdr:cNvPr>
        <xdr:cNvSpPr txBox="1">
          <a:spLocks noChangeArrowheads="1"/>
        </xdr:cNvSpPr>
      </xdr:nvSpPr>
      <xdr:spPr bwMode="auto">
        <a:xfrm>
          <a:off x="1479550" y="19812000"/>
          <a:ext cx="0" cy="901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63</xdr:row>
      <xdr:rowOff>0</xdr:rowOff>
    </xdr:from>
    <xdr:to>
      <xdr:col>2</xdr:col>
      <xdr:colOff>0</xdr:colOff>
      <xdr:row>64</xdr:row>
      <xdr:rowOff>152400</xdr:rowOff>
    </xdr:to>
    <xdr:sp macro="" textlink="">
      <xdr:nvSpPr>
        <xdr:cNvPr id="303688" name="TextBox 1080">
          <a:extLst>
            <a:ext uri="{FF2B5EF4-FFF2-40B4-BE49-F238E27FC236}">
              <a16:creationId xmlns:a16="http://schemas.microsoft.com/office/drawing/2014/main" id="{00000000-0008-0000-2200-000048A20400}"/>
            </a:ext>
          </a:extLst>
        </xdr:cNvPr>
        <xdr:cNvSpPr txBox="1">
          <a:spLocks noChangeArrowheads="1"/>
        </xdr:cNvSpPr>
      </xdr:nvSpPr>
      <xdr:spPr bwMode="auto">
        <a:xfrm>
          <a:off x="3651250" y="19812000"/>
          <a:ext cx="0" cy="584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63</xdr:row>
      <xdr:rowOff>0</xdr:rowOff>
    </xdr:from>
    <xdr:to>
      <xdr:col>2</xdr:col>
      <xdr:colOff>0</xdr:colOff>
      <xdr:row>64</xdr:row>
      <xdr:rowOff>152400</xdr:rowOff>
    </xdr:to>
    <xdr:sp macro="" textlink="">
      <xdr:nvSpPr>
        <xdr:cNvPr id="303689" name="TextBox 1211">
          <a:extLst>
            <a:ext uri="{FF2B5EF4-FFF2-40B4-BE49-F238E27FC236}">
              <a16:creationId xmlns:a16="http://schemas.microsoft.com/office/drawing/2014/main" id="{00000000-0008-0000-2200-000049A20400}"/>
            </a:ext>
          </a:extLst>
        </xdr:cNvPr>
        <xdr:cNvSpPr txBox="1">
          <a:spLocks noChangeArrowheads="1"/>
        </xdr:cNvSpPr>
      </xdr:nvSpPr>
      <xdr:spPr bwMode="auto">
        <a:xfrm>
          <a:off x="3651250" y="19812000"/>
          <a:ext cx="0" cy="584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63</xdr:row>
      <xdr:rowOff>0</xdr:rowOff>
    </xdr:from>
    <xdr:to>
      <xdr:col>2</xdr:col>
      <xdr:colOff>0</xdr:colOff>
      <xdr:row>64</xdr:row>
      <xdr:rowOff>152400</xdr:rowOff>
    </xdr:to>
    <xdr:sp macro="" textlink="">
      <xdr:nvSpPr>
        <xdr:cNvPr id="303690" name="TextBox 1080">
          <a:extLst>
            <a:ext uri="{FF2B5EF4-FFF2-40B4-BE49-F238E27FC236}">
              <a16:creationId xmlns:a16="http://schemas.microsoft.com/office/drawing/2014/main" id="{00000000-0008-0000-2200-00004AA20400}"/>
            </a:ext>
          </a:extLst>
        </xdr:cNvPr>
        <xdr:cNvSpPr txBox="1">
          <a:spLocks noChangeArrowheads="1"/>
        </xdr:cNvSpPr>
      </xdr:nvSpPr>
      <xdr:spPr bwMode="auto">
        <a:xfrm>
          <a:off x="3651250" y="19812000"/>
          <a:ext cx="0" cy="584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63</xdr:row>
      <xdr:rowOff>0</xdr:rowOff>
    </xdr:from>
    <xdr:to>
      <xdr:col>2</xdr:col>
      <xdr:colOff>0</xdr:colOff>
      <xdr:row>64</xdr:row>
      <xdr:rowOff>152400</xdr:rowOff>
    </xdr:to>
    <xdr:sp macro="" textlink="">
      <xdr:nvSpPr>
        <xdr:cNvPr id="303691" name="TextBox 1211">
          <a:extLst>
            <a:ext uri="{FF2B5EF4-FFF2-40B4-BE49-F238E27FC236}">
              <a16:creationId xmlns:a16="http://schemas.microsoft.com/office/drawing/2014/main" id="{00000000-0008-0000-2200-00004BA20400}"/>
            </a:ext>
          </a:extLst>
        </xdr:cNvPr>
        <xdr:cNvSpPr txBox="1">
          <a:spLocks noChangeArrowheads="1"/>
        </xdr:cNvSpPr>
      </xdr:nvSpPr>
      <xdr:spPr bwMode="auto">
        <a:xfrm>
          <a:off x="3651250" y="19812000"/>
          <a:ext cx="0" cy="584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63</xdr:row>
      <xdr:rowOff>0</xdr:rowOff>
    </xdr:from>
    <xdr:to>
      <xdr:col>2</xdr:col>
      <xdr:colOff>0</xdr:colOff>
      <xdr:row>64</xdr:row>
      <xdr:rowOff>152400</xdr:rowOff>
    </xdr:to>
    <xdr:sp macro="" textlink="">
      <xdr:nvSpPr>
        <xdr:cNvPr id="303692" name="TextBox 1080">
          <a:extLst>
            <a:ext uri="{FF2B5EF4-FFF2-40B4-BE49-F238E27FC236}">
              <a16:creationId xmlns:a16="http://schemas.microsoft.com/office/drawing/2014/main" id="{00000000-0008-0000-2200-00004CA20400}"/>
            </a:ext>
          </a:extLst>
        </xdr:cNvPr>
        <xdr:cNvSpPr txBox="1">
          <a:spLocks noChangeArrowheads="1"/>
        </xdr:cNvSpPr>
      </xdr:nvSpPr>
      <xdr:spPr bwMode="auto">
        <a:xfrm>
          <a:off x="3651250" y="19812000"/>
          <a:ext cx="0" cy="584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63</xdr:row>
      <xdr:rowOff>0</xdr:rowOff>
    </xdr:from>
    <xdr:to>
      <xdr:col>2</xdr:col>
      <xdr:colOff>0</xdr:colOff>
      <xdr:row>64</xdr:row>
      <xdr:rowOff>152400</xdr:rowOff>
    </xdr:to>
    <xdr:sp macro="" textlink="">
      <xdr:nvSpPr>
        <xdr:cNvPr id="303693" name="TextBox 1211">
          <a:extLst>
            <a:ext uri="{FF2B5EF4-FFF2-40B4-BE49-F238E27FC236}">
              <a16:creationId xmlns:a16="http://schemas.microsoft.com/office/drawing/2014/main" id="{00000000-0008-0000-2200-00004DA20400}"/>
            </a:ext>
          </a:extLst>
        </xdr:cNvPr>
        <xdr:cNvSpPr txBox="1">
          <a:spLocks noChangeArrowheads="1"/>
        </xdr:cNvSpPr>
      </xdr:nvSpPr>
      <xdr:spPr bwMode="auto">
        <a:xfrm>
          <a:off x="3651250" y="19812000"/>
          <a:ext cx="0" cy="584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63</xdr:row>
      <xdr:rowOff>0</xdr:rowOff>
    </xdr:from>
    <xdr:to>
      <xdr:col>2</xdr:col>
      <xdr:colOff>0</xdr:colOff>
      <xdr:row>64</xdr:row>
      <xdr:rowOff>152400</xdr:rowOff>
    </xdr:to>
    <xdr:sp macro="" textlink="">
      <xdr:nvSpPr>
        <xdr:cNvPr id="303694" name="TextBox 1080">
          <a:extLst>
            <a:ext uri="{FF2B5EF4-FFF2-40B4-BE49-F238E27FC236}">
              <a16:creationId xmlns:a16="http://schemas.microsoft.com/office/drawing/2014/main" id="{00000000-0008-0000-2200-00004EA20400}"/>
            </a:ext>
          </a:extLst>
        </xdr:cNvPr>
        <xdr:cNvSpPr txBox="1">
          <a:spLocks noChangeArrowheads="1"/>
        </xdr:cNvSpPr>
      </xdr:nvSpPr>
      <xdr:spPr bwMode="auto">
        <a:xfrm>
          <a:off x="3651250" y="19812000"/>
          <a:ext cx="0" cy="584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63</xdr:row>
      <xdr:rowOff>0</xdr:rowOff>
    </xdr:from>
    <xdr:to>
      <xdr:col>2</xdr:col>
      <xdr:colOff>0</xdr:colOff>
      <xdr:row>64</xdr:row>
      <xdr:rowOff>152400</xdr:rowOff>
    </xdr:to>
    <xdr:sp macro="" textlink="">
      <xdr:nvSpPr>
        <xdr:cNvPr id="303695" name="TextBox 1211">
          <a:extLst>
            <a:ext uri="{FF2B5EF4-FFF2-40B4-BE49-F238E27FC236}">
              <a16:creationId xmlns:a16="http://schemas.microsoft.com/office/drawing/2014/main" id="{00000000-0008-0000-2200-00004FA20400}"/>
            </a:ext>
          </a:extLst>
        </xdr:cNvPr>
        <xdr:cNvSpPr txBox="1">
          <a:spLocks noChangeArrowheads="1"/>
        </xdr:cNvSpPr>
      </xdr:nvSpPr>
      <xdr:spPr bwMode="auto">
        <a:xfrm>
          <a:off x="3651250" y="19812000"/>
          <a:ext cx="0" cy="584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965200</xdr:colOff>
      <xdr:row>63</xdr:row>
      <xdr:rowOff>0</xdr:rowOff>
    </xdr:from>
    <xdr:to>
      <xdr:col>1</xdr:col>
      <xdr:colOff>965200</xdr:colOff>
      <xdr:row>66</xdr:row>
      <xdr:rowOff>12700</xdr:rowOff>
    </xdr:to>
    <xdr:sp macro="" textlink="">
      <xdr:nvSpPr>
        <xdr:cNvPr id="303696" name="TextBox 1080">
          <a:extLst>
            <a:ext uri="{FF2B5EF4-FFF2-40B4-BE49-F238E27FC236}">
              <a16:creationId xmlns:a16="http://schemas.microsoft.com/office/drawing/2014/main" id="{00000000-0008-0000-2200-000050A20400}"/>
            </a:ext>
          </a:extLst>
        </xdr:cNvPr>
        <xdr:cNvSpPr txBox="1">
          <a:spLocks noChangeArrowheads="1"/>
        </xdr:cNvSpPr>
      </xdr:nvSpPr>
      <xdr:spPr bwMode="auto">
        <a:xfrm>
          <a:off x="1498600" y="19812000"/>
          <a:ext cx="0" cy="901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965200</xdr:colOff>
      <xdr:row>63</xdr:row>
      <xdr:rowOff>0</xdr:rowOff>
    </xdr:from>
    <xdr:to>
      <xdr:col>1</xdr:col>
      <xdr:colOff>965200</xdr:colOff>
      <xdr:row>66</xdr:row>
      <xdr:rowOff>12700</xdr:rowOff>
    </xdr:to>
    <xdr:sp macro="" textlink="">
      <xdr:nvSpPr>
        <xdr:cNvPr id="303697" name="TextBox 1211">
          <a:extLst>
            <a:ext uri="{FF2B5EF4-FFF2-40B4-BE49-F238E27FC236}">
              <a16:creationId xmlns:a16="http://schemas.microsoft.com/office/drawing/2014/main" id="{00000000-0008-0000-2200-000051A20400}"/>
            </a:ext>
          </a:extLst>
        </xdr:cNvPr>
        <xdr:cNvSpPr txBox="1">
          <a:spLocks noChangeArrowheads="1"/>
        </xdr:cNvSpPr>
      </xdr:nvSpPr>
      <xdr:spPr bwMode="auto">
        <a:xfrm>
          <a:off x="1498600" y="19812000"/>
          <a:ext cx="0" cy="901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965200</xdr:colOff>
      <xdr:row>63</xdr:row>
      <xdr:rowOff>0</xdr:rowOff>
    </xdr:from>
    <xdr:to>
      <xdr:col>1</xdr:col>
      <xdr:colOff>965200</xdr:colOff>
      <xdr:row>66</xdr:row>
      <xdr:rowOff>12700</xdr:rowOff>
    </xdr:to>
    <xdr:sp macro="" textlink="">
      <xdr:nvSpPr>
        <xdr:cNvPr id="303698" name="TextBox 1080">
          <a:extLst>
            <a:ext uri="{FF2B5EF4-FFF2-40B4-BE49-F238E27FC236}">
              <a16:creationId xmlns:a16="http://schemas.microsoft.com/office/drawing/2014/main" id="{00000000-0008-0000-2200-000052A20400}"/>
            </a:ext>
          </a:extLst>
        </xdr:cNvPr>
        <xdr:cNvSpPr txBox="1">
          <a:spLocks noChangeArrowheads="1"/>
        </xdr:cNvSpPr>
      </xdr:nvSpPr>
      <xdr:spPr bwMode="auto">
        <a:xfrm>
          <a:off x="1498600" y="19812000"/>
          <a:ext cx="0" cy="901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965200</xdr:colOff>
      <xdr:row>63</xdr:row>
      <xdr:rowOff>0</xdr:rowOff>
    </xdr:from>
    <xdr:to>
      <xdr:col>1</xdr:col>
      <xdr:colOff>965200</xdr:colOff>
      <xdr:row>66</xdr:row>
      <xdr:rowOff>12700</xdr:rowOff>
    </xdr:to>
    <xdr:sp macro="" textlink="">
      <xdr:nvSpPr>
        <xdr:cNvPr id="303699" name="TextBox 1211">
          <a:extLst>
            <a:ext uri="{FF2B5EF4-FFF2-40B4-BE49-F238E27FC236}">
              <a16:creationId xmlns:a16="http://schemas.microsoft.com/office/drawing/2014/main" id="{00000000-0008-0000-2200-000053A20400}"/>
            </a:ext>
          </a:extLst>
        </xdr:cNvPr>
        <xdr:cNvSpPr txBox="1">
          <a:spLocks noChangeArrowheads="1"/>
        </xdr:cNvSpPr>
      </xdr:nvSpPr>
      <xdr:spPr bwMode="auto">
        <a:xfrm>
          <a:off x="1498600" y="19812000"/>
          <a:ext cx="0" cy="901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63</xdr:row>
      <xdr:rowOff>0</xdr:rowOff>
    </xdr:from>
    <xdr:to>
      <xdr:col>2</xdr:col>
      <xdr:colOff>0</xdr:colOff>
      <xdr:row>66</xdr:row>
      <xdr:rowOff>12700</xdr:rowOff>
    </xdr:to>
    <xdr:sp macro="" textlink="">
      <xdr:nvSpPr>
        <xdr:cNvPr id="303700" name="TextBox 1080">
          <a:extLst>
            <a:ext uri="{FF2B5EF4-FFF2-40B4-BE49-F238E27FC236}">
              <a16:creationId xmlns:a16="http://schemas.microsoft.com/office/drawing/2014/main" id="{00000000-0008-0000-2200-000054A20400}"/>
            </a:ext>
          </a:extLst>
        </xdr:cNvPr>
        <xdr:cNvSpPr txBox="1">
          <a:spLocks noChangeArrowheads="1"/>
        </xdr:cNvSpPr>
      </xdr:nvSpPr>
      <xdr:spPr bwMode="auto">
        <a:xfrm>
          <a:off x="3651250" y="19812000"/>
          <a:ext cx="0" cy="901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63</xdr:row>
      <xdr:rowOff>0</xdr:rowOff>
    </xdr:from>
    <xdr:to>
      <xdr:col>2</xdr:col>
      <xdr:colOff>0</xdr:colOff>
      <xdr:row>66</xdr:row>
      <xdr:rowOff>12700</xdr:rowOff>
    </xdr:to>
    <xdr:sp macro="" textlink="">
      <xdr:nvSpPr>
        <xdr:cNvPr id="303701" name="TextBox 1211">
          <a:extLst>
            <a:ext uri="{FF2B5EF4-FFF2-40B4-BE49-F238E27FC236}">
              <a16:creationId xmlns:a16="http://schemas.microsoft.com/office/drawing/2014/main" id="{00000000-0008-0000-2200-000055A20400}"/>
            </a:ext>
          </a:extLst>
        </xdr:cNvPr>
        <xdr:cNvSpPr txBox="1">
          <a:spLocks noChangeArrowheads="1"/>
        </xdr:cNvSpPr>
      </xdr:nvSpPr>
      <xdr:spPr bwMode="auto">
        <a:xfrm>
          <a:off x="3651250" y="19812000"/>
          <a:ext cx="0" cy="901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63</xdr:row>
      <xdr:rowOff>0</xdr:rowOff>
    </xdr:from>
    <xdr:to>
      <xdr:col>2</xdr:col>
      <xdr:colOff>0</xdr:colOff>
      <xdr:row>66</xdr:row>
      <xdr:rowOff>12700</xdr:rowOff>
    </xdr:to>
    <xdr:sp macro="" textlink="">
      <xdr:nvSpPr>
        <xdr:cNvPr id="303702" name="TextBox 1080">
          <a:extLst>
            <a:ext uri="{FF2B5EF4-FFF2-40B4-BE49-F238E27FC236}">
              <a16:creationId xmlns:a16="http://schemas.microsoft.com/office/drawing/2014/main" id="{00000000-0008-0000-2200-000056A20400}"/>
            </a:ext>
          </a:extLst>
        </xdr:cNvPr>
        <xdr:cNvSpPr txBox="1">
          <a:spLocks noChangeArrowheads="1"/>
        </xdr:cNvSpPr>
      </xdr:nvSpPr>
      <xdr:spPr bwMode="auto">
        <a:xfrm>
          <a:off x="3651250" y="19812000"/>
          <a:ext cx="0" cy="901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63</xdr:row>
      <xdr:rowOff>0</xdr:rowOff>
    </xdr:from>
    <xdr:to>
      <xdr:col>2</xdr:col>
      <xdr:colOff>0</xdr:colOff>
      <xdr:row>66</xdr:row>
      <xdr:rowOff>12700</xdr:rowOff>
    </xdr:to>
    <xdr:sp macro="" textlink="">
      <xdr:nvSpPr>
        <xdr:cNvPr id="303703" name="TextBox 1211">
          <a:extLst>
            <a:ext uri="{FF2B5EF4-FFF2-40B4-BE49-F238E27FC236}">
              <a16:creationId xmlns:a16="http://schemas.microsoft.com/office/drawing/2014/main" id="{00000000-0008-0000-2200-000057A20400}"/>
            </a:ext>
          </a:extLst>
        </xdr:cNvPr>
        <xdr:cNvSpPr txBox="1">
          <a:spLocks noChangeArrowheads="1"/>
        </xdr:cNvSpPr>
      </xdr:nvSpPr>
      <xdr:spPr bwMode="auto">
        <a:xfrm>
          <a:off x="3651250" y="19812000"/>
          <a:ext cx="0" cy="901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965200</xdr:colOff>
      <xdr:row>63</xdr:row>
      <xdr:rowOff>0</xdr:rowOff>
    </xdr:from>
    <xdr:to>
      <xdr:col>1</xdr:col>
      <xdr:colOff>965200</xdr:colOff>
      <xdr:row>66</xdr:row>
      <xdr:rowOff>12700</xdr:rowOff>
    </xdr:to>
    <xdr:sp macro="" textlink="">
      <xdr:nvSpPr>
        <xdr:cNvPr id="303704" name="TextBox 1080">
          <a:extLst>
            <a:ext uri="{FF2B5EF4-FFF2-40B4-BE49-F238E27FC236}">
              <a16:creationId xmlns:a16="http://schemas.microsoft.com/office/drawing/2014/main" id="{00000000-0008-0000-2200-000058A20400}"/>
            </a:ext>
          </a:extLst>
        </xdr:cNvPr>
        <xdr:cNvSpPr txBox="1">
          <a:spLocks noChangeArrowheads="1"/>
        </xdr:cNvSpPr>
      </xdr:nvSpPr>
      <xdr:spPr bwMode="auto">
        <a:xfrm>
          <a:off x="1498600" y="19812000"/>
          <a:ext cx="0" cy="901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965200</xdr:colOff>
      <xdr:row>63</xdr:row>
      <xdr:rowOff>0</xdr:rowOff>
    </xdr:from>
    <xdr:to>
      <xdr:col>1</xdr:col>
      <xdr:colOff>965200</xdr:colOff>
      <xdr:row>66</xdr:row>
      <xdr:rowOff>12700</xdr:rowOff>
    </xdr:to>
    <xdr:sp macro="" textlink="">
      <xdr:nvSpPr>
        <xdr:cNvPr id="303705" name="TextBox 1211">
          <a:extLst>
            <a:ext uri="{FF2B5EF4-FFF2-40B4-BE49-F238E27FC236}">
              <a16:creationId xmlns:a16="http://schemas.microsoft.com/office/drawing/2014/main" id="{00000000-0008-0000-2200-000059A20400}"/>
            </a:ext>
          </a:extLst>
        </xdr:cNvPr>
        <xdr:cNvSpPr txBox="1">
          <a:spLocks noChangeArrowheads="1"/>
        </xdr:cNvSpPr>
      </xdr:nvSpPr>
      <xdr:spPr bwMode="auto">
        <a:xfrm>
          <a:off x="1498600" y="19812000"/>
          <a:ext cx="0" cy="901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63</xdr:row>
      <xdr:rowOff>0</xdr:rowOff>
    </xdr:from>
    <xdr:to>
      <xdr:col>2</xdr:col>
      <xdr:colOff>0</xdr:colOff>
      <xdr:row>66</xdr:row>
      <xdr:rowOff>177800</xdr:rowOff>
    </xdr:to>
    <xdr:sp macro="" textlink="">
      <xdr:nvSpPr>
        <xdr:cNvPr id="303706" name="TextBox 1080">
          <a:extLst>
            <a:ext uri="{FF2B5EF4-FFF2-40B4-BE49-F238E27FC236}">
              <a16:creationId xmlns:a16="http://schemas.microsoft.com/office/drawing/2014/main" id="{00000000-0008-0000-2200-00005AA20400}"/>
            </a:ext>
          </a:extLst>
        </xdr:cNvPr>
        <xdr:cNvSpPr txBox="1">
          <a:spLocks noChangeArrowheads="1"/>
        </xdr:cNvSpPr>
      </xdr:nvSpPr>
      <xdr:spPr bwMode="auto">
        <a:xfrm>
          <a:off x="3651250" y="19812000"/>
          <a:ext cx="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63</xdr:row>
      <xdr:rowOff>0</xdr:rowOff>
    </xdr:from>
    <xdr:to>
      <xdr:col>2</xdr:col>
      <xdr:colOff>0</xdr:colOff>
      <xdr:row>66</xdr:row>
      <xdr:rowOff>177800</xdr:rowOff>
    </xdr:to>
    <xdr:sp macro="" textlink="">
      <xdr:nvSpPr>
        <xdr:cNvPr id="303707" name="TextBox 1211">
          <a:extLst>
            <a:ext uri="{FF2B5EF4-FFF2-40B4-BE49-F238E27FC236}">
              <a16:creationId xmlns:a16="http://schemas.microsoft.com/office/drawing/2014/main" id="{00000000-0008-0000-2200-00005BA20400}"/>
            </a:ext>
          </a:extLst>
        </xdr:cNvPr>
        <xdr:cNvSpPr txBox="1">
          <a:spLocks noChangeArrowheads="1"/>
        </xdr:cNvSpPr>
      </xdr:nvSpPr>
      <xdr:spPr bwMode="auto">
        <a:xfrm>
          <a:off x="3651250" y="19812000"/>
          <a:ext cx="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63</xdr:row>
      <xdr:rowOff>0</xdr:rowOff>
    </xdr:from>
    <xdr:to>
      <xdr:col>2</xdr:col>
      <xdr:colOff>0</xdr:colOff>
      <xdr:row>66</xdr:row>
      <xdr:rowOff>177800</xdr:rowOff>
    </xdr:to>
    <xdr:sp macro="" textlink="">
      <xdr:nvSpPr>
        <xdr:cNvPr id="303708" name="TextBox 1080">
          <a:extLst>
            <a:ext uri="{FF2B5EF4-FFF2-40B4-BE49-F238E27FC236}">
              <a16:creationId xmlns:a16="http://schemas.microsoft.com/office/drawing/2014/main" id="{00000000-0008-0000-2200-00005CA20400}"/>
            </a:ext>
          </a:extLst>
        </xdr:cNvPr>
        <xdr:cNvSpPr txBox="1">
          <a:spLocks noChangeArrowheads="1"/>
        </xdr:cNvSpPr>
      </xdr:nvSpPr>
      <xdr:spPr bwMode="auto">
        <a:xfrm>
          <a:off x="3651250" y="19812000"/>
          <a:ext cx="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63</xdr:row>
      <xdr:rowOff>0</xdr:rowOff>
    </xdr:from>
    <xdr:to>
      <xdr:col>2</xdr:col>
      <xdr:colOff>0</xdr:colOff>
      <xdr:row>66</xdr:row>
      <xdr:rowOff>177800</xdr:rowOff>
    </xdr:to>
    <xdr:sp macro="" textlink="">
      <xdr:nvSpPr>
        <xdr:cNvPr id="303709" name="TextBox 1211">
          <a:extLst>
            <a:ext uri="{FF2B5EF4-FFF2-40B4-BE49-F238E27FC236}">
              <a16:creationId xmlns:a16="http://schemas.microsoft.com/office/drawing/2014/main" id="{00000000-0008-0000-2200-00005DA20400}"/>
            </a:ext>
          </a:extLst>
        </xdr:cNvPr>
        <xdr:cNvSpPr txBox="1">
          <a:spLocks noChangeArrowheads="1"/>
        </xdr:cNvSpPr>
      </xdr:nvSpPr>
      <xdr:spPr bwMode="auto">
        <a:xfrm>
          <a:off x="3651250" y="19812000"/>
          <a:ext cx="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63</xdr:row>
      <xdr:rowOff>0</xdr:rowOff>
    </xdr:from>
    <xdr:to>
      <xdr:col>2</xdr:col>
      <xdr:colOff>0</xdr:colOff>
      <xdr:row>64</xdr:row>
      <xdr:rowOff>158750</xdr:rowOff>
    </xdr:to>
    <xdr:sp macro="" textlink="">
      <xdr:nvSpPr>
        <xdr:cNvPr id="303710" name="TextBox 1080">
          <a:extLst>
            <a:ext uri="{FF2B5EF4-FFF2-40B4-BE49-F238E27FC236}">
              <a16:creationId xmlns:a16="http://schemas.microsoft.com/office/drawing/2014/main" id="{00000000-0008-0000-2200-00005EA20400}"/>
            </a:ext>
          </a:extLst>
        </xdr:cNvPr>
        <xdr:cNvSpPr txBox="1">
          <a:spLocks noChangeArrowheads="1"/>
        </xdr:cNvSpPr>
      </xdr:nvSpPr>
      <xdr:spPr bwMode="auto">
        <a:xfrm>
          <a:off x="3651250" y="19812000"/>
          <a:ext cx="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63</xdr:row>
      <xdr:rowOff>0</xdr:rowOff>
    </xdr:from>
    <xdr:to>
      <xdr:col>2</xdr:col>
      <xdr:colOff>0</xdr:colOff>
      <xdr:row>64</xdr:row>
      <xdr:rowOff>158750</xdr:rowOff>
    </xdr:to>
    <xdr:sp macro="" textlink="">
      <xdr:nvSpPr>
        <xdr:cNvPr id="303711" name="TextBox 1211">
          <a:extLst>
            <a:ext uri="{FF2B5EF4-FFF2-40B4-BE49-F238E27FC236}">
              <a16:creationId xmlns:a16="http://schemas.microsoft.com/office/drawing/2014/main" id="{00000000-0008-0000-2200-00005FA20400}"/>
            </a:ext>
          </a:extLst>
        </xdr:cNvPr>
        <xdr:cNvSpPr txBox="1">
          <a:spLocks noChangeArrowheads="1"/>
        </xdr:cNvSpPr>
      </xdr:nvSpPr>
      <xdr:spPr bwMode="auto">
        <a:xfrm>
          <a:off x="3651250" y="19812000"/>
          <a:ext cx="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63</xdr:row>
      <xdr:rowOff>0</xdr:rowOff>
    </xdr:from>
    <xdr:to>
      <xdr:col>2</xdr:col>
      <xdr:colOff>0</xdr:colOff>
      <xdr:row>64</xdr:row>
      <xdr:rowOff>158750</xdr:rowOff>
    </xdr:to>
    <xdr:sp macro="" textlink="">
      <xdr:nvSpPr>
        <xdr:cNvPr id="303712" name="TextBox 1080">
          <a:extLst>
            <a:ext uri="{FF2B5EF4-FFF2-40B4-BE49-F238E27FC236}">
              <a16:creationId xmlns:a16="http://schemas.microsoft.com/office/drawing/2014/main" id="{00000000-0008-0000-2200-000060A20400}"/>
            </a:ext>
          </a:extLst>
        </xdr:cNvPr>
        <xdr:cNvSpPr txBox="1">
          <a:spLocks noChangeArrowheads="1"/>
        </xdr:cNvSpPr>
      </xdr:nvSpPr>
      <xdr:spPr bwMode="auto">
        <a:xfrm>
          <a:off x="3651250" y="19812000"/>
          <a:ext cx="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63</xdr:row>
      <xdr:rowOff>0</xdr:rowOff>
    </xdr:from>
    <xdr:to>
      <xdr:col>2</xdr:col>
      <xdr:colOff>0</xdr:colOff>
      <xdr:row>64</xdr:row>
      <xdr:rowOff>158750</xdr:rowOff>
    </xdr:to>
    <xdr:sp macro="" textlink="">
      <xdr:nvSpPr>
        <xdr:cNvPr id="303713" name="TextBox 1211">
          <a:extLst>
            <a:ext uri="{FF2B5EF4-FFF2-40B4-BE49-F238E27FC236}">
              <a16:creationId xmlns:a16="http://schemas.microsoft.com/office/drawing/2014/main" id="{00000000-0008-0000-2200-000061A20400}"/>
            </a:ext>
          </a:extLst>
        </xdr:cNvPr>
        <xdr:cNvSpPr txBox="1">
          <a:spLocks noChangeArrowheads="1"/>
        </xdr:cNvSpPr>
      </xdr:nvSpPr>
      <xdr:spPr bwMode="auto">
        <a:xfrm>
          <a:off x="3651250" y="19812000"/>
          <a:ext cx="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63</xdr:row>
      <xdr:rowOff>0</xdr:rowOff>
    </xdr:from>
    <xdr:to>
      <xdr:col>2</xdr:col>
      <xdr:colOff>0</xdr:colOff>
      <xdr:row>64</xdr:row>
      <xdr:rowOff>158750</xdr:rowOff>
    </xdr:to>
    <xdr:sp macro="" textlink="">
      <xdr:nvSpPr>
        <xdr:cNvPr id="303714" name="TextBox 1080">
          <a:extLst>
            <a:ext uri="{FF2B5EF4-FFF2-40B4-BE49-F238E27FC236}">
              <a16:creationId xmlns:a16="http://schemas.microsoft.com/office/drawing/2014/main" id="{00000000-0008-0000-2200-000062A20400}"/>
            </a:ext>
          </a:extLst>
        </xdr:cNvPr>
        <xdr:cNvSpPr txBox="1">
          <a:spLocks noChangeArrowheads="1"/>
        </xdr:cNvSpPr>
      </xdr:nvSpPr>
      <xdr:spPr bwMode="auto">
        <a:xfrm>
          <a:off x="3651250" y="19812000"/>
          <a:ext cx="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63</xdr:row>
      <xdr:rowOff>0</xdr:rowOff>
    </xdr:from>
    <xdr:to>
      <xdr:col>2</xdr:col>
      <xdr:colOff>0</xdr:colOff>
      <xdr:row>64</xdr:row>
      <xdr:rowOff>158750</xdr:rowOff>
    </xdr:to>
    <xdr:sp macro="" textlink="">
      <xdr:nvSpPr>
        <xdr:cNvPr id="303715" name="TextBox 1211">
          <a:extLst>
            <a:ext uri="{FF2B5EF4-FFF2-40B4-BE49-F238E27FC236}">
              <a16:creationId xmlns:a16="http://schemas.microsoft.com/office/drawing/2014/main" id="{00000000-0008-0000-2200-000063A20400}"/>
            </a:ext>
          </a:extLst>
        </xdr:cNvPr>
        <xdr:cNvSpPr txBox="1">
          <a:spLocks noChangeArrowheads="1"/>
        </xdr:cNvSpPr>
      </xdr:nvSpPr>
      <xdr:spPr bwMode="auto">
        <a:xfrm>
          <a:off x="3651250" y="19812000"/>
          <a:ext cx="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63</xdr:row>
      <xdr:rowOff>0</xdr:rowOff>
    </xdr:from>
    <xdr:to>
      <xdr:col>2</xdr:col>
      <xdr:colOff>0</xdr:colOff>
      <xdr:row>64</xdr:row>
      <xdr:rowOff>158750</xdr:rowOff>
    </xdr:to>
    <xdr:sp macro="" textlink="">
      <xdr:nvSpPr>
        <xdr:cNvPr id="303716" name="TextBox 1080">
          <a:extLst>
            <a:ext uri="{FF2B5EF4-FFF2-40B4-BE49-F238E27FC236}">
              <a16:creationId xmlns:a16="http://schemas.microsoft.com/office/drawing/2014/main" id="{00000000-0008-0000-2200-000064A20400}"/>
            </a:ext>
          </a:extLst>
        </xdr:cNvPr>
        <xdr:cNvSpPr txBox="1">
          <a:spLocks noChangeArrowheads="1"/>
        </xdr:cNvSpPr>
      </xdr:nvSpPr>
      <xdr:spPr bwMode="auto">
        <a:xfrm>
          <a:off x="3651250" y="19812000"/>
          <a:ext cx="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63</xdr:row>
      <xdr:rowOff>0</xdr:rowOff>
    </xdr:from>
    <xdr:to>
      <xdr:col>2</xdr:col>
      <xdr:colOff>0</xdr:colOff>
      <xdr:row>64</xdr:row>
      <xdr:rowOff>158750</xdr:rowOff>
    </xdr:to>
    <xdr:sp macro="" textlink="">
      <xdr:nvSpPr>
        <xdr:cNvPr id="303717" name="TextBox 1211">
          <a:extLst>
            <a:ext uri="{FF2B5EF4-FFF2-40B4-BE49-F238E27FC236}">
              <a16:creationId xmlns:a16="http://schemas.microsoft.com/office/drawing/2014/main" id="{00000000-0008-0000-2200-000065A20400}"/>
            </a:ext>
          </a:extLst>
        </xdr:cNvPr>
        <xdr:cNvSpPr txBox="1">
          <a:spLocks noChangeArrowheads="1"/>
        </xdr:cNvSpPr>
      </xdr:nvSpPr>
      <xdr:spPr bwMode="auto">
        <a:xfrm>
          <a:off x="3651250" y="19812000"/>
          <a:ext cx="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63</xdr:row>
      <xdr:rowOff>0</xdr:rowOff>
    </xdr:from>
    <xdr:to>
      <xdr:col>2</xdr:col>
      <xdr:colOff>0</xdr:colOff>
      <xdr:row>66</xdr:row>
      <xdr:rowOff>177800</xdr:rowOff>
    </xdr:to>
    <xdr:sp macro="" textlink="">
      <xdr:nvSpPr>
        <xdr:cNvPr id="303718" name="TextBox 1080">
          <a:extLst>
            <a:ext uri="{FF2B5EF4-FFF2-40B4-BE49-F238E27FC236}">
              <a16:creationId xmlns:a16="http://schemas.microsoft.com/office/drawing/2014/main" id="{00000000-0008-0000-2200-000066A20400}"/>
            </a:ext>
          </a:extLst>
        </xdr:cNvPr>
        <xdr:cNvSpPr txBox="1">
          <a:spLocks noChangeArrowheads="1"/>
        </xdr:cNvSpPr>
      </xdr:nvSpPr>
      <xdr:spPr bwMode="auto">
        <a:xfrm>
          <a:off x="3651250" y="19812000"/>
          <a:ext cx="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63</xdr:row>
      <xdr:rowOff>0</xdr:rowOff>
    </xdr:from>
    <xdr:to>
      <xdr:col>2</xdr:col>
      <xdr:colOff>0</xdr:colOff>
      <xdr:row>66</xdr:row>
      <xdr:rowOff>177800</xdr:rowOff>
    </xdr:to>
    <xdr:sp macro="" textlink="">
      <xdr:nvSpPr>
        <xdr:cNvPr id="303719" name="TextBox 1211">
          <a:extLst>
            <a:ext uri="{FF2B5EF4-FFF2-40B4-BE49-F238E27FC236}">
              <a16:creationId xmlns:a16="http://schemas.microsoft.com/office/drawing/2014/main" id="{00000000-0008-0000-2200-000067A20400}"/>
            </a:ext>
          </a:extLst>
        </xdr:cNvPr>
        <xdr:cNvSpPr txBox="1">
          <a:spLocks noChangeArrowheads="1"/>
        </xdr:cNvSpPr>
      </xdr:nvSpPr>
      <xdr:spPr bwMode="auto">
        <a:xfrm>
          <a:off x="3651250" y="19812000"/>
          <a:ext cx="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63</xdr:row>
      <xdr:rowOff>0</xdr:rowOff>
    </xdr:from>
    <xdr:to>
      <xdr:col>2</xdr:col>
      <xdr:colOff>0</xdr:colOff>
      <xdr:row>66</xdr:row>
      <xdr:rowOff>177800</xdr:rowOff>
    </xdr:to>
    <xdr:sp macro="" textlink="">
      <xdr:nvSpPr>
        <xdr:cNvPr id="303720" name="TextBox 1080">
          <a:extLst>
            <a:ext uri="{FF2B5EF4-FFF2-40B4-BE49-F238E27FC236}">
              <a16:creationId xmlns:a16="http://schemas.microsoft.com/office/drawing/2014/main" id="{00000000-0008-0000-2200-000068A20400}"/>
            </a:ext>
          </a:extLst>
        </xdr:cNvPr>
        <xdr:cNvSpPr txBox="1">
          <a:spLocks noChangeArrowheads="1"/>
        </xdr:cNvSpPr>
      </xdr:nvSpPr>
      <xdr:spPr bwMode="auto">
        <a:xfrm>
          <a:off x="3651250" y="19812000"/>
          <a:ext cx="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63</xdr:row>
      <xdr:rowOff>0</xdr:rowOff>
    </xdr:from>
    <xdr:to>
      <xdr:col>2</xdr:col>
      <xdr:colOff>0</xdr:colOff>
      <xdr:row>66</xdr:row>
      <xdr:rowOff>177800</xdr:rowOff>
    </xdr:to>
    <xdr:sp macro="" textlink="">
      <xdr:nvSpPr>
        <xdr:cNvPr id="303721" name="TextBox 1211">
          <a:extLst>
            <a:ext uri="{FF2B5EF4-FFF2-40B4-BE49-F238E27FC236}">
              <a16:creationId xmlns:a16="http://schemas.microsoft.com/office/drawing/2014/main" id="{00000000-0008-0000-2200-000069A20400}"/>
            </a:ext>
          </a:extLst>
        </xdr:cNvPr>
        <xdr:cNvSpPr txBox="1">
          <a:spLocks noChangeArrowheads="1"/>
        </xdr:cNvSpPr>
      </xdr:nvSpPr>
      <xdr:spPr bwMode="auto">
        <a:xfrm>
          <a:off x="3651250" y="19812000"/>
          <a:ext cx="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63</xdr:row>
      <xdr:rowOff>0</xdr:rowOff>
    </xdr:from>
    <xdr:to>
      <xdr:col>2</xdr:col>
      <xdr:colOff>0</xdr:colOff>
      <xdr:row>66</xdr:row>
      <xdr:rowOff>177800</xdr:rowOff>
    </xdr:to>
    <xdr:sp macro="" textlink="">
      <xdr:nvSpPr>
        <xdr:cNvPr id="303722" name="TextBox 1080">
          <a:extLst>
            <a:ext uri="{FF2B5EF4-FFF2-40B4-BE49-F238E27FC236}">
              <a16:creationId xmlns:a16="http://schemas.microsoft.com/office/drawing/2014/main" id="{00000000-0008-0000-2200-00006AA20400}"/>
            </a:ext>
          </a:extLst>
        </xdr:cNvPr>
        <xdr:cNvSpPr txBox="1">
          <a:spLocks noChangeArrowheads="1"/>
        </xdr:cNvSpPr>
      </xdr:nvSpPr>
      <xdr:spPr bwMode="auto">
        <a:xfrm>
          <a:off x="3651250" y="19812000"/>
          <a:ext cx="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63</xdr:row>
      <xdr:rowOff>0</xdr:rowOff>
    </xdr:from>
    <xdr:to>
      <xdr:col>2</xdr:col>
      <xdr:colOff>0</xdr:colOff>
      <xdr:row>66</xdr:row>
      <xdr:rowOff>177800</xdr:rowOff>
    </xdr:to>
    <xdr:sp macro="" textlink="">
      <xdr:nvSpPr>
        <xdr:cNvPr id="303723" name="TextBox 1211">
          <a:extLst>
            <a:ext uri="{FF2B5EF4-FFF2-40B4-BE49-F238E27FC236}">
              <a16:creationId xmlns:a16="http://schemas.microsoft.com/office/drawing/2014/main" id="{00000000-0008-0000-2200-00006BA20400}"/>
            </a:ext>
          </a:extLst>
        </xdr:cNvPr>
        <xdr:cNvSpPr txBox="1">
          <a:spLocks noChangeArrowheads="1"/>
        </xdr:cNvSpPr>
      </xdr:nvSpPr>
      <xdr:spPr bwMode="auto">
        <a:xfrm>
          <a:off x="3651250" y="19812000"/>
          <a:ext cx="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63</xdr:row>
      <xdr:rowOff>0</xdr:rowOff>
    </xdr:from>
    <xdr:to>
      <xdr:col>2</xdr:col>
      <xdr:colOff>0</xdr:colOff>
      <xdr:row>66</xdr:row>
      <xdr:rowOff>177800</xdr:rowOff>
    </xdr:to>
    <xdr:sp macro="" textlink="">
      <xdr:nvSpPr>
        <xdr:cNvPr id="303724" name="TextBox 1080">
          <a:extLst>
            <a:ext uri="{FF2B5EF4-FFF2-40B4-BE49-F238E27FC236}">
              <a16:creationId xmlns:a16="http://schemas.microsoft.com/office/drawing/2014/main" id="{00000000-0008-0000-2200-00006CA20400}"/>
            </a:ext>
          </a:extLst>
        </xdr:cNvPr>
        <xdr:cNvSpPr txBox="1">
          <a:spLocks noChangeArrowheads="1"/>
        </xdr:cNvSpPr>
      </xdr:nvSpPr>
      <xdr:spPr bwMode="auto">
        <a:xfrm>
          <a:off x="3651250" y="19812000"/>
          <a:ext cx="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63</xdr:row>
      <xdr:rowOff>0</xdr:rowOff>
    </xdr:from>
    <xdr:to>
      <xdr:col>2</xdr:col>
      <xdr:colOff>0</xdr:colOff>
      <xdr:row>66</xdr:row>
      <xdr:rowOff>177800</xdr:rowOff>
    </xdr:to>
    <xdr:sp macro="" textlink="">
      <xdr:nvSpPr>
        <xdr:cNvPr id="303725" name="TextBox 1211">
          <a:extLst>
            <a:ext uri="{FF2B5EF4-FFF2-40B4-BE49-F238E27FC236}">
              <a16:creationId xmlns:a16="http://schemas.microsoft.com/office/drawing/2014/main" id="{00000000-0008-0000-2200-00006DA20400}"/>
            </a:ext>
          </a:extLst>
        </xdr:cNvPr>
        <xdr:cNvSpPr txBox="1">
          <a:spLocks noChangeArrowheads="1"/>
        </xdr:cNvSpPr>
      </xdr:nvSpPr>
      <xdr:spPr bwMode="auto">
        <a:xfrm>
          <a:off x="3651250" y="19812000"/>
          <a:ext cx="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108</xdr:row>
      <xdr:rowOff>0</xdr:rowOff>
    </xdr:from>
    <xdr:to>
      <xdr:col>2</xdr:col>
      <xdr:colOff>0</xdr:colOff>
      <xdr:row>110</xdr:row>
      <xdr:rowOff>69850</xdr:rowOff>
    </xdr:to>
    <xdr:sp macro="" textlink="">
      <xdr:nvSpPr>
        <xdr:cNvPr id="303726" name="TextBox 1080">
          <a:extLst>
            <a:ext uri="{FF2B5EF4-FFF2-40B4-BE49-F238E27FC236}">
              <a16:creationId xmlns:a16="http://schemas.microsoft.com/office/drawing/2014/main" id="{00000000-0008-0000-2200-00006EA20400}"/>
            </a:ext>
          </a:extLst>
        </xdr:cNvPr>
        <xdr:cNvSpPr txBox="1">
          <a:spLocks noChangeArrowheads="1"/>
        </xdr:cNvSpPr>
      </xdr:nvSpPr>
      <xdr:spPr bwMode="auto">
        <a:xfrm>
          <a:off x="3651250" y="32981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108</xdr:row>
      <xdr:rowOff>0</xdr:rowOff>
    </xdr:from>
    <xdr:to>
      <xdr:col>2</xdr:col>
      <xdr:colOff>0</xdr:colOff>
      <xdr:row>110</xdr:row>
      <xdr:rowOff>69850</xdr:rowOff>
    </xdr:to>
    <xdr:sp macro="" textlink="">
      <xdr:nvSpPr>
        <xdr:cNvPr id="303727" name="TextBox 1211">
          <a:extLst>
            <a:ext uri="{FF2B5EF4-FFF2-40B4-BE49-F238E27FC236}">
              <a16:creationId xmlns:a16="http://schemas.microsoft.com/office/drawing/2014/main" id="{00000000-0008-0000-2200-00006FA20400}"/>
            </a:ext>
          </a:extLst>
        </xdr:cNvPr>
        <xdr:cNvSpPr txBox="1">
          <a:spLocks noChangeArrowheads="1"/>
        </xdr:cNvSpPr>
      </xdr:nvSpPr>
      <xdr:spPr bwMode="auto">
        <a:xfrm>
          <a:off x="3651250" y="32981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108</xdr:row>
      <xdr:rowOff>0</xdr:rowOff>
    </xdr:from>
    <xdr:to>
      <xdr:col>2</xdr:col>
      <xdr:colOff>0</xdr:colOff>
      <xdr:row>110</xdr:row>
      <xdr:rowOff>69850</xdr:rowOff>
    </xdr:to>
    <xdr:sp macro="" textlink="">
      <xdr:nvSpPr>
        <xdr:cNvPr id="303728" name="TextBox 1080">
          <a:extLst>
            <a:ext uri="{FF2B5EF4-FFF2-40B4-BE49-F238E27FC236}">
              <a16:creationId xmlns:a16="http://schemas.microsoft.com/office/drawing/2014/main" id="{00000000-0008-0000-2200-000070A20400}"/>
            </a:ext>
          </a:extLst>
        </xdr:cNvPr>
        <xdr:cNvSpPr txBox="1">
          <a:spLocks noChangeArrowheads="1"/>
        </xdr:cNvSpPr>
      </xdr:nvSpPr>
      <xdr:spPr bwMode="auto">
        <a:xfrm>
          <a:off x="3651250" y="32981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108</xdr:row>
      <xdr:rowOff>0</xdr:rowOff>
    </xdr:from>
    <xdr:to>
      <xdr:col>2</xdr:col>
      <xdr:colOff>0</xdr:colOff>
      <xdr:row>110</xdr:row>
      <xdr:rowOff>69850</xdr:rowOff>
    </xdr:to>
    <xdr:sp macro="" textlink="">
      <xdr:nvSpPr>
        <xdr:cNvPr id="303729" name="TextBox 1211">
          <a:extLst>
            <a:ext uri="{FF2B5EF4-FFF2-40B4-BE49-F238E27FC236}">
              <a16:creationId xmlns:a16="http://schemas.microsoft.com/office/drawing/2014/main" id="{00000000-0008-0000-2200-000071A20400}"/>
            </a:ext>
          </a:extLst>
        </xdr:cNvPr>
        <xdr:cNvSpPr txBox="1">
          <a:spLocks noChangeArrowheads="1"/>
        </xdr:cNvSpPr>
      </xdr:nvSpPr>
      <xdr:spPr bwMode="auto">
        <a:xfrm>
          <a:off x="3651250" y="32981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108</xdr:row>
      <xdr:rowOff>0</xdr:rowOff>
    </xdr:from>
    <xdr:to>
      <xdr:col>2</xdr:col>
      <xdr:colOff>0</xdr:colOff>
      <xdr:row>110</xdr:row>
      <xdr:rowOff>69850</xdr:rowOff>
    </xdr:to>
    <xdr:sp macro="" textlink="">
      <xdr:nvSpPr>
        <xdr:cNvPr id="303730" name="TextBox 1080">
          <a:extLst>
            <a:ext uri="{FF2B5EF4-FFF2-40B4-BE49-F238E27FC236}">
              <a16:creationId xmlns:a16="http://schemas.microsoft.com/office/drawing/2014/main" id="{00000000-0008-0000-2200-000072A20400}"/>
            </a:ext>
          </a:extLst>
        </xdr:cNvPr>
        <xdr:cNvSpPr txBox="1">
          <a:spLocks noChangeArrowheads="1"/>
        </xdr:cNvSpPr>
      </xdr:nvSpPr>
      <xdr:spPr bwMode="auto">
        <a:xfrm>
          <a:off x="3651250" y="32981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108</xdr:row>
      <xdr:rowOff>0</xdr:rowOff>
    </xdr:from>
    <xdr:to>
      <xdr:col>2</xdr:col>
      <xdr:colOff>0</xdr:colOff>
      <xdr:row>110</xdr:row>
      <xdr:rowOff>69850</xdr:rowOff>
    </xdr:to>
    <xdr:sp macro="" textlink="">
      <xdr:nvSpPr>
        <xdr:cNvPr id="303731" name="TextBox 1211">
          <a:extLst>
            <a:ext uri="{FF2B5EF4-FFF2-40B4-BE49-F238E27FC236}">
              <a16:creationId xmlns:a16="http://schemas.microsoft.com/office/drawing/2014/main" id="{00000000-0008-0000-2200-000073A20400}"/>
            </a:ext>
          </a:extLst>
        </xdr:cNvPr>
        <xdr:cNvSpPr txBox="1">
          <a:spLocks noChangeArrowheads="1"/>
        </xdr:cNvSpPr>
      </xdr:nvSpPr>
      <xdr:spPr bwMode="auto">
        <a:xfrm>
          <a:off x="3651250" y="32981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108</xdr:row>
      <xdr:rowOff>0</xdr:rowOff>
    </xdr:from>
    <xdr:to>
      <xdr:col>2</xdr:col>
      <xdr:colOff>0</xdr:colOff>
      <xdr:row>110</xdr:row>
      <xdr:rowOff>69850</xdr:rowOff>
    </xdr:to>
    <xdr:sp macro="" textlink="">
      <xdr:nvSpPr>
        <xdr:cNvPr id="303732" name="TextBox 1080">
          <a:extLst>
            <a:ext uri="{FF2B5EF4-FFF2-40B4-BE49-F238E27FC236}">
              <a16:creationId xmlns:a16="http://schemas.microsoft.com/office/drawing/2014/main" id="{00000000-0008-0000-2200-000074A20400}"/>
            </a:ext>
          </a:extLst>
        </xdr:cNvPr>
        <xdr:cNvSpPr txBox="1">
          <a:spLocks noChangeArrowheads="1"/>
        </xdr:cNvSpPr>
      </xdr:nvSpPr>
      <xdr:spPr bwMode="auto">
        <a:xfrm>
          <a:off x="3651250" y="32981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108</xdr:row>
      <xdr:rowOff>0</xdr:rowOff>
    </xdr:from>
    <xdr:to>
      <xdr:col>2</xdr:col>
      <xdr:colOff>0</xdr:colOff>
      <xdr:row>110</xdr:row>
      <xdr:rowOff>69850</xdr:rowOff>
    </xdr:to>
    <xdr:sp macro="" textlink="">
      <xdr:nvSpPr>
        <xdr:cNvPr id="303733" name="TextBox 1211">
          <a:extLst>
            <a:ext uri="{FF2B5EF4-FFF2-40B4-BE49-F238E27FC236}">
              <a16:creationId xmlns:a16="http://schemas.microsoft.com/office/drawing/2014/main" id="{00000000-0008-0000-2200-000075A20400}"/>
            </a:ext>
          </a:extLst>
        </xdr:cNvPr>
        <xdr:cNvSpPr txBox="1">
          <a:spLocks noChangeArrowheads="1"/>
        </xdr:cNvSpPr>
      </xdr:nvSpPr>
      <xdr:spPr bwMode="auto">
        <a:xfrm>
          <a:off x="3651250" y="32981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108</xdr:row>
      <xdr:rowOff>0</xdr:rowOff>
    </xdr:from>
    <xdr:to>
      <xdr:col>2</xdr:col>
      <xdr:colOff>0</xdr:colOff>
      <xdr:row>110</xdr:row>
      <xdr:rowOff>69850</xdr:rowOff>
    </xdr:to>
    <xdr:sp macro="" textlink="">
      <xdr:nvSpPr>
        <xdr:cNvPr id="303734" name="TextBox 1080">
          <a:extLst>
            <a:ext uri="{FF2B5EF4-FFF2-40B4-BE49-F238E27FC236}">
              <a16:creationId xmlns:a16="http://schemas.microsoft.com/office/drawing/2014/main" id="{00000000-0008-0000-2200-000076A20400}"/>
            </a:ext>
          </a:extLst>
        </xdr:cNvPr>
        <xdr:cNvSpPr txBox="1">
          <a:spLocks noChangeArrowheads="1"/>
        </xdr:cNvSpPr>
      </xdr:nvSpPr>
      <xdr:spPr bwMode="auto">
        <a:xfrm>
          <a:off x="3651250" y="32981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108</xdr:row>
      <xdr:rowOff>0</xdr:rowOff>
    </xdr:from>
    <xdr:to>
      <xdr:col>2</xdr:col>
      <xdr:colOff>0</xdr:colOff>
      <xdr:row>110</xdr:row>
      <xdr:rowOff>69850</xdr:rowOff>
    </xdr:to>
    <xdr:sp macro="" textlink="">
      <xdr:nvSpPr>
        <xdr:cNvPr id="303735" name="TextBox 1211">
          <a:extLst>
            <a:ext uri="{FF2B5EF4-FFF2-40B4-BE49-F238E27FC236}">
              <a16:creationId xmlns:a16="http://schemas.microsoft.com/office/drawing/2014/main" id="{00000000-0008-0000-2200-000077A20400}"/>
            </a:ext>
          </a:extLst>
        </xdr:cNvPr>
        <xdr:cNvSpPr txBox="1">
          <a:spLocks noChangeArrowheads="1"/>
        </xdr:cNvSpPr>
      </xdr:nvSpPr>
      <xdr:spPr bwMode="auto">
        <a:xfrm>
          <a:off x="3651250" y="32981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108</xdr:row>
      <xdr:rowOff>0</xdr:rowOff>
    </xdr:from>
    <xdr:to>
      <xdr:col>2</xdr:col>
      <xdr:colOff>0</xdr:colOff>
      <xdr:row>110</xdr:row>
      <xdr:rowOff>69850</xdr:rowOff>
    </xdr:to>
    <xdr:sp macro="" textlink="">
      <xdr:nvSpPr>
        <xdr:cNvPr id="303736" name="TextBox 1080">
          <a:extLst>
            <a:ext uri="{FF2B5EF4-FFF2-40B4-BE49-F238E27FC236}">
              <a16:creationId xmlns:a16="http://schemas.microsoft.com/office/drawing/2014/main" id="{00000000-0008-0000-2200-000078A20400}"/>
            </a:ext>
          </a:extLst>
        </xdr:cNvPr>
        <xdr:cNvSpPr txBox="1">
          <a:spLocks noChangeArrowheads="1"/>
        </xdr:cNvSpPr>
      </xdr:nvSpPr>
      <xdr:spPr bwMode="auto">
        <a:xfrm>
          <a:off x="3651250" y="32981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108</xdr:row>
      <xdr:rowOff>0</xdr:rowOff>
    </xdr:from>
    <xdr:to>
      <xdr:col>2</xdr:col>
      <xdr:colOff>0</xdr:colOff>
      <xdr:row>110</xdr:row>
      <xdr:rowOff>69850</xdr:rowOff>
    </xdr:to>
    <xdr:sp macro="" textlink="">
      <xdr:nvSpPr>
        <xdr:cNvPr id="303737" name="TextBox 1211">
          <a:extLst>
            <a:ext uri="{FF2B5EF4-FFF2-40B4-BE49-F238E27FC236}">
              <a16:creationId xmlns:a16="http://schemas.microsoft.com/office/drawing/2014/main" id="{00000000-0008-0000-2200-000079A20400}"/>
            </a:ext>
          </a:extLst>
        </xdr:cNvPr>
        <xdr:cNvSpPr txBox="1">
          <a:spLocks noChangeArrowheads="1"/>
        </xdr:cNvSpPr>
      </xdr:nvSpPr>
      <xdr:spPr bwMode="auto">
        <a:xfrm>
          <a:off x="3651250" y="32981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108</xdr:row>
      <xdr:rowOff>0</xdr:rowOff>
    </xdr:from>
    <xdr:to>
      <xdr:col>2</xdr:col>
      <xdr:colOff>0</xdr:colOff>
      <xdr:row>109</xdr:row>
      <xdr:rowOff>139700</xdr:rowOff>
    </xdr:to>
    <xdr:sp macro="" textlink="">
      <xdr:nvSpPr>
        <xdr:cNvPr id="303738" name="TextBox 1080">
          <a:extLst>
            <a:ext uri="{FF2B5EF4-FFF2-40B4-BE49-F238E27FC236}">
              <a16:creationId xmlns:a16="http://schemas.microsoft.com/office/drawing/2014/main" id="{00000000-0008-0000-2200-00007AA20400}"/>
            </a:ext>
          </a:extLst>
        </xdr:cNvPr>
        <xdr:cNvSpPr txBox="1">
          <a:spLocks noChangeArrowheads="1"/>
        </xdr:cNvSpPr>
      </xdr:nvSpPr>
      <xdr:spPr bwMode="auto">
        <a:xfrm>
          <a:off x="3651250" y="32981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108</xdr:row>
      <xdr:rowOff>0</xdr:rowOff>
    </xdr:from>
    <xdr:to>
      <xdr:col>2</xdr:col>
      <xdr:colOff>0</xdr:colOff>
      <xdr:row>109</xdr:row>
      <xdr:rowOff>139700</xdr:rowOff>
    </xdr:to>
    <xdr:sp macro="" textlink="">
      <xdr:nvSpPr>
        <xdr:cNvPr id="303739" name="TextBox 1211">
          <a:extLst>
            <a:ext uri="{FF2B5EF4-FFF2-40B4-BE49-F238E27FC236}">
              <a16:creationId xmlns:a16="http://schemas.microsoft.com/office/drawing/2014/main" id="{00000000-0008-0000-2200-00007BA20400}"/>
            </a:ext>
          </a:extLst>
        </xdr:cNvPr>
        <xdr:cNvSpPr txBox="1">
          <a:spLocks noChangeArrowheads="1"/>
        </xdr:cNvSpPr>
      </xdr:nvSpPr>
      <xdr:spPr bwMode="auto">
        <a:xfrm>
          <a:off x="3651250" y="32981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108</xdr:row>
      <xdr:rowOff>0</xdr:rowOff>
    </xdr:from>
    <xdr:to>
      <xdr:col>2</xdr:col>
      <xdr:colOff>0</xdr:colOff>
      <xdr:row>109</xdr:row>
      <xdr:rowOff>139700</xdr:rowOff>
    </xdr:to>
    <xdr:sp macro="" textlink="">
      <xdr:nvSpPr>
        <xdr:cNvPr id="303740" name="TextBox 1080">
          <a:extLst>
            <a:ext uri="{FF2B5EF4-FFF2-40B4-BE49-F238E27FC236}">
              <a16:creationId xmlns:a16="http://schemas.microsoft.com/office/drawing/2014/main" id="{00000000-0008-0000-2200-00007CA20400}"/>
            </a:ext>
          </a:extLst>
        </xdr:cNvPr>
        <xdr:cNvSpPr txBox="1">
          <a:spLocks noChangeArrowheads="1"/>
        </xdr:cNvSpPr>
      </xdr:nvSpPr>
      <xdr:spPr bwMode="auto">
        <a:xfrm>
          <a:off x="3651250" y="32981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108</xdr:row>
      <xdr:rowOff>0</xdr:rowOff>
    </xdr:from>
    <xdr:to>
      <xdr:col>2</xdr:col>
      <xdr:colOff>0</xdr:colOff>
      <xdr:row>109</xdr:row>
      <xdr:rowOff>139700</xdr:rowOff>
    </xdr:to>
    <xdr:sp macro="" textlink="">
      <xdr:nvSpPr>
        <xdr:cNvPr id="303741" name="TextBox 1211">
          <a:extLst>
            <a:ext uri="{FF2B5EF4-FFF2-40B4-BE49-F238E27FC236}">
              <a16:creationId xmlns:a16="http://schemas.microsoft.com/office/drawing/2014/main" id="{00000000-0008-0000-2200-00007DA20400}"/>
            </a:ext>
          </a:extLst>
        </xdr:cNvPr>
        <xdr:cNvSpPr txBox="1">
          <a:spLocks noChangeArrowheads="1"/>
        </xdr:cNvSpPr>
      </xdr:nvSpPr>
      <xdr:spPr bwMode="auto">
        <a:xfrm>
          <a:off x="3651250" y="32981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108</xdr:row>
      <xdr:rowOff>0</xdr:rowOff>
    </xdr:from>
    <xdr:to>
      <xdr:col>2</xdr:col>
      <xdr:colOff>0</xdr:colOff>
      <xdr:row>109</xdr:row>
      <xdr:rowOff>139700</xdr:rowOff>
    </xdr:to>
    <xdr:sp macro="" textlink="">
      <xdr:nvSpPr>
        <xdr:cNvPr id="303742" name="TextBox 1080">
          <a:extLst>
            <a:ext uri="{FF2B5EF4-FFF2-40B4-BE49-F238E27FC236}">
              <a16:creationId xmlns:a16="http://schemas.microsoft.com/office/drawing/2014/main" id="{00000000-0008-0000-2200-00007EA20400}"/>
            </a:ext>
          </a:extLst>
        </xdr:cNvPr>
        <xdr:cNvSpPr txBox="1">
          <a:spLocks noChangeArrowheads="1"/>
        </xdr:cNvSpPr>
      </xdr:nvSpPr>
      <xdr:spPr bwMode="auto">
        <a:xfrm>
          <a:off x="3651250" y="32981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108</xdr:row>
      <xdr:rowOff>0</xdr:rowOff>
    </xdr:from>
    <xdr:to>
      <xdr:col>2</xdr:col>
      <xdr:colOff>0</xdr:colOff>
      <xdr:row>109</xdr:row>
      <xdr:rowOff>139700</xdr:rowOff>
    </xdr:to>
    <xdr:sp macro="" textlink="">
      <xdr:nvSpPr>
        <xdr:cNvPr id="303743" name="TextBox 1211">
          <a:extLst>
            <a:ext uri="{FF2B5EF4-FFF2-40B4-BE49-F238E27FC236}">
              <a16:creationId xmlns:a16="http://schemas.microsoft.com/office/drawing/2014/main" id="{00000000-0008-0000-2200-00007FA20400}"/>
            </a:ext>
          </a:extLst>
        </xdr:cNvPr>
        <xdr:cNvSpPr txBox="1">
          <a:spLocks noChangeArrowheads="1"/>
        </xdr:cNvSpPr>
      </xdr:nvSpPr>
      <xdr:spPr bwMode="auto">
        <a:xfrm>
          <a:off x="3651250" y="32981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108</xdr:row>
      <xdr:rowOff>0</xdr:rowOff>
    </xdr:from>
    <xdr:to>
      <xdr:col>2</xdr:col>
      <xdr:colOff>0</xdr:colOff>
      <xdr:row>109</xdr:row>
      <xdr:rowOff>139700</xdr:rowOff>
    </xdr:to>
    <xdr:sp macro="" textlink="">
      <xdr:nvSpPr>
        <xdr:cNvPr id="303744" name="TextBox 1080">
          <a:extLst>
            <a:ext uri="{FF2B5EF4-FFF2-40B4-BE49-F238E27FC236}">
              <a16:creationId xmlns:a16="http://schemas.microsoft.com/office/drawing/2014/main" id="{00000000-0008-0000-2200-000080A20400}"/>
            </a:ext>
          </a:extLst>
        </xdr:cNvPr>
        <xdr:cNvSpPr txBox="1">
          <a:spLocks noChangeArrowheads="1"/>
        </xdr:cNvSpPr>
      </xdr:nvSpPr>
      <xdr:spPr bwMode="auto">
        <a:xfrm>
          <a:off x="3651250" y="32981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108</xdr:row>
      <xdr:rowOff>0</xdr:rowOff>
    </xdr:from>
    <xdr:to>
      <xdr:col>2</xdr:col>
      <xdr:colOff>0</xdr:colOff>
      <xdr:row>109</xdr:row>
      <xdr:rowOff>139700</xdr:rowOff>
    </xdr:to>
    <xdr:sp macro="" textlink="">
      <xdr:nvSpPr>
        <xdr:cNvPr id="303745" name="TextBox 1211">
          <a:extLst>
            <a:ext uri="{FF2B5EF4-FFF2-40B4-BE49-F238E27FC236}">
              <a16:creationId xmlns:a16="http://schemas.microsoft.com/office/drawing/2014/main" id="{00000000-0008-0000-2200-000081A20400}"/>
            </a:ext>
          </a:extLst>
        </xdr:cNvPr>
        <xdr:cNvSpPr txBox="1">
          <a:spLocks noChangeArrowheads="1"/>
        </xdr:cNvSpPr>
      </xdr:nvSpPr>
      <xdr:spPr bwMode="auto">
        <a:xfrm>
          <a:off x="3651250" y="32981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108</xdr:row>
      <xdr:rowOff>0</xdr:rowOff>
    </xdr:from>
    <xdr:to>
      <xdr:col>2</xdr:col>
      <xdr:colOff>0</xdr:colOff>
      <xdr:row>109</xdr:row>
      <xdr:rowOff>146050</xdr:rowOff>
    </xdr:to>
    <xdr:sp macro="" textlink="">
      <xdr:nvSpPr>
        <xdr:cNvPr id="303746" name="TextBox 1080">
          <a:extLst>
            <a:ext uri="{FF2B5EF4-FFF2-40B4-BE49-F238E27FC236}">
              <a16:creationId xmlns:a16="http://schemas.microsoft.com/office/drawing/2014/main" id="{00000000-0008-0000-2200-000082A20400}"/>
            </a:ext>
          </a:extLst>
        </xdr:cNvPr>
        <xdr:cNvSpPr txBox="1">
          <a:spLocks noChangeArrowheads="1"/>
        </xdr:cNvSpPr>
      </xdr:nvSpPr>
      <xdr:spPr bwMode="auto">
        <a:xfrm>
          <a:off x="3651250" y="32981900"/>
          <a:ext cx="0" cy="38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108</xdr:row>
      <xdr:rowOff>0</xdr:rowOff>
    </xdr:from>
    <xdr:to>
      <xdr:col>2</xdr:col>
      <xdr:colOff>0</xdr:colOff>
      <xdr:row>109</xdr:row>
      <xdr:rowOff>146050</xdr:rowOff>
    </xdr:to>
    <xdr:sp macro="" textlink="">
      <xdr:nvSpPr>
        <xdr:cNvPr id="303747" name="TextBox 1211">
          <a:extLst>
            <a:ext uri="{FF2B5EF4-FFF2-40B4-BE49-F238E27FC236}">
              <a16:creationId xmlns:a16="http://schemas.microsoft.com/office/drawing/2014/main" id="{00000000-0008-0000-2200-000083A20400}"/>
            </a:ext>
          </a:extLst>
        </xdr:cNvPr>
        <xdr:cNvSpPr txBox="1">
          <a:spLocks noChangeArrowheads="1"/>
        </xdr:cNvSpPr>
      </xdr:nvSpPr>
      <xdr:spPr bwMode="auto">
        <a:xfrm>
          <a:off x="3651250" y="32981900"/>
          <a:ext cx="0" cy="38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108</xdr:row>
      <xdr:rowOff>0</xdr:rowOff>
    </xdr:from>
    <xdr:to>
      <xdr:col>2</xdr:col>
      <xdr:colOff>0</xdr:colOff>
      <xdr:row>109</xdr:row>
      <xdr:rowOff>146050</xdr:rowOff>
    </xdr:to>
    <xdr:sp macro="" textlink="">
      <xdr:nvSpPr>
        <xdr:cNvPr id="303748" name="TextBox 1080">
          <a:extLst>
            <a:ext uri="{FF2B5EF4-FFF2-40B4-BE49-F238E27FC236}">
              <a16:creationId xmlns:a16="http://schemas.microsoft.com/office/drawing/2014/main" id="{00000000-0008-0000-2200-000084A20400}"/>
            </a:ext>
          </a:extLst>
        </xdr:cNvPr>
        <xdr:cNvSpPr txBox="1">
          <a:spLocks noChangeArrowheads="1"/>
        </xdr:cNvSpPr>
      </xdr:nvSpPr>
      <xdr:spPr bwMode="auto">
        <a:xfrm>
          <a:off x="3651250" y="32981900"/>
          <a:ext cx="0" cy="38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108</xdr:row>
      <xdr:rowOff>0</xdr:rowOff>
    </xdr:from>
    <xdr:to>
      <xdr:col>2</xdr:col>
      <xdr:colOff>0</xdr:colOff>
      <xdr:row>109</xdr:row>
      <xdr:rowOff>146050</xdr:rowOff>
    </xdr:to>
    <xdr:sp macro="" textlink="">
      <xdr:nvSpPr>
        <xdr:cNvPr id="303749" name="TextBox 1211">
          <a:extLst>
            <a:ext uri="{FF2B5EF4-FFF2-40B4-BE49-F238E27FC236}">
              <a16:creationId xmlns:a16="http://schemas.microsoft.com/office/drawing/2014/main" id="{00000000-0008-0000-2200-000085A20400}"/>
            </a:ext>
          </a:extLst>
        </xdr:cNvPr>
        <xdr:cNvSpPr txBox="1">
          <a:spLocks noChangeArrowheads="1"/>
        </xdr:cNvSpPr>
      </xdr:nvSpPr>
      <xdr:spPr bwMode="auto">
        <a:xfrm>
          <a:off x="3651250" y="32981900"/>
          <a:ext cx="0" cy="38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108</xdr:row>
      <xdr:rowOff>0</xdr:rowOff>
    </xdr:from>
    <xdr:to>
      <xdr:col>2</xdr:col>
      <xdr:colOff>0</xdr:colOff>
      <xdr:row>109</xdr:row>
      <xdr:rowOff>146050</xdr:rowOff>
    </xdr:to>
    <xdr:sp macro="" textlink="">
      <xdr:nvSpPr>
        <xdr:cNvPr id="303750" name="TextBox 1080">
          <a:extLst>
            <a:ext uri="{FF2B5EF4-FFF2-40B4-BE49-F238E27FC236}">
              <a16:creationId xmlns:a16="http://schemas.microsoft.com/office/drawing/2014/main" id="{00000000-0008-0000-2200-000086A20400}"/>
            </a:ext>
          </a:extLst>
        </xdr:cNvPr>
        <xdr:cNvSpPr txBox="1">
          <a:spLocks noChangeArrowheads="1"/>
        </xdr:cNvSpPr>
      </xdr:nvSpPr>
      <xdr:spPr bwMode="auto">
        <a:xfrm>
          <a:off x="3651250" y="32981900"/>
          <a:ext cx="0" cy="38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108</xdr:row>
      <xdr:rowOff>0</xdr:rowOff>
    </xdr:from>
    <xdr:to>
      <xdr:col>2</xdr:col>
      <xdr:colOff>0</xdr:colOff>
      <xdr:row>109</xdr:row>
      <xdr:rowOff>146050</xdr:rowOff>
    </xdr:to>
    <xdr:sp macro="" textlink="">
      <xdr:nvSpPr>
        <xdr:cNvPr id="303751" name="TextBox 1211">
          <a:extLst>
            <a:ext uri="{FF2B5EF4-FFF2-40B4-BE49-F238E27FC236}">
              <a16:creationId xmlns:a16="http://schemas.microsoft.com/office/drawing/2014/main" id="{00000000-0008-0000-2200-000087A20400}"/>
            </a:ext>
          </a:extLst>
        </xdr:cNvPr>
        <xdr:cNvSpPr txBox="1">
          <a:spLocks noChangeArrowheads="1"/>
        </xdr:cNvSpPr>
      </xdr:nvSpPr>
      <xdr:spPr bwMode="auto">
        <a:xfrm>
          <a:off x="3651250" y="32981900"/>
          <a:ext cx="0" cy="38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108</xdr:row>
      <xdr:rowOff>0</xdr:rowOff>
    </xdr:from>
    <xdr:to>
      <xdr:col>2</xdr:col>
      <xdr:colOff>0</xdr:colOff>
      <xdr:row>109</xdr:row>
      <xdr:rowOff>146050</xdr:rowOff>
    </xdr:to>
    <xdr:sp macro="" textlink="">
      <xdr:nvSpPr>
        <xdr:cNvPr id="303752" name="TextBox 1080">
          <a:extLst>
            <a:ext uri="{FF2B5EF4-FFF2-40B4-BE49-F238E27FC236}">
              <a16:creationId xmlns:a16="http://schemas.microsoft.com/office/drawing/2014/main" id="{00000000-0008-0000-2200-000088A20400}"/>
            </a:ext>
          </a:extLst>
        </xdr:cNvPr>
        <xdr:cNvSpPr txBox="1">
          <a:spLocks noChangeArrowheads="1"/>
        </xdr:cNvSpPr>
      </xdr:nvSpPr>
      <xdr:spPr bwMode="auto">
        <a:xfrm>
          <a:off x="3651250" y="32981900"/>
          <a:ext cx="0" cy="38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108</xdr:row>
      <xdr:rowOff>0</xdr:rowOff>
    </xdr:from>
    <xdr:to>
      <xdr:col>2</xdr:col>
      <xdr:colOff>0</xdr:colOff>
      <xdr:row>109</xdr:row>
      <xdr:rowOff>146050</xdr:rowOff>
    </xdr:to>
    <xdr:sp macro="" textlink="">
      <xdr:nvSpPr>
        <xdr:cNvPr id="303753" name="TextBox 1211">
          <a:extLst>
            <a:ext uri="{FF2B5EF4-FFF2-40B4-BE49-F238E27FC236}">
              <a16:creationId xmlns:a16="http://schemas.microsoft.com/office/drawing/2014/main" id="{00000000-0008-0000-2200-000089A20400}"/>
            </a:ext>
          </a:extLst>
        </xdr:cNvPr>
        <xdr:cNvSpPr txBox="1">
          <a:spLocks noChangeArrowheads="1"/>
        </xdr:cNvSpPr>
      </xdr:nvSpPr>
      <xdr:spPr bwMode="auto">
        <a:xfrm>
          <a:off x="3651250" y="32981900"/>
          <a:ext cx="0" cy="38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108</xdr:row>
      <xdr:rowOff>0</xdr:rowOff>
    </xdr:from>
    <xdr:to>
      <xdr:col>2</xdr:col>
      <xdr:colOff>0</xdr:colOff>
      <xdr:row>110</xdr:row>
      <xdr:rowOff>69850</xdr:rowOff>
    </xdr:to>
    <xdr:sp macro="" textlink="">
      <xdr:nvSpPr>
        <xdr:cNvPr id="303754" name="TextBox 1080">
          <a:extLst>
            <a:ext uri="{FF2B5EF4-FFF2-40B4-BE49-F238E27FC236}">
              <a16:creationId xmlns:a16="http://schemas.microsoft.com/office/drawing/2014/main" id="{00000000-0008-0000-2200-00008AA20400}"/>
            </a:ext>
          </a:extLst>
        </xdr:cNvPr>
        <xdr:cNvSpPr txBox="1">
          <a:spLocks noChangeArrowheads="1"/>
        </xdr:cNvSpPr>
      </xdr:nvSpPr>
      <xdr:spPr bwMode="auto">
        <a:xfrm>
          <a:off x="3651250" y="32981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108</xdr:row>
      <xdr:rowOff>0</xdr:rowOff>
    </xdr:from>
    <xdr:to>
      <xdr:col>2</xdr:col>
      <xdr:colOff>0</xdr:colOff>
      <xdr:row>110</xdr:row>
      <xdr:rowOff>69850</xdr:rowOff>
    </xdr:to>
    <xdr:sp macro="" textlink="">
      <xdr:nvSpPr>
        <xdr:cNvPr id="303755" name="TextBox 1211">
          <a:extLst>
            <a:ext uri="{FF2B5EF4-FFF2-40B4-BE49-F238E27FC236}">
              <a16:creationId xmlns:a16="http://schemas.microsoft.com/office/drawing/2014/main" id="{00000000-0008-0000-2200-00008BA20400}"/>
            </a:ext>
          </a:extLst>
        </xdr:cNvPr>
        <xdr:cNvSpPr txBox="1">
          <a:spLocks noChangeArrowheads="1"/>
        </xdr:cNvSpPr>
      </xdr:nvSpPr>
      <xdr:spPr bwMode="auto">
        <a:xfrm>
          <a:off x="3651250" y="32981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108</xdr:row>
      <xdr:rowOff>0</xdr:rowOff>
    </xdr:from>
    <xdr:to>
      <xdr:col>2</xdr:col>
      <xdr:colOff>0</xdr:colOff>
      <xdr:row>110</xdr:row>
      <xdr:rowOff>69850</xdr:rowOff>
    </xdr:to>
    <xdr:sp macro="" textlink="">
      <xdr:nvSpPr>
        <xdr:cNvPr id="303756" name="TextBox 1080">
          <a:extLst>
            <a:ext uri="{FF2B5EF4-FFF2-40B4-BE49-F238E27FC236}">
              <a16:creationId xmlns:a16="http://schemas.microsoft.com/office/drawing/2014/main" id="{00000000-0008-0000-2200-00008CA20400}"/>
            </a:ext>
          </a:extLst>
        </xdr:cNvPr>
        <xdr:cNvSpPr txBox="1">
          <a:spLocks noChangeArrowheads="1"/>
        </xdr:cNvSpPr>
      </xdr:nvSpPr>
      <xdr:spPr bwMode="auto">
        <a:xfrm>
          <a:off x="3651250" y="32981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108</xdr:row>
      <xdr:rowOff>0</xdr:rowOff>
    </xdr:from>
    <xdr:to>
      <xdr:col>2</xdr:col>
      <xdr:colOff>0</xdr:colOff>
      <xdr:row>110</xdr:row>
      <xdr:rowOff>69850</xdr:rowOff>
    </xdr:to>
    <xdr:sp macro="" textlink="">
      <xdr:nvSpPr>
        <xdr:cNvPr id="303757" name="TextBox 1211">
          <a:extLst>
            <a:ext uri="{FF2B5EF4-FFF2-40B4-BE49-F238E27FC236}">
              <a16:creationId xmlns:a16="http://schemas.microsoft.com/office/drawing/2014/main" id="{00000000-0008-0000-2200-00008DA20400}"/>
            </a:ext>
          </a:extLst>
        </xdr:cNvPr>
        <xdr:cNvSpPr txBox="1">
          <a:spLocks noChangeArrowheads="1"/>
        </xdr:cNvSpPr>
      </xdr:nvSpPr>
      <xdr:spPr bwMode="auto">
        <a:xfrm>
          <a:off x="3651250" y="32981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108</xdr:row>
      <xdr:rowOff>0</xdr:rowOff>
    </xdr:from>
    <xdr:to>
      <xdr:col>2</xdr:col>
      <xdr:colOff>0</xdr:colOff>
      <xdr:row>110</xdr:row>
      <xdr:rowOff>69850</xdr:rowOff>
    </xdr:to>
    <xdr:sp macro="" textlink="">
      <xdr:nvSpPr>
        <xdr:cNvPr id="303758" name="TextBox 1080">
          <a:extLst>
            <a:ext uri="{FF2B5EF4-FFF2-40B4-BE49-F238E27FC236}">
              <a16:creationId xmlns:a16="http://schemas.microsoft.com/office/drawing/2014/main" id="{00000000-0008-0000-2200-00008EA20400}"/>
            </a:ext>
          </a:extLst>
        </xdr:cNvPr>
        <xdr:cNvSpPr txBox="1">
          <a:spLocks noChangeArrowheads="1"/>
        </xdr:cNvSpPr>
      </xdr:nvSpPr>
      <xdr:spPr bwMode="auto">
        <a:xfrm>
          <a:off x="3651250" y="32981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108</xdr:row>
      <xdr:rowOff>0</xdr:rowOff>
    </xdr:from>
    <xdr:to>
      <xdr:col>2</xdr:col>
      <xdr:colOff>0</xdr:colOff>
      <xdr:row>110</xdr:row>
      <xdr:rowOff>69850</xdr:rowOff>
    </xdr:to>
    <xdr:sp macro="" textlink="">
      <xdr:nvSpPr>
        <xdr:cNvPr id="303759" name="TextBox 1211">
          <a:extLst>
            <a:ext uri="{FF2B5EF4-FFF2-40B4-BE49-F238E27FC236}">
              <a16:creationId xmlns:a16="http://schemas.microsoft.com/office/drawing/2014/main" id="{00000000-0008-0000-2200-00008FA20400}"/>
            </a:ext>
          </a:extLst>
        </xdr:cNvPr>
        <xdr:cNvSpPr txBox="1">
          <a:spLocks noChangeArrowheads="1"/>
        </xdr:cNvSpPr>
      </xdr:nvSpPr>
      <xdr:spPr bwMode="auto">
        <a:xfrm>
          <a:off x="3651250" y="32981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108</xdr:row>
      <xdr:rowOff>0</xdr:rowOff>
    </xdr:from>
    <xdr:to>
      <xdr:col>2</xdr:col>
      <xdr:colOff>0</xdr:colOff>
      <xdr:row>110</xdr:row>
      <xdr:rowOff>69850</xdr:rowOff>
    </xdr:to>
    <xdr:sp macro="" textlink="">
      <xdr:nvSpPr>
        <xdr:cNvPr id="303760" name="TextBox 1080">
          <a:extLst>
            <a:ext uri="{FF2B5EF4-FFF2-40B4-BE49-F238E27FC236}">
              <a16:creationId xmlns:a16="http://schemas.microsoft.com/office/drawing/2014/main" id="{00000000-0008-0000-2200-000090A20400}"/>
            </a:ext>
          </a:extLst>
        </xdr:cNvPr>
        <xdr:cNvSpPr txBox="1">
          <a:spLocks noChangeArrowheads="1"/>
        </xdr:cNvSpPr>
      </xdr:nvSpPr>
      <xdr:spPr bwMode="auto">
        <a:xfrm>
          <a:off x="3651250" y="32981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108</xdr:row>
      <xdr:rowOff>0</xdr:rowOff>
    </xdr:from>
    <xdr:to>
      <xdr:col>2</xdr:col>
      <xdr:colOff>0</xdr:colOff>
      <xdr:row>110</xdr:row>
      <xdr:rowOff>69850</xdr:rowOff>
    </xdr:to>
    <xdr:sp macro="" textlink="">
      <xdr:nvSpPr>
        <xdr:cNvPr id="303761" name="TextBox 1211">
          <a:extLst>
            <a:ext uri="{FF2B5EF4-FFF2-40B4-BE49-F238E27FC236}">
              <a16:creationId xmlns:a16="http://schemas.microsoft.com/office/drawing/2014/main" id="{00000000-0008-0000-2200-000091A20400}"/>
            </a:ext>
          </a:extLst>
        </xdr:cNvPr>
        <xdr:cNvSpPr txBox="1">
          <a:spLocks noChangeArrowheads="1"/>
        </xdr:cNvSpPr>
      </xdr:nvSpPr>
      <xdr:spPr bwMode="auto">
        <a:xfrm>
          <a:off x="3651250" y="32981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108</xdr:row>
      <xdr:rowOff>0</xdr:rowOff>
    </xdr:from>
    <xdr:to>
      <xdr:col>2</xdr:col>
      <xdr:colOff>0</xdr:colOff>
      <xdr:row>110</xdr:row>
      <xdr:rowOff>69850</xdr:rowOff>
    </xdr:to>
    <xdr:sp macro="" textlink="">
      <xdr:nvSpPr>
        <xdr:cNvPr id="303762" name="TextBox 1080">
          <a:extLst>
            <a:ext uri="{FF2B5EF4-FFF2-40B4-BE49-F238E27FC236}">
              <a16:creationId xmlns:a16="http://schemas.microsoft.com/office/drawing/2014/main" id="{00000000-0008-0000-2200-000092A20400}"/>
            </a:ext>
          </a:extLst>
        </xdr:cNvPr>
        <xdr:cNvSpPr txBox="1">
          <a:spLocks noChangeArrowheads="1"/>
        </xdr:cNvSpPr>
      </xdr:nvSpPr>
      <xdr:spPr bwMode="auto">
        <a:xfrm>
          <a:off x="3651250" y="32981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108</xdr:row>
      <xdr:rowOff>0</xdr:rowOff>
    </xdr:from>
    <xdr:to>
      <xdr:col>2</xdr:col>
      <xdr:colOff>0</xdr:colOff>
      <xdr:row>110</xdr:row>
      <xdr:rowOff>69850</xdr:rowOff>
    </xdr:to>
    <xdr:sp macro="" textlink="">
      <xdr:nvSpPr>
        <xdr:cNvPr id="303763" name="TextBox 1211">
          <a:extLst>
            <a:ext uri="{FF2B5EF4-FFF2-40B4-BE49-F238E27FC236}">
              <a16:creationId xmlns:a16="http://schemas.microsoft.com/office/drawing/2014/main" id="{00000000-0008-0000-2200-000093A20400}"/>
            </a:ext>
          </a:extLst>
        </xdr:cNvPr>
        <xdr:cNvSpPr txBox="1">
          <a:spLocks noChangeArrowheads="1"/>
        </xdr:cNvSpPr>
      </xdr:nvSpPr>
      <xdr:spPr bwMode="auto">
        <a:xfrm>
          <a:off x="3651250" y="32981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108</xdr:row>
      <xdr:rowOff>0</xdr:rowOff>
    </xdr:from>
    <xdr:to>
      <xdr:col>2</xdr:col>
      <xdr:colOff>0</xdr:colOff>
      <xdr:row>110</xdr:row>
      <xdr:rowOff>69850</xdr:rowOff>
    </xdr:to>
    <xdr:sp macro="" textlink="">
      <xdr:nvSpPr>
        <xdr:cNvPr id="303764" name="TextBox 1080">
          <a:extLst>
            <a:ext uri="{FF2B5EF4-FFF2-40B4-BE49-F238E27FC236}">
              <a16:creationId xmlns:a16="http://schemas.microsoft.com/office/drawing/2014/main" id="{00000000-0008-0000-2200-000094A20400}"/>
            </a:ext>
          </a:extLst>
        </xdr:cNvPr>
        <xdr:cNvSpPr txBox="1">
          <a:spLocks noChangeArrowheads="1"/>
        </xdr:cNvSpPr>
      </xdr:nvSpPr>
      <xdr:spPr bwMode="auto">
        <a:xfrm>
          <a:off x="3651250" y="32981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108</xdr:row>
      <xdr:rowOff>0</xdr:rowOff>
    </xdr:from>
    <xdr:to>
      <xdr:col>2</xdr:col>
      <xdr:colOff>0</xdr:colOff>
      <xdr:row>110</xdr:row>
      <xdr:rowOff>69850</xdr:rowOff>
    </xdr:to>
    <xdr:sp macro="" textlink="">
      <xdr:nvSpPr>
        <xdr:cNvPr id="303765" name="TextBox 1211">
          <a:extLst>
            <a:ext uri="{FF2B5EF4-FFF2-40B4-BE49-F238E27FC236}">
              <a16:creationId xmlns:a16="http://schemas.microsoft.com/office/drawing/2014/main" id="{00000000-0008-0000-2200-000095A20400}"/>
            </a:ext>
          </a:extLst>
        </xdr:cNvPr>
        <xdr:cNvSpPr txBox="1">
          <a:spLocks noChangeArrowheads="1"/>
        </xdr:cNvSpPr>
      </xdr:nvSpPr>
      <xdr:spPr bwMode="auto">
        <a:xfrm>
          <a:off x="3651250" y="3298190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108</xdr:row>
      <xdr:rowOff>0</xdr:rowOff>
    </xdr:from>
    <xdr:to>
      <xdr:col>2</xdr:col>
      <xdr:colOff>0</xdr:colOff>
      <xdr:row>109</xdr:row>
      <xdr:rowOff>146050</xdr:rowOff>
    </xdr:to>
    <xdr:sp macro="" textlink="">
      <xdr:nvSpPr>
        <xdr:cNvPr id="303766" name="TextBox 1080">
          <a:extLst>
            <a:ext uri="{FF2B5EF4-FFF2-40B4-BE49-F238E27FC236}">
              <a16:creationId xmlns:a16="http://schemas.microsoft.com/office/drawing/2014/main" id="{00000000-0008-0000-2200-000096A20400}"/>
            </a:ext>
          </a:extLst>
        </xdr:cNvPr>
        <xdr:cNvSpPr txBox="1">
          <a:spLocks noChangeArrowheads="1"/>
        </xdr:cNvSpPr>
      </xdr:nvSpPr>
      <xdr:spPr bwMode="auto">
        <a:xfrm>
          <a:off x="3651250" y="32981900"/>
          <a:ext cx="0" cy="38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108</xdr:row>
      <xdr:rowOff>0</xdr:rowOff>
    </xdr:from>
    <xdr:to>
      <xdr:col>2</xdr:col>
      <xdr:colOff>0</xdr:colOff>
      <xdr:row>109</xdr:row>
      <xdr:rowOff>146050</xdr:rowOff>
    </xdr:to>
    <xdr:sp macro="" textlink="">
      <xdr:nvSpPr>
        <xdr:cNvPr id="303767" name="TextBox 1211">
          <a:extLst>
            <a:ext uri="{FF2B5EF4-FFF2-40B4-BE49-F238E27FC236}">
              <a16:creationId xmlns:a16="http://schemas.microsoft.com/office/drawing/2014/main" id="{00000000-0008-0000-2200-000097A20400}"/>
            </a:ext>
          </a:extLst>
        </xdr:cNvPr>
        <xdr:cNvSpPr txBox="1">
          <a:spLocks noChangeArrowheads="1"/>
        </xdr:cNvSpPr>
      </xdr:nvSpPr>
      <xdr:spPr bwMode="auto">
        <a:xfrm>
          <a:off x="3651250" y="32981900"/>
          <a:ext cx="0" cy="38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108</xdr:row>
      <xdr:rowOff>0</xdr:rowOff>
    </xdr:from>
    <xdr:to>
      <xdr:col>2</xdr:col>
      <xdr:colOff>0</xdr:colOff>
      <xdr:row>109</xdr:row>
      <xdr:rowOff>146050</xdr:rowOff>
    </xdr:to>
    <xdr:sp macro="" textlink="">
      <xdr:nvSpPr>
        <xdr:cNvPr id="303768" name="TextBox 1080">
          <a:extLst>
            <a:ext uri="{FF2B5EF4-FFF2-40B4-BE49-F238E27FC236}">
              <a16:creationId xmlns:a16="http://schemas.microsoft.com/office/drawing/2014/main" id="{00000000-0008-0000-2200-000098A20400}"/>
            </a:ext>
          </a:extLst>
        </xdr:cNvPr>
        <xdr:cNvSpPr txBox="1">
          <a:spLocks noChangeArrowheads="1"/>
        </xdr:cNvSpPr>
      </xdr:nvSpPr>
      <xdr:spPr bwMode="auto">
        <a:xfrm>
          <a:off x="3651250" y="32981900"/>
          <a:ext cx="0" cy="38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108</xdr:row>
      <xdr:rowOff>0</xdr:rowOff>
    </xdr:from>
    <xdr:to>
      <xdr:col>2</xdr:col>
      <xdr:colOff>0</xdr:colOff>
      <xdr:row>109</xdr:row>
      <xdr:rowOff>146050</xdr:rowOff>
    </xdr:to>
    <xdr:sp macro="" textlink="">
      <xdr:nvSpPr>
        <xdr:cNvPr id="303769" name="TextBox 1211">
          <a:extLst>
            <a:ext uri="{FF2B5EF4-FFF2-40B4-BE49-F238E27FC236}">
              <a16:creationId xmlns:a16="http://schemas.microsoft.com/office/drawing/2014/main" id="{00000000-0008-0000-2200-000099A20400}"/>
            </a:ext>
          </a:extLst>
        </xdr:cNvPr>
        <xdr:cNvSpPr txBox="1">
          <a:spLocks noChangeArrowheads="1"/>
        </xdr:cNvSpPr>
      </xdr:nvSpPr>
      <xdr:spPr bwMode="auto">
        <a:xfrm>
          <a:off x="3651250" y="32981900"/>
          <a:ext cx="0" cy="38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108</xdr:row>
      <xdr:rowOff>0</xdr:rowOff>
    </xdr:from>
    <xdr:to>
      <xdr:col>2</xdr:col>
      <xdr:colOff>0</xdr:colOff>
      <xdr:row>109</xdr:row>
      <xdr:rowOff>146050</xdr:rowOff>
    </xdr:to>
    <xdr:sp macro="" textlink="">
      <xdr:nvSpPr>
        <xdr:cNvPr id="303770" name="TextBox 1080">
          <a:extLst>
            <a:ext uri="{FF2B5EF4-FFF2-40B4-BE49-F238E27FC236}">
              <a16:creationId xmlns:a16="http://schemas.microsoft.com/office/drawing/2014/main" id="{00000000-0008-0000-2200-00009AA20400}"/>
            </a:ext>
          </a:extLst>
        </xdr:cNvPr>
        <xdr:cNvSpPr txBox="1">
          <a:spLocks noChangeArrowheads="1"/>
        </xdr:cNvSpPr>
      </xdr:nvSpPr>
      <xdr:spPr bwMode="auto">
        <a:xfrm>
          <a:off x="3651250" y="32981900"/>
          <a:ext cx="0" cy="38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108</xdr:row>
      <xdr:rowOff>0</xdr:rowOff>
    </xdr:from>
    <xdr:to>
      <xdr:col>2</xdr:col>
      <xdr:colOff>0</xdr:colOff>
      <xdr:row>109</xdr:row>
      <xdr:rowOff>146050</xdr:rowOff>
    </xdr:to>
    <xdr:sp macro="" textlink="">
      <xdr:nvSpPr>
        <xdr:cNvPr id="303771" name="TextBox 1211">
          <a:extLst>
            <a:ext uri="{FF2B5EF4-FFF2-40B4-BE49-F238E27FC236}">
              <a16:creationId xmlns:a16="http://schemas.microsoft.com/office/drawing/2014/main" id="{00000000-0008-0000-2200-00009BA20400}"/>
            </a:ext>
          </a:extLst>
        </xdr:cNvPr>
        <xdr:cNvSpPr txBox="1">
          <a:spLocks noChangeArrowheads="1"/>
        </xdr:cNvSpPr>
      </xdr:nvSpPr>
      <xdr:spPr bwMode="auto">
        <a:xfrm>
          <a:off x="3651250" y="32981900"/>
          <a:ext cx="0" cy="38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108</xdr:row>
      <xdr:rowOff>0</xdr:rowOff>
    </xdr:from>
    <xdr:to>
      <xdr:col>2</xdr:col>
      <xdr:colOff>0</xdr:colOff>
      <xdr:row>109</xdr:row>
      <xdr:rowOff>146050</xdr:rowOff>
    </xdr:to>
    <xdr:sp macro="" textlink="">
      <xdr:nvSpPr>
        <xdr:cNvPr id="303772" name="TextBox 1080">
          <a:extLst>
            <a:ext uri="{FF2B5EF4-FFF2-40B4-BE49-F238E27FC236}">
              <a16:creationId xmlns:a16="http://schemas.microsoft.com/office/drawing/2014/main" id="{00000000-0008-0000-2200-00009CA20400}"/>
            </a:ext>
          </a:extLst>
        </xdr:cNvPr>
        <xdr:cNvSpPr txBox="1">
          <a:spLocks noChangeArrowheads="1"/>
        </xdr:cNvSpPr>
      </xdr:nvSpPr>
      <xdr:spPr bwMode="auto">
        <a:xfrm>
          <a:off x="3651250" y="32981900"/>
          <a:ext cx="0" cy="38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108</xdr:row>
      <xdr:rowOff>0</xdr:rowOff>
    </xdr:from>
    <xdr:to>
      <xdr:col>2</xdr:col>
      <xdr:colOff>0</xdr:colOff>
      <xdr:row>109</xdr:row>
      <xdr:rowOff>146050</xdr:rowOff>
    </xdr:to>
    <xdr:sp macro="" textlink="">
      <xdr:nvSpPr>
        <xdr:cNvPr id="303773" name="TextBox 1211">
          <a:extLst>
            <a:ext uri="{FF2B5EF4-FFF2-40B4-BE49-F238E27FC236}">
              <a16:creationId xmlns:a16="http://schemas.microsoft.com/office/drawing/2014/main" id="{00000000-0008-0000-2200-00009DA20400}"/>
            </a:ext>
          </a:extLst>
        </xdr:cNvPr>
        <xdr:cNvSpPr txBox="1">
          <a:spLocks noChangeArrowheads="1"/>
        </xdr:cNvSpPr>
      </xdr:nvSpPr>
      <xdr:spPr bwMode="auto">
        <a:xfrm>
          <a:off x="3651250" y="32981900"/>
          <a:ext cx="0" cy="38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108</xdr:row>
      <xdr:rowOff>0</xdr:rowOff>
    </xdr:from>
    <xdr:to>
      <xdr:col>2</xdr:col>
      <xdr:colOff>0</xdr:colOff>
      <xdr:row>109</xdr:row>
      <xdr:rowOff>177800</xdr:rowOff>
    </xdr:to>
    <xdr:sp macro="" textlink="">
      <xdr:nvSpPr>
        <xdr:cNvPr id="303774" name="TextBox 1080">
          <a:extLst>
            <a:ext uri="{FF2B5EF4-FFF2-40B4-BE49-F238E27FC236}">
              <a16:creationId xmlns:a16="http://schemas.microsoft.com/office/drawing/2014/main" id="{00000000-0008-0000-2200-00009EA20400}"/>
            </a:ext>
          </a:extLst>
        </xdr:cNvPr>
        <xdr:cNvSpPr txBox="1">
          <a:spLocks noChangeArrowheads="1"/>
        </xdr:cNvSpPr>
      </xdr:nvSpPr>
      <xdr:spPr bwMode="auto">
        <a:xfrm>
          <a:off x="3651250" y="32981900"/>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108</xdr:row>
      <xdr:rowOff>0</xdr:rowOff>
    </xdr:from>
    <xdr:to>
      <xdr:col>2</xdr:col>
      <xdr:colOff>0</xdr:colOff>
      <xdr:row>109</xdr:row>
      <xdr:rowOff>177800</xdr:rowOff>
    </xdr:to>
    <xdr:sp macro="" textlink="">
      <xdr:nvSpPr>
        <xdr:cNvPr id="303775" name="TextBox 1211">
          <a:extLst>
            <a:ext uri="{FF2B5EF4-FFF2-40B4-BE49-F238E27FC236}">
              <a16:creationId xmlns:a16="http://schemas.microsoft.com/office/drawing/2014/main" id="{00000000-0008-0000-2200-00009FA20400}"/>
            </a:ext>
          </a:extLst>
        </xdr:cNvPr>
        <xdr:cNvSpPr txBox="1">
          <a:spLocks noChangeArrowheads="1"/>
        </xdr:cNvSpPr>
      </xdr:nvSpPr>
      <xdr:spPr bwMode="auto">
        <a:xfrm>
          <a:off x="3651250" y="32981900"/>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108</xdr:row>
      <xdr:rowOff>0</xdr:rowOff>
    </xdr:from>
    <xdr:to>
      <xdr:col>2</xdr:col>
      <xdr:colOff>0</xdr:colOff>
      <xdr:row>109</xdr:row>
      <xdr:rowOff>177800</xdr:rowOff>
    </xdr:to>
    <xdr:sp macro="" textlink="">
      <xdr:nvSpPr>
        <xdr:cNvPr id="303776" name="TextBox 1080">
          <a:extLst>
            <a:ext uri="{FF2B5EF4-FFF2-40B4-BE49-F238E27FC236}">
              <a16:creationId xmlns:a16="http://schemas.microsoft.com/office/drawing/2014/main" id="{00000000-0008-0000-2200-0000A0A20400}"/>
            </a:ext>
          </a:extLst>
        </xdr:cNvPr>
        <xdr:cNvSpPr txBox="1">
          <a:spLocks noChangeArrowheads="1"/>
        </xdr:cNvSpPr>
      </xdr:nvSpPr>
      <xdr:spPr bwMode="auto">
        <a:xfrm>
          <a:off x="3651250" y="32981900"/>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108</xdr:row>
      <xdr:rowOff>0</xdr:rowOff>
    </xdr:from>
    <xdr:to>
      <xdr:col>2</xdr:col>
      <xdr:colOff>0</xdr:colOff>
      <xdr:row>109</xdr:row>
      <xdr:rowOff>177800</xdr:rowOff>
    </xdr:to>
    <xdr:sp macro="" textlink="">
      <xdr:nvSpPr>
        <xdr:cNvPr id="303777" name="TextBox 1211">
          <a:extLst>
            <a:ext uri="{FF2B5EF4-FFF2-40B4-BE49-F238E27FC236}">
              <a16:creationId xmlns:a16="http://schemas.microsoft.com/office/drawing/2014/main" id="{00000000-0008-0000-2200-0000A1A20400}"/>
            </a:ext>
          </a:extLst>
        </xdr:cNvPr>
        <xdr:cNvSpPr txBox="1">
          <a:spLocks noChangeArrowheads="1"/>
        </xdr:cNvSpPr>
      </xdr:nvSpPr>
      <xdr:spPr bwMode="auto">
        <a:xfrm>
          <a:off x="3651250" y="32981900"/>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108</xdr:row>
      <xdr:rowOff>0</xdr:rowOff>
    </xdr:from>
    <xdr:to>
      <xdr:col>2</xdr:col>
      <xdr:colOff>0</xdr:colOff>
      <xdr:row>109</xdr:row>
      <xdr:rowOff>177800</xdr:rowOff>
    </xdr:to>
    <xdr:sp macro="" textlink="">
      <xdr:nvSpPr>
        <xdr:cNvPr id="303778" name="TextBox 1080">
          <a:extLst>
            <a:ext uri="{FF2B5EF4-FFF2-40B4-BE49-F238E27FC236}">
              <a16:creationId xmlns:a16="http://schemas.microsoft.com/office/drawing/2014/main" id="{00000000-0008-0000-2200-0000A2A20400}"/>
            </a:ext>
          </a:extLst>
        </xdr:cNvPr>
        <xdr:cNvSpPr txBox="1">
          <a:spLocks noChangeArrowheads="1"/>
        </xdr:cNvSpPr>
      </xdr:nvSpPr>
      <xdr:spPr bwMode="auto">
        <a:xfrm>
          <a:off x="3651250" y="32981900"/>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108</xdr:row>
      <xdr:rowOff>0</xdr:rowOff>
    </xdr:from>
    <xdr:to>
      <xdr:col>2</xdr:col>
      <xdr:colOff>0</xdr:colOff>
      <xdr:row>109</xdr:row>
      <xdr:rowOff>177800</xdr:rowOff>
    </xdr:to>
    <xdr:sp macro="" textlink="">
      <xdr:nvSpPr>
        <xdr:cNvPr id="303779" name="TextBox 1211">
          <a:extLst>
            <a:ext uri="{FF2B5EF4-FFF2-40B4-BE49-F238E27FC236}">
              <a16:creationId xmlns:a16="http://schemas.microsoft.com/office/drawing/2014/main" id="{00000000-0008-0000-2200-0000A3A20400}"/>
            </a:ext>
          </a:extLst>
        </xdr:cNvPr>
        <xdr:cNvSpPr txBox="1">
          <a:spLocks noChangeArrowheads="1"/>
        </xdr:cNvSpPr>
      </xdr:nvSpPr>
      <xdr:spPr bwMode="auto">
        <a:xfrm>
          <a:off x="3651250" y="32981900"/>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108</xdr:row>
      <xdr:rowOff>0</xdr:rowOff>
    </xdr:from>
    <xdr:to>
      <xdr:col>2</xdr:col>
      <xdr:colOff>0</xdr:colOff>
      <xdr:row>109</xdr:row>
      <xdr:rowOff>177800</xdr:rowOff>
    </xdr:to>
    <xdr:sp macro="" textlink="">
      <xdr:nvSpPr>
        <xdr:cNvPr id="303780" name="TextBox 1080">
          <a:extLst>
            <a:ext uri="{FF2B5EF4-FFF2-40B4-BE49-F238E27FC236}">
              <a16:creationId xmlns:a16="http://schemas.microsoft.com/office/drawing/2014/main" id="{00000000-0008-0000-2200-0000A4A20400}"/>
            </a:ext>
          </a:extLst>
        </xdr:cNvPr>
        <xdr:cNvSpPr txBox="1">
          <a:spLocks noChangeArrowheads="1"/>
        </xdr:cNvSpPr>
      </xdr:nvSpPr>
      <xdr:spPr bwMode="auto">
        <a:xfrm>
          <a:off x="3651250" y="32981900"/>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108</xdr:row>
      <xdr:rowOff>0</xdr:rowOff>
    </xdr:from>
    <xdr:to>
      <xdr:col>2</xdr:col>
      <xdr:colOff>0</xdr:colOff>
      <xdr:row>109</xdr:row>
      <xdr:rowOff>177800</xdr:rowOff>
    </xdr:to>
    <xdr:sp macro="" textlink="">
      <xdr:nvSpPr>
        <xdr:cNvPr id="303781" name="TextBox 1211">
          <a:extLst>
            <a:ext uri="{FF2B5EF4-FFF2-40B4-BE49-F238E27FC236}">
              <a16:creationId xmlns:a16="http://schemas.microsoft.com/office/drawing/2014/main" id="{00000000-0008-0000-2200-0000A5A20400}"/>
            </a:ext>
          </a:extLst>
        </xdr:cNvPr>
        <xdr:cNvSpPr txBox="1">
          <a:spLocks noChangeArrowheads="1"/>
        </xdr:cNvSpPr>
      </xdr:nvSpPr>
      <xdr:spPr bwMode="auto">
        <a:xfrm>
          <a:off x="3651250" y="32981900"/>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952500</xdr:colOff>
      <xdr:row>61</xdr:row>
      <xdr:rowOff>0</xdr:rowOff>
    </xdr:from>
    <xdr:to>
      <xdr:col>1</xdr:col>
      <xdr:colOff>952500</xdr:colOff>
      <xdr:row>63</xdr:row>
      <xdr:rowOff>184150</xdr:rowOff>
    </xdr:to>
    <xdr:sp macro="" textlink="">
      <xdr:nvSpPr>
        <xdr:cNvPr id="303782" name="TextBox 1080">
          <a:extLst>
            <a:ext uri="{FF2B5EF4-FFF2-40B4-BE49-F238E27FC236}">
              <a16:creationId xmlns:a16="http://schemas.microsoft.com/office/drawing/2014/main" id="{00000000-0008-0000-2200-0000A6A20400}"/>
            </a:ext>
          </a:extLst>
        </xdr:cNvPr>
        <xdr:cNvSpPr txBox="1">
          <a:spLocks noChangeArrowheads="1"/>
        </xdr:cNvSpPr>
      </xdr:nvSpPr>
      <xdr:spPr bwMode="auto">
        <a:xfrm>
          <a:off x="1485900" y="19373850"/>
          <a:ext cx="0" cy="622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952500</xdr:colOff>
      <xdr:row>61</xdr:row>
      <xdr:rowOff>0</xdr:rowOff>
    </xdr:from>
    <xdr:to>
      <xdr:col>1</xdr:col>
      <xdr:colOff>952500</xdr:colOff>
      <xdr:row>63</xdr:row>
      <xdr:rowOff>184150</xdr:rowOff>
    </xdr:to>
    <xdr:sp macro="" textlink="">
      <xdr:nvSpPr>
        <xdr:cNvPr id="303783" name="TextBox 1211">
          <a:extLst>
            <a:ext uri="{FF2B5EF4-FFF2-40B4-BE49-F238E27FC236}">
              <a16:creationId xmlns:a16="http://schemas.microsoft.com/office/drawing/2014/main" id="{00000000-0008-0000-2200-0000A7A20400}"/>
            </a:ext>
          </a:extLst>
        </xdr:cNvPr>
        <xdr:cNvSpPr txBox="1">
          <a:spLocks noChangeArrowheads="1"/>
        </xdr:cNvSpPr>
      </xdr:nvSpPr>
      <xdr:spPr bwMode="auto">
        <a:xfrm>
          <a:off x="1485900" y="19373850"/>
          <a:ext cx="0" cy="622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952500</xdr:colOff>
      <xdr:row>61</xdr:row>
      <xdr:rowOff>0</xdr:rowOff>
    </xdr:from>
    <xdr:to>
      <xdr:col>1</xdr:col>
      <xdr:colOff>952500</xdr:colOff>
      <xdr:row>63</xdr:row>
      <xdr:rowOff>184150</xdr:rowOff>
    </xdr:to>
    <xdr:sp macro="" textlink="">
      <xdr:nvSpPr>
        <xdr:cNvPr id="303784" name="TextBox 1080">
          <a:extLst>
            <a:ext uri="{FF2B5EF4-FFF2-40B4-BE49-F238E27FC236}">
              <a16:creationId xmlns:a16="http://schemas.microsoft.com/office/drawing/2014/main" id="{00000000-0008-0000-2200-0000A8A20400}"/>
            </a:ext>
          </a:extLst>
        </xdr:cNvPr>
        <xdr:cNvSpPr txBox="1">
          <a:spLocks noChangeArrowheads="1"/>
        </xdr:cNvSpPr>
      </xdr:nvSpPr>
      <xdr:spPr bwMode="auto">
        <a:xfrm>
          <a:off x="1485900" y="19373850"/>
          <a:ext cx="0" cy="622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952500</xdr:colOff>
      <xdr:row>61</xdr:row>
      <xdr:rowOff>0</xdr:rowOff>
    </xdr:from>
    <xdr:to>
      <xdr:col>1</xdr:col>
      <xdr:colOff>952500</xdr:colOff>
      <xdr:row>63</xdr:row>
      <xdr:rowOff>184150</xdr:rowOff>
    </xdr:to>
    <xdr:sp macro="" textlink="">
      <xdr:nvSpPr>
        <xdr:cNvPr id="303785" name="TextBox 1211">
          <a:extLst>
            <a:ext uri="{FF2B5EF4-FFF2-40B4-BE49-F238E27FC236}">
              <a16:creationId xmlns:a16="http://schemas.microsoft.com/office/drawing/2014/main" id="{00000000-0008-0000-2200-0000A9A20400}"/>
            </a:ext>
          </a:extLst>
        </xdr:cNvPr>
        <xdr:cNvSpPr txBox="1">
          <a:spLocks noChangeArrowheads="1"/>
        </xdr:cNvSpPr>
      </xdr:nvSpPr>
      <xdr:spPr bwMode="auto">
        <a:xfrm>
          <a:off x="1485900" y="19373850"/>
          <a:ext cx="0" cy="622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952500</xdr:colOff>
      <xdr:row>61</xdr:row>
      <xdr:rowOff>0</xdr:rowOff>
    </xdr:from>
    <xdr:to>
      <xdr:col>1</xdr:col>
      <xdr:colOff>952500</xdr:colOff>
      <xdr:row>63</xdr:row>
      <xdr:rowOff>260350</xdr:rowOff>
    </xdr:to>
    <xdr:sp macro="" textlink="">
      <xdr:nvSpPr>
        <xdr:cNvPr id="303786" name="TextBox 1080">
          <a:extLst>
            <a:ext uri="{FF2B5EF4-FFF2-40B4-BE49-F238E27FC236}">
              <a16:creationId xmlns:a16="http://schemas.microsoft.com/office/drawing/2014/main" id="{00000000-0008-0000-2200-0000AAA20400}"/>
            </a:ext>
          </a:extLst>
        </xdr:cNvPr>
        <xdr:cNvSpPr txBox="1">
          <a:spLocks noChangeArrowheads="1"/>
        </xdr:cNvSpPr>
      </xdr:nvSpPr>
      <xdr:spPr bwMode="auto">
        <a:xfrm>
          <a:off x="1485900" y="19373850"/>
          <a:ext cx="0" cy="69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952500</xdr:colOff>
      <xdr:row>61</xdr:row>
      <xdr:rowOff>0</xdr:rowOff>
    </xdr:from>
    <xdr:to>
      <xdr:col>1</xdr:col>
      <xdr:colOff>952500</xdr:colOff>
      <xdr:row>63</xdr:row>
      <xdr:rowOff>260350</xdr:rowOff>
    </xdr:to>
    <xdr:sp macro="" textlink="">
      <xdr:nvSpPr>
        <xdr:cNvPr id="303787" name="TextBox 1211">
          <a:extLst>
            <a:ext uri="{FF2B5EF4-FFF2-40B4-BE49-F238E27FC236}">
              <a16:creationId xmlns:a16="http://schemas.microsoft.com/office/drawing/2014/main" id="{00000000-0008-0000-2200-0000ABA20400}"/>
            </a:ext>
          </a:extLst>
        </xdr:cNvPr>
        <xdr:cNvSpPr txBox="1">
          <a:spLocks noChangeArrowheads="1"/>
        </xdr:cNvSpPr>
      </xdr:nvSpPr>
      <xdr:spPr bwMode="auto">
        <a:xfrm>
          <a:off x="1485900" y="19373850"/>
          <a:ext cx="0" cy="69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952500</xdr:colOff>
      <xdr:row>61</xdr:row>
      <xdr:rowOff>0</xdr:rowOff>
    </xdr:from>
    <xdr:to>
      <xdr:col>1</xdr:col>
      <xdr:colOff>952500</xdr:colOff>
      <xdr:row>63</xdr:row>
      <xdr:rowOff>260350</xdr:rowOff>
    </xdr:to>
    <xdr:sp macro="" textlink="">
      <xdr:nvSpPr>
        <xdr:cNvPr id="303788" name="TextBox 1080">
          <a:extLst>
            <a:ext uri="{FF2B5EF4-FFF2-40B4-BE49-F238E27FC236}">
              <a16:creationId xmlns:a16="http://schemas.microsoft.com/office/drawing/2014/main" id="{00000000-0008-0000-2200-0000ACA20400}"/>
            </a:ext>
          </a:extLst>
        </xdr:cNvPr>
        <xdr:cNvSpPr txBox="1">
          <a:spLocks noChangeArrowheads="1"/>
        </xdr:cNvSpPr>
      </xdr:nvSpPr>
      <xdr:spPr bwMode="auto">
        <a:xfrm>
          <a:off x="1485900" y="19373850"/>
          <a:ext cx="0" cy="69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952500</xdr:colOff>
      <xdr:row>61</xdr:row>
      <xdr:rowOff>0</xdr:rowOff>
    </xdr:from>
    <xdr:to>
      <xdr:col>1</xdr:col>
      <xdr:colOff>952500</xdr:colOff>
      <xdr:row>63</xdr:row>
      <xdr:rowOff>260350</xdr:rowOff>
    </xdr:to>
    <xdr:sp macro="" textlink="">
      <xdr:nvSpPr>
        <xdr:cNvPr id="303789" name="TextBox 1211">
          <a:extLst>
            <a:ext uri="{FF2B5EF4-FFF2-40B4-BE49-F238E27FC236}">
              <a16:creationId xmlns:a16="http://schemas.microsoft.com/office/drawing/2014/main" id="{00000000-0008-0000-2200-0000ADA20400}"/>
            </a:ext>
          </a:extLst>
        </xdr:cNvPr>
        <xdr:cNvSpPr txBox="1">
          <a:spLocks noChangeArrowheads="1"/>
        </xdr:cNvSpPr>
      </xdr:nvSpPr>
      <xdr:spPr bwMode="auto">
        <a:xfrm>
          <a:off x="1485900" y="19373850"/>
          <a:ext cx="0" cy="69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63</xdr:row>
      <xdr:rowOff>406400</xdr:rowOff>
    </xdr:to>
    <xdr:sp macro="" textlink="">
      <xdr:nvSpPr>
        <xdr:cNvPr id="303790" name="TextBox 1080">
          <a:extLst>
            <a:ext uri="{FF2B5EF4-FFF2-40B4-BE49-F238E27FC236}">
              <a16:creationId xmlns:a16="http://schemas.microsoft.com/office/drawing/2014/main" id="{00000000-0008-0000-2200-0000AEA20400}"/>
            </a:ext>
          </a:extLst>
        </xdr:cNvPr>
        <xdr:cNvSpPr txBox="1">
          <a:spLocks noChangeArrowheads="1"/>
        </xdr:cNvSpPr>
      </xdr:nvSpPr>
      <xdr:spPr bwMode="auto">
        <a:xfrm>
          <a:off x="3651250" y="19373850"/>
          <a:ext cx="0" cy="84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63</xdr:row>
      <xdr:rowOff>406400</xdr:rowOff>
    </xdr:to>
    <xdr:sp macro="" textlink="">
      <xdr:nvSpPr>
        <xdr:cNvPr id="303791" name="TextBox 1211">
          <a:extLst>
            <a:ext uri="{FF2B5EF4-FFF2-40B4-BE49-F238E27FC236}">
              <a16:creationId xmlns:a16="http://schemas.microsoft.com/office/drawing/2014/main" id="{00000000-0008-0000-2200-0000AFA20400}"/>
            </a:ext>
          </a:extLst>
        </xdr:cNvPr>
        <xdr:cNvSpPr txBox="1">
          <a:spLocks noChangeArrowheads="1"/>
        </xdr:cNvSpPr>
      </xdr:nvSpPr>
      <xdr:spPr bwMode="auto">
        <a:xfrm>
          <a:off x="3651250" y="19373850"/>
          <a:ext cx="0" cy="84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63</xdr:row>
      <xdr:rowOff>406400</xdr:rowOff>
    </xdr:to>
    <xdr:sp macro="" textlink="">
      <xdr:nvSpPr>
        <xdr:cNvPr id="303792" name="TextBox 1080">
          <a:extLst>
            <a:ext uri="{FF2B5EF4-FFF2-40B4-BE49-F238E27FC236}">
              <a16:creationId xmlns:a16="http://schemas.microsoft.com/office/drawing/2014/main" id="{00000000-0008-0000-2200-0000B0A20400}"/>
            </a:ext>
          </a:extLst>
        </xdr:cNvPr>
        <xdr:cNvSpPr txBox="1">
          <a:spLocks noChangeArrowheads="1"/>
        </xdr:cNvSpPr>
      </xdr:nvSpPr>
      <xdr:spPr bwMode="auto">
        <a:xfrm>
          <a:off x="3651250" y="19373850"/>
          <a:ext cx="0" cy="84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63</xdr:row>
      <xdr:rowOff>406400</xdr:rowOff>
    </xdr:to>
    <xdr:sp macro="" textlink="">
      <xdr:nvSpPr>
        <xdr:cNvPr id="303793" name="TextBox 1211">
          <a:extLst>
            <a:ext uri="{FF2B5EF4-FFF2-40B4-BE49-F238E27FC236}">
              <a16:creationId xmlns:a16="http://schemas.microsoft.com/office/drawing/2014/main" id="{00000000-0008-0000-2200-0000B1A20400}"/>
            </a:ext>
          </a:extLst>
        </xdr:cNvPr>
        <xdr:cNvSpPr txBox="1">
          <a:spLocks noChangeArrowheads="1"/>
        </xdr:cNvSpPr>
      </xdr:nvSpPr>
      <xdr:spPr bwMode="auto">
        <a:xfrm>
          <a:off x="3651250" y="19373850"/>
          <a:ext cx="0" cy="84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63</xdr:row>
      <xdr:rowOff>107950</xdr:rowOff>
    </xdr:to>
    <xdr:sp macro="" textlink="">
      <xdr:nvSpPr>
        <xdr:cNvPr id="303794" name="TextBox 1080">
          <a:extLst>
            <a:ext uri="{FF2B5EF4-FFF2-40B4-BE49-F238E27FC236}">
              <a16:creationId xmlns:a16="http://schemas.microsoft.com/office/drawing/2014/main" id="{00000000-0008-0000-2200-0000B2A20400}"/>
            </a:ext>
          </a:extLst>
        </xdr:cNvPr>
        <xdr:cNvSpPr txBox="1">
          <a:spLocks noChangeArrowheads="1"/>
        </xdr:cNvSpPr>
      </xdr:nvSpPr>
      <xdr:spPr bwMode="auto">
        <a:xfrm>
          <a:off x="3651250" y="19373850"/>
          <a:ext cx="0" cy="546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63</xdr:row>
      <xdr:rowOff>107950</xdr:rowOff>
    </xdr:to>
    <xdr:sp macro="" textlink="">
      <xdr:nvSpPr>
        <xdr:cNvPr id="303795" name="TextBox 1211">
          <a:extLst>
            <a:ext uri="{FF2B5EF4-FFF2-40B4-BE49-F238E27FC236}">
              <a16:creationId xmlns:a16="http://schemas.microsoft.com/office/drawing/2014/main" id="{00000000-0008-0000-2200-0000B3A20400}"/>
            </a:ext>
          </a:extLst>
        </xdr:cNvPr>
        <xdr:cNvSpPr txBox="1">
          <a:spLocks noChangeArrowheads="1"/>
        </xdr:cNvSpPr>
      </xdr:nvSpPr>
      <xdr:spPr bwMode="auto">
        <a:xfrm>
          <a:off x="3651250" y="19373850"/>
          <a:ext cx="0" cy="546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63</xdr:row>
      <xdr:rowOff>107950</xdr:rowOff>
    </xdr:to>
    <xdr:sp macro="" textlink="">
      <xdr:nvSpPr>
        <xdr:cNvPr id="303796" name="TextBox 1080">
          <a:extLst>
            <a:ext uri="{FF2B5EF4-FFF2-40B4-BE49-F238E27FC236}">
              <a16:creationId xmlns:a16="http://schemas.microsoft.com/office/drawing/2014/main" id="{00000000-0008-0000-2200-0000B4A20400}"/>
            </a:ext>
          </a:extLst>
        </xdr:cNvPr>
        <xdr:cNvSpPr txBox="1">
          <a:spLocks noChangeArrowheads="1"/>
        </xdr:cNvSpPr>
      </xdr:nvSpPr>
      <xdr:spPr bwMode="auto">
        <a:xfrm>
          <a:off x="3651250" y="19373850"/>
          <a:ext cx="0" cy="546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63</xdr:row>
      <xdr:rowOff>107950</xdr:rowOff>
    </xdr:to>
    <xdr:sp macro="" textlink="">
      <xdr:nvSpPr>
        <xdr:cNvPr id="303797" name="TextBox 1211">
          <a:extLst>
            <a:ext uri="{FF2B5EF4-FFF2-40B4-BE49-F238E27FC236}">
              <a16:creationId xmlns:a16="http://schemas.microsoft.com/office/drawing/2014/main" id="{00000000-0008-0000-2200-0000B5A20400}"/>
            </a:ext>
          </a:extLst>
        </xdr:cNvPr>
        <xdr:cNvSpPr txBox="1">
          <a:spLocks noChangeArrowheads="1"/>
        </xdr:cNvSpPr>
      </xdr:nvSpPr>
      <xdr:spPr bwMode="auto">
        <a:xfrm>
          <a:off x="3651250" y="19373850"/>
          <a:ext cx="0" cy="546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63</xdr:row>
      <xdr:rowOff>406400</xdr:rowOff>
    </xdr:to>
    <xdr:sp macro="" textlink="">
      <xdr:nvSpPr>
        <xdr:cNvPr id="303798" name="TextBox 1080">
          <a:extLst>
            <a:ext uri="{FF2B5EF4-FFF2-40B4-BE49-F238E27FC236}">
              <a16:creationId xmlns:a16="http://schemas.microsoft.com/office/drawing/2014/main" id="{00000000-0008-0000-2200-0000B6A20400}"/>
            </a:ext>
          </a:extLst>
        </xdr:cNvPr>
        <xdr:cNvSpPr txBox="1">
          <a:spLocks noChangeArrowheads="1"/>
        </xdr:cNvSpPr>
      </xdr:nvSpPr>
      <xdr:spPr bwMode="auto">
        <a:xfrm>
          <a:off x="3651250" y="19373850"/>
          <a:ext cx="0" cy="84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63</xdr:row>
      <xdr:rowOff>406400</xdr:rowOff>
    </xdr:to>
    <xdr:sp macro="" textlink="">
      <xdr:nvSpPr>
        <xdr:cNvPr id="303799" name="TextBox 1211">
          <a:extLst>
            <a:ext uri="{FF2B5EF4-FFF2-40B4-BE49-F238E27FC236}">
              <a16:creationId xmlns:a16="http://schemas.microsoft.com/office/drawing/2014/main" id="{00000000-0008-0000-2200-0000B7A20400}"/>
            </a:ext>
          </a:extLst>
        </xdr:cNvPr>
        <xdr:cNvSpPr txBox="1">
          <a:spLocks noChangeArrowheads="1"/>
        </xdr:cNvSpPr>
      </xdr:nvSpPr>
      <xdr:spPr bwMode="auto">
        <a:xfrm>
          <a:off x="3651250" y="19373850"/>
          <a:ext cx="0" cy="84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63</xdr:row>
      <xdr:rowOff>406400</xdr:rowOff>
    </xdr:to>
    <xdr:sp macro="" textlink="">
      <xdr:nvSpPr>
        <xdr:cNvPr id="303800" name="TextBox 1080">
          <a:extLst>
            <a:ext uri="{FF2B5EF4-FFF2-40B4-BE49-F238E27FC236}">
              <a16:creationId xmlns:a16="http://schemas.microsoft.com/office/drawing/2014/main" id="{00000000-0008-0000-2200-0000B8A20400}"/>
            </a:ext>
          </a:extLst>
        </xdr:cNvPr>
        <xdr:cNvSpPr txBox="1">
          <a:spLocks noChangeArrowheads="1"/>
        </xdr:cNvSpPr>
      </xdr:nvSpPr>
      <xdr:spPr bwMode="auto">
        <a:xfrm>
          <a:off x="3651250" y="19373850"/>
          <a:ext cx="0" cy="84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63</xdr:row>
      <xdr:rowOff>406400</xdr:rowOff>
    </xdr:to>
    <xdr:sp macro="" textlink="">
      <xdr:nvSpPr>
        <xdr:cNvPr id="303801" name="TextBox 1211">
          <a:extLst>
            <a:ext uri="{FF2B5EF4-FFF2-40B4-BE49-F238E27FC236}">
              <a16:creationId xmlns:a16="http://schemas.microsoft.com/office/drawing/2014/main" id="{00000000-0008-0000-2200-0000B9A20400}"/>
            </a:ext>
          </a:extLst>
        </xdr:cNvPr>
        <xdr:cNvSpPr txBox="1">
          <a:spLocks noChangeArrowheads="1"/>
        </xdr:cNvSpPr>
      </xdr:nvSpPr>
      <xdr:spPr bwMode="auto">
        <a:xfrm>
          <a:off x="3651250" y="19373850"/>
          <a:ext cx="0" cy="84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63</xdr:row>
      <xdr:rowOff>107950</xdr:rowOff>
    </xdr:to>
    <xdr:sp macro="" textlink="">
      <xdr:nvSpPr>
        <xdr:cNvPr id="303802" name="TextBox 1080">
          <a:extLst>
            <a:ext uri="{FF2B5EF4-FFF2-40B4-BE49-F238E27FC236}">
              <a16:creationId xmlns:a16="http://schemas.microsoft.com/office/drawing/2014/main" id="{00000000-0008-0000-2200-0000BAA20400}"/>
            </a:ext>
          </a:extLst>
        </xdr:cNvPr>
        <xdr:cNvSpPr txBox="1">
          <a:spLocks noChangeArrowheads="1"/>
        </xdr:cNvSpPr>
      </xdr:nvSpPr>
      <xdr:spPr bwMode="auto">
        <a:xfrm>
          <a:off x="3651250" y="19373850"/>
          <a:ext cx="0" cy="546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63</xdr:row>
      <xdr:rowOff>107950</xdr:rowOff>
    </xdr:to>
    <xdr:sp macro="" textlink="">
      <xdr:nvSpPr>
        <xdr:cNvPr id="303803" name="TextBox 1211">
          <a:extLst>
            <a:ext uri="{FF2B5EF4-FFF2-40B4-BE49-F238E27FC236}">
              <a16:creationId xmlns:a16="http://schemas.microsoft.com/office/drawing/2014/main" id="{00000000-0008-0000-2200-0000BBA20400}"/>
            </a:ext>
          </a:extLst>
        </xdr:cNvPr>
        <xdr:cNvSpPr txBox="1">
          <a:spLocks noChangeArrowheads="1"/>
        </xdr:cNvSpPr>
      </xdr:nvSpPr>
      <xdr:spPr bwMode="auto">
        <a:xfrm>
          <a:off x="3651250" y="19373850"/>
          <a:ext cx="0" cy="546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63</xdr:row>
      <xdr:rowOff>107950</xdr:rowOff>
    </xdr:to>
    <xdr:sp macro="" textlink="">
      <xdr:nvSpPr>
        <xdr:cNvPr id="303804" name="TextBox 1080">
          <a:extLst>
            <a:ext uri="{FF2B5EF4-FFF2-40B4-BE49-F238E27FC236}">
              <a16:creationId xmlns:a16="http://schemas.microsoft.com/office/drawing/2014/main" id="{00000000-0008-0000-2200-0000BCA20400}"/>
            </a:ext>
          </a:extLst>
        </xdr:cNvPr>
        <xdr:cNvSpPr txBox="1">
          <a:spLocks noChangeArrowheads="1"/>
        </xdr:cNvSpPr>
      </xdr:nvSpPr>
      <xdr:spPr bwMode="auto">
        <a:xfrm>
          <a:off x="3651250" y="19373850"/>
          <a:ext cx="0" cy="546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63</xdr:row>
      <xdr:rowOff>107950</xdr:rowOff>
    </xdr:to>
    <xdr:sp macro="" textlink="">
      <xdr:nvSpPr>
        <xdr:cNvPr id="303805" name="TextBox 1211">
          <a:extLst>
            <a:ext uri="{FF2B5EF4-FFF2-40B4-BE49-F238E27FC236}">
              <a16:creationId xmlns:a16="http://schemas.microsoft.com/office/drawing/2014/main" id="{00000000-0008-0000-2200-0000BDA20400}"/>
            </a:ext>
          </a:extLst>
        </xdr:cNvPr>
        <xdr:cNvSpPr txBox="1">
          <a:spLocks noChangeArrowheads="1"/>
        </xdr:cNvSpPr>
      </xdr:nvSpPr>
      <xdr:spPr bwMode="auto">
        <a:xfrm>
          <a:off x="3651250" y="19373850"/>
          <a:ext cx="0" cy="546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63</xdr:row>
      <xdr:rowOff>406400</xdr:rowOff>
    </xdr:to>
    <xdr:sp macro="" textlink="">
      <xdr:nvSpPr>
        <xdr:cNvPr id="303806" name="TextBox 1080">
          <a:extLst>
            <a:ext uri="{FF2B5EF4-FFF2-40B4-BE49-F238E27FC236}">
              <a16:creationId xmlns:a16="http://schemas.microsoft.com/office/drawing/2014/main" id="{00000000-0008-0000-2200-0000BEA20400}"/>
            </a:ext>
          </a:extLst>
        </xdr:cNvPr>
        <xdr:cNvSpPr txBox="1">
          <a:spLocks noChangeArrowheads="1"/>
        </xdr:cNvSpPr>
      </xdr:nvSpPr>
      <xdr:spPr bwMode="auto">
        <a:xfrm>
          <a:off x="3651250" y="19373850"/>
          <a:ext cx="0" cy="84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63</xdr:row>
      <xdr:rowOff>406400</xdr:rowOff>
    </xdr:to>
    <xdr:sp macro="" textlink="">
      <xdr:nvSpPr>
        <xdr:cNvPr id="303807" name="TextBox 1211">
          <a:extLst>
            <a:ext uri="{FF2B5EF4-FFF2-40B4-BE49-F238E27FC236}">
              <a16:creationId xmlns:a16="http://schemas.microsoft.com/office/drawing/2014/main" id="{00000000-0008-0000-2200-0000BFA20400}"/>
            </a:ext>
          </a:extLst>
        </xdr:cNvPr>
        <xdr:cNvSpPr txBox="1">
          <a:spLocks noChangeArrowheads="1"/>
        </xdr:cNvSpPr>
      </xdr:nvSpPr>
      <xdr:spPr bwMode="auto">
        <a:xfrm>
          <a:off x="3651250" y="19373850"/>
          <a:ext cx="0" cy="84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63</xdr:row>
      <xdr:rowOff>406400</xdr:rowOff>
    </xdr:to>
    <xdr:sp macro="" textlink="">
      <xdr:nvSpPr>
        <xdr:cNvPr id="303808" name="TextBox 1080">
          <a:extLst>
            <a:ext uri="{FF2B5EF4-FFF2-40B4-BE49-F238E27FC236}">
              <a16:creationId xmlns:a16="http://schemas.microsoft.com/office/drawing/2014/main" id="{00000000-0008-0000-2200-0000C0A20400}"/>
            </a:ext>
          </a:extLst>
        </xdr:cNvPr>
        <xdr:cNvSpPr txBox="1">
          <a:spLocks noChangeArrowheads="1"/>
        </xdr:cNvSpPr>
      </xdr:nvSpPr>
      <xdr:spPr bwMode="auto">
        <a:xfrm>
          <a:off x="3651250" y="19373850"/>
          <a:ext cx="0" cy="84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63</xdr:row>
      <xdr:rowOff>406400</xdr:rowOff>
    </xdr:to>
    <xdr:sp macro="" textlink="">
      <xdr:nvSpPr>
        <xdr:cNvPr id="303809" name="TextBox 1211">
          <a:extLst>
            <a:ext uri="{FF2B5EF4-FFF2-40B4-BE49-F238E27FC236}">
              <a16:creationId xmlns:a16="http://schemas.microsoft.com/office/drawing/2014/main" id="{00000000-0008-0000-2200-0000C1A20400}"/>
            </a:ext>
          </a:extLst>
        </xdr:cNvPr>
        <xdr:cNvSpPr txBox="1">
          <a:spLocks noChangeArrowheads="1"/>
        </xdr:cNvSpPr>
      </xdr:nvSpPr>
      <xdr:spPr bwMode="auto">
        <a:xfrm>
          <a:off x="3651250" y="19373850"/>
          <a:ext cx="0" cy="84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63</xdr:row>
      <xdr:rowOff>107950</xdr:rowOff>
    </xdr:to>
    <xdr:sp macro="" textlink="">
      <xdr:nvSpPr>
        <xdr:cNvPr id="303810" name="TextBox 1080">
          <a:extLst>
            <a:ext uri="{FF2B5EF4-FFF2-40B4-BE49-F238E27FC236}">
              <a16:creationId xmlns:a16="http://schemas.microsoft.com/office/drawing/2014/main" id="{00000000-0008-0000-2200-0000C2A20400}"/>
            </a:ext>
          </a:extLst>
        </xdr:cNvPr>
        <xdr:cNvSpPr txBox="1">
          <a:spLocks noChangeArrowheads="1"/>
        </xdr:cNvSpPr>
      </xdr:nvSpPr>
      <xdr:spPr bwMode="auto">
        <a:xfrm>
          <a:off x="3651250" y="19373850"/>
          <a:ext cx="0" cy="546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63</xdr:row>
      <xdr:rowOff>107950</xdr:rowOff>
    </xdr:to>
    <xdr:sp macro="" textlink="">
      <xdr:nvSpPr>
        <xdr:cNvPr id="303811" name="TextBox 1211">
          <a:extLst>
            <a:ext uri="{FF2B5EF4-FFF2-40B4-BE49-F238E27FC236}">
              <a16:creationId xmlns:a16="http://schemas.microsoft.com/office/drawing/2014/main" id="{00000000-0008-0000-2200-0000C3A20400}"/>
            </a:ext>
          </a:extLst>
        </xdr:cNvPr>
        <xdr:cNvSpPr txBox="1">
          <a:spLocks noChangeArrowheads="1"/>
        </xdr:cNvSpPr>
      </xdr:nvSpPr>
      <xdr:spPr bwMode="auto">
        <a:xfrm>
          <a:off x="3651250" y="19373850"/>
          <a:ext cx="0" cy="546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63</xdr:row>
      <xdr:rowOff>107950</xdr:rowOff>
    </xdr:to>
    <xdr:sp macro="" textlink="">
      <xdr:nvSpPr>
        <xdr:cNvPr id="303812" name="TextBox 1080">
          <a:extLst>
            <a:ext uri="{FF2B5EF4-FFF2-40B4-BE49-F238E27FC236}">
              <a16:creationId xmlns:a16="http://schemas.microsoft.com/office/drawing/2014/main" id="{00000000-0008-0000-2200-0000C4A20400}"/>
            </a:ext>
          </a:extLst>
        </xdr:cNvPr>
        <xdr:cNvSpPr txBox="1">
          <a:spLocks noChangeArrowheads="1"/>
        </xdr:cNvSpPr>
      </xdr:nvSpPr>
      <xdr:spPr bwMode="auto">
        <a:xfrm>
          <a:off x="3651250" y="19373850"/>
          <a:ext cx="0" cy="546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63</xdr:row>
      <xdr:rowOff>107950</xdr:rowOff>
    </xdr:to>
    <xdr:sp macro="" textlink="">
      <xdr:nvSpPr>
        <xdr:cNvPr id="303813" name="TextBox 1211">
          <a:extLst>
            <a:ext uri="{FF2B5EF4-FFF2-40B4-BE49-F238E27FC236}">
              <a16:creationId xmlns:a16="http://schemas.microsoft.com/office/drawing/2014/main" id="{00000000-0008-0000-2200-0000C5A20400}"/>
            </a:ext>
          </a:extLst>
        </xdr:cNvPr>
        <xdr:cNvSpPr txBox="1">
          <a:spLocks noChangeArrowheads="1"/>
        </xdr:cNvSpPr>
      </xdr:nvSpPr>
      <xdr:spPr bwMode="auto">
        <a:xfrm>
          <a:off x="3651250" y="19373850"/>
          <a:ext cx="0" cy="546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63</xdr:row>
      <xdr:rowOff>349250</xdr:rowOff>
    </xdr:to>
    <xdr:sp macro="" textlink="">
      <xdr:nvSpPr>
        <xdr:cNvPr id="303814" name="TextBox 1080">
          <a:extLst>
            <a:ext uri="{FF2B5EF4-FFF2-40B4-BE49-F238E27FC236}">
              <a16:creationId xmlns:a16="http://schemas.microsoft.com/office/drawing/2014/main" id="{00000000-0008-0000-2200-0000C6A20400}"/>
            </a:ext>
          </a:extLst>
        </xdr:cNvPr>
        <xdr:cNvSpPr txBox="1">
          <a:spLocks noChangeArrowheads="1"/>
        </xdr:cNvSpPr>
      </xdr:nvSpPr>
      <xdr:spPr bwMode="auto">
        <a:xfrm>
          <a:off x="3651250" y="19373850"/>
          <a:ext cx="0" cy="78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63</xdr:row>
      <xdr:rowOff>349250</xdr:rowOff>
    </xdr:to>
    <xdr:sp macro="" textlink="">
      <xdr:nvSpPr>
        <xdr:cNvPr id="303815" name="TextBox 1211">
          <a:extLst>
            <a:ext uri="{FF2B5EF4-FFF2-40B4-BE49-F238E27FC236}">
              <a16:creationId xmlns:a16="http://schemas.microsoft.com/office/drawing/2014/main" id="{00000000-0008-0000-2200-0000C7A20400}"/>
            </a:ext>
          </a:extLst>
        </xdr:cNvPr>
        <xdr:cNvSpPr txBox="1">
          <a:spLocks noChangeArrowheads="1"/>
        </xdr:cNvSpPr>
      </xdr:nvSpPr>
      <xdr:spPr bwMode="auto">
        <a:xfrm>
          <a:off x="3651250" y="19373850"/>
          <a:ext cx="0" cy="78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63</xdr:row>
      <xdr:rowOff>349250</xdr:rowOff>
    </xdr:to>
    <xdr:sp macro="" textlink="">
      <xdr:nvSpPr>
        <xdr:cNvPr id="303816" name="TextBox 1080">
          <a:extLst>
            <a:ext uri="{FF2B5EF4-FFF2-40B4-BE49-F238E27FC236}">
              <a16:creationId xmlns:a16="http://schemas.microsoft.com/office/drawing/2014/main" id="{00000000-0008-0000-2200-0000C8A20400}"/>
            </a:ext>
          </a:extLst>
        </xdr:cNvPr>
        <xdr:cNvSpPr txBox="1">
          <a:spLocks noChangeArrowheads="1"/>
        </xdr:cNvSpPr>
      </xdr:nvSpPr>
      <xdr:spPr bwMode="auto">
        <a:xfrm>
          <a:off x="3651250" y="19373850"/>
          <a:ext cx="0" cy="78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63</xdr:row>
      <xdr:rowOff>349250</xdr:rowOff>
    </xdr:to>
    <xdr:sp macro="" textlink="">
      <xdr:nvSpPr>
        <xdr:cNvPr id="303817" name="TextBox 1211">
          <a:extLst>
            <a:ext uri="{FF2B5EF4-FFF2-40B4-BE49-F238E27FC236}">
              <a16:creationId xmlns:a16="http://schemas.microsoft.com/office/drawing/2014/main" id="{00000000-0008-0000-2200-0000C9A20400}"/>
            </a:ext>
          </a:extLst>
        </xdr:cNvPr>
        <xdr:cNvSpPr txBox="1">
          <a:spLocks noChangeArrowheads="1"/>
        </xdr:cNvSpPr>
      </xdr:nvSpPr>
      <xdr:spPr bwMode="auto">
        <a:xfrm>
          <a:off x="3651250" y="19373850"/>
          <a:ext cx="0" cy="78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63</xdr:row>
      <xdr:rowOff>260350</xdr:rowOff>
    </xdr:to>
    <xdr:sp macro="" textlink="">
      <xdr:nvSpPr>
        <xdr:cNvPr id="303818" name="TextBox 1080">
          <a:extLst>
            <a:ext uri="{FF2B5EF4-FFF2-40B4-BE49-F238E27FC236}">
              <a16:creationId xmlns:a16="http://schemas.microsoft.com/office/drawing/2014/main" id="{00000000-0008-0000-2200-0000CAA20400}"/>
            </a:ext>
          </a:extLst>
        </xdr:cNvPr>
        <xdr:cNvSpPr txBox="1">
          <a:spLocks noChangeArrowheads="1"/>
        </xdr:cNvSpPr>
      </xdr:nvSpPr>
      <xdr:spPr bwMode="auto">
        <a:xfrm>
          <a:off x="3651250" y="19373850"/>
          <a:ext cx="0" cy="69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63</xdr:row>
      <xdr:rowOff>260350</xdr:rowOff>
    </xdr:to>
    <xdr:sp macro="" textlink="">
      <xdr:nvSpPr>
        <xdr:cNvPr id="303819" name="TextBox 1211">
          <a:extLst>
            <a:ext uri="{FF2B5EF4-FFF2-40B4-BE49-F238E27FC236}">
              <a16:creationId xmlns:a16="http://schemas.microsoft.com/office/drawing/2014/main" id="{00000000-0008-0000-2200-0000CBA20400}"/>
            </a:ext>
          </a:extLst>
        </xdr:cNvPr>
        <xdr:cNvSpPr txBox="1">
          <a:spLocks noChangeArrowheads="1"/>
        </xdr:cNvSpPr>
      </xdr:nvSpPr>
      <xdr:spPr bwMode="auto">
        <a:xfrm>
          <a:off x="3651250" y="19373850"/>
          <a:ext cx="0" cy="69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63</xdr:row>
      <xdr:rowOff>260350</xdr:rowOff>
    </xdr:to>
    <xdr:sp macro="" textlink="">
      <xdr:nvSpPr>
        <xdr:cNvPr id="303820" name="TextBox 1080">
          <a:extLst>
            <a:ext uri="{FF2B5EF4-FFF2-40B4-BE49-F238E27FC236}">
              <a16:creationId xmlns:a16="http://schemas.microsoft.com/office/drawing/2014/main" id="{00000000-0008-0000-2200-0000CCA20400}"/>
            </a:ext>
          </a:extLst>
        </xdr:cNvPr>
        <xdr:cNvSpPr txBox="1">
          <a:spLocks noChangeArrowheads="1"/>
        </xdr:cNvSpPr>
      </xdr:nvSpPr>
      <xdr:spPr bwMode="auto">
        <a:xfrm>
          <a:off x="3651250" y="19373850"/>
          <a:ext cx="0" cy="69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63</xdr:row>
      <xdr:rowOff>260350</xdr:rowOff>
    </xdr:to>
    <xdr:sp macro="" textlink="">
      <xdr:nvSpPr>
        <xdr:cNvPr id="303821" name="TextBox 1211">
          <a:extLst>
            <a:ext uri="{FF2B5EF4-FFF2-40B4-BE49-F238E27FC236}">
              <a16:creationId xmlns:a16="http://schemas.microsoft.com/office/drawing/2014/main" id="{00000000-0008-0000-2200-0000CDA20400}"/>
            </a:ext>
          </a:extLst>
        </xdr:cNvPr>
        <xdr:cNvSpPr txBox="1">
          <a:spLocks noChangeArrowheads="1"/>
        </xdr:cNvSpPr>
      </xdr:nvSpPr>
      <xdr:spPr bwMode="auto">
        <a:xfrm>
          <a:off x="3651250" y="19373850"/>
          <a:ext cx="0" cy="69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952500</xdr:colOff>
      <xdr:row>61</xdr:row>
      <xdr:rowOff>0</xdr:rowOff>
    </xdr:from>
    <xdr:to>
      <xdr:col>1</xdr:col>
      <xdr:colOff>952500</xdr:colOff>
      <xdr:row>63</xdr:row>
      <xdr:rowOff>260350</xdr:rowOff>
    </xdr:to>
    <xdr:sp macro="" textlink="">
      <xdr:nvSpPr>
        <xdr:cNvPr id="303822" name="TextBox 1080">
          <a:extLst>
            <a:ext uri="{FF2B5EF4-FFF2-40B4-BE49-F238E27FC236}">
              <a16:creationId xmlns:a16="http://schemas.microsoft.com/office/drawing/2014/main" id="{00000000-0008-0000-2200-0000CEA20400}"/>
            </a:ext>
          </a:extLst>
        </xdr:cNvPr>
        <xdr:cNvSpPr txBox="1">
          <a:spLocks noChangeArrowheads="1"/>
        </xdr:cNvSpPr>
      </xdr:nvSpPr>
      <xdr:spPr bwMode="auto">
        <a:xfrm>
          <a:off x="1485900" y="19373850"/>
          <a:ext cx="0" cy="69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952500</xdr:colOff>
      <xdr:row>61</xdr:row>
      <xdr:rowOff>0</xdr:rowOff>
    </xdr:from>
    <xdr:to>
      <xdr:col>1</xdr:col>
      <xdr:colOff>952500</xdr:colOff>
      <xdr:row>63</xdr:row>
      <xdr:rowOff>260350</xdr:rowOff>
    </xdr:to>
    <xdr:sp macro="" textlink="">
      <xdr:nvSpPr>
        <xdr:cNvPr id="303823" name="TextBox 1211">
          <a:extLst>
            <a:ext uri="{FF2B5EF4-FFF2-40B4-BE49-F238E27FC236}">
              <a16:creationId xmlns:a16="http://schemas.microsoft.com/office/drawing/2014/main" id="{00000000-0008-0000-2200-0000CFA20400}"/>
            </a:ext>
          </a:extLst>
        </xdr:cNvPr>
        <xdr:cNvSpPr txBox="1">
          <a:spLocks noChangeArrowheads="1"/>
        </xdr:cNvSpPr>
      </xdr:nvSpPr>
      <xdr:spPr bwMode="auto">
        <a:xfrm>
          <a:off x="1485900" y="19373850"/>
          <a:ext cx="0" cy="69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952500</xdr:colOff>
      <xdr:row>61</xdr:row>
      <xdr:rowOff>0</xdr:rowOff>
    </xdr:from>
    <xdr:to>
      <xdr:col>1</xdr:col>
      <xdr:colOff>952500</xdr:colOff>
      <xdr:row>63</xdr:row>
      <xdr:rowOff>260350</xdr:rowOff>
    </xdr:to>
    <xdr:sp macro="" textlink="">
      <xdr:nvSpPr>
        <xdr:cNvPr id="303824" name="TextBox 1080">
          <a:extLst>
            <a:ext uri="{FF2B5EF4-FFF2-40B4-BE49-F238E27FC236}">
              <a16:creationId xmlns:a16="http://schemas.microsoft.com/office/drawing/2014/main" id="{00000000-0008-0000-2200-0000D0A20400}"/>
            </a:ext>
          </a:extLst>
        </xdr:cNvPr>
        <xdr:cNvSpPr txBox="1">
          <a:spLocks noChangeArrowheads="1"/>
        </xdr:cNvSpPr>
      </xdr:nvSpPr>
      <xdr:spPr bwMode="auto">
        <a:xfrm>
          <a:off x="1485900" y="19373850"/>
          <a:ext cx="0" cy="69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952500</xdr:colOff>
      <xdr:row>61</xdr:row>
      <xdr:rowOff>0</xdr:rowOff>
    </xdr:from>
    <xdr:to>
      <xdr:col>1</xdr:col>
      <xdr:colOff>952500</xdr:colOff>
      <xdr:row>63</xdr:row>
      <xdr:rowOff>260350</xdr:rowOff>
    </xdr:to>
    <xdr:sp macro="" textlink="">
      <xdr:nvSpPr>
        <xdr:cNvPr id="303825" name="TextBox 1211">
          <a:extLst>
            <a:ext uri="{FF2B5EF4-FFF2-40B4-BE49-F238E27FC236}">
              <a16:creationId xmlns:a16="http://schemas.microsoft.com/office/drawing/2014/main" id="{00000000-0008-0000-2200-0000D1A20400}"/>
            </a:ext>
          </a:extLst>
        </xdr:cNvPr>
        <xdr:cNvSpPr txBox="1">
          <a:spLocks noChangeArrowheads="1"/>
        </xdr:cNvSpPr>
      </xdr:nvSpPr>
      <xdr:spPr bwMode="auto">
        <a:xfrm>
          <a:off x="1485900" y="19373850"/>
          <a:ext cx="0" cy="69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62</xdr:row>
      <xdr:rowOff>177800</xdr:rowOff>
    </xdr:to>
    <xdr:sp macro="" textlink="">
      <xdr:nvSpPr>
        <xdr:cNvPr id="303826" name="TextBox 1080">
          <a:extLst>
            <a:ext uri="{FF2B5EF4-FFF2-40B4-BE49-F238E27FC236}">
              <a16:creationId xmlns:a16="http://schemas.microsoft.com/office/drawing/2014/main" id="{00000000-0008-0000-2200-0000D2A20400}"/>
            </a:ext>
          </a:extLst>
        </xdr:cNvPr>
        <xdr:cNvSpPr txBox="1">
          <a:spLocks noChangeArrowheads="1"/>
        </xdr:cNvSpPr>
      </xdr:nvSpPr>
      <xdr:spPr bwMode="auto">
        <a:xfrm>
          <a:off x="3651250" y="193738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62</xdr:row>
      <xdr:rowOff>177800</xdr:rowOff>
    </xdr:to>
    <xdr:sp macro="" textlink="">
      <xdr:nvSpPr>
        <xdr:cNvPr id="303827" name="TextBox 1211">
          <a:extLst>
            <a:ext uri="{FF2B5EF4-FFF2-40B4-BE49-F238E27FC236}">
              <a16:creationId xmlns:a16="http://schemas.microsoft.com/office/drawing/2014/main" id="{00000000-0008-0000-2200-0000D3A20400}"/>
            </a:ext>
          </a:extLst>
        </xdr:cNvPr>
        <xdr:cNvSpPr txBox="1">
          <a:spLocks noChangeArrowheads="1"/>
        </xdr:cNvSpPr>
      </xdr:nvSpPr>
      <xdr:spPr bwMode="auto">
        <a:xfrm>
          <a:off x="3651250" y="193738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62</xdr:row>
      <xdr:rowOff>177800</xdr:rowOff>
    </xdr:to>
    <xdr:sp macro="" textlink="">
      <xdr:nvSpPr>
        <xdr:cNvPr id="303828" name="TextBox 1080">
          <a:extLst>
            <a:ext uri="{FF2B5EF4-FFF2-40B4-BE49-F238E27FC236}">
              <a16:creationId xmlns:a16="http://schemas.microsoft.com/office/drawing/2014/main" id="{00000000-0008-0000-2200-0000D4A20400}"/>
            </a:ext>
          </a:extLst>
        </xdr:cNvPr>
        <xdr:cNvSpPr txBox="1">
          <a:spLocks noChangeArrowheads="1"/>
        </xdr:cNvSpPr>
      </xdr:nvSpPr>
      <xdr:spPr bwMode="auto">
        <a:xfrm>
          <a:off x="3651250" y="193738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62</xdr:row>
      <xdr:rowOff>177800</xdr:rowOff>
    </xdr:to>
    <xdr:sp macro="" textlink="">
      <xdr:nvSpPr>
        <xdr:cNvPr id="303829" name="TextBox 1211">
          <a:extLst>
            <a:ext uri="{FF2B5EF4-FFF2-40B4-BE49-F238E27FC236}">
              <a16:creationId xmlns:a16="http://schemas.microsoft.com/office/drawing/2014/main" id="{00000000-0008-0000-2200-0000D5A20400}"/>
            </a:ext>
          </a:extLst>
        </xdr:cNvPr>
        <xdr:cNvSpPr txBox="1">
          <a:spLocks noChangeArrowheads="1"/>
        </xdr:cNvSpPr>
      </xdr:nvSpPr>
      <xdr:spPr bwMode="auto">
        <a:xfrm>
          <a:off x="3651250" y="193738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62</xdr:row>
      <xdr:rowOff>177800</xdr:rowOff>
    </xdr:to>
    <xdr:sp macro="" textlink="">
      <xdr:nvSpPr>
        <xdr:cNvPr id="303830" name="TextBox 1080">
          <a:extLst>
            <a:ext uri="{FF2B5EF4-FFF2-40B4-BE49-F238E27FC236}">
              <a16:creationId xmlns:a16="http://schemas.microsoft.com/office/drawing/2014/main" id="{00000000-0008-0000-2200-0000D6A20400}"/>
            </a:ext>
          </a:extLst>
        </xdr:cNvPr>
        <xdr:cNvSpPr txBox="1">
          <a:spLocks noChangeArrowheads="1"/>
        </xdr:cNvSpPr>
      </xdr:nvSpPr>
      <xdr:spPr bwMode="auto">
        <a:xfrm>
          <a:off x="3651250" y="193738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62</xdr:row>
      <xdr:rowOff>177800</xdr:rowOff>
    </xdr:to>
    <xdr:sp macro="" textlink="">
      <xdr:nvSpPr>
        <xdr:cNvPr id="303831" name="TextBox 1211">
          <a:extLst>
            <a:ext uri="{FF2B5EF4-FFF2-40B4-BE49-F238E27FC236}">
              <a16:creationId xmlns:a16="http://schemas.microsoft.com/office/drawing/2014/main" id="{00000000-0008-0000-2200-0000D7A20400}"/>
            </a:ext>
          </a:extLst>
        </xdr:cNvPr>
        <xdr:cNvSpPr txBox="1">
          <a:spLocks noChangeArrowheads="1"/>
        </xdr:cNvSpPr>
      </xdr:nvSpPr>
      <xdr:spPr bwMode="auto">
        <a:xfrm>
          <a:off x="3651250" y="193738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62</xdr:row>
      <xdr:rowOff>177800</xdr:rowOff>
    </xdr:to>
    <xdr:sp macro="" textlink="">
      <xdr:nvSpPr>
        <xdr:cNvPr id="303832" name="TextBox 1080">
          <a:extLst>
            <a:ext uri="{FF2B5EF4-FFF2-40B4-BE49-F238E27FC236}">
              <a16:creationId xmlns:a16="http://schemas.microsoft.com/office/drawing/2014/main" id="{00000000-0008-0000-2200-0000D8A20400}"/>
            </a:ext>
          </a:extLst>
        </xdr:cNvPr>
        <xdr:cNvSpPr txBox="1">
          <a:spLocks noChangeArrowheads="1"/>
        </xdr:cNvSpPr>
      </xdr:nvSpPr>
      <xdr:spPr bwMode="auto">
        <a:xfrm>
          <a:off x="3651250" y="193738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62</xdr:row>
      <xdr:rowOff>177800</xdr:rowOff>
    </xdr:to>
    <xdr:sp macro="" textlink="">
      <xdr:nvSpPr>
        <xdr:cNvPr id="303833" name="TextBox 1211">
          <a:extLst>
            <a:ext uri="{FF2B5EF4-FFF2-40B4-BE49-F238E27FC236}">
              <a16:creationId xmlns:a16="http://schemas.microsoft.com/office/drawing/2014/main" id="{00000000-0008-0000-2200-0000D9A20400}"/>
            </a:ext>
          </a:extLst>
        </xdr:cNvPr>
        <xdr:cNvSpPr txBox="1">
          <a:spLocks noChangeArrowheads="1"/>
        </xdr:cNvSpPr>
      </xdr:nvSpPr>
      <xdr:spPr bwMode="auto">
        <a:xfrm>
          <a:off x="3651250" y="193738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965200</xdr:colOff>
      <xdr:row>61</xdr:row>
      <xdr:rowOff>0</xdr:rowOff>
    </xdr:from>
    <xdr:to>
      <xdr:col>1</xdr:col>
      <xdr:colOff>965200</xdr:colOff>
      <xdr:row>63</xdr:row>
      <xdr:rowOff>260350</xdr:rowOff>
    </xdr:to>
    <xdr:sp macro="" textlink="">
      <xdr:nvSpPr>
        <xdr:cNvPr id="303834" name="TextBox 1080">
          <a:extLst>
            <a:ext uri="{FF2B5EF4-FFF2-40B4-BE49-F238E27FC236}">
              <a16:creationId xmlns:a16="http://schemas.microsoft.com/office/drawing/2014/main" id="{00000000-0008-0000-2200-0000DAA20400}"/>
            </a:ext>
          </a:extLst>
        </xdr:cNvPr>
        <xdr:cNvSpPr txBox="1">
          <a:spLocks noChangeArrowheads="1"/>
        </xdr:cNvSpPr>
      </xdr:nvSpPr>
      <xdr:spPr bwMode="auto">
        <a:xfrm>
          <a:off x="1498600" y="19373850"/>
          <a:ext cx="0" cy="69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965200</xdr:colOff>
      <xdr:row>61</xdr:row>
      <xdr:rowOff>0</xdr:rowOff>
    </xdr:from>
    <xdr:to>
      <xdr:col>1</xdr:col>
      <xdr:colOff>965200</xdr:colOff>
      <xdr:row>63</xdr:row>
      <xdr:rowOff>260350</xdr:rowOff>
    </xdr:to>
    <xdr:sp macro="" textlink="">
      <xdr:nvSpPr>
        <xdr:cNvPr id="303835" name="TextBox 1211">
          <a:extLst>
            <a:ext uri="{FF2B5EF4-FFF2-40B4-BE49-F238E27FC236}">
              <a16:creationId xmlns:a16="http://schemas.microsoft.com/office/drawing/2014/main" id="{00000000-0008-0000-2200-0000DBA20400}"/>
            </a:ext>
          </a:extLst>
        </xdr:cNvPr>
        <xdr:cNvSpPr txBox="1">
          <a:spLocks noChangeArrowheads="1"/>
        </xdr:cNvSpPr>
      </xdr:nvSpPr>
      <xdr:spPr bwMode="auto">
        <a:xfrm>
          <a:off x="1498600" y="19373850"/>
          <a:ext cx="0" cy="69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965200</xdr:colOff>
      <xdr:row>61</xdr:row>
      <xdr:rowOff>0</xdr:rowOff>
    </xdr:from>
    <xdr:to>
      <xdr:col>1</xdr:col>
      <xdr:colOff>965200</xdr:colOff>
      <xdr:row>63</xdr:row>
      <xdr:rowOff>260350</xdr:rowOff>
    </xdr:to>
    <xdr:sp macro="" textlink="">
      <xdr:nvSpPr>
        <xdr:cNvPr id="303836" name="TextBox 1080">
          <a:extLst>
            <a:ext uri="{FF2B5EF4-FFF2-40B4-BE49-F238E27FC236}">
              <a16:creationId xmlns:a16="http://schemas.microsoft.com/office/drawing/2014/main" id="{00000000-0008-0000-2200-0000DCA20400}"/>
            </a:ext>
          </a:extLst>
        </xdr:cNvPr>
        <xdr:cNvSpPr txBox="1">
          <a:spLocks noChangeArrowheads="1"/>
        </xdr:cNvSpPr>
      </xdr:nvSpPr>
      <xdr:spPr bwMode="auto">
        <a:xfrm>
          <a:off x="1498600" y="19373850"/>
          <a:ext cx="0" cy="69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965200</xdr:colOff>
      <xdr:row>61</xdr:row>
      <xdr:rowOff>0</xdr:rowOff>
    </xdr:from>
    <xdr:to>
      <xdr:col>1</xdr:col>
      <xdr:colOff>965200</xdr:colOff>
      <xdr:row>63</xdr:row>
      <xdr:rowOff>260350</xdr:rowOff>
    </xdr:to>
    <xdr:sp macro="" textlink="">
      <xdr:nvSpPr>
        <xdr:cNvPr id="303837" name="TextBox 1211">
          <a:extLst>
            <a:ext uri="{FF2B5EF4-FFF2-40B4-BE49-F238E27FC236}">
              <a16:creationId xmlns:a16="http://schemas.microsoft.com/office/drawing/2014/main" id="{00000000-0008-0000-2200-0000DDA20400}"/>
            </a:ext>
          </a:extLst>
        </xdr:cNvPr>
        <xdr:cNvSpPr txBox="1">
          <a:spLocks noChangeArrowheads="1"/>
        </xdr:cNvSpPr>
      </xdr:nvSpPr>
      <xdr:spPr bwMode="auto">
        <a:xfrm>
          <a:off x="1498600" y="19373850"/>
          <a:ext cx="0" cy="69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63</xdr:row>
      <xdr:rowOff>260350</xdr:rowOff>
    </xdr:to>
    <xdr:sp macro="" textlink="">
      <xdr:nvSpPr>
        <xdr:cNvPr id="303838" name="TextBox 1080">
          <a:extLst>
            <a:ext uri="{FF2B5EF4-FFF2-40B4-BE49-F238E27FC236}">
              <a16:creationId xmlns:a16="http://schemas.microsoft.com/office/drawing/2014/main" id="{00000000-0008-0000-2200-0000DEA20400}"/>
            </a:ext>
          </a:extLst>
        </xdr:cNvPr>
        <xdr:cNvSpPr txBox="1">
          <a:spLocks noChangeArrowheads="1"/>
        </xdr:cNvSpPr>
      </xdr:nvSpPr>
      <xdr:spPr bwMode="auto">
        <a:xfrm>
          <a:off x="3651250" y="19373850"/>
          <a:ext cx="0" cy="69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63</xdr:row>
      <xdr:rowOff>260350</xdr:rowOff>
    </xdr:to>
    <xdr:sp macro="" textlink="">
      <xdr:nvSpPr>
        <xdr:cNvPr id="303839" name="TextBox 1211">
          <a:extLst>
            <a:ext uri="{FF2B5EF4-FFF2-40B4-BE49-F238E27FC236}">
              <a16:creationId xmlns:a16="http://schemas.microsoft.com/office/drawing/2014/main" id="{00000000-0008-0000-2200-0000DFA20400}"/>
            </a:ext>
          </a:extLst>
        </xdr:cNvPr>
        <xdr:cNvSpPr txBox="1">
          <a:spLocks noChangeArrowheads="1"/>
        </xdr:cNvSpPr>
      </xdr:nvSpPr>
      <xdr:spPr bwMode="auto">
        <a:xfrm>
          <a:off x="3651250" y="19373850"/>
          <a:ext cx="0" cy="69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63</xdr:row>
      <xdr:rowOff>260350</xdr:rowOff>
    </xdr:to>
    <xdr:sp macro="" textlink="">
      <xdr:nvSpPr>
        <xdr:cNvPr id="303840" name="TextBox 1080">
          <a:extLst>
            <a:ext uri="{FF2B5EF4-FFF2-40B4-BE49-F238E27FC236}">
              <a16:creationId xmlns:a16="http://schemas.microsoft.com/office/drawing/2014/main" id="{00000000-0008-0000-2200-0000E0A20400}"/>
            </a:ext>
          </a:extLst>
        </xdr:cNvPr>
        <xdr:cNvSpPr txBox="1">
          <a:spLocks noChangeArrowheads="1"/>
        </xdr:cNvSpPr>
      </xdr:nvSpPr>
      <xdr:spPr bwMode="auto">
        <a:xfrm>
          <a:off x="3651250" y="19373850"/>
          <a:ext cx="0" cy="69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63</xdr:row>
      <xdr:rowOff>260350</xdr:rowOff>
    </xdr:to>
    <xdr:sp macro="" textlink="">
      <xdr:nvSpPr>
        <xdr:cNvPr id="303841" name="TextBox 1211">
          <a:extLst>
            <a:ext uri="{FF2B5EF4-FFF2-40B4-BE49-F238E27FC236}">
              <a16:creationId xmlns:a16="http://schemas.microsoft.com/office/drawing/2014/main" id="{00000000-0008-0000-2200-0000E1A20400}"/>
            </a:ext>
          </a:extLst>
        </xdr:cNvPr>
        <xdr:cNvSpPr txBox="1">
          <a:spLocks noChangeArrowheads="1"/>
        </xdr:cNvSpPr>
      </xdr:nvSpPr>
      <xdr:spPr bwMode="auto">
        <a:xfrm>
          <a:off x="3651250" y="19373850"/>
          <a:ext cx="0" cy="69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965200</xdr:colOff>
      <xdr:row>61</xdr:row>
      <xdr:rowOff>0</xdr:rowOff>
    </xdr:from>
    <xdr:to>
      <xdr:col>1</xdr:col>
      <xdr:colOff>965200</xdr:colOff>
      <xdr:row>63</xdr:row>
      <xdr:rowOff>260350</xdr:rowOff>
    </xdr:to>
    <xdr:sp macro="" textlink="">
      <xdr:nvSpPr>
        <xdr:cNvPr id="303842" name="TextBox 1080">
          <a:extLst>
            <a:ext uri="{FF2B5EF4-FFF2-40B4-BE49-F238E27FC236}">
              <a16:creationId xmlns:a16="http://schemas.microsoft.com/office/drawing/2014/main" id="{00000000-0008-0000-2200-0000E2A20400}"/>
            </a:ext>
          </a:extLst>
        </xdr:cNvPr>
        <xdr:cNvSpPr txBox="1">
          <a:spLocks noChangeArrowheads="1"/>
        </xdr:cNvSpPr>
      </xdr:nvSpPr>
      <xdr:spPr bwMode="auto">
        <a:xfrm>
          <a:off x="1498600" y="19373850"/>
          <a:ext cx="0" cy="69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965200</xdr:colOff>
      <xdr:row>61</xdr:row>
      <xdr:rowOff>0</xdr:rowOff>
    </xdr:from>
    <xdr:to>
      <xdr:col>1</xdr:col>
      <xdr:colOff>965200</xdr:colOff>
      <xdr:row>63</xdr:row>
      <xdr:rowOff>260350</xdr:rowOff>
    </xdr:to>
    <xdr:sp macro="" textlink="">
      <xdr:nvSpPr>
        <xdr:cNvPr id="303843" name="TextBox 1211">
          <a:extLst>
            <a:ext uri="{FF2B5EF4-FFF2-40B4-BE49-F238E27FC236}">
              <a16:creationId xmlns:a16="http://schemas.microsoft.com/office/drawing/2014/main" id="{00000000-0008-0000-2200-0000E3A20400}"/>
            </a:ext>
          </a:extLst>
        </xdr:cNvPr>
        <xdr:cNvSpPr txBox="1">
          <a:spLocks noChangeArrowheads="1"/>
        </xdr:cNvSpPr>
      </xdr:nvSpPr>
      <xdr:spPr bwMode="auto">
        <a:xfrm>
          <a:off x="1498600" y="19373850"/>
          <a:ext cx="0" cy="69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63</xdr:row>
      <xdr:rowOff>381000</xdr:rowOff>
    </xdr:to>
    <xdr:sp macro="" textlink="">
      <xdr:nvSpPr>
        <xdr:cNvPr id="303844" name="TextBox 1080">
          <a:extLst>
            <a:ext uri="{FF2B5EF4-FFF2-40B4-BE49-F238E27FC236}">
              <a16:creationId xmlns:a16="http://schemas.microsoft.com/office/drawing/2014/main" id="{00000000-0008-0000-2200-0000E4A20400}"/>
            </a:ext>
          </a:extLst>
        </xdr:cNvPr>
        <xdr:cNvSpPr txBox="1">
          <a:spLocks noChangeArrowheads="1"/>
        </xdr:cNvSpPr>
      </xdr:nvSpPr>
      <xdr:spPr bwMode="auto">
        <a:xfrm>
          <a:off x="3651250" y="19373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63</xdr:row>
      <xdr:rowOff>381000</xdr:rowOff>
    </xdr:to>
    <xdr:sp macro="" textlink="">
      <xdr:nvSpPr>
        <xdr:cNvPr id="303845" name="TextBox 1211">
          <a:extLst>
            <a:ext uri="{FF2B5EF4-FFF2-40B4-BE49-F238E27FC236}">
              <a16:creationId xmlns:a16="http://schemas.microsoft.com/office/drawing/2014/main" id="{00000000-0008-0000-2200-0000E5A20400}"/>
            </a:ext>
          </a:extLst>
        </xdr:cNvPr>
        <xdr:cNvSpPr txBox="1">
          <a:spLocks noChangeArrowheads="1"/>
        </xdr:cNvSpPr>
      </xdr:nvSpPr>
      <xdr:spPr bwMode="auto">
        <a:xfrm>
          <a:off x="3651250" y="19373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63</xdr:row>
      <xdr:rowOff>381000</xdr:rowOff>
    </xdr:to>
    <xdr:sp macro="" textlink="">
      <xdr:nvSpPr>
        <xdr:cNvPr id="303846" name="TextBox 1080">
          <a:extLst>
            <a:ext uri="{FF2B5EF4-FFF2-40B4-BE49-F238E27FC236}">
              <a16:creationId xmlns:a16="http://schemas.microsoft.com/office/drawing/2014/main" id="{00000000-0008-0000-2200-0000E6A20400}"/>
            </a:ext>
          </a:extLst>
        </xdr:cNvPr>
        <xdr:cNvSpPr txBox="1">
          <a:spLocks noChangeArrowheads="1"/>
        </xdr:cNvSpPr>
      </xdr:nvSpPr>
      <xdr:spPr bwMode="auto">
        <a:xfrm>
          <a:off x="3651250" y="19373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63</xdr:row>
      <xdr:rowOff>381000</xdr:rowOff>
    </xdr:to>
    <xdr:sp macro="" textlink="">
      <xdr:nvSpPr>
        <xdr:cNvPr id="303847" name="TextBox 1211">
          <a:extLst>
            <a:ext uri="{FF2B5EF4-FFF2-40B4-BE49-F238E27FC236}">
              <a16:creationId xmlns:a16="http://schemas.microsoft.com/office/drawing/2014/main" id="{00000000-0008-0000-2200-0000E7A20400}"/>
            </a:ext>
          </a:extLst>
        </xdr:cNvPr>
        <xdr:cNvSpPr txBox="1">
          <a:spLocks noChangeArrowheads="1"/>
        </xdr:cNvSpPr>
      </xdr:nvSpPr>
      <xdr:spPr bwMode="auto">
        <a:xfrm>
          <a:off x="3651250" y="19373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62</xdr:row>
      <xdr:rowOff>196850</xdr:rowOff>
    </xdr:to>
    <xdr:sp macro="" textlink="">
      <xdr:nvSpPr>
        <xdr:cNvPr id="303848" name="TextBox 1080">
          <a:extLst>
            <a:ext uri="{FF2B5EF4-FFF2-40B4-BE49-F238E27FC236}">
              <a16:creationId xmlns:a16="http://schemas.microsoft.com/office/drawing/2014/main" id="{00000000-0008-0000-2200-0000E8A20400}"/>
            </a:ext>
          </a:extLst>
        </xdr:cNvPr>
        <xdr:cNvSpPr txBox="1">
          <a:spLocks noChangeArrowheads="1"/>
        </xdr:cNvSpPr>
      </xdr:nvSpPr>
      <xdr:spPr bwMode="auto">
        <a:xfrm>
          <a:off x="3651250" y="19373850"/>
          <a:ext cx="0" cy="39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62</xdr:row>
      <xdr:rowOff>196850</xdr:rowOff>
    </xdr:to>
    <xdr:sp macro="" textlink="">
      <xdr:nvSpPr>
        <xdr:cNvPr id="303849" name="TextBox 1211">
          <a:extLst>
            <a:ext uri="{FF2B5EF4-FFF2-40B4-BE49-F238E27FC236}">
              <a16:creationId xmlns:a16="http://schemas.microsoft.com/office/drawing/2014/main" id="{00000000-0008-0000-2200-0000E9A20400}"/>
            </a:ext>
          </a:extLst>
        </xdr:cNvPr>
        <xdr:cNvSpPr txBox="1">
          <a:spLocks noChangeArrowheads="1"/>
        </xdr:cNvSpPr>
      </xdr:nvSpPr>
      <xdr:spPr bwMode="auto">
        <a:xfrm>
          <a:off x="3651250" y="19373850"/>
          <a:ext cx="0" cy="39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62</xdr:row>
      <xdr:rowOff>196850</xdr:rowOff>
    </xdr:to>
    <xdr:sp macro="" textlink="">
      <xdr:nvSpPr>
        <xdr:cNvPr id="303850" name="TextBox 1080">
          <a:extLst>
            <a:ext uri="{FF2B5EF4-FFF2-40B4-BE49-F238E27FC236}">
              <a16:creationId xmlns:a16="http://schemas.microsoft.com/office/drawing/2014/main" id="{00000000-0008-0000-2200-0000EAA20400}"/>
            </a:ext>
          </a:extLst>
        </xdr:cNvPr>
        <xdr:cNvSpPr txBox="1">
          <a:spLocks noChangeArrowheads="1"/>
        </xdr:cNvSpPr>
      </xdr:nvSpPr>
      <xdr:spPr bwMode="auto">
        <a:xfrm>
          <a:off x="3651250" y="19373850"/>
          <a:ext cx="0" cy="39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62</xdr:row>
      <xdr:rowOff>196850</xdr:rowOff>
    </xdr:to>
    <xdr:sp macro="" textlink="">
      <xdr:nvSpPr>
        <xdr:cNvPr id="303851" name="TextBox 1211">
          <a:extLst>
            <a:ext uri="{FF2B5EF4-FFF2-40B4-BE49-F238E27FC236}">
              <a16:creationId xmlns:a16="http://schemas.microsoft.com/office/drawing/2014/main" id="{00000000-0008-0000-2200-0000EBA20400}"/>
            </a:ext>
          </a:extLst>
        </xdr:cNvPr>
        <xdr:cNvSpPr txBox="1">
          <a:spLocks noChangeArrowheads="1"/>
        </xdr:cNvSpPr>
      </xdr:nvSpPr>
      <xdr:spPr bwMode="auto">
        <a:xfrm>
          <a:off x="3651250" y="19373850"/>
          <a:ext cx="0" cy="39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62</xdr:row>
      <xdr:rowOff>196850</xdr:rowOff>
    </xdr:to>
    <xdr:sp macro="" textlink="">
      <xdr:nvSpPr>
        <xdr:cNvPr id="303852" name="TextBox 1080">
          <a:extLst>
            <a:ext uri="{FF2B5EF4-FFF2-40B4-BE49-F238E27FC236}">
              <a16:creationId xmlns:a16="http://schemas.microsoft.com/office/drawing/2014/main" id="{00000000-0008-0000-2200-0000ECA20400}"/>
            </a:ext>
          </a:extLst>
        </xdr:cNvPr>
        <xdr:cNvSpPr txBox="1">
          <a:spLocks noChangeArrowheads="1"/>
        </xdr:cNvSpPr>
      </xdr:nvSpPr>
      <xdr:spPr bwMode="auto">
        <a:xfrm>
          <a:off x="3651250" y="19373850"/>
          <a:ext cx="0" cy="39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62</xdr:row>
      <xdr:rowOff>196850</xdr:rowOff>
    </xdr:to>
    <xdr:sp macro="" textlink="">
      <xdr:nvSpPr>
        <xdr:cNvPr id="303853" name="TextBox 1211">
          <a:extLst>
            <a:ext uri="{FF2B5EF4-FFF2-40B4-BE49-F238E27FC236}">
              <a16:creationId xmlns:a16="http://schemas.microsoft.com/office/drawing/2014/main" id="{00000000-0008-0000-2200-0000EDA20400}"/>
            </a:ext>
          </a:extLst>
        </xdr:cNvPr>
        <xdr:cNvSpPr txBox="1">
          <a:spLocks noChangeArrowheads="1"/>
        </xdr:cNvSpPr>
      </xdr:nvSpPr>
      <xdr:spPr bwMode="auto">
        <a:xfrm>
          <a:off x="3651250" y="19373850"/>
          <a:ext cx="0" cy="39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62</xdr:row>
      <xdr:rowOff>196850</xdr:rowOff>
    </xdr:to>
    <xdr:sp macro="" textlink="">
      <xdr:nvSpPr>
        <xdr:cNvPr id="303854" name="TextBox 1080">
          <a:extLst>
            <a:ext uri="{FF2B5EF4-FFF2-40B4-BE49-F238E27FC236}">
              <a16:creationId xmlns:a16="http://schemas.microsoft.com/office/drawing/2014/main" id="{00000000-0008-0000-2200-0000EEA20400}"/>
            </a:ext>
          </a:extLst>
        </xdr:cNvPr>
        <xdr:cNvSpPr txBox="1">
          <a:spLocks noChangeArrowheads="1"/>
        </xdr:cNvSpPr>
      </xdr:nvSpPr>
      <xdr:spPr bwMode="auto">
        <a:xfrm>
          <a:off x="3651250" y="19373850"/>
          <a:ext cx="0" cy="39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62</xdr:row>
      <xdr:rowOff>196850</xdr:rowOff>
    </xdr:to>
    <xdr:sp macro="" textlink="">
      <xdr:nvSpPr>
        <xdr:cNvPr id="303855" name="TextBox 1211">
          <a:extLst>
            <a:ext uri="{FF2B5EF4-FFF2-40B4-BE49-F238E27FC236}">
              <a16:creationId xmlns:a16="http://schemas.microsoft.com/office/drawing/2014/main" id="{00000000-0008-0000-2200-0000EFA20400}"/>
            </a:ext>
          </a:extLst>
        </xdr:cNvPr>
        <xdr:cNvSpPr txBox="1">
          <a:spLocks noChangeArrowheads="1"/>
        </xdr:cNvSpPr>
      </xdr:nvSpPr>
      <xdr:spPr bwMode="auto">
        <a:xfrm>
          <a:off x="3651250" y="19373850"/>
          <a:ext cx="0" cy="39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63</xdr:row>
      <xdr:rowOff>381000</xdr:rowOff>
    </xdr:to>
    <xdr:sp macro="" textlink="">
      <xdr:nvSpPr>
        <xdr:cNvPr id="303856" name="TextBox 1080">
          <a:extLst>
            <a:ext uri="{FF2B5EF4-FFF2-40B4-BE49-F238E27FC236}">
              <a16:creationId xmlns:a16="http://schemas.microsoft.com/office/drawing/2014/main" id="{00000000-0008-0000-2200-0000F0A20400}"/>
            </a:ext>
          </a:extLst>
        </xdr:cNvPr>
        <xdr:cNvSpPr txBox="1">
          <a:spLocks noChangeArrowheads="1"/>
        </xdr:cNvSpPr>
      </xdr:nvSpPr>
      <xdr:spPr bwMode="auto">
        <a:xfrm>
          <a:off x="3651250" y="19373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63</xdr:row>
      <xdr:rowOff>381000</xdr:rowOff>
    </xdr:to>
    <xdr:sp macro="" textlink="">
      <xdr:nvSpPr>
        <xdr:cNvPr id="303857" name="TextBox 1211">
          <a:extLst>
            <a:ext uri="{FF2B5EF4-FFF2-40B4-BE49-F238E27FC236}">
              <a16:creationId xmlns:a16="http://schemas.microsoft.com/office/drawing/2014/main" id="{00000000-0008-0000-2200-0000F1A20400}"/>
            </a:ext>
          </a:extLst>
        </xdr:cNvPr>
        <xdr:cNvSpPr txBox="1">
          <a:spLocks noChangeArrowheads="1"/>
        </xdr:cNvSpPr>
      </xdr:nvSpPr>
      <xdr:spPr bwMode="auto">
        <a:xfrm>
          <a:off x="3651250" y="19373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63</xdr:row>
      <xdr:rowOff>381000</xdr:rowOff>
    </xdr:to>
    <xdr:sp macro="" textlink="">
      <xdr:nvSpPr>
        <xdr:cNvPr id="303858" name="TextBox 1080">
          <a:extLst>
            <a:ext uri="{FF2B5EF4-FFF2-40B4-BE49-F238E27FC236}">
              <a16:creationId xmlns:a16="http://schemas.microsoft.com/office/drawing/2014/main" id="{00000000-0008-0000-2200-0000F2A20400}"/>
            </a:ext>
          </a:extLst>
        </xdr:cNvPr>
        <xdr:cNvSpPr txBox="1">
          <a:spLocks noChangeArrowheads="1"/>
        </xdr:cNvSpPr>
      </xdr:nvSpPr>
      <xdr:spPr bwMode="auto">
        <a:xfrm>
          <a:off x="3651250" y="19373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63</xdr:row>
      <xdr:rowOff>381000</xdr:rowOff>
    </xdr:to>
    <xdr:sp macro="" textlink="">
      <xdr:nvSpPr>
        <xdr:cNvPr id="303859" name="TextBox 1211">
          <a:extLst>
            <a:ext uri="{FF2B5EF4-FFF2-40B4-BE49-F238E27FC236}">
              <a16:creationId xmlns:a16="http://schemas.microsoft.com/office/drawing/2014/main" id="{00000000-0008-0000-2200-0000F3A20400}"/>
            </a:ext>
          </a:extLst>
        </xdr:cNvPr>
        <xdr:cNvSpPr txBox="1">
          <a:spLocks noChangeArrowheads="1"/>
        </xdr:cNvSpPr>
      </xdr:nvSpPr>
      <xdr:spPr bwMode="auto">
        <a:xfrm>
          <a:off x="3651250" y="19373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63</xdr:row>
      <xdr:rowOff>381000</xdr:rowOff>
    </xdr:to>
    <xdr:sp macro="" textlink="">
      <xdr:nvSpPr>
        <xdr:cNvPr id="303860" name="TextBox 1080">
          <a:extLst>
            <a:ext uri="{FF2B5EF4-FFF2-40B4-BE49-F238E27FC236}">
              <a16:creationId xmlns:a16="http://schemas.microsoft.com/office/drawing/2014/main" id="{00000000-0008-0000-2200-0000F4A20400}"/>
            </a:ext>
          </a:extLst>
        </xdr:cNvPr>
        <xdr:cNvSpPr txBox="1">
          <a:spLocks noChangeArrowheads="1"/>
        </xdr:cNvSpPr>
      </xdr:nvSpPr>
      <xdr:spPr bwMode="auto">
        <a:xfrm>
          <a:off x="3651250" y="19373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63</xdr:row>
      <xdr:rowOff>381000</xdr:rowOff>
    </xdr:to>
    <xdr:sp macro="" textlink="">
      <xdr:nvSpPr>
        <xdr:cNvPr id="303861" name="TextBox 1211">
          <a:extLst>
            <a:ext uri="{FF2B5EF4-FFF2-40B4-BE49-F238E27FC236}">
              <a16:creationId xmlns:a16="http://schemas.microsoft.com/office/drawing/2014/main" id="{00000000-0008-0000-2200-0000F5A20400}"/>
            </a:ext>
          </a:extLst>
        </xdr:cNvPr>
        <xdr:cNvSpPr txBox="1">
          <a:spLocks noChangeArrowheads="1"/>
        </xdr:cNvSpPr>
      </xdr:nvSpPr>
      <xdr:spPr bwMode="auto">
        <a:xfrm>
          <a:off x="3651250" y="19373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63</xdr:row>
      <xdr:rowOff>381000</xdr:rowOff>
    </xdr:to>
    <xdr:sp macro="" textlink="">
      <xdr:nvSpPr>
        <xdr:cNvPr id="303862" name="TextBox 1080">
          <a:extLst>
            <a:ext uri="{FF2B5EF4-FFF2-40B4-BE49-F238E27FC236}">
              <a16:creationId xmlns:a16="http://schemas.microsoft.com/office/drawing/2014/main" id="{00000000-0008-0000-2200-0000F6A20400}"/>
            </a:ext>
          </a:extLst>
        </xdr:cNvPr>
        <xdr:cNvSpPr txBox="1">
          <a:spLocks noChangeArrowheads="1"/>
        </xdr:cNvSpPr>
      </xdr:nvSpPr>
      <xdr:spPr bwMode="auto">
        <a:xfrm>
          <a:off x="3651250" y="19373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63</xdr:row>
      <xdr:rowOff>381000</xdr:rowOff>
    </xdr:to>
    <xdr:sp macro="" textlink="">
      <xdr:nvSpPr>
        <xdr:cNvPr id="303863" name="TextBox 1211">
          <a:extLst>
            <a:ext uri="{FF2B5EF4-FFF2-40B4-BE49-F238E27FC236}">
              <a16:creationId xmlns:a16="http://schemas.microsoft.com/office/drawing/2014/main" id="{00000000-0008-0000-2200-0000F7A20400}"/>
            </a:ext>
          </a:extLst>
        </xdr:cNvPr>
        <xdr:cNvSpPr txBox="1">
          <a:spLocks noChangeArrowheads="1"/>
        </xdr:cNvSpPr>
      </xdr:nvSpPr>
      <xdr:spPr bwMode="auto">
        <a:xfrm>
          <a:off x="3651250" y="19373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63</xdr:row>
      <xdr:rowOff>107950</xdr:rowOff>
    </xdr:to>
    <xdr:sp macro="" textlink="">
      <xdr:nvSpPr>
        <xdr:cNvPr id="303864" name="TextBox 1080">
          <a:extLst>
            <a:ext uri="{FF2B5EF4-FFF2-40B4-BE49-F238E27FC236}">
              <a16:creationId xmlns:a16="http://schemas.microsoft.com/office/drawing/2014/main" id="{00000000-0008-0000-2200-0000F8A20400}"/>
            </a:ext>
          </a:extLst>
        </xdr:cNvPr>
        <xdr:cNvSpPr txBox="1">
          <a:spLocks noChangeArrowheads="1"/>
        </xdr:cNvSpPr>
      </xdr:nvSpPr>
      <xdr:spPr bwMode="auto">
        <a:xfrm>
          <a:off x="3651250" y="19373850"/>
          <a:ext cx="0" cy="546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63</xdr:row>
      <xdr:rowOff>107950</xdr:rowOff>
    </xdr:to>
    <xdr:sp macro="" textlink="">
      <xdr:nvSpPr>
        <xdr:cNvPr id="303865" name="TextBox 1211">
          <a:extLst>
            <a:ext uri="{FF2B5EF4-FFF2-40B4-BE49-F238E27FC236}">
              <a16:creationId xmlns:a16="http://schemas.microsoft.com/office/drawing/2014/main" id="{00000000-0008-0000-2200-0000F9A20400}"/>
            </a:ext>
          </a:extLst>
        </xdr:cNvPr>
        <xdr:cNvSpPr txBox="1">
          <a:spLocks noChangeArrowheads="1"/>
        </xdr:cNvSpPr>
      </xdr:nvSpPr>
      <xdr:spPr bwMode="auto">
        <a:xfrm>
          <a:off x="3651250" y="19373850"/>
          <a:ext cx="0" cy="546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63</xdr:row>
      <xdr:rowOff>107950</xdr:rowOff>
    </xdr:to>
    <xdr:sp macro="" textlink="">
      <xdr:nvSpPr>
        <xdr:cNvPr id="303866" name="TextBox 1080">
          <a:extLst>
            <a:ext uri="{FF2B5EF4-FFF2-40B4-BE49-F238E27FC236}">
              <a16:creationId xmlns:a16="http://schemas.microsoft.com/office/drawing/2014/main" id="{00000000-0008-0000-2200-0000FAA20400}"/>
            </a:ext>
          </a:extLst>
        </xdr:cNvPr>
        <xdr:cNvSpPr txBox="1">
          <a:spLocks noChangeArrowheads="1"/>
        </xdr:cNvSpPr>
      </xdr:nvSpPr>
      <xdr:spPr bwMode="auto">
        <a:xfrm>
          <a:off x="3651250" y="19373850"/>
          <a:ext cx="0" cy="546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63</xdr:row>
      <xdr:rowOff>107950</xdr:rowOff>
    </xdr:to>
    <xdr:sp macro="" textlink="">
      <xdr:nvSpPr>
        <xdr:cNvPr id="303867" name="TextBox 1211">
          <a:extLst>
            <a:ext uri="{FF2B5EF4-FFF2-40B4-BE49-F238E27FC236}">
              <a16:creationId xmlns:a16="http://schemas.microsoft.com/office/drawing/2014/main" id="{00000000-0008-0000-2200-0000FBA20400}"/>
            </a:ext>
          </a:extLst>
        </xdr:cNvPr>
        <xdr:cNvSpPr txBox="1">
          <a:spLocks noChangeArrowheads="1"/>
        </xdr:cNvSpPr>
      </xdr:nvSpPr>
      <xdr:spPr bwMode="auto">
        <a:xfrm>
          <a:off x="3651250" y="19373850"/>
          <a:ext cx="0" cy="546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63</xdr:row>
      <xdr:rowOff>107950</xdr:rowOff>
    </xdr:to>
    <xdr:sp macro="" textlink="">
      <xdr:nvSpPr>
        <xdr:cNvPr id="303868" name="TextBox 1080">
          <a:extLst>
            <a:ext uri="{FF2B5EF4-FFF2-40B4-BE49-F238E27FC236}">
              <a16:creationId xmlns:a16="http://schemas.microsoft.com/office/drawing/2014/main" id="{00000000-0008-0000-2200-0000FCA20400}"/>
            </a:ext>
          </a:extLst>
        </xdr:cNvPr>
        <xdr:cNvSpPr txBox="1">
          <a:spLocks noChangeArrowheads="1"/>
        </xdr:cNvSpPr>
      </xdr:nvSpPr>
      <xdr:spPr bwMode="auto">
        <a:xfrm>
          <a:off x="3651250" y="19373850"/>
          <a:ext cx="0" cy="546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63</xdr:row>
      <xdr:rowOff>107950</xdr:rowOff>
    </xdr:to>
    <xdr:sp macro="" textlink="">
      <xdr:nvSpPr>
        <xdr:cNvPr id="303869" name="TextBox 1211">
          <a:extLst>
            <a:ext uri="{FF2B5EF4-FFF2-40B4-BE49-F238E27FC236}">
              <a16:creationId xmlns:a16="http://schemas.microsoft.com/office/drawing/2014/main" id="{00000000-0008-0000-2200-0000FDA20400}"/>
            </a:ext>
          </a:extLst>
        </xdr:cNvPr>
        <xdr:cNvSpPr txBox="1">
          <a:spLocks noChangeArrowheads="1"/>
        </xdr:cNvSpPr>
      </xdr:nvSpPr>
      <xdr:spPr bwMode="auto">
        <a:xfrm>
          <a:off x="3651250" y="19373850"/>
          <a:ext cx="0" cy="546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63</xdr:row>
      <xdr:rowOff>107950</xdr:rowOff>
    </xdr:to>
    <xdr:sp macro="" textlink="">
      <xdr:nvSpPr>
        <xdr:cNvPr id="303870" name="TextBox 1080">
          <a:extLst>
            <a:ext uri="{FF2B5EF4-FFF2-40B4-BE49-F238E27FC236}">
              <a16:creationId xmlns:a16="http://schemas.microsoft.com/office/drawing/2014/main" id="{00000000-0008-0000-2200-0000FEA20400}"/>
            </a:ext>
          </a:extLst>
        </xdr:cNvPr>
        <xdr:cNvSpPr txBox="1">
          <a:spLocks noChangeArrowheads="1"/>
        </xdr:cNvSpPr>
      </xdr:nvSpPr>
      <xdr:spPr bwMode="auto">
        <a:xfrm>
          <a:off x="3651250" y="19373850"/>
          <a:ext cx="0" cy="546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63</xdr:row>
      <xdr:rowOff>107950</xdr:rowOff>
    </xdr:to>
    <xdr:sp macro="" textlink="">
      <xdr:nvSpPr>
        <xdr:cNvPr id="303871" name="TextBox 1211">
          <a:extLst>
            <a:ext uri="{FF2B5EF4-FFF2-40B4-BE49-F238E27FC236}">
              <a16:creationId xmlns:a16="http://schemas.microsoft.com/office/drawing/2014/main" id="{00000000-0008-0000-2200-0000FFA20400}"/>
            </a:ext>
          </a:extLst>
        </xdr:cNvPr>
        <xdr:cNvSpPr txBox="1">
          <a:spLocks noChangeArrowheads="1"/>
        </xdr:cNvSpPr>
      </xdr:nvSpPr>
      <xdr:spPr bwMode="auto">
        <a:xfrm>
          <a:off x="3651250" y="19373850"/>
          <a:ext cx="0" cy="546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63</xdr:row>
      <xdr:rowOff>107950</xdr:rowOff>
    </xdr:to>
    <xdr:sp macro="" textlink="">
      <xdr:nvSpPr>
        <xdr:cNvPr id="303872" name="TextBox 1080">
          <a:extLst>
            <a:ext uri="{FF2B5EF4-FFF2-40B4-BE49-F238E27FC236}">
              <a16:creationId xmlns:a16="http://schemas.microsoft.com/office/drawing/2014/main" id="{00000000-0008-0000-2200-000000A30400}"/>
            </a:ext>
          </a:extLst>
        </xdr:cNvPr>
        <xdr:cNvSpPr txBox="1">
          <a:spLocks noChangeArrowheads="1"/>
        </xdr:cNvSpPr>
      </xdr:nvSpPr>
      <xdr:spPr bwMode="auto">
        <a:xfrm>
          <a:off x="3651250" y="19373850"/>
          <a:ext cx="0" cy="546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63</xdr:row>
      <xdr:rowOff>107950</xdr:rowOff>
    </xdr:to>
    <xdr:sp macro="" textlink="">
      <xdr:nvSpPr>
        <xdr:cNvPr id="303873" name="TextBox 1211">
          <a:extLst>
            <a:ext uri="{FF2B5EF4-FFF2-40B4-BE49-F238E27FC236}">
              <a16:creationId xmlns:a16="http://schemas.microsoft.com/office/drawing/2014/main" id="{00000000-0008-0000-2200-000001A30400}"/>
            </a:ext>
          </a:extLst>
        </xdr:cNvPr>
        <xdr:cNvSpPr txBox="1">
          <a:spLocks noChangeArrowheads="1"/>
        </xdr:cNvSpPr>
      </xdr:nvSpPr>
      <xdr:spPr bwMode="auto">
        <a:xfrm>
          <a:off x="3651250" y="19373850"/>
          <a:ext cx="0" cy="546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63</xdr:row>
      <xdr:rowOff>107950</xdr:rowOff>
    </xdr:to>
    <xdr:sp macro="" textlink="">
      <xdr:nvSpPr>
        <xdr:cNvPr id="303874" name="TextBox 1080">
          <a:extLst>
            <a:ext uri="{FF2B5EF4-FFF2-40B4-BE49-F238E27FC236}">
              <a16:creationId xmlns:a16="http://schemas.microsoft.com/office/drawing/2014/main" id="{00000000-0008-0000-2200-000002A30400}"/>
            </a:ext>
          </a:extLst>
        </xdr:cNvPr>
        <xdr:cNvSpPr txBox="1">
          <a:spLocks noChangeArrowheads="1"/>
        </xdr:cNvSpPr>
      </xdr:nvSpPr>
      <xdr:spPr bwMode="auto">
        <a:xfrm>
          <a:off x="3651250" y="19373850"/>
          <a:ext cx="0" cy="546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63</xdr:row>
      <xdr:rowOff>107950</xdr:rowOff>
    </xdr:to>
    <xdr:sp macro="" textlink="">
      <xdr:nvSpPr>
        <xdr:cNvPr id="303875" name="TextBox 1211">
          <a:extLst>
            <a:ext uri="{FF2B5EF4-FFF2-40B4-BE49-F238E27FC236}">
              <a16:creationId xmlns:a16="http://schemas.microsoft.com/office/drawing/2014/main" id="{00000000-0008-0000-2200-000003A30400}"/>
            </a:ext>
          </a:extLst>
        </xdr:cNvPr>
        <xdr:cNvSpPr txBox="1">
          <a:spLocks noChangeArrowheads="1"/>
        </xdr:cNvSpPr>
      </xdr:nvSpPr>
      <xdr:spPr bwMode="auto">
        <a:xfrm>
          <a:off x="3651250" y="19373850"/>
          <a:ext cx="0" cy="546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62</xdr:row>
      <xdr:rowOff>184150</xdr:rowOff>
    </xdr:to>
    <xdr:sp macro="" textlink="">
      <xdr:nvSpPr>
        <xdr:cNvPr id="303876" name="TextBox 1080">
          <a:extLst>
            <a:ext uri="{FF2B5EF4-FFF2-40B4-BE49-F238E27FC236}">
              <a16:creationId xmlns:a16="http://schemas.microsoft.com/office/drawing/2014/main" id="{00000000-0008-0000-2200-000004A30400}"/>
            </a:ext>
          </a:extLst>
        </xdr:cNvPr>
        <xdr:cNvSpPr txBox="1">
          <a:spLocks noChangeArrowheads="1"/>
        </xdr:cNvSpPr>
      </xdr:nvSpPr>
      <xdr:spPr bwMode="auto">
        <a:xfrm>
          <a:off x="3651250" y="193738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62</xdr:row>
      <xdr:rowOff>184150</xdr:rowOff>
    </xdr:to>
    <xdr:sp macro="" textlink="">
      <xdr:nvSpPr>
        <xdr:cNvPr id="303877" name="TextBox 1211">
          <a:extLst>
            <a:ext uri="{FF2B5EF4-FFF2-40B4-BE49-F238E27FC236}">
              <a16:creationId xmlns:a16="http://schemas.microsoft.com/office/drawing/2014/main" id="{00000000-0008-0000-2200-000005A30400}"/>
            </a:ext>
          </a:extLst>
        </xdr:cNvPr>
        <xdr:cNvSpPr txBox="1">
          <a:spLocks noChangeArrowheads="1"/>
        </xdr:cNvSpPr>
      </xdr:nvSpPr>
      <xdr:spPr bwMode="auto">
        <a:xfrm>
          <a:off x="3651250" y="193738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62</xdr:row>
      <xdr:rowOff>184150</xdr:rowOff>
    </xdr:to>
    <xdr:sp macro="" textlink="">
      <xdr:nvSpPr>
        <xdr:cNvPr id="303878" name="TextBox 1080">
          <a:extLst>
            <a:ext uri="{FF2B5EF4-FFF2-40B4-BE49-F238E27FC236}">
              <a16:creationId xmlns:a16="http://schemas.microsoft.com/office/drawing/2014/main" id="{00000000-0008-0000-2200-000006A30400}"/>
            </a:ext>
          </a:extLst>
        </xdr:cNvPr>
        <xdr:cNvSpPr txBox="1">
          <a:spLocks noChangeArrowheads="1"/>
        </xdr:cNvSpPr>
      </xdr:nvSpPr>
      <xdr:spPr bwMode="auto">
        <a:xfrm>
          <a:off x="3651250" y="193738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62</xdr:row>
      <xdr:rowOff>184150</xdr:rowOff>
    </xdr:to>
    <xdr:sp macro="" textlink="">
      <xdr:nvSpPr>
        <xdr:cNvPr id="303879" name="TextBox 1211">
          <a:extLst>
            <a:ext uri="{FF2B5EF4-FFF2-40B4-BE49-F238E27FC236}">
              <a16:creationId xmlns:a16="http://schemas.microsoft.com/office/drawing/2014/main" id="{00000000-0008-0000-2200-000007A30400}"/>
            </a:ext>
          </a:extLst>
        </xdr:cNvPr>
        <xdr:cNvSpPr txBox="1">
          <a:spLocks noChangeArrowheads="1"/>
        </xdr:cNvSpPr>
      </xdr:nvSpPr>
      <xdr:spPr bwMode="auto">
        <a:xfrm>
          <a:off x="3651250" y="193738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62</xdr:row>
      <xdr:rowOff>184150</xdr:rowOff>
    </xdr:to>
    <xdr:sp macro="" textlink="">
      <xdr:nvSpPr>
        <xdr:cNvPr id="303880" name="TextBox 1080">
          <a:extLst>
            <a:ext uri="{FF2B5EF4-FFF2-40B4-BE49-F238E27FC236}">
              <a16:creationId xmlns:a16="http://schemas.microsoft.com/office/drawing/2014/main" id="{00000000-0008-0000-2200-000008A30400}"/>
            </a:ext>
          </a:extLst>
        </xdr:cNvPr>
        <xdr:cNvSpPr txBox="1">
          <a:spLocks noChangeArrowheads="1"/>
        </xdr:cNvSpPr>
      </xdr:nvSpPr>
      <xdr:spPr bwMode="auto">
        <a:xfrm>
          <a:off x="3651250" y="193738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62</xdr:row>
      <xdr:rowOff>184150</xdr:rowOff>
    </xdr:to>
    <xdr:sp macro="" textlink="">
      <xdr:nvSpPr>
        <xdr:cNvPr id="303881" name="TextBox 1211">
          <a:extLst>
            <a:ext uri="{FF2B5EF4-FFF2-40B4-BE49-F238E27FC236}">
              <a16:creationId xmlns:a16="http://schemas.microsoft.com/office/drawing/2014/main" id="{00000000-0008-0000-2200-000009A30400}"/>
            </a:ext>
          </a:extLst>
        </xdr:cNvPr>
        <xdr:cNvSpPr txBox="1">
          <a:spLocks noChangeArrowheads="1"/>
        </xdr:cNvSpPr>
      </xdr:nvSpPr>
      <xdr:spPr bwMode="auto">
        <a:xfrm>
          <a:off x="3651250" y="193738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62</xdr:row>
      <xdr:rowOff>184150</xdr:rowOff>
    </xdr:to>
    <xdr:sp macro="" textlink="">
      <xdr:nvSpPr>
        <xdr:cNvPr id="303882" name="TextBox 1080">
          <a:extLst>
            <a:ext uri="{FF2B5EF4-FFF2-40B4-BE49-F238E27FC236}">
              <a16:creationId xmlns:a16="http://schemas.microsoft.com/office/drawing/2014/main" id="{00000000-0008-0000-2200-00000AA30400}"/>
            </a:ext>
          </a:extLst>
        </xdr:cNvPr>
        <xdr:cNvSpPr txBox="1">
          <a:spLocks noChangeArrowheads="1"/>
        </xdr:cNvSpPr>
      </xdr:nvSpPr>
      <xdr:spPr bwMode="auto">
        <a:xfrm>
          <a:off x="3651250" y="193738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62</xdr:row>
      <xdr:rowOff>184150</xdr:rowOff>
    </xdr:to>
    <xdr:sp macro="" textlink="">
      <xdr:nvSpPr>
        <xdr:cNvPr id="303883" name="TextBox 1211">
          <a:extLst>
            <a:ext uri="{FF2B5EF4-FFF2-40B4-BE49-F238E27FC236}">
              <a16:creationId xmlns:a16="http://schemas.microsoft.com/office/drawing/2014/main" id="{00000000-0008-0000-2200-00000BA30400}"/>
            </a:ext>
          </a:extLst>
        </xdr:cNvPr>
        <xdr:cNvSpPr txBox="1">
          <a:spLocks noChangeArrowheads="1"/>
        </xdr:cNvSpPr>
      </xdr:nvSpPr>
      <xdr:spPr bwMode="auto">
        <a:xfrm>
          <a:off x="3651250" y="193738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62</xdr:row>
      <xdr:rowOff>215900</xdr:rowOff>
    </xdr:to>
    <xdr:sp macro="" textlink="">
      <xdr:nvSpPr>
        <xdr:cNvPr id="303884" name="TextBox 1080">
          <a:extLst>
            <a:ext uri="{FF2B5EF4-FFF2-40B4-BE49-F238E27FC236}">
              <a16:creationId xmlns:a16="http://schemas.microsoft.com/office/drawing/2014/main" id="{00000000-0008-0000-2200-00000CA30400}"/>
            </a:ext>
          </a:extLst>
        </xdr:cNvPr>
        <xdr:cNvSpPr txBox="1">
          <a:spLocks noChangeArrowheads="1"/>
        </xdr:cNvSpPr>
      </xdr:nvSpPr>
      <xdr:spPr bwMode="auto">
        <a:xfrm>
          <a:off x="3651250" y="19373850"/>
          <a:ext cx="0" cy="412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62</xdr:row>
      <xdr:rowOff>215900</xdr:rowOff>
    </xdr:to>
    <xdr:sp macro="" textlink="">
      <xdr:nvSpPr>
        <xdr:cNvPr id="303885" name="TextBox 1211">
          <a:extLst>
            <a:ext uri="{FF2B5EF4-FFF2-40B4-BE49-F238E27FC236}">
              <a16:creationId xmlns:a16="http://schemas.microsoft.com/office/drawing/2014/main" id="{00000000-0008-0000-2200-00000DA30400}"/>
            </a:ext>
          </a:extLst>
        </xdr:cNvPr>
        <xdr:cNvSpPr txBox="1">
          <a:spLocks noChangeArrowheads="1"/>
        </xdr:cNvSpPr>
      </xdr:nvSpPr>
      <xdr:spPr bwMode="auto">
        <a:xfrm>
          <a:off x="3651250" y="19373850"/>
          <a:ext cx="0" cy="412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62</xdr:row>
      <xdr:rowOff>215900</xdr:rowOff>
    </xdr:to>
    <xdr:sp macro="" textlink="">
      <xdr:nvSpPr>
        <xdr:cNvPr id="303886" name="TextBox 1080">
          <a:extLst>
            <a:ext uri="{FF2B5EF4-FFF2-40B4-BE49-F238E27FC236}">
              <a16:creationId xmlns:a16="http://schemas.microsoft.com/office/drawing/2014/main" id="{00000000-0008-0000-2200-00000EA30400}"/>
            </a:ext>
          </a:extLst>
        </xdr:cNvPr>
        <xdr:cNvSpPr txBox="1">
          <a:spLocks noChangeArrowheads="1"/>
        </xdr:cNvSpPr>
      </xdr:nvSpPr>
      <xdr:spPr bwMode="auto">
        <a:xfrm>
          <a:off x="3651250" y="19373850"/>
          <a:ext cx="0" cy="412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62</xdr:row>
      <xdr:rowOff>215900</xdr:rowOff>
    </xdr:to>
    <xdr:sp macro="" textlink="">
      <xdr:nvSpPr>
        <xdr:cNvPr id="303887" name="TextBox 1211">
          <a:extLst>
            <a:ext uri="{FF2B5EF4-FFF2-40B4-BE49-F238E27FC236}">
              <a16:creationId xmlns:a16="http://schemas.microsoft.com/office/drawing/2014/main" id="{00000000-0008-0000-2200-00000FA30400}"/>
            </a:ext>
          </a:extLst>
        </xdr:cNvPr>
        <xdr:cNvSpPr txBox="1">
          <a:spLocks noChangeArrowheads="1"/>
        </xdr:cNvSpPr>
      </xdr:nvSpPr>
      <xdr:spPr bwMode="auto">
        <a:xfrm>
          <a:off x="3651250" y="19373850"/>
          <a:ext cx="0" cy="412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62</xdr:row>
      <xdr:rowOff>215900</xdr:rowOff>
    </xdr:to>
    <xdr:sp macro="" textlink="">
      <xdr:nvSpPr>
        <xdr:cNvPr id="303888" name="TextBox 1080">
          <a:extLst>
            <a:ext uri="{FF2B5EF4-FFF2-40B4-BE49-F238E27FC236}">
              <a16:creationId xmlns:a16="http://schemas.microsoft.com/office/drawing/2014/main" id="{00000000-0008-0000-2200-000010A30400}"/>
            </a:ext>
          </a:extLst>
        </xdr:cNvPr>
        <xdr:cNvSpPr txBox="1">
          <a:spLocks noChangeArrowheads="1"/>
        </xdr:cNvSpPr>
      </xdr:nvSpPr>
      <xdr:spPr bwMode="auto">
        <a:xfrm>
          <a:off x="3651250" y="19373850"/>
          <a:ext cx="0" cy="412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62</xdr:row>
      <xdr:rowOff>215900</xdr:rowOff>
    </xdr:to>
    <xdr:sp macro="" textlink="">
      <xdr:nvSpPr>
        <xdr:cNvPr id="303889" name="TextBox 1211">
          <a:extLst>
            <a:ext uri="{FF2B5EF4-FFF2-40B4-BE49-F238E27FC236}">
              <a16:creationId xmlns:a16="http://schemas.microsoft.com/office/drawing/2014/main" id="{00000000-0008-0000-2200-000011A30400}"/>
            </a:ext>
          </a:extLst>
        </xdr:cNvPr>
        <xdr:cNvSpPr txBox="1">
          <a:spLocks noChangeArrowheads="1"/>
        </xdr:cNvSpPr>
      </xdr:nvSpPr>
      <xdr:spPr bwMode="auto">
        <a:xfrm>
          <a:off x="3651250" y="19373850"/>
          <a:ext cx="0" cy="412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62</xdr:row>
      <xdr:rowOff>215900</xdr:rowOff>
    </xdr:to>
    <xdr:sp macro="" textlink="">
      <xdr:nvSpPr>
        <xdr:cNvPr id="303890" name="TextBox 1080">
          <a:extLst>
            <a:ext uri="{FF2B5EF4-FFF2-40B4-BE49-F238E27FC236}">
              <a16:creationId xmlns:a16="http://schemas.microsoft.com/office/drawing/2014/main" id="{00000000-0008-0000-2200-000012A30400}"/>
            </a:ext>
          </a:extLst>
        </xdr:cNvPr>
        <xdr:cNvSpPr txBox="1">
          <a:spLocks noChangeArrowheads="1"/>
        </xdr:cNvSpPr>
      </xdr:nvSpPr>
      <xdr:spPr bwMode="auto">
        <a:xfrm>
          <a:off x="3651250" y="19373850"/>
          <a:ext cx="0" cy="412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62</xdr:row>
      <xdr:rowOff>215900</xdr:rowOff>
    </xdr:to>
    <xdr:sp macro="" textlink="">
      <xdr:nvSpPr>
        <xdr:cNvPr id="303891" name="TextBox 1211">
          <a:extLst>
            <a:ext uri="{FF2B5EF4-FFF2-40B4-BE49-F238E27FC236}">
              <a16:creationId xmlns:a16="http://schemas.microsoft.com/office/drawing/2014/main" id="{00000000-0008-0000-2200-000013A30400}"/>
            </a:ext>
          </a:extLst>
        </xdr:cNvPr>
        <xdr:cNvSpPr txBox="1">
          <a:spLocks noChangeArrowheads="1"/>
        </xdr:cNvSpPr>
      </xdr:nvSpPr>
      <xdr:spPr bwMode="auto">
        <a:xfrm>
          <a:off x="3651250" y="19373850"/>
          <a:ext cx="0" cy="412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72</xdr:row>
      <xdr:rowOff>0</xdr:rowOff>
    </xdr:from>
    <xdr:to>
      <xdr:col>2</xdr:col>
      <xdr:colOff>0</xdr:colOff>
      <xdr:row>73</xdr:row>
      <xdr:rowOff>120650</xdr:rowOff>
    </xdr:to>
    <xdr:sp macro="" textlink="">
      <xdr:nvSpPr>
        <xdr:cNvPr id="303892" name="TextBox 1080">
          <a:extLst>
            <a:ext uri="{FF2B5EF4-FFF2-40B4-BE49-F238E27FC236}">
              <a16:creationId xmlns:a16="http://schemas.microsoft.com/office/drawing/2014/main" id="{00000000-0008-0000-2200-000014A30400}"/>
            </a:ext>
          </a:extLst>
        </xdr:cNvPr>
        <xdr:cNvSpPr txBox="1">
          <a:spLocks noChangeArrowheads="1"/>
        </xdr:cNvSpPr>
      </xdr:nvSpPr>
      <xdr:spPr bwMode="auto">
        <a:xfrm>
          <a:off x="3651250" y="2228850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72</xdr:row>
      <xdr:rowOff>0</xdr:rowOff>
    </xdr:from>
    <xdr:to>
      <xdr:col>2</xdr:col>
      <xdr:colOff>0</xdr:colOff>
      <xdr:row>73</xdr:row>
      <xdr:rowOff>120650</xdr:rowOff>
    </xdr:to>
    <xdr:sp macro="" textlink="">
      <xdr:nvSpPr>
        <xdr:cNvPr id="303893" name="TextBox 1211">
          <a:extLst>
            <a:ext uri="{FF2B5EF4-FFF2-40B4-BE49-F238E27FC236}">
              <a16:creationId xmlns:a16="http://schemas.microsoft.com/office/drawing/2014/main" id="{00000000-0008-0000-2200-000015A30400}"/>
            </a:ext>
          </a:extLst>
        </xdr:cNvPr>
        <xdr:cNvSpPr txBox="1">
          <a:spLocks noChangeArrowheads="1"/>
        </xdr:cNvSpPr>
      </xdr:nvSpPr>
      <xdr:spPr bwMode="auto">
        <a:xfrm>
          <a:off x="3651250" y="2228850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72</xdr:row>
      <xdr:rowOff>0</xdr:rowOff>
    </xdr:from>
    <xdr:to>
      <xdr:col>2</xdr:col>
      <xdr:colOff>0</xdr:colOff>
      <xdr:row>73</xdr:row>
      <xdr:rowOff>120650</xdr:rowOff>
    </xdr:to>
    <xdr:sp macro="" textlink="">
      <xdr:nvSpPr>
        <xdr:cNvPr id="303894" name="TextBox 1080">
          <a:extLst>
            <a:ext uri="{FF2B5EF4-FFF2-40B4-BE49-F238E27FC236}">
              <a16:creationId xmlns:a16="http://schemas.microsoft.com/office/drawing/2014/main" id="{00000000-0008-0000-2200-000016A30400}"/>
            </a:ext>
          </a:extLst>
        </xdr:cNvPr>
        <xdr:cNvSpPr txBox="1">
          <a:spLocks noChangeArrowheads="1"/>
        </xdr:cNvSpPr>
      </xdr:nvSpPr>
      <xdr:spPr bwMode="auto">
        <a:xfrm>
          <a:off x="3651250" y="2228850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72</xdr:row>
      <xdr:rowOff>0</xdr:rowOff>
    </xdr:from>
    <xdr:to>
      <xdr:col>2</xdr:col>
      <xdr:colOff>0</xdr:colOff>
      <xdr:row>73</xdr:row>
      <xdr:rowOff>120650</xdr:rowOff>
    </xdr:to>
    <xdr:sp macro="" textlink="">
      <xdr:nvSpPr>
        <xdr:cNvPr id="303895" name="TextBox 1211">
          <a:extLst>
            <a:ext uri="{FF2B5EF4-FFF2-40B4-BE49-F238E27FC236}">
              <a16:creationId xmlns:a16="http://schemas.microsoft.com/office/drawing/2014/main" id="{00000000-0008-0000-2200-000017A30400}"/>
            </a:ext>
          </a:extLst>
        </xdr:cNvPr>
        <xdr:cNvSpPr txBox="1">
          <a:spLocks noChangeArrowheads="1"/>
        </xdr:cNvSpPr>
      </xdr:nvSpPr>
      <xdr:spPr bwMode="auto">
        <a:xfrm>
          <a:off x="3651250" y="2228850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72</xdr:row>
      <xdr:rowOff>0</xdr:rowOff>
    </xdr:from>
    <xdr:to>
      <xdr:col>2</xdr:col>
      <xdr:colOff>0</xdr:colOff>
      <xdr:row>73</xdr:row>
      <xdr:rowOff>120650</xdr:rowOff>
    </xdr:to>
    <xdr:sp macro="" textlink="">
      <xdr:nvSpPr>
        <xdr:cNvPr id="303896" name="TextBox 1080">
          <a:extLst>
            <a:ext uri="{FF2B5EF4-FFF2-40B4-BE49-F238E27FC236}">
              <a16:creationId xmlns:a16="http://schemas.microsoft.com/office/drawing/2014/main" id="{00000000-0008-0000-2200-000018A30400}"/>
            </a:ext>
          </a:extLst>
        </xdr:cNvPr>
        <xdr:cNvSpPr txBox="1">
          <a:spLocks noChangeArrowheads="1"/>
        </xdr:cNvSpPr>
      </xdr:nvSpPr>
      <xdr:spPr bwMode="auto">
        <a:xfrm>
          <a:off x="3651250" y="2228850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72</xdr:row>
      <xdr:rowOff>0</xdr:rowOff>
    </xdr:from>
    <xdr:to>
      <xdr:col>2</xdr:col>
      <xdr:colOff>0</xdr:colOff>
      <xdr:row>73</xdr:row>
      <xdr:rowOff>120650</xdr:rowOff>
    </xdr:to>
    <xdr:sp macro="" textlink="">
      <xdr:nvSpPr>
        <xdr:cNvPr id="303897" name="TextBox 1211">
          <a:extLst>
            <a:ext uri="{FF2B5EF4-FFF2-40B4-BE49-F238E27FC236}">
              <a16:creationId xmlns:a16="http://schemas.microsoft.com/office/drawing/2014/main" id="{00000000-0008-0000-2200-000019A30400}"/>
            </a:ext>
          </a:extLst>
        </xdr:cNvPr>
        <xdr:cNvSpPr txBox="1">
          <a:spLocks noChangeArrowheads="1"/>
        </xdr:cNvSpPr>
      </xdr:nvSpPr>
      <xdr:spPr bwMode="auto">
        <a:xfrm>
          <a:off x="3651250" y="2228850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72</xdr:row>
      <xdr:rowOff>0</xdr:rowOff>
    </xdr:from>
    <xdr:to>
      <xdr:col>2</xdr:col>
      <xdr:colOff>0</xdr:colOff>
      <xdr:row>73</xdr:row>
      <xdr:rowOff>120650</xdr:rowOff>
    </xdr:to>
    <xdr:sp macro="" textlink="">
      <xdr:nvSpPr>
        <xdr:cNvPr id="303898" name="TextBox 1080">
          <a:extLst>
            <a:ext uri="{FF2B5EF4-FFF2-40B4-BE49-F238E27FC236}">
              <a16:creationId xmlns:a16="http://schemas.microsoft.com/office/drawing/2014/main" id="{00000000-0008-0000-2200-00001AA30400}"/>
            </a:ext>
          </a:extLst>
        </xdr:cNvPr>
        <xdr:cNvSpPr txBox="1">
          <a:spLocks noChangeArrowheads="1"/>
        </xdr:cNvSpPr>
      </xdr:nvSpPr>
      <xdr:spPr bwMode="auto">
        <a:xfrm>
          <a:off x="3651250" y="2228850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72</xdr:row>
      <xdr:rowOff>0</xdr:rowOff>
    </xdr:from>
    <xdr:to>
      <xdr:col>2</xdr:col>
      <xdr:colOff>0</xdr:colOff>
      <xdr:row>73</xdr:row>
      <xdr:rowOff>120650</xdr:rowOff>
    </xdr:to>
    <xdr:sp macro="" textlink="">
      <xdr:nvSpPr>
        <xdr:cNvPr id="303899" name="TextBox 1211">
          <a:extLst>
            <a:ext uri="{FF2B5EF4-FFF2-40B4-BE49-F238E27FC236}">
              <a16:creationId xmlns:a16="http://schemas.microsoft.com/office/drawing/2014/main" id="{00000000-0008-0000-2200-00001BA30400}"/>
            </a:ext>
          </a:extLst>
        </xdr:cNvPr>
        <xdr:cNvSpPr txBox="1">
          <a:spLocks noChangeArrowheads="1"/>
        </xdr:cNvSpPr>
      </xdr:nvSpPr>
      <xdr:spPr bwMode="auto">
        <a:xfrm>
          <a:off x="3651250" y="2228850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72</xdr:row>
      <xdr:rowOff>0</xdr:rowOff>
    </xdr:from>
    <xdr:to>
      <xdr:col>2</xdr:col>
      <xdr:colOff>0</xdr:colOff>
      <xdr:row>73</xdr:row>
      <xdr:rowOff>120650</xdr:rowOff>
    </xdr:to>
    <xdr:sp macro="" textlink="">
      <xdr:nvSpPr>
        <xdr:cNvPr id="303900" name="TextBox 1080">
          <a:extLst>
            <a:ext uri="{FF2B5EF4-FFF2-40B4-BE49-F238E27FC236}">
              <a16:creationId xmlns:a16="http://schemas.microsoft.com/office/drawing/2014/main" id="{00000000-0008-0000-2200-00001CA30400}"/>
            </a:ext>
          </a:extLst>
        </xdr:cNvPr>
        <xdr:cNvSpPr txBox="1">
          <a:spLocks noChangeArrowheads="1"/>
        </xdr:cNvSpPr>
      </xdr:nvSpPr>
      <xdr:spPr bwMode="auto">
        <a:xfrm>
          <a:off x="3651250" y="2228850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72</xdr:row>
      <xdr:rowOff>0</xdr:rowOff>
    </xdr:from>
    <xdr:to>
      <xdr:col>2</xdr:col>
      <xdr:colOff>0</xdr:colOff>
      <xdr:row>73</xdr:row>
      <xdr:rowOff>120650</xdr:rowOff>
    </xdr:to>
    <xdr:sp macro="" textlink="">
      <xdr:nvSpPr>
        <xdr:cNvPr id="303901" name="TextBox 1211">
          <a:extLst>
            <a:ext uri="{FF2B5EF4-FFF2-40B4-BE49-F238E27FC236}">
              <a16:creationId xmlns:a16="http://schemas.microsoft.com/office/drawing/2014/main" id="{00000000-0008-0000-2200-00001DA30400}"/>
            </a:ext>
          </a:extLst>
        </xdr:cNvPr>
        <xdr:cNvSpPr txBox="1">
          <a:spLocks noChangeArrowheads="1"/>
        </xdr:cNvSpPr>
      </xdr:nvSpPr>
      <xdr:spPr bwMode="auto">
        <a:xfrm>
          <a:off x="3651250" y="2228850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72</xdr:row>
      <xdr:rowOff>0</xdr:rowOff>
    </xdr:from>
    <xdr:to>
      <xdr:col>2</xdr:col>
      <xdr:colOff>0</xdr:colOff>
      <xdr:row>73</xdr:row>
      <xdr:rowOff>120650</xdr:rowOff>
    </xdr:to>
    <xdr:sp macro="" textlink="">
      <xdr:nvSpPr>
        <xdr:cNvPr id="303902" name="TextBox 1080">
          <a:extLst>
            <a:ext uri="{FF2B5EF4-FFF2-40B4-BE49-F238E27FC236}">
              <a16:creationId xmlns:a16="http://schemas.microsoft.com/office/drawing/2014/main" id="{00000000-0008-0000-2200-00001EA30400}"/>
            </a:ext>
          </a:extLst>
        </xdr:cNvPr>
        <xdr:cNvSpPr txBox="1">
          <a:spLocks noChangeArrowheads="1"/>
        </xdr:cNvSpPr>
      </xdr:nvSpPr>
      <xdr:spPr bwMode="auto">
        <a:xfrm>
          <a:off x="3651250" y="2228850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72</xdr:row>
      <xdr:rowOff>0</xdr:rowOff>
    </xdr:from>
    <xdr:to>
      <xdr:col>2</xdr:col>
      <xdr:colOff>0</xdr:colOff>
      <xdr:row>73</xdr:row>
      <xdr:rowOff>120650</xdr:rowOff>
    </xdr:to>
    <xdr:sp macro="" textlink="">
      <xdr:nvSpPr>
        <xdr:cNvPr id="303903" name="TextBox 1211">
          <a:extLst>
            <a:ext uri="{FF2B5EF4-FFF2-40B4-BE49-F238E27FC236}">
              <a16:creationId xmlns:a16="http://schemas.microsoft.com/office/drawing/2014/main" id="{00000000-0008-0000-2200-00001FA30400}"/>
            </a:ext>
          </a:extLst>
        </xdr:cNvPr>
        <xdr:cNvSpPr txBox="1">
          <a:spLocks noChangeArrowheads="1"/>
        </xdr:cNvSpPr>
      </xdr:nvSpPr>
      <xdr:spPr bwMode="auto">
        <a:xfrm>
          <a:off x="3651250" y="2228850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132</xdr:row>
      <xdr:rowOff>0</xdr:rowOff>
    </xdr:from>
    <xdr:to>
      <xdr:col>2</xdr:col>
      <xdr:colOff>0</xdr:colOff>
      <xdr:row>133</xdr:row>
      <xdr:rowOff>139700</xdr:rowOff>
    </xdr:to>
    <xdr:sp macro="" textlink="">
      <xdr:nvSpPr>
        <xdr:cNvPr id="303904" name="TextBox 1080">
          <a:extLst>
            <a:ext uri="{FF2B5EF4-FFF2-40B4-BE49-F238E27FC236}">
              <a16:creationId xmlns:a16="http://schemas.microsoft.com/office/drawing/2014/main" id="{00000000-0008-0000-2200-000020A30400}"/>
            </a:ext>
          </a:extLst>
        </xdr:cNvPr>
        <xdr:cNvSpPr txBox="1">
          <a:spLocks noChangeArrowheads="1"/>
        </xdr:cNvSpPr>
      </xdr:nvSpPr>
      <xdr:spPr bwMode="auto">
        <a:xfrm>
          <a:off x="3651250" y="39852600"/>
          <a:ext cx="0" cy="39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132</xdr:row>
      <xdr:rowOff>0</xdr:rowOff>
    </xdr:from>
    <xdr:to>
      <xdr:col>2</xdr:col>
      <xdr:colOff>0</xdr:colOff>
      <xdr:row>133</xdr:row>
      <xdr:rowOff>139700</xdr:rowOff>
    </xdr:to>
    <xdr:sp macro="" textlink="">
      <xdr:nvSpPr>
        <xdr:cNvPr id="303905" name="TextBox 1211">
          <a:extLst>
            <a:ext uri="{FF2B5EF4-FFF2-40B4-BE49-F238E27FC236}">
              <a16:creationId xmlns:a16="http://schemas.microsoft.com/office/drawing/2014/main" id="{00000000-0008-0000-2200-000021A30400}"/>
            </a:ext>
          </a:extLst>
        </xdr:cNvPr>
        <xdr:cNvSpPr txBox="1">
          <a:spLocks noChangeArrowheads="1"/>
        </xdr:cNvSpPr>
      </xdr:nvSpPr>
      <xdr:spPr bwMode="auto">
        <a:xfrm>
          <a:off x="3651250" y="39852600"/>
          <a:ext cx="0" cy="39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132</xdr:row>
      <xdr:rowOff>0</xdr:rowOff>
    </xdr:from>
    <xdr:to>
      <xdr:col>2</xdr:col>
      <xdr:colOff>0</xdr:colOff>
      <xdr:row>133</xdr:row>
      <xdr:rowOff>139700</xdr:rowOff>
    </xdr:to>
    <xdr:sp macro="" textlink="">
      <xdr:nvSpPr>
        <xdr:cNvPr id="303906" name="TextBox 1080">
          <a:extLst>
            <a:ext uri="{FF2B5EF4-FFF2-40B4-BE49-F238E27FC236}">
              <a16:creationId xmlns:a16="http://schemas.microsoft.com/office/drawing/2014/main" id="{00000000-0008-0000-2200-000022A30400}"/>
            </a:ext>
          </a:extLst>
        </xdr:cNvPr>
        <xdr:cNvSpPr txBox="1">
          <a:spLocks noChangeArrowheads="1"/>
        </xdr:cNvSpPr>
      </xdr:nvSpPr>
      <xdr:spPr bwMode="auto">
        <a:xfrm>
          <a:off x="3651250" y="39852600"/>
          <a:ext cx="0" cy="39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132</xdr:row>
      <xdr:rowOff>0</xdr:rowOff>
    </xdr:from>
    <xdr:to>
      <xdr:col>2</xdr:col>
      <xdr:colOff>0</xdr:colOff>
      <xdr:row>133</xdr:row>
      <xdr:rowOff>139700</xdr:rowOff>
    </xdr:to>
    <xdr:sp macro="" textlink="">
      <xdr:nvSpPr>
        <xdr:cNvPr id="303907" name="TextBox 1211">
          <a:extLst>
            <a:ext uri="{FF2B5EF4-FFF2-40B4-BE49-F238E27FC236}">
              <a16:creationId xmlns:a16="http://schemas.microsoft.com/office/drawing/2014/main" id="{00000000-0008-0000-2200-000023A30400}"/>
            </a:ext>
          </a:extLst>
        </xdr:cNvPr>
        <xdr:cNvSpPr txBox="1">
          <a:spLocks noChangeArrowheads="1"/>
        </xdr:cNvSpPr>
      </xdr:nvSpPr>
      <xdr:spPr bwMode="auto">
        <a:xfrm>
          <a:off x="3651250" y="39852600"/>
          <a:ext cx="0" cy="39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132</xdr:row>
      <xdr:rowOff>0</xdr:rowOff>
    </xdr:from>
    <xdr:to>
      <xdr:col>2</xdr:col>
      <xdr:colOff>0</xdr:colOff>
      <xdr:row>133</xdr:row>
      <xdr:rowOff>139700</xdr:rowOff>
    </xdr:to>
    <xdr:sp macro="" textlink="">
      <xdr:nvSpPr>
        <xdr:cNvPr id="303908" name="TextBox 1080">
          <a:extLst>
            <a:ext uri="{FF2B5EF4-FFF2-40B4-BE49-F238E27FC236}">
              <a16:creationId xmlns:a16="http://schemas.microsoft.com/office/drawing/2014/main" id="{00000000-0008-0000-2200-000024A30400}"/>
            </a:ext>
          </a:extLst>
        </xdr:cNvPr>
        <xdr:cNvSpPr txBox="1">
          <a:spLocks noChangeArrowheads="1"/>
        </xdr:cNvSpPr>
      </xdr:nvSpPr>
      <xdr:spPr bwMode="auto">
        <a:xfrm>
          <a:off x="3651250" y="39852600"/>
          <a:ext cx="0" cy="39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132</xdr:row>
      <xdr:rowOff>0</xdr:rowOff>
    </xdr:from>
    <xdr:to>
      <xdr:col>2</xdr:col>
      <xdr:colOff>0</xdr:colOff>
      <xdr:row>133</xdr:row>
      <xdr:rowOff>139700</xdr:rowOff>
    </xdr:to>
    <xdr:sp macro="" textlink="">
      <xdr:nvSpPr>
        <xdr:cNvPr id="303909" name="TextBox 1211">
          <a:extLst>
            <a:ext uri="{FF2B5EF4-FFF2-40B4-BE49-F238E27FC236}">
              <a16:creationId xmlns:a16="http://schemas.microsoft.com/office/drawing/2014/main" id="{00000000-0008-0000-2200-000025A30400}"/>
            </a:ext>
          </a:extLst>
        </xdr:cNvPr>
        <xdr:cNvSpPr txBox="1">
          <a:spLocks noChangeArrowheads="1"/>
        </xdr:cNvSpPr>
      </xdr:nvSpPr>
      <xdr:spPr bwMode="auto">
        <a:xfrm>
          <a:off x="3651250" y="39852600"/>
          <a:ext cx="0" cy="39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132</xdr:row>
      <xdr:rowOff>0</xdr:rowOff>
    </xdr:from>
    <xdr:to>
      <xdr:col>2</xdr:col>
      <xdr:colOff>0</xdr:colOff>
      <xdr:row>133</xdr:row>
      <xdr:rowOff>139700</xdr:rowOff>
    </xdr:to>
    <xdr:sp macro="" textlink="">
      <xdr:nvSpPr>
        <xdr:cNvPr id="303910" name="TextBox 1080">
          <a:extLst>
            <a:ext uri="{FF2B5EF4-FFF2-40B4-BE49-F238E27FC236}">
              <a16:creationId xmlns:a16="http://schemas.microsoft.com/office/drawing/2014/main" id="{00000000-0008-0000-2200-000026A30400}"/>
            </a:ext>
          </a:extLst>
        </xdr:cNvPr>
        <xdr:cNvSpPr txBox="1">
          <a:spLocks noChangeArrowheads="1"/>
        </xdr:cNvSpPr>
      </xdr:nvSpPr>
      <xdr:spPr bwMode="auto">
        <a:xfrm>
          <a:off x="3651250" y="39852600"/>
          <a:ext cx="0" cy="39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132</xdr:row>
      <xdr:rowOff>0</xdr:rowOff>
    </xdr:from>
    <xdr:to>
      <xdr:col>2</xdr:col>
      <xdr:colOff>0</xdr:colOff>
      <xdr:row>133</xdr:row>
      <xdr:rowOff>139700</xdr:rowOff>
    </xdr:to>
    <xdr:sp macro="" textlink="">
      <xdr:nvSpPr>
        <xdr:cNvPr id="303911" name="TextBox 1211">
          <a:extLst>
            <a:ext uri="{FF2B5EF4-FFF2-40B4-BE49-F238E27FC236}">
              <a16:creationId xmlns:a16="http://schemas.microsoft.com/office/drawing/2014/main" id="{00000000-0008-0000-2200-000027A30400}"/>
            </a:ext>
          </a:extLst>
        </xdr:cNvPr>
        <xdr:cNvSpPr txBox="1">
          <a:spLocks noChangeArrowheads="1"/>
        </xdr:cNvSpPr>
      </xdr:nvSpPr>
      <xdr:spPr bwMode="auto">
        <a:xfrm>
          <a:off x="3651250" y="39852600"/>
          <a:ext cx="0" cy="39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xdr:row>
      <xdr:rowOff>0</xdr:rowOff>
    </xdr:from>
    <xdr:to>
      <xdr:col>2</xdr:col>
      <xdr:colOff>0</xdr:colOff>
      <xdr:row>84</xdr:row>
      <xdr:rowOff>76200</xdr:rowOff>
    </xdr:to>
    <xdr:sp macro="" textlink="">
      <xdr:nvSpPr>
        <xdr:cNvPr id="303912" name="TextBox 1080">
          <a:extLst>
            <a:ext uri="{FF2B5EF4-FFF2-40B4-BE49-F238E27FC236}">
              <a16:creationId xmlns:a16="http://schemas.microsoft.com/office/drawing/2014/main" id="{00000000-0008-0000-2200-000028A30400}"/>
            </a:ext>
          </a:extLst>
        </xdr:cNvPr>
        <xdr:cNvSpPr txBox="1">
          <a:spLocks noChangeArrowheads="1"/>
        </xdr:cNvSpPr>
      </xdr:nvSpPr>
      <xdr:spPr bwMode="auto">
        <a:xfrm>
          <a:off x="3651250" y="25647650"/>
          <a:ext cx="0" cy="3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xdr:row>
      <xdr:rowOff>0</xdr:rowOff>
    </xdr:from>
    <xdr:to>
      <xdr:col>2</xdr:col>
      <xdr:colOff>0</xdr:colOff>
      <xdr:row>84</xdr:row>
      <xdr:rowOff>76200</xdr:rowOff>
    </xdr:to>
    <xdr:sp macro="" textlink="">
      <xdr:nvSpPr>
        <xdr:cNvPr id="303913" name="TextBox 1211">
          <a:extLst>
            <a:ext uri="{FF2B5EF4-FFF2-40B4-BE49-F238E27FC236}">
              <a16:creationId xmlns:a16="http://schemas.microsoft.com/office/drawing/2014/main" id="{00000000-0008-0000-2200-000029A30400}"/>
            </a:ext>
          </a:extLst>
        </xdr:cNvPr>
        <xdr:cNvSpPr txBox="1">
          <a:spLocks noChangeArrowheads="1"/>
        </xdr:cNvSpPr>
      </xdr:nvSpPr>
      <xdr:spPr bwMode="auto">
        <a:xfrm>
          <a:off x="3651250" y="25647650"/>
          <a:ext cx="0" cy="3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xdr:row>
      <xdr:rowOff>0</xdr:rowOff>
    </xdr:from>
    <xdr:to>
      <xdr:col>2</xdr:col>
      <xdr:colOff>0</xdr:colOff>
      <xdr:row>84</xdr:row>
      <xdr:rowOff>76200</xdr:rowOff>
    </xdr:to>
    <xdr:sp macro="" textlink="">
      <xdr:nvSpPr>
        <xdr:cNvPr id="303914" name="TextBox 1080">
          <a:extLst>
            <a:ext uri="{FF2B5EF4-FFF2-40B4-BE49-F238E27FC236}">
              <a16:creationId xmlns:a16="http://schemas.microsoft.com/office/drawing/2014/main" id="{00000000-0008-0000-2200-00002AA30400}"/>
            </a:ext>
          </a:extLst>
        </xdr:cNvPr>
        <xdr:cNvSpPr txBox="1">
          <a:spLocks noChangeArrowheads="1"/>
        </xdr:cNvSpPr>
      </xdr:nvSpPr>
      <xdr:spPr bwMode="auto">
        <a:xfrm>
          <a:off x="3651250" y="25647650"/>
          <a:ext cx="0" cy="3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xdr:row>
      <xdr:rowOff>0</xdr:rowOff>
    </xdr:from>
    <xdr:to>
      <xdr:col>2</xdr:col>
      <xdr:colOff>0</xdr:colOff>
      <xdr:row>84</xdr:row>
      <xdr:rowOff>76200</xdr:rowOff>
    </xdr:to>
    <xdr:sp macro="" textlink="">
      <xdr:nvSpPr>
        <xdr:cNvPr id="303915" name="TextBox 1211">
          <a:extLst>
            <a:ext uri="{FF2B5EF4-FFF2-40B4-BE49-F238E27FC236}">
              <a16:creationId xmlns:a16="http://schemas.microsoft.com/office/drawing/2014/main" id="{00000000-0008-0000-2200-00002BA30400}"/>
            </a:ext>
          </a:extLst>
        </xdr:cNvPr>
        <xdr:cNvSpPr txBox="1">
          <a:spLocks noChangeArrowheads="1"/>
        </xdr:cNvSpPr>
      </xdr:nvSpPr>
      <xdr:spPr bwMode="auto">
        <a:xfrm>
          <a:off x="3651250" y="25647650"/>
          <a:ext cx="0" cy="3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xdr:row>
      <xdr:rowOff>0</xdr:rowOff>
    </xdr:from>
    <xdr:to>
      <xdr:col>2</xdr:col>
      <xdr:colOff>0</xdr:colOff>
      <xdr:row>84</xdr:row>
      <xdr:rowOff>76200</xdr:rowOff>
    </xdr:to>
    <xdr:sp macro="" textlink="">
      <xdr:nvSpPr>
        <xdr:cNvPr id="303916" name="TextBox 1080">
          <a:extLst>
            <a:ext uri="{FF2B5EF4-FFF2-40B4-BE49-F238E27FC236}">
              <a16:creationId xmlns:a16="http://schemas.microsoft.com/office/drawing/2014/main" id="{00000000-0008-0000-2200-00002CA30400}"/>
            </a:ext>
          </a:extLst>
        </xdr:cNvPr>
        <xdr:cNvSpPr txBox="1">
          <a:spLocks noChangeArrowheads="1"/>
        </xdr:cNvSpPr>
      </xdr:nvSpPr>
      <xdr:spPr bwMode="auto">
        <a:xfrm>
          <a:off x="3651250" y="25647650"/>
          <a:ext cx="0" cy="3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xdr:row>
      <xdr:rowOff>0</xdr:rowOff>
    </xdr:from>
    <xdr:to>
      <xdr:col>2</xdr:col>
      <xdr:colOff>0</xdr:colOff>
      <xdr:row>84</xdr:row>
      <xdr:rowOff>76200</xdr:rowOff>
    </xdr:to>
    <xdr:sp macro="" textlink="">
      <xdr:nvSpPr>
        <xdr:cNvPr id="303917" name="TextBox 1211">
          <a:extLst>
            <a:ext uri="{FF2B5EF4-FFF2-40B4-BE49-F238E27FC236}">
              <a16:creationId xmlns:a16="http://schemas.microsoft.com/office/drawing/2014/main" id="{00000000-0008-0000-2200-00002DA30400}"/>
            </a:ext>
          </a:extLst>
        </xdr:cNvPr>
        <xdr:cNvSpPr txBox="1">
          <a:spLocks noChangeArrowheads="1"/>
        </xdr:cNvSpPr>
      </xdr:nvSpPr>
      <xdr:spPr bwMode="auto">
        <a:xfrm>
          <a:off x="3651250" y="25647650"/>
          <a:ext cx="0" cy="3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xdr:row>
      <xdr:rowOff>0</xdr:rowOff>
    </xdr:from>
    <xdr:to>
      <xdr:col>2</xdr:col>
      <xdr:colOff>0</xdr:colOff>
      <xdr:row>84</xdr:row>
      <xdr:rowOff>76200</xdr:rowOff>
    </xdr:to>
    <xdr:sp macro="" textlink="">
      <xdr:nvSpPr>
        <xdr:cNvPr id="303918" name="TextBox 1080">
          <a:extLst>
            <a:ext uri="{FF2B5EF4-FFF2-40B4-BE49-F238E27FC236}">
              <a16:creationId xmlns:a16="http://schemas.microsoft.com/office/drawing/2014/main" id="{00000000-0008-0000-2200-00002EA30400}"/>
            </a:ext>
          </a:extLst>
        </xdr:cNvPr>
        <xdr:cNvSpPr txBox="1">
          <a:spLocks noChangeArrowheads="1"/>
        </xdr:cNvSpPr>
      </xdr:nvSpPr>
      <xdr:spPr bwMode="auto">
        <a:xfrm>
          <a:off x="3651250" y="25647650"/>
          <a:ext cx="0" cy="3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xdr:row>
      <xdr:rowOff>0</xdr:rowOff>
    </xdr:from>
    <xdr:to>
      <xdr:col>2</xdr:col>
      <xdr:colOff>0</xdr:colOff>
      <xdr:row>84</xdr:row>
      <xdr:rowOff>76200</xdr:rowOff>
    </xdr:to>
    <xdr:sp macro="" textlink="">
      <xdr:nvSpPr>
        <xdr:cNvPr id="303919" name="TextBox 1211">
          <a:extLst>
            <a:ext uri="{FF2B5EF4-FFF2-40B4-BE49-F238E27FC236}">
              <a16:creationId xmlns:a16="http://schemas.microsoft.com/office/drawing/2014/main" id="{00000000-0008-0000-2200-00002FA30400}"/>
            </a:ext>
          </a:extLst>
        </xdr:cNvPr>
        <xdr:cNvSpPr txBox="1">
          <a:spLocks noChangeArrowheads="1"/>
        </xdr:cNvSpPr>
      </xdr:nvSpPr>
      <xdr:spPr bwMode="auto">
        <a:xfrm>
          <a:off x="3651250" y="25647650"/>
          <a:ext cx="0" cy="3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xdr:row>
      <xdr:rowOff>0</xdr:rowOff>
    </xdr:from>
    <xdr:to>
      <xdr:col>2</xdr:col>
      <xdr:colOff>0</xdr:colOff>
      <xdr:row>84</xdr:row>
      <xdr:rowOff>107950</xdr:rowOff>
    </xdr:to>
    <xdr:sp macro="" textlink="">
      <xdr:nvSpPr>
        <xdr:cNvPr id="303920" name="TextBox 1080">
          <a:extLst>
            <a:ext uri="{FF2B5EF4-FFF2-40B4-BE49-F238E27FC236}">
              <a16:creationId xmlns:a16="http://schemas.microsoft.com/office/drawing/2014/main" id="{00000000-0008-0000-2200-000030A30400}"/>
            </a:ext>
          </a:extLst>
        </xdr:cNvPr>
        <xdr:cNvSpPr txBox="1">
          <a:spLocks noChangeArrowheads="1"/>
        </xdr:cNvSpPr>
      </xdr:nvSpPr>
      <xdr:spPr bwMode="auto">
        <a:xfrm>
          <a:off x="3651250" y="25647650"/>
          <a:ext cx="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xdr:row>
      <xdr:rowOff>0</xdr:rowOff>
    </xdr:from>
    <xdr:to>
      <xdr:col>2</xdr:col>
      <xdr:colOff>0</xdr:colOff>
      <xdr:row>84</xdr:row>
      <xdr:rowOff>107950</xdr:rowOff>
    </xdr:to>
    <xdr:sp macro="" textlink="">
      <xdr:nvSpPr>
        <xdr:cNvPr id="303921" name="TextBox 1211">
          <a:extLst>
            <a:ext uri="{FF2B5EF4-FFF2-40B4-BE49-F238E27FC236}">
              <a16:creationId xmlns:a16="http://schemas.microsoft.com/office/drawing/2014/main" id="{00000000-0008-0000-2200-000031A30400}"/>
            </a:ext>
          </a:extLst>
        </xdr:cNvPr>
        <xdr:cNvSpPr txBox="1">
          <a:spLocks noChangeArrowheads="1"/>
        </xdr:cNvSpPr>
      </xdr:nvSpPr>
      <xdr:spPr bwMode="auto">
        <a:xfrm>
          <a:off x="3651250" y="25647650"/>
          <a:ext cx="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xdr:row>
      <xdr:rowOff>0</xdr:rowOff>
    </xdr:from>
    <xdr:to>
      <xdr:col>2</xdr:col>
      <xdr:colOff>0</xdr:colOff>
      <xdr:row>84</xdr:row>
      <xdr:rowOff>107950</xdr:rowOff>
    </xdr:to>
    <xdr:sp macro="" textlink="">
      <xdr:nvSpPr>
        <xdr:cNvPr id="303922" name="TextBox 1080">
          <a:extLst>
            <a:ext uri="{FF2B5EF4-FFF2-40B4-BE49-F238E27FC236}">
              <a16:creationId xmlns:a16="http://schemas.microsoft.com/office/drawing/2014/main" id="{00000000-0008-0000-2200-000032A30400}"/>
            </a:ext>
          </a:extLst>
        </xdr:cNvPr>
        <xdr:cNvSpPr txBox="1">
          <a:spLocks noChangeArrowheads="1"/>
        </xdr:cNvSpPr>
      </xdr:nvSpPr>
      <xdr:spPr bwMode="auto">
        <a:xfrm>
          <a:off x="3651250" y="25647650"/>
          <a:ext cx="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xdr:row>
      <xdr:rowOff>0</xdr:rowOff>
    </xdr:from>
    <xdr:to>
      <xdr:col>2</xdr:col>
      <xdr:colOff>0</xdr:colOff>
      <xdr:row>84</xdr:row>
      <xdr:rowOff>107950</xdr:rowOff>
    </xdr:to>
    <xdr:sp macro="" textlink="">
      <xdr:nvSpPr>
        <xdr:cNvPr id="303923" name="TextBox 1211">
          <a:extLst>
            <a:ext uri="{FF2B5EF4-FFF2-40B4-BE49-F238E27FC236}">
              <a16:creationId xmlns:a16="http://schemas.microsoft.com/office/drawing/2014/main" id="{00000000-0008-0000-2200-000033A30400}"/>
            </a:ext>
          </a:extLst>
        </xdr:cNvPr>
        <xdr:cNvSpPr txBox="1">
          <a:spLocks noChangeArrowheads="1"/>
        </xdr:cNvSpPr>
      </xdr:nvSpPr>
      <xdr:spPr bwMode="auto">
        <a:xfrm>
          <a:off x="3651250" y="25647650"/>
          <a:ext cx="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xdr:row>
      <xdr:rowOff>0</xdr:rowOff>
    </xdr:from>
    <xdr:to>
      <xdr:col>2</xdr:col>
      <xdr:colOff>0</xdr:colOff>
      <xdr:row>84</xdr:row>
      <xdr:rowOff>107950</xdr:rowOff>
    </xdr:to>
    <xdr:sp macro="" textlink="">
      <xdr:nvSpPr>
        <xdr:cNvPr id="303924" name="TextBox 1080">
          <a:extLst>
            <a:ext uri="{FF2B5EF4-FFF2-40B4-BE49-F238E27FC236}">
              <a16:creationId xmlns:a16="http://schemas.microsoft.com/office/drawing/2014/main" id="{00000000-0008-0000-2200-000034A30400}"/>
            </a:ext>
          </a:extLst>
        </xdr:cNvPr>
        <xdr:cNvSpPr txBox="1">
          <a:spLocks noChangeArrowheads="1"/>
        </xdr:cNvSpPr>
      </xdr:nvSpPr>
      <xdr:spPr bwMode="auto">
        <a:xfrm>
          <a:off x="3651250" y="25647650"/>
          <a:ext cx="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xdr:row>
      <xdr:rowOff>0</xdr:rowOff>
    </xdr:from>
    <xdr:to>
      <xdr:col>2</xdr:col>
      <xdr:colOff>0</xdr:colOff>
      <xdr:row>84</xdr:row>
      <xdr:rowOff>107950</xdr:rowOff>
    </xdr:to>
    <xdr:sp macro="" textlink="">
      <xdr:nvSpPr>
        <xdr:cNvPr id="303925" name="TextBox 1211">
          <a:extLst>
            <a:ext uri="{FF2B5EF4-FFF2-40B4-BE49-F238E27FC236}">
              <a16:creationId xmlns:a16="http://schemas.microsoft.com/office/drawing/2014/main" id="{00000000-0008-0000-2200-000035A30400}"/>
            </a:ext>
          </a:extLst>
        </xdr:cNvPr>
        <xdr:cNvSpPr txBox="1">
          <a:spLocks noChangeArrowheads="1"/>
        </xdr:cNvSpPr>
      </xdr:nvSpPr>
      <xdr:spPr bwMode="auto">
        <a:xfrm>
          <a:off x="3651250" y="25647650"/>
          <a:ext cx="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xdr:row>
      <xdr:rowOff>0</xdr:rowOff>
    </xdr:from>
    <xdr:to>
      <xdr:col>2</xdr:col>
      <xdr:colOff>0</xdr:colOff>
      <xdr:row>84</xdr:row>
      <xdr:rowOff>107950</xdr:rowOff>
    </xdr:to>
    <xdr:sp macro="" textlink="">
      <xdr:nvSpPr>
        <xdr:cNvPr id="303926" name="TextBox 1080">
          <a:extLst>
            <a:ext uri="{FF2B5EF4-FFF2-40B4-BE49-F238E27FC236}">
              <a16:creationId xmlns:a16="http://schemas.microsoft.com/office/drawing/2014/main" id="{00000000-0008-0000-2200-000036A30400}"/>
            </a:ext>
          </a:extLst>
        </xdr:cNvPr>
        <xdr:cNvSpPr txBox="1">
          <a:spLocks noChangeArrowheads="1"/>
        </xdr:cNvSpPr>
      </xdr:nvSpPr>
      <xdr:spPr bwMode="auto">
        <a:xfrm>
          <a:off x="3651250" y="25647650"/>
          <a:ext cx="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xdr:row>
      <xdr:rowOff>0</xdr:rowOff>
    </xdr:from>
    <xdr:to>
      <xdr:col>2</xdr:col>
      <xdr:colOff>0</xdr:colOff>
      <xdr:row>84</xdr:row>
      <xdr:rowOff>107950</xdr:rowOff>
    </xdr:to>
    <xdr:sp macro="" textlink="">
      <xdr:nvSpPr>
        <xdr:cNvPr id="303927" name="TextBox 1211">
          <a:extLst>
            <a:ext uri="{FF2B5EF4-FFF2-40B4-BE49-F238E27FC236}">
              <a16:creationId xmlns:a16="http://schemas.microsoft.com/office/drawing/2014/main" id="{00000000-0008-0000-2200-000037A30400}"/>
            </a:ext>
          </a:extLst>
        </xdr:cNvPr>
        <xdr:cNvSpPr txBox="1">
          <a:spLocks noChangeArrowheads="1"/>
        </xdr:cNvSpPr>
      </xdr:nvSpPr>
      <xdr:spPr bwMode="auto">
        <a:xfrm>
          <a:off x="3651250" y="25647650"/>
          <a:ext cx="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xdr:row>
      <xdr:rowOff>0</xdr:rowOff>
    </xdr:from>
    <xdr:to>
      <xdr:col>2</xdr:col>
      <xdr:colOff>0</xdr:colOff>
      <xdr:row>84</xdr:row>
      <xdr:rowOff>82550</xdr:rowOff>
    </xdr:to>
    <xdr:sp macro="" textlink="">
      <xdr:nvSpPr>
        <xdr:cNvPr id="303928" name="TextBox 1080">
          <a:extLst>
            <a:ext uri="{FF2B5EF4-FFF2-40B4-BE49-F238E27FC236}">
              <a16:creationId xmlns:a16="http://schemas.microsoft.com/office/drawing/2014/main" id="{00000000-0008-0000-2200-000038A30400}"/>
            </a:ext>
          </a:extLst>
        </xdr:cNvPr>
        <xdr:cNvSpPr txBox="1">
          <a:spLocks noChangeArrowheads="1"/>
        </xdr:cNvSpPr>
      </xdr:nvSpPr>
      <xdr:spPr bwMode="auto">
        <a:xfrm>
          <a:off x="3651250" y="25647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xdr:row>
      <xdr:rowOff>0</xdr:rowOff>
    </xdr:from>
    <xdr:to>
      <xdr:col>2</xdr:col>
      <xdr:colOff>0</xdr:colOff>
      <xdr:row>84</xdr:row>
      <xdr:rowOff>82550</xdr:rowOff>
    </xdr:to>
    <xdr:sp macro="" textlink="">
      <xdr:nvSpPr>
        <xdr:cNvPr id="303929" name="TextBox 1211">
          <a:extLst>
            <a:ext uri="{FF2B5EF4-FFF2-40B4-BE49-F238E27FC236}">
              <a16:creationId xmlns:a16="http://schemas.microsoft.com/office/drawing/2014/main" id="{00000000-0008-0000-2200-000039A30400}"/>
            </a:ext>
          </a:extLst>
        </xdr:cNvPr>
        <xdr:cNvSpPr txBox="1">
          <a:spLocks noChangeArrowheads="1"/>
        </xdr:cNvSpPr>
      </xdr:nvSpPr>
      <xdr:spPr bwMode="auto">
        <a:xfrm>
          <a:off x="3651250" y="25647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xdr:row>
      <xdr:rowOff>0</xdr:rowOff>
    </xdr:from>
    <xdr:to>
      <xdr:col>2</xdr:col>
      <xdr:colOff>0</xdr:colOff>
      <xdr:row>84</xdr:row>
      <xdr:rowOff>82550</xdr:rowOff>
    </xdr:to>
    <xdr:sp macro="" textlink="">
      <xdr:nvSpPr>
        <xdr:cNvPr id="303930" name="TextBox 1080">
          <a:extLst>
            <a:ext uri="{FF2B5EF4-FFF2-40B4-BE49-F238E27FC236}">
              <a16:creationId xmlns:a16="http://schemas.microsoft.com/office/drawing/2014/main" id="{00000000-0008-0000-2200-00003AA30400}"/>
            </a:ext>
          </a:extLst>
        </xdr:cNvPr>
        <xdr:cNvSpPr txBox="1">
          <a:spLocks noChangeArrowheads="1"/>
        </xdr:cNvSpPr>
      </xdr:nvSpPr>
      <xdr:spPr bwMode="auto">
        <a:xfrm>
          <a:off x="3651250" y="25647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xdr:row>
      <xdr:rowOff>0</xdr:rowOff>
    </xdr:from>
    <xdr:to>
      <xdr:col>2</xdr:col>
      <xdr:colOff>0</xdr:colOff>
      <xdr:row>84</xdr:row>
      <xdr:rowOff>82550</xdr:rowOff>
    </xdr:to>
    <xdr:sp macro="" textlink="">
      <xdr:nvSpPr>
        <xdr:cNvPr id="303931" name="TextBox 1211">
          <a:extLst>
            <a:ext uri="{FF2B5EF4-FFF2-40B4-BE49-F238E27FC236}">
              <a16:creationId xmlns:a16="http://schemas.microsoft.com/office/drawing/2014/main" id="{00000000-0008-0000-2200-00003BA30400}"/>
            </a:ext>
          </a:extLst>
        </xdr:cNvPr>
        <xdr:cNvSpPr txBox="1">
          <a:spLocks noChangeArrowheads="1"/>
        </xdr:cNvSpPr>
      </xdr:nvSpPr>
      <xdr:spPr bwMode="auto">
        <a:xfrm>
          <a:off x="3651250" y="25647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xdr:row>
      <xdr:rowOff>0</xdr:rowOff>
    </xdr:from>
    <xdr:to>
      <xdr:col>2</xdr:col>
      <xdr:colOff>0</xdr:colOff>
      <xdr:row>84</xdr:row>
      <xdr:rowOff>82550</xdr:rowOff>
    </xdr:to>
    <xdr:sp macro="" textlink="">
      <xdr:nvSpPr>
        <xdr:cNvPr id="303932" name="TextBox 1080">
          <a:extLst>
            <a:ext uri="{FF2B5EF4-FFF2-40B4-BE49-F238E27FC236}">
              <a16:creationId xmlns:a16="http://schemas.microsoft.com/office/drawing/2014/main" id="{00000000-0008-0000-2200-00003CA30400}"/>
            </a:ext>
          </a:extLst>
        </xdr:cNvPr>
        <xdr:cNvSpPr txBox="1">
          <a:spLocks noChangeArrowheads="1"/>
        </xdr:cNvSpPr>
      </xdr:nvSpPr>
      <xdr:spPr bwMode="auto">
        <a:xfrm>
          <a:off x="3651250" y="25647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xdr:row>
      <xdr:rowOff>0</xdr:rowOff>
    </xdr:from>
    <xdr:to>
      <xdr:col>2</xdr:col>
      <xdr:colOff>0</xdr:colOff>
      <xdr:row>84</xdr:row>
      <xdr:rowOff>82550</xdr:rowOff>
    </xdr:to>
    <xdr:sp macro="" textlink="">
      <xdr:nvSpPr>
        <xdr:cNvPr id="303933" name="TextBox 1211">
          <a:extLst>
            <a:ext uri="{FF2B5EF4-FFF2-40B4-BE49-F238E27FC236}">
              <a16:creationId xmlns:a16="http://schemas.microsoft.com/office/drawing/2014/main" id="{00000000-0008-0000-2200-00003DA30400}"/>
            </a:ext>
          </a:extLst>
        </xdr:cNvPr>
        <xdr:cNvSpPr txBox="1">
          <a:spLocks noChangeArrowheads="1"/>
        </xdr:cNvSpPr>
      </xdr:nvSpPr>
      <xdr:spPr bwMode="auto">
        <a:xfrm>
          <a:off x="3651250" y="25647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xdr:row>
      <xdr:rowOff>0</xdr:rowOff>
    </xdr:from>
    <xdr:to>
      <xdr:col>2</xdr:col>
      <xdr:colOff>0</xdr:colOff>
      <xdr:row>84</xdr:row>
      <xdr:rowOff>82550</xdr:rowOff>
    </xdr:to>
    <xdr:sp macro="" textlink="">
      <xdr:nvSpPr>
        <xdr:cNvPr id="303934" name="TextBox 1080">
          <a:extLst>
            <a:ext uri="{FF2B5EF4-FFF2-40B4-BE49-F238E27FC236}">
              <a16:creationId xmlns:a16="http://schemas.microsoft.com/office/drawing/2014/main" id="{00000000-0008-0000-2200-00003EA30400}"/>
            </a:ext>
          </a:extLst>
        </xdr:cNvPr>
        <xdr:cNvSpPr txBox="1">
          <a:spLocks noChangeArrowheads="1"/>
        </xdr:cNvSpPr>
      </xdr:nvSpPr>
      <xdr:spPr bwMode="auto">
        <a:xfrm>
          <a:off x="3651250" y="25647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xdr:row>
      <xdr:rowOff>0</xdr:rowOff>
    </xdr:from>
    <xdr:to>
      <xdr:col>2</xdr:col>
      <xdr:colOff>0</xdr:colOff>
      <xdr:row>84</xdr:row>
      <xdr:rowOff>82550</xdr:rowOff>
    </xdr:to>
    <xdr:sp macro="" textlink="">
      <xdr:nvSpPr>
        <xdr:cNvPr id="303935" name="TextBox 1211">
          <a:extLst>
            <a:ext uri="{FF2B5EF4-FFF2-40B4-BE49-F238E27FC236}">
              <a16:creationId xmlns:a16="http://schemas.microsoft.com/office/drawing/2014/main" id="{00000000-0008-0000-2200-00003FA30400}"/>
            </a:ext>
          </a:extLst>
        </xdr:cNvPr>
        <xdr:cNvSpPr txBox="1">
          <a:spLocks noChangeArrowheads="1"/>
        </xdr:cNvSpPr>
      </xdr:nvSpPr>
      <xdr:spPr bwMode="auto">
        <a:xfrm>
          <a:off x="3651250" y="25647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62</xdr:row>
      <xdr:rowOff>177800</xdr:rowOff>
    </xdr:to>
    <xdr:sp macro="" textlink="">
      <xdr:nvSpPr>
        <xdr:cNvPr id="303936" name="TextBox 1080">
          <a:extLst>
            <a:ext uri="{FF2B5EF4-FFF2-40B4-BE49-F238E27FC236}">
              <a16:creationId xmlns:a16="http://schemas.microsoft.com/office/drawing/2014/main" id="{00000000-0008-0000-2200-000040A30400}"/>
            </a:ext>
          </a:extLst>
        </xdr:cNvPr>
        <xdr:cNvSpPr txBox="1">
          <a:spLocks noChangeArrowheads="1"/>
        </xdr:cNvSpPr>
      </xdr:nvSpPr>
      <xdr:spPr bwMode="auto">
        <a:xfrm>
          <a:off x="3651250" y="193738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62</xdr:row>
      <xdr:rowOff>177800</xdr:rowOff>
    </xdr:to>
    <xdr:sp macro="" textlink="">
      <xdr:nvSpPr>
        <xdr:cNvPr id="303937" name="TextBox 1211">
          <a:extLst>
            <a:ext uri="{FF2B5EF4-FFF2-40B4-BE49-F238E27FC236}">
              <a16:creationId xmlns:a16="http://schemas.microsoft.com/office/drawing/2014/main" id="{00000000-0008-0000-2200-000041A30400}"/>
            </a:ext>
          </a:extLst>
        </xdr:cNvPr>
        <xdr:cNvSpPr txBox="1">
          <a:spLocks noChangeArrowheads="1"/>
        </xdr:cNvSpPr>
      </xdr:nvSpPr>
      <xdr:spPr bwMode="auto">
        <a:xfrm>
          <a:off x="3651250" y="193738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62</xdr:row>
      <xdr:rowOff>177800</xdr:rowOff>
    </xdr:to>
    <xdr:sp macro="" textlink="">
      <xdr:nvSpPr>
        <xdr:cNvPr id="303938" name="TextBox 1080">
          <a:extLst>
            <a:ext uri="{FF2B5EF4-FFF2-40B4-BE49-F238E27FC236}">
              <a16:creationId xmlns:a16="http://schemas.microsoft.com/office/drawing/2014/main" id="{00000000-0008-0000-2200-000042A30400}"/>
            </a:ext>
          </a:extLst>
        </xdr:cNvPr>
        <xdr:cNvSpPr txBox="1">
          <a:spLocks noChangeArrowheads="1"/>
        </xdr:cNvSpPr>
      </xdr:nvSpPr>
      <xdr:spPr bwMode="auto">
        <a:xfrm>
          <a:off x="3651250" y="193738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62</xdr:row>
      <xdr:rowOff>177800</xdr:rowOff>
    </xdr:to>
    <xdr:sp macro="" textlink="">
      <xdr:nvSpPr>
        <xdr:cNvPr id="303939" name="TextBox 1211">
          <a:extLst>
            <a:ext uri="{FF2B5EF4-FFF2-40B4-BE49-F238E27FC236}">
              <a16:creationId xmlns:a16="http://schemas.microsoft.com/office/drawing/2014/main" id="{00000000-0008-0000-2200-000043A30400}"/>
            </a:ext>
          </a:extLst>
        </xdr:cNvPr>
        <xdr:cNvSpPr txBox="1">
          <a:spLocks noChangeArrowheads="1"/>
        </xdr:cNvSpPr>
      </xdr:nvSpPr>
      <xdr:spPr bwMode="auto">
        <a:xfrm>
          <a:off x="3651250" y="193738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62</xdr:row>
      <xdr:rowOff>177800</xdr:rowOff>
    </xdr:to>
    <xdr:sp macro="" textlink="">
      <xdr:nvSpPr>
        <xdr:cNvPr id="303940" name="TextBox 1080">
          <a:extLst>
            <a:ext uri="{FF2B5EF4-FFF2-40B4-BE49-F238E27FC236}">
              <a16:creationId xmlns:a16="http://schemas.microsoft.com/office/drawing/2014/main" id="{00000000-0008-0000-2200-000044A30400}"/>
            </a:ext>
          </a:extLst>
        </xdr:cNvPr>
        <xdr:cNvSpPr txBox="1">
          <a:spLocks noChangeArrowheads="1"/>
        </xdr:cNvSpPr>
      </xdr:nvSpPr>
      <xdr:spPr bwMode="auto">
        <a:xfrm>
          <a:off x="3651250" y="193738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62</xdr:row>
      <xdr:rowOff>177800</xdr:rowOff>
    </xdr:to>
    <xdr:sp macro="" textlink="">
      <xdr:nvSpPr>
        <xdr:cNvPr id="303941" name="TextBox 1211">
          <a:extLst>
            <a:ext uri="{FF2B5EF4-FFF2-40B4-BE49-F238E27FC236}">
              <a16:creationId xmlns:a16="http://schemas.microsoft.com/office/drawing/2014/main" id="{00000000-0008-0000-2200-000045A30400}"/>
            </a:ext>
          </a:extLst>
        </xdr:cNvPr>
        <xdr:cNvSpPr txBox="1">
          <a:spLocks noChangeArrowheads="1"/>
        </xdr:cNvSpPr>
      </xdr:nvSpPr>
      <xdr:spPr bwMode="auto">
        <a:xfrm>
          <a:off x="3651250" y="193738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62</xdr:row>
      <xdr:rowOff>177800</xdr:rowOff>
    </xdr:to>
    <xdr:sp macro="" textlink="">
      <xdr:nvSpPr>
        <xdr:cNvPr id="303942" name="TextBox 1080">
          <a:extLst>
            <a:ext uri="{FF2B5EF4-FFF2-40B4-BE49-F238E27FC236}">
              <a16:creationId xmlns:a16="http://schemas.microsoft.com/office/drawing/2014/main" id="{00000000-0008-0000-2200-000046A30400}"/>
            </a:ext>
          </a:extLst>
        </xdr:cNvPr>
        <xdr:cNvSpPr txBox="1">
          <a:spLocks noChangeArrowheads="1"/>
        </xdr:cNvSpPr>
      </xdr:nvSpPr>
      <xdr:spPr bwMode="auto">
        <a:xfrm>
          <a:off x="3651250" y="193738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62</xdr:row>
      <xdr:rowOff>177800</xdr:rowOff>
    </xdr:to>
    <xdr:sp macro="" textlink="">
      <xdr:nvSpPr>
        <xdr:cNvPr id="303943" name="TextBox 1211">
          <a:extLst>
            <a:ext uri="{FF2B5EF4-FFF2-40B4-BE49-F238E27FC236}">
              <a16:creationId xmlns:a16="http://schemas.microsoft.com/office/drawing/2014/main" id="{00000000-0008-0000-2200-000047A30400}"/>
            </a:ext>
          </a:extLst>
        </xdr:cNvPr>
        <xdr:cNvSpPr txBox="1">
          <a:spLocks noChangeArrowheads="1"/>
        </xdr:cNvSpPr>
      </xdr:nvSpPr>
      <xdr:spPr bwMode="auto">
        <a:xfrm>
          <a:off x="3651250" y="193738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62</xdr:row>
      <xdr:rowOff>196850</xdr:rowOff>
    </xdr:to>
    <xdr:sp macro="" textlink="">
      <xdr:nvSpPr>
        <xdr:cNvPr id="303944" name="TextBox 1080">
          <a:extLst>
            <a:ext uri="{FF2B5EF4-FFF2-40B4-BE49-F238E27FC236}">
              <a16:creationId xmlns:a16="http://schemas.microsoft.com/office/drawing/2014/main" id="{00000000-0008-0000-2200-000048A30400}"/>
            </a:ext>
          </a:extLst>
        </xdr:cNvPr>
        <xdr:cNvSpPr txBox="1">
          <a:spLocks noChangeArrowheads="1"/>
        </xdr:cNvSpPr>
      </xdr:nvSpPr>
      <xdr:spPr bwMode="auto">
        <a:xfrm>
          <a:off x="3651250" y="19373850"/>
          <a:ext cx="0" cy="39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62</xdr:row>
      <xdr:rowOff>196850</xdr:rowOff>
    </xdr:to>
    <xdr:sp macro="" textlink="">
      <xdr:nvSpPr>
        <xdr:cNvPr id="303945" name="TextBox 1211">
          <a:extLst>
            <a:ext uri="{FF2B5EF4-FFF2-40B4-BE49-F238E27FC236}">
              <a16:creationId xmlns:a16="http://schemas.microsoft.com/office/drawing/2014/main" id="{00000000-0008-0000-2200-000049A30400}"/>
            </a:ext>
          </a:extLst>
        </xdr:cNvPr>
        <xdr:cNvSpPr txBox="1">
          <a:spLocks noChangeArrowheads="1"/>
        </xdr:cNvSpPr>
      </xdr:nvSpPr>
      <xdr:spPr bwMode="auto">
        <a:xfrm>
          <a:off x="3651250" y="19373850"/>
          <a:ext cx="0" cy="39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62</xdr:row>
      <xdr:rowOff>196850</xdr:rowOff>
    </xdr:to>
    <xdr:sp macro="" textlink="">
      <xdr:nvSpPr>
        <xdr:cNvPr id="303946" name="TextBox 1080">
          <a:extLst>
            <a:ext uri="{FF2B5EF4-FFF2-40B4-BE49-F238E27FC236}">
              <a16:creationId xmlns:a16="http://schemas.microsoft.com/office/drawing/2014/main" id="{00000000-0008-0000-2200-00004AA30400}"/>
            </a:ext>
          </a:extLst>
        </xdr:cNvPr>
        <xdr:cNvSpPr txBox="1">
          <a:spLocks noChangeArrowheads="1"/>
        </xdr:cNvSpPr>
      </xdr:nvSpPr>
      <xdr:spPr bwMode="auto">
        <a:xfrm>
          <a:off x="3651250" y="19373850"/>
          <a:ext cx="0" cy="39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62</xdr:row>
      <xdr:rowOff>196850</xdr:rowOff>
    </xdr:to>
    <xdr:sp macro="" textlink="">
      <xdr:nvSpPr>
        <xdr:cNvPr id="303947" name="TextBox 1211">
          <a:extLst>
            <a:ext uri="{FF2B5EF4-FFF2-40B4-BE49-F238E27FC236}">
              <a16:creationId xmlns:a16="http://schemas.microsoft.com/office/drawing/2014/main" id="{00000000-0008-0000-2200-00004BA30400}"/>
            </a:ext>
          </a:extLst>
        </xdr:cNvPr>
        <xdr:cNvSpPr txBox="1">
          <a:spLocks noChangeArrowheads="1"/>
        </xdr:cNvSpPr>
      </xdr:nvSpPr>
      <xdr:spPr bwMode="auto">
        <a:xfrm>
          <a:off x="3651250" y="19373850"/>
          <a:ext cx="0" cy="39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62</xdr:row>
      <xdr:rowOff>196850</xdr:rowOff>
    </xdr:to>
    <xdr:sp macro="" textlink="">
      <xdr:nvSpPr>
        <xdr:cNvPr id="303948" name="TextBox 1080">
          <a:extLst>
            <a:ext uri="{FF2B5EF4-FFF2-40B4-BE49-F238E27FC236}">
              <a16:creationId xmlns:a16="http://schemas.microsoft.com/office/drawing/2014/main" id="{00000000-0008-0000-2200-00004CA30400}"/>
            </a:ext>
          </a:extLst>
        </xdr:cNvPr>
        <xdr:cNvSpPr txBox="1">
          <a:spLocks noChangeArrowheads="1"/>
        </xdr:cNvSpPr>
      </xdr:nvSpPr>
      <xdr:spPr bwMode="auto">
        <a:xfrm>
          <a:off x="3651250" y="19373850"/>
          <a:ext cx="0" cy="39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62</xdr:row>
      <xdr:rowOff>196850</xdr:rowOff>
    </xdr:to>
    <xdr:sp macro="" textlink="">
      <xdr:nvSpPr>
        <xdr:cNvPr id="303949" name="TextBox 1211">
          <a:extLst>
            <a:ext uri="{FF2B5EF4-FFF2-40B4-BE49-F238E27FC236}">
              <a16:creationId xmlns:a16="http://schemas.microsoft.com/office/drawing/2014/main" id="{00000000-0008-0000-2200-00004DA30400}"/>
            </a:ext>
          </a:extLst>
        </xdr:cNvPr>
        <xdr:cNvSpPr txBox="1">
          <a:spLocks noChangeArrowheads="1"/>
        </xdr:cNvSpPr>
      </xdr:nvSpPr>
      <xdr:spPr bwMode="auto">
        <a:xfrm>
          <a:off x="3651250" y="19373850"/>
          <a:ext cx="0" cy="39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62</xdr:row>
      <xdr:rowOff>196850</xdr:rowOff>
    </xdr:to>
    <xdr:sp macro="" textlink="">
      <xdr:nvSpPr>
        <xdr:cNvPr id="303950" name="TextBox 1080">
          <a:extLst>
            <a:ext uri="{FF2B5EF4-FFF2-40B4-BE49-F238E27FC236}">
              <a16:creationId xmlns:a16="http://schemas.microsoft.com/office/drawing/2014/main" id="{00000000-0008-0000-2200-00004EA30400}"/>
            </a:ext>
          </a:extLst>
        </xdr:cNvPr>
        <xdr:cNvSpPr txBox="1">
          <a:spLocks noChangeArrowheads="1"/>
        </xdr:cNvSpPr>
      </xdr:nvSpPr>
      <xdr:spPr bwMode="auto">
        <a:xfrm>
          <a:off x="3651250" y="19373850"/>
          <a:ext cx="0" cy="39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62</xdr:row>
      <xdr:rowOff>196850</xdr:rowOff>
    </xdr:to>
    <xdr:sp macro="" textlink="">
      <xdr:nvSpPr>
        <xdr:cNvPr id="303951" name="TextBox 1211">
          <a:extLst>
            <a:ext uri="{FF2B5EF4-FFF2-40B4-BE49-F238E27FC236}">
              <a16:creationId xmlns:a16="http://schemas.microsoft.com/office/drawing/2014/main" id="{00000000-0008-0000-2200-00004FA30400}"/>
            </a:ext>
          </a:extLst>
        </xdr:cNvPr>
        <xdr:cNvSpPr txBox="1">
          <a:spLocks noChangeArrowheads="1"/>
        </xdr:cNvSpPr>
      </xdr:nvSpPr>
      <xdr:spPr bwMode="auto">
        <a:xfrm>
          <a:off x="3651250" y="19373850"/>
          <a:ext cx="0" cy="39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62</xdr:row>
      <xdr:rowOff>184150</xdr:rowOff>
    </xdr:to>
    <xdr:sp macro="" textlink="">
      <xdr:nvSpPr>
        <xdr:cNvPr id="303952" name="TextBox 1080">
          <a:extLst>
            <a:ext uri="{FF2B5EF4-FFF2-40B4-BE49-F238E27FC236}">
              <a16:creationId xmlns:a16="http://schemas.microsoft.com/office/drawing/2014/main" id="{00000000-0008-0000-2200-000050A30400}"/>
            </a:ext>
          </a:extLst>
        </xdr:cNvPr>
        <xdr:cNvSpPr txBox="1">
          <a:spLocks noChangeArrowheads="1"/>
        </xdr:cNvSpPr>
      </xdr:nvSpPr>
      <xdr:spPr bwMode="auto">
        <a:xfrm>
          <a:off x="3651250" y="193738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62</xdr:row>
      <xdr:rowOff>184150</xdr:rowOff>
    </xdr:to>
    <xdr:sp macro="" textlink="">
      <xdr:nvSpPr>
        <xdr:cNvPr id="303953" name="TextBox 1211">
          <a:extLst>
            <a:ext uri="{FF2B5EF4-FFF2-40B4-BE49-F238E27FC236}">
              <a16:creationId xmlns:a16="http://schemas.microsoft.com/office/drawing/2014/main" id="{00000000-0008-0000-2200-000051A30400}"/>
            </a:ext>
          </a:extLst>
        </xdr:cNvPr>
        <xdr:cNvSpPr txBox="1">
          <a:spLocks noChangeArrowheads="1"/>
        </xdr:cNvSpPr>
      </xdr:nvSpPr>
      <xdr:spPr bwMode="auto">
        <a:xfrm>
          <a:off x="3651250" y="193738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62</xdr:row>
      <xdr:rowOff>184150</xdr:rowOff>
    </xdr:to>
    <xdr:sp macro="" textlink="">
      <xdr:nvSpPr>
        <xdr:cNvPr id="303954" name="TextBox 1080">
          <a:extLst>
            <a:ext uri="{FF2B5EF4-FFF2-40B4-BE49-F238E27FC236}">
              <a16:creationId xmlns:a16="http://schemas.microsoft.com/office/drawing/2014/main" id="{00000000-0008-0000-2200-000052A30400}"/>
            </a:ext>
          </a:extLst>
        </xdr:cNvPr>
        <xdr:cNvSpPr txBox="1">
          <a:spLocks noChangeArrowheads="1"/>
        </xdr:cNvSpPr>
      </xdr:nvSpPr>
      <xdr:spPr bwMode="auto">
        <a:xfrm>
          <a:off x="3651250" y="193738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62</xdr:row>
      <xdr:rowOff>184150</xdr:rowOff>
    </xdr:to>
    <xdr:sp macro="" textlink="">
      <xdr:nvSpPr>
        <xdr:cNvPr id="303955" name="TextBox 1211">
          <a:extLst>
            <a:ext uri="{FF2B5EF4-FFF2-40B4-BE49-F238E27FC236}">
              <a16:creationId xmlns:a16="http://schemas.microsoft.com/office/drawing/2014/main" id="{00000000-0008-0000-2200-000053A30400}"/>
            </a:ext>
          </a:extLst>
        </xdr:cNvPr>
        <xdr:cNvSpPr txBox="1">
          <a:spLocks noChangeArrowheads="1"/>
        </xdr:cNvSpPr>
      </xdr:nvSpPr>
      <xdr:spPr bwMode="auto">
        <a:xfrm>
          <a:off x="3651250" y="193738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62</xdr:row>
      <xdr:rowOff>184150</xdr:rowOff>
    </xdr:to>
    <xdr:sp macro="" textlink="">
      <xdr:nvSpPr>
        <xdr:cNvPr id="303956" name="TextBox 1080">
          <a:extLst>
            <a:ext uri="{FF2B5EF4-FFF2-40B4-BE49-F238E27FC236}">
              <a16:creationId xmlns:a16="http://schemas.microsoft.com/office/drawing/2014/main" id="{00000000-0008-0000-2200-000054A30400}"/>
            </a:ext>
          </a:extLst>
        </xdr:cNvPr>
        <xdr:cNvSpPr txBox="1">
          <a:spLocks noChangeArrowheads="1"/>
        </xdr:cNvSpPr>
      </xdr:nvSpPr>
      <xdr:spPr bwMode="auto">
        <a:xfrm>
          <a:off x="3651250" y="193738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62</xdr:row>
      <xdr:rowOff>184150</xdr:rowOff>
    </xdr:to>
    <xdr:sp macro="" textlink="">
      <xdr:nvSpPr>
        <xdr:cNvPr id="303957" name="TextBox 1211">
          <a:extLst>
            <a:ext uri="{FF2B5EF4-FFF2-40B4-BE49-F238E27FC236}">
              <a16:creationId xmlns:a16="http://schemas.microsoft.com/office/drawing/2014/main" id="{00000000-0008-0000-2200-000055A30400}"/>
            </a:ext>
          </a:extLst>
        </xdr:cNvPr>
        <xdr:cNvSpPr txBox="1">
          <a:spLocks noChangeArrowheads="1"/>
        </xdr:cNvSpPr>
      </xdr:nvSpPr>
      <xdr:spPr bwMode="auto">
        <a:xfrm>
          <a:off x="3651250" y="193738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62</xdr:row>
      <xdr:rowOff>184150</xdr:rowOff>
    </xdr:to>
    <xdr:sp macro="" textlink="">
      <xdr:nvSpPr>
        <xdr:cNvPr id="303958" name="TextBox 1080">
          <a:extLst>
            <a:ext uri="{FF2B5EF4-FFF2-40B4-BE49-F238E27FC236}">
              <a16:creationId xmlns:a16="http://schemas.microsoft.com/office/drawing/2014/main" id="{00000000-0008-0000-2200-000056A30400}"/>
            </a:ext>
          </a:extLst>
        </xdr:cNvPr>
        <xdr:cNvSpPr txBox="1">
          <a:spLocks noChangeArrowheads="1"/>
        </xdr:cNvSpPr>
      </xdr:nvSpPr>
      <xdr:spPr bwMode="auto">
        <a:xfrm>
          <a:off x="3651250" y="193738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xdr:row>
      <xdr:rowOff>0</xdr:rowOff>
    </xdr:from>
    <xdr:to>
      <xdr:col>2</xdr:col>
      <xdr:colOff>0</xdr:colOff>
      <xdr:row>62</xdr:row>
      <xdr:rowOff>184150</xdr:rowOff>
    </xdr:to>
    <xdr:sp macro="" textlink="">
      <xdr:nvSpPr>
        <xdr:cNvPr id="303959" name="TextBox 1211">
          <a:extLst>
            <a:ext uri="{FF2B5EF4-FFF2-40B4-BE49-F238E27FC236}">
              <a16:creationId xmlns:a16="http://schemas.microsoft.com/office/drawing/2014/main" id="{00000000-0008-0000-2200-000057A30400}"/>
            </a:ext>
          </a:extLst>
        </xdr:cNvPr>
        <xdr:cNvSpPr txBox="1">
          <a:spLocks noChangeArrowheads="1"/>
        </xdr:cNvSpPr>
      </xdr:nvSpPr>
      <xdr:spPr bwMode="auto">
        <a:xfrm>
          <a:off x="3651250" y="193738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1355</xdr:row>
      <xdr:rowOff>0</xdr:rowOff>
    </xdr:from>
    <xdr:to>
      <xdr:col>2</xdr:col>
      <xdr:colOff>0</xdr:colOff>
      <xdr:row>1355</xdr:row>
      <xdr:rowOff>787400</xdr:rowOff>
    </xdr:to>
    <xdr:sp macro="" textlink="">
      <xdr:nvSpPr>
        <xdr:cNvPr id="303960" name="TextBox 1080">
          <a:extLst>
            <a:ext uri="{FF2B5EF4-FFF2-40B4-BE49-F238E27FC236}">
              <a16:creationId xmlns:a16="http://schemas.microsoft.com/office/drawing/2014/main" id="{00000000-0008-0000-2200-000058A30400}"/>
            </a:ext>
          </a:extLst>
        </xdr:cNvPr>
        <xdr:cNvSpPr txBox="1">
          <a:spLocks noChangeArrowheads="1"/>
        </xdr:cNvSpPr>
      </xdr:nvSpPr>
      <xdr:spPr bwMode="auto">
        <a:xfrm>
          <a:off x="3651250" y="272021300"/>
          <a:ext cx="0" cy="78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1355</xdr:row>
      <xdr:rowOff>0</xdr:rowOff>
    </xdr:from>
    <xdr:to>
      <xdr:col>2</xdr:col>
      <xdr:colOff>0</xdr:colOff>
      <xdr:row>1355</xdr:row>
      <xdr:rowOff>787400</xdr:rowOff>
    </xdr:to>
    <xdr:sp macro="" textlink="">
      <xdr:nvSpPr>
        <xdr:cNvPr id="303961" name="TextBox 1211">
          <a:extLst>
            <a:ext uri="{FF2B5EF4-FFF2-40B4-BE49-F238E27FC236}">
              <a16:creationId xmlns:a16="http://schemas.microsoft.com/office/drawing/2014/main" id="{00000000-0008-0000-2200-000059A30400}"/>
            </a:ext>
          </a:extLst>
        </xdr:cNvPr>
        <xdr:cNvSpPr txBox="1">
          <a:spLocks noChangeArrowheads="1"/>
        </xdr:cNvSpPr>
      </xdr:nvSpPr>
      <xdr:spPr bwMode="auto">
        <a:xfrm>
          <a:off x="3651250" y="272021300"/>
          <a:ext cx="0" cy="78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1355</xdr:row>
      <xdr:rowOff>0</xdr:rowOff>
    </xdr:from>
    <xdr:to>
      <xdr:col>2</xdr:col>
      <xdr:colOff>0</xdr:colOff>
      <xdr:row>1355</xdr:row>
      <xdr:rowOff>787400</xdr:rowOff>
    </xdr:to>
    <xdr:sp macro="" textlink="">
      <xdr:nvSpPr>
        <xdr:cNvPr id="303962" name="TextBox 1080">
          <a:extLst>
            <a:ext uri="{FF2B5EF4-FFF2-40B4-BE49-F238E27FC236}">
              <a16:creationId xmlns:a16="http://schemas.microsoft.com/office/drawing/2014/main" id="{00000000-0008-0000-2200-00005AA30400}"/>
            </a:ext>
          </a:extLst>
        </xdr:cNvPr>
        <xdr:cNvSpPr txBox="1">
          <a:spLocks noChangeArrowheads="1"/>
        </xdr:cNvSpPr>
      </xdr:nvSpPr>
      <xdr:spPr bwMode="auto">
        <a:xfrm>
          <a:off x="3651250" y="272021300"/>
          <a:ext cx="0" cy="78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1355</xdr:row>
      <xdr:rowOff>0</xdr:rowOff>
    </xdr:from>
    <xdr:to>
      <xdr:col>2</xdr:col>
      <xdr:colOff>0</xdr:colOff>
      <xdr:row>1355</xdr:row>
      <xdr:rowOff>787400</xdr:rowOff>
    </xdr:to>
    <xdr:sp macro="" textlink="">
      <xdr:nvSpPr>
        <xdr:cNvPr id="303963" name="TextBox 1211">
          <a:extLst>
            <a:ext uri="{FF2B5EF4-FFF2-40B4-BE49-F238E27FC236}">
              <a16:creationId xmlns:a16="http://schemas.microsoft.com/office/drawing/2014/main" id="{00000000-0008-0000-2200-00005BA30400}"/>
            </a:ext>
          </a:extLst>
        </xdr:cNvPr>
        <xdr:cNvSpPr txBox="1">
          <a:spLocks noChangeArrowheads="1"/>
        </xdr:cNvSpPr>
      </xdr:nvSpPr>
      <xdr:spPr bwMode="auto">
        <a:xfrm>
          <a:off x="3651250" y="272021300"/>
          <a:ext cx="0" cy="78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1355</xdr:row>
      <xdr:rowOff>0</xdr:rowOff>
    </xdr:from>
    <xdr:to>
      <xdr:col>2</xdr:col>
      <xdr:colOff>0</xdr:colOff>
      <xdr:row>1355</xdr:row>
      <xdr:rowOff>787400</xdr:rowOff>
    </xdr:to>
    <xdr:sp macro="" textlink="">
      <xdr:nvSpPr>
        <xdr:cNvPr id="303964" name="TextBox 1080">
          <a:extLst>
            <a:ext uri="{FF2B5EF4-FFF2-40B4-BE49-F238E27FC236}">
              <a16:creationId xmlns:a16="http://schemas.microsoft.com/office/drawing/2014/main" id="{00000000-0008-0000-2200-00005CA30400}"/>
            </a:ext>
          </a:extLst>
        </xdr:cNvPr>
        <xdr:cNvSpPr txBox="1">
          <a:spLocks noChangeArrowheads="1"/>
        </xdr:cNvSpPr>
      </xdr:nvSpPr>
      <xdr:spPr bwMode="auto">
        <a:xfrm>
          <a:off x="3651250" y="272021300"/>
          <a:ext cx="0" cy="78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1355</xdr:row>
      <xdr:rowOff>0</xdr:rowOff>
    </xdr:from>
    <xdr:to>
      <xdr:col>2</xdr:col>
      <xdr:colOff>0</xdr:colOff>
      <xdr:row>1355</xdr:row>
      <xdr:rowOff>787400</xdr:rowOff>
    </xdr:to>
    <xdr:sp macro="" textlink="">
      <xdr:nvSpPr>
        <xdr:cNvPr id="303965" name="TextBox 1211">
          <a:extLst>
            <a:ext uri="{FF2B5EF4-FFF2-40B4-BE49-F238E27FC236}">
              <a16:creationId xmlns:a16="http://schemas.microsoft.com/office/drawing/2014/main" id="{00000000-0008-0000-2200-00005DA30400}"/>
            </a:ext>
          </a:extLst>
        </xdr:cNvPr>
        <xdr:cNvSpPr txBox="1">
          <a:spLocks noChangeArrowheads="1"/>
        </xdr:cNvSpPr>
      </xdr:nvSpPr>
      <xdr:spPr bwMode="auto">
        <a:xfrm>
          <a:off x="3651250" y="272021300"/>
          <a:ext cx="0" cy="78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1355</xdr:row>
      <xdr:rowOff>0</xdr:rowOff>
    </xdr:from>
    <xdr:to>
      <xdr:col>2</xdr:col>
      <xdr:colOff>0</xdr:colOff>
      <xdr:row>1355</xdr:row>
      <xdr:rowOff>787400</xdr:rowOff>
    </xdr:to>
    <xdr:sp macro="" textlink="">
      <xdr:nvSpPr>
        <xdr:cNvPr id="303966" name="TextBox 1080">
          <a:extLst>
            <a:ext uri="{FF2B5EF4-FFF2-40B4-BE49-F238E27FC236}">
              <a16:creationId xmlns:a16="http://schemas.microsoft.com/office/drawing/2014/main" id="{00000000-0008-0000-2200-00005EA30400}"/>
            </a:ext>
          </a:extLst>
        </xdr:cNvPr>
        <xdr:cNvSpPr txBox="1">
          <a:spLocks noChangeArrowheads="1"/>
        </xdr:cNvSpPr>
      </xdr:nvSpPr>
      <xdr:spPr bwMode="auto">
        <a:xfrm>
          <a:off x="3651250" y="272021300"/>
          <a:ext cx="0" cy="78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1355</xdr:row>
      <xdr:rowOff>0</xdr:rowOff>
    </xdr:from>
    <xdr:to>
      <xdr:col>2</xdr:col>
      <xdr:colOff>0</xdr:colOff>
      <xdr:row>1355</xdr:row>
      <xdr:rowOff>787400</xdr:rowOff>
    </xdr:to>
    <xdr:sp macro="" textlink="">
      <xdr:nvSpPr>
        <xdr:cNvPr id="303967" name="TextBox 1211">
          <a:extLst>
            <a:ext uri="{FF2B5EF4-FFF2-40B4-BE49-F238E27FC236}">
              <a16:creationId xmlns:a16="http://schemas.microsoft.com/office/drawing/2014/main" id="{00000000-0008-0000-2200-00005FA30400}"/>
            </a:ext>
          </a:extLst>
        </xdr:cNvPr>
        <xdr:cNvSpPr txBox="1">
          <a:spLocks noChangeArrowheads="1"/>
        </xdr:cNvSpPr>
      </xdr:nvSpPr>
      <xdr:spPr bwMode="auto">
        <a:xfrm>
          <a:off x="3651250" y="272021300"/>
          <a:ext cx="0" cy="78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1355</xdr:row>
      <xdr:rowOff>0</xdr:rowOff>
    </xdr:from>
    <xdr:to>
      <xdr:col>2</xdr:col>
      <xdr:colOff>0</xdr:colOff>
      <xdr:row>1355</xdr:row>
      <xdr:rowOff>787400</xdr:rowOff>
    </xdr:to>
    <xdr:sp macro="" textlink="">
      <xdr:nvSpPr>
        <xdr:cNvPr id="303968" name="TextBox 1080">
          <a:extLst>
            <a:ext uri="{FF2B5EF4-FFF2-40B4-BE49-F238E27FC236}">
              <a16:creationId xmlns:a16="http://schemas.microsoft.com/office/drawing/2014/main" id="{00000000-0008-0000-2200-000060A30400}"/>
            </a:ext>
          </a:extLst>
        </xdr:cNvPr>
        <xdr:cNvSpPr txBox="1">
          <a:spLocks noChangeArrowheads="1"/>
        </xdr:cNvSpPr>
      </xdr:nvSpPr>
      <xdr:spPr bwMode="auto">
        <a:xfrm>
          <a:off x="3651250" y="272021300"/>
          <a:ext cx="0" cy="78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1355</xdr:row>
      <xdr:rowOff>0</xdr:rowOff>
    </xdr:from>
    <xdr:to>
      <xdr:col>2</xdr:col>
      <xdr:colOff>0</xdr:colOff>
      <xdr:row>1355</xdr:row>
      <xdr:rowOff>787400</xdr:rowOff>
    </xdr:to>
    <xdr:sp macro="" textlink="">
      <xdr:nvSpPr>
        <xdr:cNvPr id="303969" name="TextBox 1211">
          <a:extLst>
            <a:ext uri="{FF2B5EF4-FFF2-40B4-BE49-F238E27FC236}">
              <a16:creationId xmlns:a16="http://schemas.microsoft.com/office/drawing/2014/main" id="{00000000-0008-0000-2200-000061A30400}"/>
            </a:ext>
          </a:extLst>
        </xdr:cNvPr>
        <xdr:cNvSpPr txBox="1">
          <a:spLocks noChangeArrowheads="1"/>
        </xdr:cNvSpPr>
      </xdr:nvSpPr>
      <xdr:spPr bwMode="auto">
        <a:xfrm>
          <a:off x="3651250" y="272021300"/>
          <a:ext cx="0" cy="78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1355</xdr:row>
      <xdr:rowOff>0</xdr:rowOff>
    </xdr:from>
    <xdr:to>
      <xdr:col>2</xdr:col>
      <xdr:colOff>0</xdr:colOff>
      <xdr:row>1355</xdr:row>
      <xdr:rowOff>787400</xdr:rowOff>
    </xdr:to>
    <xdr:sp macro="" textlink="">
      <xdr:nvSpPr>
        <xdr:cNvPr id="303970" name="TextBox 1080">
          <a:extLst>
            <a:ext uri="{FF2B5EF4-FFF2-40B4-BE49-F238E27FC236}">
              <a16:creationId xmlns:a16="http://schemas.microsoft.com/office/drawing/2014/main" id="{00000000-0008-0000-2200-000062A30400}"/>
            </a:ext>
          </a:extLst>
        </xdr:cNvPr>
        <xdr:cNvSpPr txBox="1">
          <a:spLocks noChangeArrowheads="1"/>
        </xdr:cNvSpPr>
      </xdr:nvSpPr>
      <xdr:spPr bwMode="auto">
        <a:xfrm>
          <a:off x="3651250" y="272021300"/>
          <a:ext cx="0" cy="78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1355</xdr:row>
      <xdr:rowOff>0</xdr:rowOff>
    </xdr:from>
    <xdr:to>
      <xdr:col>2</xdr:col>
      <xdr:colOff>0</xdr:colOff>
      <xdr:row>1355</xdr:row>
      <xdr:rowOff>787400</xdr:rowOff>
    </xdr:to>
    <xdr:sp macro="" textlink="">
      <xdr:nvSpPr>
        <xdr:cNvPr id="303971" name="TextBox 1211">
          <a:extLst>
            <a:ext uri="{FF2B5EF4-FFF2-40B4-BE49-F238E27FC236}">
              <a16:creationId xmlns:a16="http://schemas.microsoft.com/office/drawing/2014/main" id="{00000000-0008-0000-2200-000063A30400}"/>
            </a:ext>
          </a:extLst>
        </xdr:cNvPr>
        <xdr:cNvSpPr txBox="1">
          <a:spLocks noChangeArrowheads="1"/>
        </xdr:cNvSpPr>
      </xdr:nvSpPr>
      <xdr:spPr bwMode="auto">
        <a:xfrm>
          <a:off x="3651250" y="272021300"/>
          <a:ext cx="0" cy="78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1355</xdr:row>
      <xdr:rowOff>0</xdr:rowOff>
    </xdr:from>
    <xdr:to>
      <xdr:col>2</xdr:col>
      <xdr:colOff>0</xdr:colOff>
      <xdr:row>1355</xdr:row>
      <xdr:rowOff>615950</xdr:rowOff>
    </xdr:to>
    <xdr:sp macro="" textlink="">
      <xdr:nvSpPr>
        <xdr:cNvPr id="303972" name="TextBox 1080">
          <a:extLst>
            <a:ext uri="{FF2B5EF4-FFF2-40B4-BE49-F238E27FC236}">
              <a16:creationId xmlns:a16="http://schemas.microsoft.com/office/drawing/2014/main" id="{00000000-0008-0000-2200-000064A30400}"/>
            </a:ext>
          </a:extLst>
        </xdr:cNvPr>
        <xdr:cNvSpPr txBox="1">
          <a:spLocks noChangeArrowheads="1"/>
        </xdr:cNvSpPr>
      </xdr:nvSpPr>
      <xdr:spPr bwMode="auto">
        <a:xfrm>
          <a:off x="3651250" y="272021300"/>
          <a:ext cx="0" cy="61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1355</xdr:row>
      <xdr:rowOff>0</xdr:rowOff>
    </xdr:from>
    <xdr:to>
      <xdr:col>2</xdr:col>
      <xdr:colOff>0</xdr:colOff>
      <xdr:row>1355</xdr:row>
      <xdr:rowOff>615950</xdr:rowOff>
    </xdr:to>
    <xdr:sp macro="" textlink="">
      <xdr:nvSpPr>
        <xdr:cNvPr id="303973" name="TextBox 1211">
          <a:extLst>
            <a:ext uri="{FF2B5EF4-FFF2-40B4-BE49-F238E27FC236}">
              <a16:creationId xmlns:a16="http://schemas.microsoft.com/office/drawing/2014/main" id="{00000000-0008-0000-2200-000065A30400}"/>
            </a:ext>
          </a:extLst>
        </xdr:cNvPr>
        <xdr:cNvSpPr txBox="1">
          <a:spLocks noChangeArrowheads="1"/>
        </xdr:cNvSpPr>
      </xdr:nvSpPr>
      <xdr:spPr bwMode="auto">
        <a:xfrm>
          <a:off x="3651250" y="272021300"/>
          <a:ext cx="0" cy="61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1355</xdr:row>
      <xdr:rowOff>0</xdr:rowOff>
    </xdr:from>
    <xdr:to>
      <xdr:col>2</xdr:col>
      <xdr:colOff>0</xdr:colOff>
      <xdr:row>1355</xdr:row>
      <xdr:rowOff>615950</xdr:rowOff>
    </xdr:to>
    <xdr:sp macro="" textlink="">
      <xdr:nvSpPr>
        <xdr:cNvPr id="303974" name="TextBox 1080">
          <a:extLst>
            <a:ext uri="{FF2B5EF4-FFF2-40B4-BE49-F238E27FC236}">
              <a16:creationId xmlns:a16="http://schemas.microsoft.com/office/drawing/2014/main" id="{00000000-0008-0000-2200-000066A30400}"/>
            </a:ext>
          </a:extLst>
        </xdr:cNvPr>
        <xdr:cNvSpPr txBox="1">
          <a:spLocks noChangeArrowheads="1"/>
        </xdr:cNvSpPr>
      </xdr:nvSpPr>
      <xdr:spPr bwMode="auto">
        <a:xfrm>
          <a:off x="3651250" y="272021300"/>
          <a:ext cx="0" cy="61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1355</xdr:row>
      <xdr:rowOff>0</xdr:rowOff>
    </xdr:from>
    <xdr:to>
      <xdr:col>2</xdr:col>
      <xdr:colOff>0</xdr:colOff>
      <xdr:row>1355</xdr:row>
      <xdr:rowOff>615950</xdr:rowOff>
    </xdr:to>
    <xdr:sp macro="" textlink="">
      <xdr:nvSpPr>
        <xdr:cNvPr id="303975" name="TextBox 1211">
          <a:extLst>
            <a:ext uri="{FF2B5EF4-FFF2-40B4-BE49-F238E27FC236}">
              <a16:creationId xmlns:a16="http://schemas.microsoft.com/office/drawing/2014/main" id="{00000000-0008-0000-2200-000067A30400}"/>
            </a:ext>
          </a:extLst>
        </xdr:cNvPr>
        <xdr:cNvSpPr txBox="1">
          <a:spLocks noChangeArrowheads="1"/>
        </xdr:cNvSpPr>
      </xdr:nvSpPr>
      <xdr:spPr bwMode="auto">
        <a:xfrm>
          <a:off x="3651250" y="272021300"/>
          <a:ext cx="0" cy="61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1355</xdr:row>
      <xdr:rowOff>0</xdr:rowOff>
    </xdr:from>
    <xdr:to>
      <xdr:col>2</xdr:col>
      <xdr:colOff>0</xdr:colOff>
      <xdr:row>1355</xdr:row>
      <xdr:rowOff>615950</xdr:rowOff>
    </xdr:to>
    <xdr:sp macro="" textlink="">
      <xdr:nvSpPr>
        <xdr:cNvPr id="303976" name="TextBox 1080">
          <a:extLst>
            <a:ext uri="{FF2B5EF4-FFF2-40B4-BE49-F238E27FC236}">
              <a16:creationId xmlns:a16="http://schemas.microsoft.com/office/drawing/2014/main" id="{00000000-0008-0000-2200-000068A30400}"/>
            </a:ext>
          </a:extLst>
        </xdr:cNvPr>
        <xdr:cNvSpPr txBox="1">
          <a:spLocks noChangeArrowheads="1"/>
        </xdr:cNvSpPr>
      </xdr:nvSpPr>
      <xdr:spPr bwMode="auto">
        <a:xfrm>
          <a:off x="3651250" y="272021300"/>
          <a:ext cx="0" cy="61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1355</xdr:row>
      <xdr:rowOff>0</xdr:rowOff>
    </xdr:from>
    <xdr:to>
      <xdr:col>2</xdr:col>
      <xdr:colOff>0</xdr:colOff>
      <xdr:row>1355</xdr:row>
      <xdr:rowOff>615950</xdr:rowOff>
    </xdr:to>
    <xdr:sp macro="" textlink="">
      <xdr:nvSpPr>
        <xdr:cNvPr id="303977" name="TextBox 1211">
          <a:extLst>
            <a:ext uri="{FF2B5EF4-FFF2-40B4-BE49-F238E27FC236}">
              <a16:creationId xmlns:a16="http://schemas.microsoft.com/office/drawing/2014/main" id="{00000000-0008-0000-2200-000069A30400}"/>
            </a:ext>
          </a:extLst>
        </xdr:cNvPr>
        <xdr:cNvSpPr txBox="1">
          <a:spLocks noChangeArrowheads="1"/>
        </xdr:cNvSpPr>
      </xdr:nvSpPr>
      <xdr:spPr bwMode="auto">
        <a:xfrm>
          <a:off x="3651250" y="272021300"/>
          <a:ext cx="0" cy="61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1355</xdr:row>
      <xdr:rowOff>0</xdr:rowOff>
    </xdr:from>
    <xdr:to>
      <xdr:col>2</xdr:col>
      <xdr:colOff>0</xdr:colOff>
      <xdr:row>1355</xdr:row>
      <xdr:rowOff>615950</xdr:rowOff>
    </xdr:to>
    <xdr:sp macro="" textlink="">
      <xdr:nvSpPr>
        <xdr:cNvPr id="303978" name="TextBox 1080">
          <a:extLst>
            <a:ext uri="{FF2B5EF4-FFF2-40B4-BE49-F238E27FC236}">
              <a16:creationId xmlns:a16="http://schemas.microsoft.com/office/drawing/2014/main" id="{00000000-0008-0000-2200-00006AA30400}"/>
            </a:ext>
          </a:extLst>
        </xdr:cNvPr>
        <xdr:cNvSpPr txBox="1">
          <a:spLocks noChangeArrowheads="1"/>
        </xdr:cNvSpPr>
      </xdr:nvSpPr>
      <xdr:spPr bwMode="auto">
        <a:xfrm>
          <a:off x="3651250" y="272021300"/>
          <a:ext cx="0" cy="61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1355</xdr:row>
      <xdr:rowOff>0</xdr:rowOff>
    </xdr:from>
    <xdr:to>
      <xdr:col>2</xdr:col>
      <xdr:colOff>0</xdr:colOff>
      <xdr:row>1355</xdr:row>
      <xdr:rowOff>615950</xdr:rowOff>
    </xdr:to>
    <xdr:sp macro="" textlink="">
      <xdr:nvSpPr>
        <xdr:cNvPr id="303979" name="TextBox 1211">
          <a:extLst>
            <a:ext uri="{FF2B5EF4-FFF2-40B4-BE49-F238E27FC236}">
              <a16:creationId xmlns:a16="http://schemas.microsoft.com/office/drawing/2014/main" id="{00000000-0008-0000-2200-00006BA30400}"/>
            </a:ext>
          </a:extLst>
        </xdr:cNvPr>
        <xdr:cNvSpPr txBox="1">
          <a:spLocks noChangeArrowheads="1"/>
        </xdr:cNvSpPr>
      </xdr:nvSpPr>
      <xdr:spPr bwMode="auto">
        <a:xfrm>
          <a:off x="3651250" y="272021300"/>
          <a:ext cx="0" cy="61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1372</xdr:row>
      <xdr:rowOff>0</xdr:rowOff>
    </xdr:from>
    <xdr:to>
      <xdr:col>2</xdr:col>
      <xdr:colOff>0</xdr:colOff>
      <xdr:row>1374</xdr:row>
      <xdr:rowOff>76200</xdr:rowOff>
    </xdr:to>
    <xdr:sp macro="" textlink="">
      <xdr:nvSpPr>
        <xdr:cNvPr id="303980" name="TextBox 1080">
          <a:extLst>
            <a:ext uri="{FF2B5EF4-FFF2-40B4-BE49-F238E27FC236}">
              <a16:creationId xmlns:a16="http://schemas.microsoft.com/office/drawing/2014/main" id="{00000000-0008-0000-2200-00006CA30400}"/>
            </a:ext>
          </a:extLst>
        </xdr:cNvPr>
        <xdr:cNvSpPr txBox="1">
          <a:spLocks noChangeArrowheads="1"/>
        </xdr:cNvSpPr>
      </xdr:nvSpPr>
      <xdr:spPr bwMode="auto">
        <a:xfrm>
          <a:off x="3651250" y="276428200"/>
          <a:ext cx="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1372</xdr:row>
      <xdr:rowOff>0</xdr:rowOff>
    </xdr:from>
    <xdr:to>
      <xdr:col>2</xdr:col>
      <xdr:colOff>0</xdr:colOff>
      <xdr:row>1374</xdr:row>
      <xdr:rowOff>76200</xdr:rowOff>
    </xdr:to>
    <xdr:sp macro="" textlink="">
      <xdr:nvSpPr>
        <xdr:cNvPr id="303981" name="TextBox 1211">
          <a:extLst>
            <a:ext uri="{FF2B5EF4-FFF2-40B4-BE49-F238E27FC236}">
              <a16:creationId xmlns:a16="http://schemas.microsoft.com/office/drawing/2014/main" id="{00000000-0008-0000-2200-00006DA30400}"/>
            </a:ext>
          </a:extLst>
        </xdr:cNvPr>
        <xdr:cNvSpPr txBox="1">
          <a:spLocks noChangeArrowheads="1"/>
        </xdr:cNvSpPr>
      </xdr:nvSpPr>
      <xdr:spPr bwMode="auto">
        <a:xfrm>
          <a:off x="3651250" y="276428200"/>
          <a:ext cx="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1372</xdr:row>
      <xdr:rowOff>0</xdr:rowOff>
    </xdr:from>
    <xdr:to>
      <xdr:col>2</xdr:col>
      <xdr:colOff>0</xdr:colOff>
      <xdr:row>1374</xdr:row>
      <xdr:rowOff>76200</xdr:rowOff>
    </xdr:to>
    <xdr:sp macro="" textlink="">
      <xdr:nvSpPr>
        <xdr:cNvPr id="303982" name="TextBox 1080">
          <a:extLst>
            <a:ext uri="{FF2B5EF4-FFF2-40B4-BE49-F238E27FC236}">
              <a16:creationId xmlns:a16="http://schemas.microsoft.com/office/drawing/2014/main" id="{00000000-0008-0000-2200-00006EA30400}"/>
            </a:ext>
          </a:extLst>
        </xdr:cNvPr>
        <xdr:cNvSpPr txBox="1">
          <a:spLocks noChangeArrowheads="1"/>
        </xdr:cNvSpPr>
      </xdr:nvSpPr>
      <xdr:spPr bwMode="auto">
        <a:xfrm>
          <a:off x="3651250" y="276428200"/>
          <a:ext cx="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1372</xdr:row>
      <xdr:rowOff>0</xdr:rowOff>
    </xdr:from>
    <xdr:to>
      <xdr:col>2</xdr:col>
      <xdr:colOff>0</xdr:colOff>
      <xdr:row>1374</xdr:row>
      <xdr:rowOff>76200</xdr:rowOff>
    </xdr:to>
    <xdr:sp macro="" textlink="">
      <xdr:nvSpPr>
        <xdr:cNvPr id="303983" name="TextBox 1211">
          <a:extLst>
            <a:ext uri="{FF2B5EF4-FFF2-40B4-BE49-F238E27FC236}">
              <a16:creationId xmlns:a16="http://schemas.microsoft.com/office/drawing/2014/main" id="{00000000-0008-0000-2200-00006FA30400}"/>
            </a:ext>
          </a:extLst>
        </xdr:cNvPr>
        <xdr:cNvSpPr txBox="1">
          <a:spLocks noChangeArrowheads="1"/>
        </xdr:cNvSpPr>
      </xdr:nvSpPr>
      <xdr:spPr bwMode="auto">
        <a:xfrm>
          <a:off x="3651250" y="276428200"/>
          <a:ext cx="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1372</xdr:row>
      <xdr:rowOff>0</xdr:rowOff>
    </xdr:from>
    <xdr:to>
      <xdr:col>2</xdr:col>
      <xdr:colOff>0</xdr:colOff>
      <xdr:row>1374</xdr:row>
      <xdr:rowOff>76200</xdr:rowOff>
    </xdr:to>
    <xdr:sp macro="" textlink="">
      <xdr:nvSpPr>
        <xdr:cNvPr id="303984" name="TextBox 1080">
          <a:extLst>
            <a:ext uri="{FF2B5EF4-FFF2-40B4-BE49-F238E27FC236}">
              <a16:creationId xmlns:a16="http://schemas.microsoft.com/office/drawing/2014/main" id="{00000000-0008-0000-2200-000070A30400}"/>
            </a:ext>
          </a:extLst>
        </xdr:cNvPr>
        <xdr:cNvSpPr txBox="1">
          <a:spLocks noChangeArrowheads="1"/>
        </xdr:cNvSpPr>
      </xdr:nvSpPr>
      <xdr:spPr bwMode="auto">
        <a:xfrm>
          <a:off x="3651250" y="276428200"/>
          <a:ext cx="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1372</xdr:row>
      <xdr:rowOff>0</xdr:rowOff>
    </xdr:from>
    <xdr:to>
      <xdr:col>2</xdr:col>
      <xdr:colOff>0</xdr:colOff>
      <xdr:row>1374</xdr:row>
      <xdr:rowOff>76200</xdr:rowOff>
    </xdr:to>
    <xdr:sp macro="" textlink="">
      <xdr:nvSpPr>
        <xdr:cNvPr id="303985" name="TextBox 1211">
          <a:extLst>
            <a:ext uri="{FF2B5EF4-FFF2-40B4-BE49-F238E27FC236}">
              <a16:creationId xmlns:a16="http://schemas.microsoft.com/office/drawing/2014/main" id="{00000000-0008-0000-2200-000071A30400}"/>
            </a:ext>
          </a:extLst>
        </xdr:cNvPr>
        <xdr:cNvSpPr txBox="1">
          <a:spLocks noChangeArrowheads="1"/>
        </xdr:cNvSpPr>
      </xdr:nvSpPr>
      <xdr:spPr bwMode="auto">
        <a:xfrm>
          <a:off x="3651250" y="276428200"/>
          <a:ext cx="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1372</xdr:row>
      <xdr:rowOff>0</xdr:rowOff>
    </xdr:from>
    <xdr:to>
      <xdr:col>2</xdr:col>
      <xdr:colOff>0</xdr:colOff>
      <xdr:row>1374</xdr:row>
      <xdr:rowOff>76200</xdr:rowOff>
    </xdr:to>
    <xdr:sp macro="" textlink="">
      <xdr:nvSpPr>
        <xdr:cNvPr id="303986" name="TextBox 1080">
          <a:extLst>
            <a:ext uri="{FF2B5EF4-FFF2-40B4-BE49-F238E27FC236}">
              <a16:creationId xmlns:a16="http://schemas.microsoft.com/office/drawing/2014/main" id="{00000000-0008-0000-2200-000072A30400}"/>
            </a:ext>
          </a:extLst>
        </xdr:cNvPr>
        <xdr:cNvSpPr txBox="1">
          <a:spLocks noChangeArrowheads="1"/>
        </xdr:cNvSpPr>
      </xdr:nvSpPr>
      <xdr:spPr bwMode="auto">
        <a:xfrm>
          <a:off x="3651250" y="276428200"/>
          <a:ext cx="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1372</xdr:row>
      <xdr:rowOff>0</xdr:rowOff>
    </xdr:from>
    <xdr:to>
      <xdr:col>2</xdr:col>
      <xdr:colOff>0</xdr:colOff>
      <xdr:row>1374</xdr:row>
      <xdr:rowOff>76200</xdr:rowOff>
    </xdr:to>
    <xdr:sp macro="" textlink="">
      <xdr:nvSpPr>
        <xdr:cNvPr id="303987" name="TextBox 1211">
          <a:extLst>
            <a:ext uri="{FF2B5EF4-FFF2-40B4-BE49-F238E27FC236}">
              <a16:creationId xmlns:a16="http://schemas.microsoft.com/office/drawing/2014/main" id="{00000000-0008-0000-2200-000073A30400}"/>
            </a:ext>
          </a:extLst>
        </xdr:cNvPr>
        <xdr:cNvSpPr txBox="1">
          <a:spLocks noChangeArrowheads="1"/>
        </xdr:cNvSpPr>
      </xdr:nvSpPr>
      <xdr:spPr bwMode="auto">
        <a:xfrm>
          <a:off x="3651250" y="276428200"/>
          <a:ext cx="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1372</xdr:row>
      <xdr:rowOff>0</xdr:rowOff>
    </xdr:from>
    <xdr:to>
      <xdr:col>2</xdr:col>
      <xdr:colOff>0</xdr:colOff>
      <xdr:row>1374</xdr:row>
      <xdr:rowOff>76200</xdr:rowOff>
    </xdr:to>
    <xdr:sp macro="" textlink="">
      <xdr:nvSpPr>
        <xdr:cNvPr id="303988" name="TextBox 1080">
          <a:extLst>
            <a:ext uri="{FF2B5EF4-FFF2-40B4-BE49-F238E27FC236}">
              <a16:creationId xmlns:a16="http://schemas.microsoft.com/office/drawing/2014/main" id="{00000000-0008-0000-2200-000074A30400}"/>
            </a:ext>
          </a:extLst>
        </xdr:cNvPr>
        <xdr:cNvSpPr txBox="1">
          <a:spLocks noChangeArrowheads="1"/>
        </xdr:cNvSpPr>
      </xdr:nvSpPr>
      <xdr:spPr bwMode="auto">
        <a:xfrm>
          <a:off x="3651250" y="276428200"/>
          <a:ext cx="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1372</xdr:row>
      <xdr:rowOff>0</xdr:rowOff>
    </xdr:from>
    <xdr:to>
      <xdr:col>2</xdr:col>
      <xdr:colOff>0</xdr:colOff>
      <xdr:row>1374</xdr:row>
      <xdr:rowOff>76200</xdr:rowOff>
    </xdr:to>
    <xdr:sp macro="" textlink="">
      <xdr:nvSpPr>
        <xdr:cNvPr id="303989" name="TextBox 1211">
          <a:extLst>
            <a:ext uri="{FF2B5EF4-FFF2-40B4-BE49-F238E27FC236}">
              <a16:creationId xmlns:a16="http://schemas.microsoft.com/office/drawing/2014/main" id="{00000000-0008-0000-2200-000075A30400}"/>
            </a:ext>
          </a:extLst>
        </xdr:cNvPr>
        <xdr:cNvSpPr txBox="1">
          <a:spLocks noChangeArrowheads="1"/>
        </xdr:cNvSpPr>
      </xdr:nvSpPr>
      <xdr:spPr bwMode="auto">
        <a:xfrm>
          <a:off x="3651250" y="276428200"/>
          <a:ext cx="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1372</xdr:row>
      <xdr:rowOff>0</xdr:rowOff>
    </xdr:from>
    <xdr:to>
      <xdr:col>2</xdr:col>
      <xdr:colOff>0</xdr:colOff>
      <xdr:row>1374</xdr:row>
      <xdr:rowOff>76200</xdr:rowOff>
    </xdr:to>
    <xdr:sp macro="" textlink="">
      <xdr:nvSpPr>
        <xdr:cNvPr id="303990" name="TextBox 1080">
          <a:extLst>
            <a:ext uri="{FF2B5EF4-FFF2-40B4-BE49-F238E27FC236}">
              <a16:creationId xmlns:a16="http://schemas.microsoft.com/office/drawing/2014/main" id="{00000000-0008-0000-2200-000076A30400}"/>
            </a:ext>
          </a:extLst>
        </xdr:cNvPr>
        <xdr:cNvSpPr txBox="1">
          <a:spLocks noChangeArrowheads="1"/>
        </xdr:cNvSpPr>
      </xdr:nvSpPr>
      <xdr:spPr bwMode="auto">
        <a:xfrm>
          <a:off x="3651250" y="276428200"/>
          <a:ext cx="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1372</xdr:row>
      <xdr:rowOff>0</xdr:rowOff>
    </xdr:from>
    <xdr:to>
      <xdr:col>2</xdr:col>
      <xdr:colOff>0</xdr:colOff>
      <xdr:row>1374</xdr:row>
      <xdr:rowOff>76200</xdr:rowOff>
    </xdr:to>
    <xdr:sp macro="" textlink="">
      <xdr:nvSpPr>
        <xdr:cNvPr id="303991" name="TextBox 1211">
          <a:extLst>
            <a:ext uri="{FF2B5EF4-FFF2-40B4-BE49-F238E27FC236}">
              <a16:creationId xmlns:a16="http://schemas.microsoft.com/office/drawing/2014/main" id="{00000000-0008-0000-2200-000077A30400}"/>
            </a:ext>
          </a:extLst>
        </xdr:cNvPr>
        <xdr:cNvSpPr txBox="1">
          <a:spLocks noChangeArrowheads="1"/>
        </xdr:cNvSpPr>
      </xdr:nvSpPr>
      <xdr:spPr bwMode="auto">
        <a:xfrm>
          <a:off x="3651250" y="276428200"/>
          <a:ext cx="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1372</xdr:row>
      <xdr:rowOff>0</xdr:rowOff>
    </xdr:from>
    <xdr:to>
      <xdr:col>2</xdr:col>
      <xdr:colOff>0</xdr:colOff>
      <xdr:row>1373</xdr:row>
      <xdr:rowOff>190500</xdr:rowOff>
    </xdr:to>
    <xdr:sp macro="" textlink="">
      <xdr:nvSpPr>
        <xdr:cNvPr id="303992" name="TextBox 1080">
          <a:extLst>
            <a:ext uri="{FF2B5EF4-FFF2-40B4-BE49-F238E27FC236}">
              <a16:creationId xmlns:a16="http://schemas.microsoft.com/office/drawing/2014/main" id="{00000000-0008-0000-2200-000078A30400}"/>
            </a:ext>
          </a:extLst>
        </xdr:cNvPr>
        <xdr:cNvSpPr txBox="1">
          <a:spLocks noChangeArrowheads="1"/>
        </xdr:cNvSpPr>
      </xdr:nvSpPr>
      <xdr:spPr bwMode="auto">
        <a:xfrm>
          <a:off x="3651250" y="276428200"/>
          <a:ext cx="0" cy="584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1372</xdr:row>
      <xdr:rowOff>0</xdr:rowOff>
    </xdr:from>
    <xdr:to>
      <xdr:col>2</xdr:col>
      <xdr:colOff>0</xdr:colOff>
      <xdr:row>1373</xdr:row>
      <xdr:rowOff>190500</xdr:rowOff>
    </xdr:to>
    <xdr:sp macro="" textlink="">
      <xdr:nvSpPr>
        <xdr:cNvPr id="303993" name="TextBox 1211">
          <a:extLst>
            <a:ext uri="{FF2B5EF4-FFF2-40B4-BE49-F238E27FC236}">
              <a16:creationId xmlns:a16="http://schemas.microsoft.com/office/drawing/2014/main" id="{00000000-0008-0000-2200-000079A30400}"/>
            </a:ext>
          </a:extLst>
        </xdr:cNvPr>
        <xdr:cNvSpPr txBox="1">
          <a:spLocks noChangeArrowheads="1"/>
        </xdr:cNvSpPr>
      </xdr:nvSpPr>
      <xdr:spPr bwMode="auto">
        <a:xfrm>
          <a:off x="3651250" y="276428200"/>
          <a:ext cx="0" cy="584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1372</xdr:row>
      <xdr:rowOff>0</xdr:rowOff>
    </xdr:from>
    <xdr:to>
      <xdr:col>2</xdr:col>
      <xdr:colOff>0</xdr:colOff>
      <xdr:row>1373</xdr:row>
      <xdr:rowOff>190500</xdr:rowOff>
    </xdr:to>
    <xdr:sp macro="" textlink="">
      <xdr:nvSpPr>
        <xdr:cNvPr id="303994" name="TextBox 1080">
          <a:extLst>
            <a:ext uri="{FF2B5EF4-FFF2-40B4-BE49-F238E27FC236}">
              <a16:creationId xmlns:a16="http://schemas.microsoft.com/office/drawing/2014/main" id="{00000000-0008-0000-2200-00007AA30400}"/>
            </a:ext>
          </a:extLst>
        </xdr:cNvPr>
        <xdr:cNvSpPr txBox="1">
          <a:spLocks noChangeArrowheads="1"/>
        </xdr:cNvSpPr>
      </xdr:nvSpPr>
      <xdr:spPr bwMode="auto">
        <a:xfrm>
          <a:off x="3651250" y="276428200"/>
          <a:ext cx="0" cy="584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1372</xdr:row>
      <xdr:rowOff>0</xdr:rowOff>
    </xdr:from>
    <xdr:to>
      <xdr:col>2</xdr:col>
      <xdr:colOff>0</xdr:colOff>
      <xdr:row>1373</xdr:row>
      <xdr:rowOff>190500</xdr:rowOff>
    </xdr:to>
    <xdr:sp macro="" textlink="">
      <xdr:nvSpPr>
        <xdr:cNvPr id="303995" name="TextBox 1211">
          <a:extLst>
            <a:ext uri="{FF2B5EF4-FFF2-40B4-BE49-F238E27FC236}">
              <a16:creationId xmlns:a16="http://schemas.microsoft.com/office/drawing/2014/main" id="{00000000-0008-0000-2200-00007BA30400}"/>
            </a:ext>
          </a:extLst>
        </xdr:cNvPr>
        <xdr:cNvSpPr txBox="1">
          <a:spLocks noChangeArrowheads="1"/>
        </xdr:cNvSpPr>
      </xdr:nvSpPr>
      <xdr:spPr bwMode="auto">
        <a:xfrm>
          <a:off x="3651250" y="276428200"/>
          <a:ext cx="0" cy="584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1372</xdr:row>
      <xdr:rowOff>0</xdr:rowOff>
    </xdr:from>
    <xdr:to>
      <xdr:col>2</xdr:col>
      <xdr:colOff>0</xdr:colOff>
      <xdr:row>1373</xdr:row>
      <xdr:rowOff>190500</xdr:rowOff>
    </xdr:to>
    <xdr:sp macro="" textlink="">
      <xdr:nvSpPr>
        <xdr:cNvPr id="303996" name="TextBox 1080">
          <a:extLst>
            <a:ext uri="{FF2B5EF4-FFF2-40B4-BE49-F238E27FC236}">
              <a16:creationId xmlns:a16="http://schemas.microsoft.com/office/drawing/2014/main" id="{00000000-0008-0000-2200-00007CA30400}"/>
            </a:ext>
          </a:extLst>
        </xdr:cNvPr>
        <xdr:cNvSpPr txBox="1">
          <a:spLocks noChangeArrowheads="1"/>
        </xdr:cNvSpPr>
      </xdr:nvSpPr>
      <xdr:spPr bwMode="auto">
        <a:xfrm>
          <a:off x="3651250" y="276428200"/>
          <a:ext cx="0" cy="584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1372</xdr:row>
      <xdr:rowOff>0</xdr:rowOff>
    </xdr:from>
    <xdr:to>
      <xdr:col>2</xdr:col>
      <xdr:colOff>0</xdr:colOff>
      <xdr:row>1373</xdr:row>
      <xdr:rowOff>190500</xdr:rowOff>
    </xdr:to>
    <xdr:sp macro="" textlink="">
      <xdr:nvSpPr>
        <xdr:cNvPr id="303997" name="TextBox 1211">
          <a:extLst>
            <a:ext uri="{FF2B5EF4-FFF2-40B4-BE49-F238E27FC236}">
              <a16:creationId xmlns:a16="http://schemas.microsoft.com/office/drawing/2014/main" id="{00000000-0008-0000-2200-00007DA30400}"/>
            </a:ext>
          </a:extLst>
        </xdr:cNvPr>
        <xdr:cNvSpPr txBox="1">
          <a:spLocks noChangeArrowheads="1"/>
        </xdr:cNvSpPr>
      </xdr:nvSpPr>
      <xdr:spPr bwMode="auto">
        <a:xfrm>
          <a:off x="3651250" y="276428200"/>
          <a:ext cx="0" cy="584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1372</xdr:row>
      <xdr:rowOff>0</xdr:rowOff>
    </xdr:from>
    <xdr:to>
      <xdr:col>2</xdr:col>
      <xdr:colOff>0</xdr:colOff>
      <xdr:row>1373</xdr:row>
      <xdr:rowOff>190500</xdr:rowOff>
    </xdr:to>
    <xdr:sp macro="" textlink="">
      <xdr:nvSpPr>
        <xdr:cNvPr id="303998" name="TextBox 1080">
          <a:extLst>
            <a:ext uri="{FF2B5EF4-FFF2-40B4-BE49-F238E27FC236}">
              <a16:creationId xmlns:a16="http://schemas.microsoft.com/office/drawing/2014/main" id="{00000000-0008-0000-2200-00007EA30400}"/>
            </a:ext>
          </a:extLst>
        </xdr:cNvPr>
        <xdr:cNvSpPr txBox="1">
          <a:spLocks noChangeArrowheads="1"/>
        </xdr:cNvSpPr>
      </xdr:nvSpPr>
      <xdr:spPr bwMode="auto">
        <a:xfrm>
          <a:off x="3651250" y="276428200"/>
          <a:ext cx="0" cy="584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1372</xdr:row>
      <xdr:rowOff>0</xdr:rowOff>
    </xdr:from>
    <xdr:to>
      <xdr:col>2</xdr:col>
      <xdr:colOff>0</xdr:colOff>
      <xdr:row>1373</xdr:row>
      <xdr:rowOff>190500</xdr:rowOff>
    </xdr:to>
    <xdr:sp macro="" textlink="">
      <xdr:nvSpPr>
        <xdr:cNvPr id="303999" name="TextBox 1211">
          <a:extLst>
            <a:ext uri="{FF2B5EF4-FFF2-40B4-BE49-F238E27FC236}">
              <a16:creationId xmlns:a16="http://schemas.microsoft.com/office/drawing/2014/main" id="{00000000-0008-0000-2200-00007FA30400}"/>
            </a:ext>
          </a:extLst>
        </xdr:cNvPr>
        <xdr:cNvSpPr txBox="1">
          <a:spLocks noChangeArrowheads="1"/>
        </xdr:cNvSpPr>
      </xdr:nvSpPr>
      <xdr:spPr bwMode="auto">
        <a:xfrm>
          <a:off x="3651250" y="276428200"/>
          <a:ext cx="0" cy="584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1372</xdr:row>
      <xdr:rowOff>0</xdr:rowOff>
    </xdr:from>
    <xdr:to>
      <xdr:col>2</xdr:col>
      <xdr:colOff>0</xdr:colOff>
      <xdr:row>1373</xdr:row>
      <xdr:rowOff>196850</xdr:rowOff>
    </xdr:to>
    <xdr:sp macro="" textlink="">
      <xdr:nvSpPr>
        <xdr:cNvPr id="304000" name="TextBox 1080">
          <a:extLst>
            <a:ext uri="{FF2B5EF4-FFF2-40B4-BE49-F238E27FC236}">
              <a16:creationId xmlns:a16="http://schemas.microsoft.com/office/drawing/2014/main" id="{00000000-0008-0000-2200-000080A30400}"/>
            </a:ext>
          </a:extLst>
        </xdr:cNvPr>
        <xdr:cNvSpPr txBox="1">
          <a:spLocks noChangeArrowheads="1"/>
        </xdr:cNvSpPr>
      </xdr:nvSpPr>
      <xdr:spPr bwMode="auto">
        <a:xfrm>
          <a:off x="3651250" y="276428200"/>
          <a:ext cx="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1372</xdr:row>
      <xdr:rowOff>0</xdr:rowOff>
    </xdr:from>
    <xdr:to>
      <xdr:col>2</xdr:col>
      <xdr:colOff>0</xdr:colOff>
      <xdr:row>1373</xdr:row>
      <xdr:rowOff>196850</xdr:rowOff>
    </xdr:to>
    <xdr:sp macro="" textlink="">
      <xdr:nvSpPr>
        <xdr:cNvPr id="304001" name="TextBox 1211">
          <a:extLst>
            <a:ext uri="{FF2B5EF4-FFF2-40B4-BE49-F238E27FC236}">
              <a16:creationId xmlns:a16="http://schemas.microsoft.com/office/drawing/2014/main" id="{00000000-0008-0000-2200-000081A30400}"/>
            </a:ext>
          </a:extLst>
        </xdr:cNvPr>
        <xdr:cNvSpPr txBox="1">
          <a:spLocks noChangeArrowheads="1"/>
        </xdr:cNvSpPr>
      </xdr:nvSpPr>
      <xdr:spPr bwMode="auto">
        <a:xfrm>
          <a:off x="3651250" y="276428200"/>
          <a:ext cx="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1372</xdr:row>
      <xdr:rowOff>0</xdr:rowOff>
    </xdr:from>
    <xdr:to>
      <xdr:col>2</xdr:col>
      <xdr:colOff>0</xdr:colOff>
      <xdr:row>1373</xdr:row>
      <xdr:rowOff>196850</xdr:rowOff>
    </xdr:to>
    <xdr:sp macro="" textlink="">
      <xdr:nvSpPr>
        <xdr:cNvPr id="304002" name="TextBox 1080">
          <a:extLst>
            <a:ext uri="{FF2B5EF4-FFF2-40B4-BE49-F238E27FC236}">
              <a16:creationId xmlns:a16="http://schemas.microsoft.com/office/drawing/2014/main" id="{00000000-0008-0000-2200-000082A30400}"/>
            </a:ext>
          </a:extLst>
        </xdr:cNvPr>
        <xdr:cNvSpPr txBox="1">
          <a:spLocks noChangeArrowheads="1"/>
        </xdr:cNvSpPr>
      </xdr:nvSpPr>
      <xdr:spPr bwMode="auto">
        <a:xfrm>
          <a:off x="3651250" y="276428200"/>
          <a:ext cx="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1372</xdr:row>
      <xdr:rowOff>0</xdr:rowOff>
    </xdr:from>
    <xdr:to>
      <xdr:col>2</xdr:col>
      <xdr:colOff>0</xdr:colOff>
      <xdr:row>1373</xdr:row>
      <xdr:rowOff>196850</xdr:rowOff>
    </xdr:to>
    <xdr:sp macro="" textlink="">
      <xdr:nvSpPr>
        <xdr:cNvPr id="304003" name="TextBox 1211">
          <a:extLst>
            <a:ext uri="{FF2B5EF4-FFF2-40B4-BE49-F238E27FC236}">
              <a16:creationId xmlns:a16="http://schemas.microsoft.com/office/drawing/2014/main" id="{00000000-0008-0000-2200-000083A30400}"/>
            </a:ext>
          </a:extLst>
        </xdr:cNvPr>
        <xdr:cNvSpPr txBox="1">
          <a:spLocks noChangeArrowheads="1"/>
        </xdr:cNvSpPr>
      </xdr:nvSpPr>
      <xdr:spPr bwMode="auto">
        <a:xfrm>
          <a:off x="3651250" y="276428200"/>
          <a:ext cx="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1372</xdr:row>
      <xdr:rowOff>0</xdr:rowOff>
    </xdr:from>
    <xdr:to>
      <xdr:col>2</xdr:col>
      <xdr:colOff>0</xdr:colOff>
      <xdr:row>1373</xdr:row>
      <xdr:rowOff>196850</xdr:rowOff>
    </xdr:to>
    <xdr:sp macro="" textlink="">
      <xdr:nvSpPr>
        <xdr:cNvPr id="304004" name="TextBox 1080">
          <a:extLst>
            <a:ext uri="{FF2B5EF4-FFF2-40B4-BE49-F238E27FC236}">
              <a16:creationId xmlns:a16="http://schemas.microsoft.com/office/drawing/2014/main" id="{00000000-0008-0000-2200-000084A30400}"/>
            </a:ext>
          </a:extLst>
        </xdr:cNvPr>
        <xdr:cNvSpPr txBox="1">
          <a:spLocks noChangeArrowheads="1"/>
        </xdr:cNvSpPr>
      </xdr:nvSpPr>
      <xdr:spPr bwMode="auto">
        <a:xfrm>
          <a:off x="3651250" y="276428200"/>
          <a:ext cx="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1372</xdr:row>
      <xdr:rowOff>0</xdr:rowOff>
    </xdr:from>
    <xdr:to>
      <xdr:col>2</xdr:col>
      <xdr:colOff>0</xdr:colOff>
      <xdr:row>1373</xdr:row>
      <xdr:rowOff>196850</xdr:rowOff>
    </xdr:to>
    <xdr:sp macro="" textlink="">
      <xdr:nvSpPr>
        <xdr:cNvPr id="304005" name="TextBox 1211">
          <a:extLst>
            <a:ext uri="{FF2B5EF4-FFF2-40B4-BE49-F238E27FC236}">
              <a16:creationId xmlns:a16="http://schemas.microsoft.com/office/drawing/2014/main" id="{00000000-0008-0000-2200-000085A30400}"/>
            </a:ext>
          </a:extLst>
        </xdr:cNvPr>
        <xdr:cNvSpPr txBox="1">
          <a:spLocks noChangeArrowheads="1"/>
        </xdr:cNvSpPr>
      </xdr:nvSpPr>
      <xdr:spPr bwMode="auto">
        <a:xfrm>
          <a:off x="3651250" y="276428200"/>
          <a:ext cx="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1372</xdr:row>
      <xdr:rowOff>0</xdr:rowOff>
    </xdr:from>
    <xdr:to>
      <xdr:col>2</xdr:col>
      <xdr:colOff>0</xdr:colOff>
      <xdr:row>1373</xdr:row>
      <xdr:rowOff>196850</xdr:rowOff>
    </xdr:to>
    <xdr:sp macro="" textlink="">
      <xdr:nvSpPr>
        <xdr:cNvPr id="304006" name="TextBox 1080">
          <a:extLst>
            <a:ext uri="{FF2B5EF4-FFF2-40B4-BE49-F238E27FC236}">
              <a16:creationId xmlns:a16="http://schemas.microsoft.com/office/drawing/2014/main" id="{00000000-0008-0000-2200-000086A30400}"/>
            </a:ext>
          </a:extLst>
        </xdr:cNvPr>
        <xdr:cNvSpPr txBox="1">
          <a:spLocks noChangeArrowheads="1"/>
        </xdr:cNvSpPr>
      </xdr:nvSpPr>
      <xdr:spPr bwMode="auto">
        <a:xfrm>
          <a:off x="3651250" y="276428200"/>
          <a:ext cx="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1372</xdr:row>
      <xdr:rowOff>0</xdr:rowOff>
    </xdr:from>
    <xdr:to>
      <xdr:col>2</xdr:col>
      <xdr:colOff>0</xdr:colOff>
      <xdr:row>1373</xdr:row>
      <xdr:rowOff>196850</xdr:rowOff>
    </xdr:to>
    <xdr:sp macro="" textlink="">
      <xdr:nvSpPr>
        <xdr:cNvPr id="304007" name="TextBox 1211">
          <a:extLst>
            <a:ext uri="{FF2B5EF4-FFF2-40B4-BE49-F238E27FC236}">
              <a16:creationId xmlns:a16="http://schemas.microsoft.com/office/drawing/2014/main" id="{00000000-0008-0000-2200-000087A30400}"/>
            </a:ext>
          </a:extLst>
        </xdr:cNvPr>
        <xdr:cNvSpPr txBox="1">
          <a:spLocks noChangeArrowheads="1"/>
        </xdr:cNvSpPr>
      </xdr:nvSpPr>
      <xdr:spPr bwMode="auto">
        <a:xfrm>
          <a:off x="3651250" y="276428200"/>
          <a:ext cx="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952500</xdr:colOff>
      <xdr:row>1366</xdr:row>
      <xdr:rowOff>0</xdr:rowOff>
    </xdr:from>
    <xdr:to>
      <xdr:col>1</xdr:col>
      <xdr:colOff>952500</xdr:colOff>
      <xdr:row>1367</xdr:row>
      <xdr:rowOff>209550</xdr:rowOff>
    </xdr:to>
    <xdr:sp macro="" textlink="">
      <xdr:nvSpPr>
        <xdr:cNvPr id="304008" name="TextBox 1080">
          <a:extLst>
            <a:ext uri="{FF2B5EF4-FFF2-40B4-BE49-F238E27FC236}">
              <a16:creationId xmlns:a16="http://schemas.microsoft.com/office/drawing/2014/main" id="{00000000-0008-0000-2200-000088A30400}"/>
            </a:ext>
          </a:extLst>
        </xdr:cNvPr>
        <xdr:cNvSpPr txBox="1">
          <a:spLocks noChangeArrowheads="1"/>
        </xdr:cNvSpPr>
      </xdr:nvSpPr>
      <xdr:spPr bwMode="auto">
        <a:xfrm>
          <a:off x="1485900" y="275247100"/>
          <a:ext cx="0" cy="603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952500</xdr:colOff>
      <xdr:row>1366</xdr:row>
      <xdr:rowOff>0</xdr:rowOff>
    </xdr:from>
    <xdr:to>
      <xdr:col>1</xdr:col>
      <xdr:colOff>952500</xdr:colOff>
      <xdr:row>1367</xdr:row>
      <xdr:rowOff>209550</xdr:rowOff>
    </xdr:to>
    <xdr:sp macro="" textlink="">
      <xdr:nvSpPr>
        <xdr:cNvPr id="304009" name="TextBox 1211">
          <a:extLst>
            <a:ext uri="{FF2B5EF4-FFF2-40B4-BE49-F238E27FC236}">
              <a16:creationId xmlns:a16="http://schemas.microsoft.com/office/drawing/2014/main" id="{00000000-0008-0000-2200-000089A30400}"/>
            </a:ext>
          </a:extLst>
        </xdr:cNvPr>
        <xdr:cNvSpPr txBox="1">
          <a:spLocks noChangeArrowheads="1"/>
        </xdr:cNvSpPr>
      </xdr:nvSpPr>
      <xdr:spPr bwMode="auto">
        <a:xfrm>
          <a:off x="1485900" y="275247100"/>
          <a:ext cx="0" cy="603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952500</xdr:colOff>
      <xdr:row>1366</xdr:row>
      <xdr:rowOff>0</xdr:rowOff>
    </xdr:from>
    <xdr:to>
      <xdr:col>1</xdr:col>
      <xdr:colOff>952500</xdr:colOff>
      <xdr:row>1367</xdr:row>
      <xdr:rowOff>209550</xdr:rowOff>
    </xdr:to>
    <xdr:sp macro="" textlink="">
      <xdr:nvSpPr>
        <xdr:cNvPr id="304010" name="TextBox 1080">
          <a:extLst>
            <a:ext uri="{FF2B5EF4-FFF2-40B4-BE49-F238E27FC236}">
              <a16:creationId xmlns:a16="http://schemas.microsoft.com/office/drawing/2014/main" id="{00000000-0008-0000-2200-00008AA30400}"/>
            </a:ext>
          </a:extLst>
        </xdr:cNvPr>
        <xdr:cNvSpPr txBox="1">
          <a:spLocks noChangeArrowheads="1"/>
        </xdr:cNvSpPr>
      </xdr:nvSpPr>
      <xdr:spPr bwMode="auto">
        <a:xfrm>
          <a:off x="1485900" y="275247100"/>
          <a:ext cx="0" cy="603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952500</xdr:colOff>
      <xdr:row>1366</xdr:row>
      <xdr:rowOff>0</xdr:rowOff>
    </xdr:from>
    <xdr:to>
      <xdr:col>1</xdr:col>
      <xdr:colOff>952500</xdr:colOff>
      <xdr:row>1367</xdr:row>
      <xdr:rowOff>209550</xdr:rowOff>
    </xdr:to>
    <xdr:sp macro="" textlink="">
      <xdr:nvSpPr>
        <xdr:cNvPr id="304011" name="TextBox 1211">
          <a:extLst>
            <a:ext uri="{FF2B5EF4-FFF2-40B4-BE49-F238E27FC236}">
              <a16:creationId xmlns:a16="http://schemas.microsoft.com/office/drawing/2014/main" id="{00000000-0008-0000-2200-00008BA30400}"/>
            </a:ext>
          </a:extLst>
        </xdr:cNvPr>
        <xdr:cNvSpPr txBox="1">
          <a:spLocks noChangeArrowheads="1"/>
        </xdr:cNvSpPr>
      </xdr:nvSpPr>
      <xdr:spPr bwMode="auto">
        <a:xfrm>
          <a:off x="1485900" y="275247100"/>
          <a:ext cx="0" cy="603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952500</xdr:colOff>
      <xdr:row>1366</xdr:row>
      <xdr:rowOff>0</xdr:rowOff>
    </xdr:from>
    <xdr:to>
      <xdr:col>1</xdr:col>
      <xdr:colOff>952500</xdr:colOff>
      <xdr:row>1367</xdr:row>
      <xdr:rowOff>304800</xdr:rowOff>
    </xdr:to>
    <xdr:sp macro="" textlink="">
      <xdr:nvSpPr>
        <xdr:cNvPr id="304012" name="TextBox 1080">
          <a:extLst>
            <a:ext uri="{FF2B5EF4-FFF2-40B4-BE49-F238E27FC236}">
              <a16:creationId xmlns:a16="http://schemas.microsoft.com/office/drawing/2014/main" id="{00000000-0008-0000-2200-00008CA30400}"/>
            </a:ext>
          </a:extLst>
        </xdr:cNvPr>
        <xdr:cNvSpPr txBox="1">
          <a:spLocks noChangeArrowheads="1"/>
        </xdr:cNvSpPr>
      </xdr:nvSpPr>
      <xdr:spPr bwMode="auto">
        <a:xfrm>
          <a:off x="1485900" y="275247100"/>
          <a:ext cx="0" cy="69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952500</xdr:colOff>
      <xdr:row>1366</xdr:row>
      <xdr:rowOff>0</xdr:rowOff>
    </xdr:from>
    <xdr:to>
      <xdr:col>1</xdr:col>
      <xdr:colOff>952500</xdr:colOff>
      <xdr:row>1367</xdr:row>
      <xdr:rowOff>304800</xdr:rowOff>
    </xdr:to>
    <xdr:sp macro="" textlink="">
      <xdr:nvSpPr>
        <xdr:cNvPr id="304013" name="TextBox 1211">
          <a:extLst>
            <a:ext uri="{FF2B5EF4-FFF2-40B4-BE49-F238E27FC236}">
              <a16:creationId xmlns:a16="http://schemas.microsoft.com/office/drawing/2014/main" id="{00000000-0008-0000-2200-00008DA30400}"/>
            </a:ext>
          </a:extLst>
        </xdr:cNvPr>
        <xdr:cNvSpPr txBox="1">
          <a:spLocks noChangeArrowheads="1"/>
        </xdr:cNvSpPr>
      </xdr:nvSpPr>
      <xdr:spPr bwMode="auto">
        <a:xfrm>
          <a:off x="1485900" y="275247100"/>
          <a:ext cx="0" cy="69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952500</xdr:colOff>
      <xdr:row>1366</xdr:row>
      <xdr:rowOff>0</xdr:rowOff>
    </xdr:from>
    <xdr:to>
      <xdr:col>1</xdr:col>
      <xdr:colOff>952500</xdr:colOff>
      <xdr:row>1367</xdr:row>
      <xdr:rowOff>304800</xdr:rowOff>
    </xdr:to>
    <xdr:sp macro="" textlink="">
      <xdr:nvSpPr>
        <xdr:cNvPr id="304014" name="TextBox 1080">
          <a:extLst>
            <a:ext uri="{FF2B5EF4-FFF2-40B4-BE49-F238E27FC236}">
              <a16:creationId xmlns:a16="http://schemas.microsoft.com/office/drawing/2014/main" id="{00000000-0008-0000-2200-00008EA30400}"/>
            </a:ext>
          </a:extLst>
        </xdr:cNvPr>
        <xdr:cNvSpPr txBox="1">
          <a:spLocks noChangeArrowheads="1"/>
        </xdr:cNvSpPr>
      </xdr:nvSpPr>
      <xdr:spPr bwMode="auto">
        <a:xfrm>
          <a:off x="1485900" y="275247100"/>
          <a:ext cx="0" cy="69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952500</xdr:colOff>
      <xdr:row>1366</xdr:row>
      <xdr:rowOff>0</xdr:rowOff>
    </xdr:from>
    <xdr:to>
      <xdr:col>1</xdr:col>
      <xdr:colOff>952500</xdr:colOff>
      <xdr:row>1367</xdr:row>
      <xdr:rowOff>304800</xdr:rowOff>
    </xdr:to>
    <xdr:sp macro="" textlink="">
      <xdr:nvSpPr>
        <xdr:cNvPr id="304015" name="TextBox 1211">
          <a:extLst>
            <a:ext uri="{FF2B5EF4-FFF2-40B4-BE49-F238E27FC236}">
              <a16:creationId xmlns:a16="http://schemas.microsoft.com/office/drawing/2014/main" id="{00000000-0008-0000-2200-00008FA30400}"/>
            </a:ext>
          </a:extLst>
        </xdr:cNvPr>
        <xdr:cNvSpPr txBox="1">
          <a:spLocks noChangeArrowheads="1"/>
        </xdr:cNvSpPr>
      </xdr:nvSpPr>
      <xdr:spPr bwMode="auto">
        <a:xfrm>
          <a:off x="1485900" y="275247100"/>
          <a:ext cx="0" cy="69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1366</xdr:row>
      <xdr:rowOff>0</xdr:rowOff>
    </xdr:from>
    <xdr:to>
      <xdr:col>2</xdr:col>
      <xdr:colOff>0</xdr:colOff>
      <xdr:row>1367</xdr:row>
      <xdr:rowOff>152400</xdr:rowOff>
    </xdr:to>
    <xdr:sp macro="" textlink="">
      <xdr:nvSpPr>
        <xdr:cNvPr id="304016" name="TextBox 1080">
          <a:extLst>
            <a:ext uri="{FF2B5EF4-FFF2-40B4-BE49-F238E27FC236}">
              <a16:creationId xmlns:a16="http://schemas.microsoft.com/office/drawing/2014/main" id="{00000000-0008-0000-2200-000090A30400}"/>
            </a:ext>
          </a:extLst>
        </xdr:cNvPr>
        <xdr:cNvSpPr txBox="1">
          <a:spLocks noChangeArrowheads="1"/>
        </xdr:cNvSpPr>
      </xdr:nvSpPr>
      <xdr:spPr bwMode="auto">
        <a:xfrm>
          <a:off x="3651250" y="275247100"/>
          <a:ext cx="0" cy="546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1366</xdr:row>
      <xdr:rowOff>0</xdr:rowOff>
    </xdr:from>
    <xdr:to>
      <xdr:col>2</xdr:col>
      <xdr:colOff>0</xdr:colOff>
      <xdr:row>1367</xdr:row>
      <xdr:rowOff>152400</xdr:rowOff>
    </xdr:to>
    <xdr:sp macro="" textlink="">
      <xdr:nvSpPr>
        <xdr:cNvPr id="304017" name="TextBox 1211">
          <a:extLst>
            <a:ext uri="{FF2B5EF4-FFF2-40B4-BE49-F238E27FC236}">
              <a16:creationId xmlns:a16="http://schemas.microsoft.com/office/drawing/2014/main" id="{00000000-0008-0000-2200-000091A30400}"/>
            </a:ext>
          </a:extLst>
        </xdr:cNvPr>
        <xdr:cNvSpPr txBox="1">
          <a:spLocks noChangeArrowheads="1"/>
        </xdr:cNvSpPr>
      </xdr:nvSpPr>
      <xdr:spPr bwMode="auto">
        <a:xfrm>
          <a:off x="3651250" y="275247100"/>
          <a:ext cx="0" cy="546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1366</xdr:row>
      <xdr:rowOff>0</xdr:rowOff>
    </xdr:from>
    <xdr:to>
      <xdr:col>2</xdr:col>
      <xdr:colOff>0</xdr:colOff>
      <xdr:row>1367</xdr:row>
      <xdr:rowOff>152400</xdr:rowOff>
    </xdr:to>
    <xdr:sp macro="" textlink="">
      <xdr:nvSpPr>
        <xdr:cNvPr id="304018" name="TextBox 1080">
          <a:extLst>
            <a:ext uri="{FF2B5EF4-FFF2-40B4-BE49-F238E27FC236}">
              <a16:creationId xmlns:a16="http://schemas.microsoft.com/office/drawing/2014/main" id="{00000000-0008-0000-2200-000092A30400}"/>
            </a:ext>
          </a:extLst>
        </xdr:cNvPr>
        <xdr:cNvSpPr txBox="1">
          <a:spLocks noChangeArrowheads="1"/>
        </xdr:cNvSpPr>
      </xdr:nvSpPr>
      <xdr:spPr bwMode="auto">
        <a:xfrm>
          <a:off x="3651250" y="275247100"/>
          <a:ext cx="0" cy="546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1366</xdr:row>
      <xdr:rowOff>0</xdr:rowOff>
    </xdr:from>
    <xdr:to>
      <xdr:col>2</xdr:col>
      <xdr:colOff>0</xdr:colOff>
      <xdr:row>1367</xdr:row>
      <xdr:rowOff>152400</xdr:rowOff>
    </xdr:to>
    <xdr:sp macro="" textlink="">
      <xdr:nvSpPr>
        <xdr:cNvPr id="304019" name="TextBox 1211">
          <a:extLst>
            <a:ext uri="{FF2B5EF4-FFF2-40B4-BE49-F238E27FC236}">
              <a16:creationId xmlns:a16="http://schemas.microsoft.com/office/drawing/2014/main" id="{00000000-0008-0000-2200-000093A30400}"/>
            </a:ext>
          </a:extLst>
        </xdr:cNvPr>
        <xdr:cNvSpPr txBox="1">
          <a:spLocks noChangeArrowheads="1"/>
        </xdr:cNvSpPr>
      </xdr:nvSpPr>
      <xdr:spPr bwMode="auto">
        <a:xfrm>
          <a:off x="3651250" y="275247100"/>
          <a:ext cx="0" cy="546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1366</xdr:row>
      <xdr:rowOff>0</xdr:rowOff>
    </xdr:from>
    <xdr:to>
      <xdr:col>2</xdr:col>
      <xdr:colOff>0</xdr:colOff>
      <xdr:row>1367</xdr:row>
      <xdr:rowOff>152400</xdr:rowOff>
    </xdr:to>
    <xdr:sp macro="" textlink="">
      <xdr:nvSpPr>
        <xdr:cNvPr id="304020" name="TextBox 1080">
          <a:extLst>
            <a:ext uri="{FF2B5EF4-FFF2-40B4-BE49-F238E27FC236}">
              <a16:creationId xmlns:a16="http://schemas.microsoft.com/office/drawing/2014/main" id="{00000000-0008-0000-2200-000094A30400}"/>
            </a:ext>
          </a:extLst>
        </xdr:cNvPr>
        <xdr:cNvSpPr txBox="1">
          <a:spLocks noChangeArrowheads="1"/>
        </xdr:cNvSpPr>
      </xdr:nvSpPr>
      <xdr:spPr bwMode="auto">
        <a:xfrm>
          <a:off x="3651250" y="275247100"/>
          <a:ext cx="0" cy="546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1366</xdr:row>
      <xdr:rowOff>0</xdr:rowOff>
    </xdr:from>
    <xdr:to>
      <xdr:col>2</xdr:col>
      <xdr:colOff>0</xdr:colOff>
      <xdr:row>1367</xdr:row>
      <xdr:rowOff>152400</xdr:rowOff>
    </xdr:to>
    <xdr:sp macro="" textlink="">
      <xdr:nvSpPr>
        <xdr:cNvPr id="304021" name="TextBox 1211">
          <a:extLst>
            <a:ext uri="{FF2B5EF4-FFF2-40B4-BE49-F238E27FC236}">
              <a16:creationId xmlns:a16="http://schemas.microsoft.com/office/drawing/2014/main" id="{00000000-0008-0000-2200-000095A30400}"/>
            </a:ext>
          </a:extLst>
        </xdr:cNvPr>
        <xdr:cNvSpPr txBox="1">
          <a:spLocks noChangeArrowheads="1"/>
        </xdr:cNvSpPr>
      </xdr:nvSpPr>
      <xdr:spPr bwMode="auto">
        <a:xfrm>
          <a:off x="3651250" y="275247100"/>
          <a:ext cx="0" cy="546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1366</xdr:row>
      <xdr:rowOff>0</xdr:rowOff>
    </xdr:from>
    <xdr:to>
      <xdr:col>2</xdr:col>
      <xdr:colOff>0</xdr:colOff>
      <xdr:row>1367</xdr:row>
      <xdr:rowOff>152400</xdr:rowOff>
    </xdr:to>
    <xdr:sp macro="" textlink="">
      <xdr:nvSpPr>
        <xdr:cNvPr id="304022" name="TextBox 1080">
          <a:extLst>
            <a:ext uri="{FF2B5EF4-FFF2-40B4-BE49-F238E27FC236}">
              <a16:creationId xmlns:a16="http://schemas.microsoft.com/office/drawing/2014/main" id="{00000000-0008-0000-2200-000096A30400}"/>
            </a:ext>
          </a:extLst>
        </xdr:cNvPr>
        <xdr:cNvSpPr txBox="1">
          <a:spLocks noChangeArrowheads="1"/>
        </xdr:cNvSpPr>
      </xdr:nvSpPr>
      <xdr:spPr bwMode="auto">
        <a:xfrm>
          <a:off x="3651250" y="275247100"/>
          <a:ext cx="0" cy="546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1366</xdr:row>
      <xdr:rowOff>0</xdr:rowOff>
    </xdr:from>
    <xdr:to>
      <xdr:col>2</xdr:col>
      <xdr:colOff>0</xdr:colOff>
      <xdr:row>1367</xdr:row>
      <xdr:rowOff>152400</xdr:rowOff>
    </xdr:to>
    <xdr:sp macro="" textlink="">
      <xdr:nvSpPr>
        <xdr:cNvPr id="304023" name="TextBox 1211">
          <a:extLst>
            <a:ext uri="{FF2B5EF4-FFF2-40B4-BE49-F238E27FC236}">
              <a16:creationId xmlns:a16="http://schemas.microsoft.com/office/drawing/2014/main" id="{00000000-0008-0000-2200-000097A30400}"/>
            </a:ext>
          </a:extLst>
        </xdr:cNvPr>
        <xdr:cNvSpPr txBox="1">
          <a:spLocks noChangeArrowheads="1"/>
        </xdr:cNvSpPr>
      </xdr:nvSpPr>
      <xdr:spPr bwMode="auto">
        <a:xfrm>
          <a:off x="3651250" y="275247100"/>
          <a:ext cx="0" cy="546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1366</xdr:row>
      <xdr:rowOff>0</xdr:rowOff>
    </xdr:from>
    <xdr:to>
      <xdr:col>2</xdr:col>
      <xdr:colOff>0</xdr:colOff>
      <xdr:row>1367</xdr:row>
      <xdr:rowOff>152400</xdr:rowOff>
    </xdr:to>
    <xdr:sp macro="" textlink="">
      <xdr:nvSpPr>
        <xdr:cNvPr id="304024" name="TextBox 1080">
          <a:extLst>
            <a:ext uri="{FF2B5EF4-FFF2-40B4-BE49-F238E27FC236}">
              <a16:creationId xmlns:a16="http://schemas.microsoft.com/office/drawing/2014/main" id="{00000000-0008-0000-2200-000098A30400}"/>
            </a:ext>
          </a:extLst>
        </xdr:cNvPr>
        <xdr:cNvSpPr txBox="1">
          <a:spLocks noChangeArrowheads="1"/>
        </xdr:cNvSpPr>
      </xdr:nvSpPr>
      <xdr:spPr bwMode="auto">
        <a:xfrm>
          <a:off x="3651250" y="275247100"/>
          <a:ext cx="0" cy="546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1366</xdr:row>
      <xdr:rowOff>0</xdr:rowOff>
    </xdr:from>
    <xdr:to>
      <xdr:col>2</xdr:col>
      <xdr:colOff>0</xdr:colOff>
      <xdr:row>1367</xdr:row>
      <xdr:rowOff>152400</xdr:rowOff>
    </xdr:to>
    <xdr:sp macro="" textlink="">
      <xdr:nvSpPr>
        <xdr:cNvPr id="304025" name="TextBox 1211">
          <a:extLst>
            <a:ext uri="{FF2B5EF4-FFF2-40B4-BE49-F238E27FC236}">
              <a16:creationId xmlns:a16="http://schemas.microsoft.com/office/drawing/2014/main" id="{00000000-0008-0000-2200-000099A30400}"/>
            </a:ext>
          </a:extLst>
        </xdr:cNvPr>
        <xdr:cNvSpPr txBox="1">
          <a:spLocks noChangeArrowheads="1"/>
        </xdr:cNvSpPr>
      </xdr:nvSpPr>
      <xdr:spPr bwMode="auto">
        <a:xfrm>
          <a:off x="3651250" y="275247100"/>
          <a:ext cx="0" cy="546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1366</xdr:row>
      <xdr:rowOff>0</xdr:rowOff>
    </xdr:from>
    <xdr:to>
      <xdr:col>2</xdr:col>
      <xdr:colOff>0</xdr:colOff>
      <xdr:row>1367</xdr:row>
      <xdr:rowOff>152400</xdr:rowOff>
    </xdr:to>
    <xdr:sp macro="" textlink="">
      <xdr:nvSpPr>
        <xdr:cNvPr id="304026" name="TextBox 1080">
          <a:extLst>
            <a:ext uri="{FF2B5EF4-FFF2-40B4-BE49-F238E27FC236}">
              <a16:creationId xmlns:a16="http://schemas.microsoft.com/office/drawing/2014/main" id="{00000000-0008-0000-2200-00009AA30400}"/>
            </a:ext>
          </a:extLst>
        </xdr:cNvPr>
        <xdr:cNvSpPr txBox="1">
          <a:spLocks noChangeArrowheads="1"/>
        </xdr:cNvSpPr>
      </xdr:nvSpPr>
      <xdr:spPr bwMode="auto">
        <a:xfrm>
          <a:off x="3651250" y="275247100"/>
          <a:ext cx="0" cy="546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1366</xdr:row>
      <xdr:rowOff>0</xdr:rowOff>
    </xdr:from>
    <xdr:to>
      <xdr:col>2</xdr:col>
      <xdr:colOff>0</xdr:colOff>
      <xdr:row>1367</xdr:row>
      <xdr:rowOff>152400</xdr:rowOff>
    </xdr:to>
    <xdr:sp macro="" textlink="">
      <xdr:nvSpPr>
        <xdr:cNvPr id="304027" name="TextBox 1211">
          <a:extLst>
            <a:ext uri="{FF2B5EF4-FFF2-40B4-BE49-F238E27FC236}">
              <a16:creationId xmlns:a16="http://schemas.microsoft.com/office/drawing/2014/main" id="{00000000-0008-0000-2200-00009BA30400}"/>
            </a:ext>
          </a:extLst>
        </xdr:cNvPr>
        <xdr:cNvSpPr txBox="1">
          <a:spLocks noChangeArrowheads="1"/>
        </xdr:cNvSpPr>
      </xdr:nvSpPr>
      <xdr:spPr bwMode="auto">
        <a:xfrm>
          <a:off x="3651250" y="275247100"/>
          <a:ext cx="0" cy="546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1366</xdr:row>
      <xdr:rowOff>0</xdr:rowOff>
    </xdr:from>
    <xdr:to>
      <xdr:col>2</xdr:col>
      <xdr:colOff>0</xdr:colOff>
      <xdr:row>1367</xdr:row>
      <xdr:rowOff>387350</xdr:rowOff>
    </xdr:to>
    <xdr:sp macro="" textlink="">
      <xdr:nvSpPr>
        <xdr:cNvPr id="304028" name="TextBox 1080">
          <a:extLst>
            <a:ext uri="{FF2B5EF4-FFF2-40B4-BE49-F238E27FC236}">
              <a16:creationId xmlns:a16="http://schemas.microsoft.com/office/drawing/2014/main" id="{00000000-0008-0000-2200-00009CA30400}"/>
            </a:ext>
          </a:extLst>
        </xdr:cNvPr>
        <xdr:cNvSpPr txBox="1">
          <a:spLocks noChangeArrowheads="1"/>
        </xdr:cNvSpPr>
      </xdr:nvSpPr>
      <xdr:spPr bwMode="auto">
        <a:xfrm>
          <a:off x="3651250" y="275247100"/>
          <a:ext cx="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1366</xdr:row>
      <xdr:rowOff>0</xdr:rowOff>
    </xdr:from>
    <xdr:to>
      <xdr:col>2</xdr:col>
      <xdr:colOff>0</xdr:colOff>
      <xdr:row>1367</xdr:row>
      <xdr:rowOff>387350</xdr:rowOff>
    </xdr:to>
    <xdr:sp macro="" textlink="">
      <xdr:nvSpPr>
        <xdr:cNvPr id="304029" name="TextBox 1211">
          <a:extLst>
            <a:ext uri="{FF2B5EF4-FFF2-40B4-BE49-F238E27FC236}">
              <a16:creationId xmlns:a16="http://schemas.microsoft.com/office/drawing/2014/main" id="{00000000-0008-0000-2200-00009DA30400}"/>
            </a:ext>
          </a:extLst>
        </xdr:cNvPr>
        <xdr:cNvSpPr txBox="1">
          <a:spLocks noChangeArrowheads="1"/>
        </xdr:cNvSpPr>
      </xdr:nvSpPr>
      <xdr:spPr bwMode="auto">
        <a:xfrm>
          <a:off x="3651250" y="275247100"/>
          <a:ext cx="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1366</xdr:row>
      <xdr:rowOff>0</xdr:rowOff>
    </xdr:from>
    <xdr:to>
      <xdr:col>2</xdr:col>
      <xdr:colOff>0</xdr:colOff>
      <xdr:row>1367</xdr:row>
      <xdr:rowOff>387350</xdr:rowOff>
    </xdr:to>
    <xdr:sp macro="" textlink="">
      <xdr:nvSpPr>
        <xdr:cNvPr id="304030" name="TextBox 1080">
          <a:extLst>
            <a:ext uri="{FF2B5EF4-FFF2-40B4-BE49-F238E27FC236}">
              <a16:creationId xmlns:a16="http://schemas.microsoft.com/office/drawing/2014/main" id="{00000000-0008-0000-2200-00009EA30400}"/>
            </a:ext>
          </a:extLst>
        </xdr:cNvPr>
        <xdr:cNvSpPr txBox="1">
          <a:spLocks noChangeArrowheads="1"/>
        </xdr:cNvSpPr>
      </xdr:nvSpPr>
      <xdr:spPr bwMode="auto">
        <a:xfrm>
          <a:off x="3651250" y="275247100"/>
          <a:ext cx="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1366</xdr:row>
      <xdr:rowOff>0</xdr:rowOff>
    </xdr:from>
    <xdr:to>
      <xdr:col>2</xdr:col>
      <xdr:colOff>0</xdr:colOff>
      <xdr:row>1367</xdr:row>
      <xdr:rowOff>387350</xdr:rowOff>
    </xdr:to>
    <xdr:sp macro="" textlink="">
      <xdr:nvSpPr>
        <xdr:cNvPr id="304031" name="TextBox 1211">
          <a:extLst>
            <a:ext uri="{FF2B5EF4-FFF2-40B4-BE49-F238E27FC236}">
              <a16:creationId xmlns:a16="http://schemas.microsoft.com/office/drawing/2014/main" id="{00000000-0008-0000-2200-00009FA30400}"/>
            </a:ext>
          </a:extLst>
        </xdr:cNvPr>
        <xdr:cNvSpPr txBox="1">
          <a:spLocks noChangeArrowheads="1"/>
        </xdr:cNvSpPr>
      </xdr:nvSpPr>
      <xdr:spPr bwMode="auto">
        <a:xfrm>
          <a:off x="3651250" y="275247100"/>
          <a:ext cx="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1366</xdr:row>
      <xdr:rowOff>0</xdr:rowOff>
    </xdr:from>
    <xdr:to>
      <xdr:col>2</xdr:col>
      <xdr:colOff>0</xdr:colOff>
      <xdr:row>1367</xdr:row>
      <xdr:rowOff>304800</xdr:rowOff>
    </xdr:to>
    <xdr:sp macro="" textlink="">
      <xdr:nvSpPr>
        <xdr:cNvPr id="304032" name="TextBox 1080">
          <a:extLst>
            <a:ext uri="{FF2B5EF4-FFF2-40B4-BE49-F238E27FC236}">
              <a16:creationId xmlns:a16="http://schemas.microsoft.com/office/drawing/2014/main" id="{00000000-0008-0000-2200-0000A0A30400}"/>
            </a:ext>
          </a:extLst>
        </xdr:cNvPr>
        <xdr:cNvSpPr txBox="1">
          <a:spLocks noChangeArrowheads="1"/>
        </xdr:cNvSpPr>
      </xdr:nvSpPr>
      <xdr:spPr bwMode="auto">
        <a:xfrm>
          <a:off x="3651250" y="275247100"/>
          <a:ext cx="0" cy="69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1366</xdr:row>
      <xdr:rowOff>0</xdr:rowOff>
    </xdr:from>
    <xdr:to>
      <xdr:col>2</xdr:col>
      <xdr:colOff>0</xdr:colOff>
      <xdr:row>1367</xdr:row>
      <xdr:rowOff>304800</xdr:rowOff>
    </xdr:to>
    <xdr:sp macro="" textlink="">
      <xdr:nvSpPr>
        <xdr:cNvPr id="304033" name="TextBox 1211">
          <a:extLst>
            <a:ext uri="{FF2B5EF4-FFF2-40B4-BE49-F238E27FC236}">
              <a16:creationId xmlns:a16="http://schemas.microsoft.com/office/drawing/2014/main" id="{00000000-0008-0000-2200-0000A1A30400}"/>
            </a:ext>
          </a:extLst>
        </xdr:cNvPr>
        <xdr:cNvSpPr txBox="1">
          <a:spLocks noChangeArrowheads="1"/>
        </xdr:cNvSpPr>
      </xdr:nvSpPr>
      <xdr:spPr bwMode="auto">
        <a:xfrm>
          <a:off x="3651250" y="275247100"/>
          <a:ext cx="0" cy="69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1366</xdr:row>
      <xdr:rowOff>0</xdr:rowOff>
    </xdr:from>
    <xdr:to>
      <xdr:col>2</xdr:col>
      <xdr:colOff>0</xdr:colOff>
      <xdr:row>1367</xdr:row>
      <xdr:rowOff>304800</xdr:rowOff>
    </xdr:to>
    <xdr:sp macro="" textlink="">
      <xdr:nvSpPr>
        <xdr:cNvPr id="304034" name="TextBox 1080">
          <a:extLst>
            <a:ext uri="{FF2B5EF4-FFF2-40B4-BE49-F238E27FC236}">
              <a16:creationId xmlns:a16="http://schemas.microsoft.com/office/drawing/2014/main" id="{00000000-0008-0000-2200-0000A2A30400}"/>
            </a:ext>
          </a:extLst>
        </xdr:cNvPr>
        <xdr:cNvSpPr txBox="1">
          <a:spLocks noChangeArrowheads="1"/>
        </xdr:cNvSpPr>
      </xdr:nvSpPr>
      <xdr:spPr bwMode="auto">
        <a:xfrm>
          <a:off x="3651250" y="275247100"/>
          <a:ext cx="0" cy="69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1366</xdr:row>
      <xdr:rowOff>0</xdr:rowOff>
    </xdr:from>
    <xdr:to>
      <xdr:col>2</xdr:col>
      <xdr:colOff>0</xdr:colOff>
      <xdr:row>1367</xdr:row>
      <xdr:rowOff>304800</xdr:rowOff>
    </xdr:to>
    <xdr:sp macro="" textlink="">
      <xdr:nvSpPr>
        <xdr:cNvPr id="304035" name="TextBox 1211">
          <a:extLst>
            <a:ext uri="{FF2B5EF4-FFF2-40B4-BE49-F238E27FC236}">
              <a16:creationId xmlns:a16="http://schemas.microsoft.com/office/drawing/2014/main" id="{00000000-0008-0000-2200-0000A3A30400}"/>
            </a:ext>
          </a:extLst>
        </xdr:cNvPr>
        <xdr:cNvSpPr txBox="1">
          <a:spLocks noChangeArrowheads="1"/>
        </xdr:cNvSpPr>
      </xdr:nvSpPr>
      <xdr:spPr bwMode="auto">
        <a:xfrm>
          <a:off x="3651250" y="275247100"/>
          <a:ext cx="0" cy="69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952500</xdr:colOff>
      <xdr:row>1366</xdr:row>
      <xdr:rowOff>0</xdr:rowOff>
    </xdr:from>
    <xdr:to>
      <xdr:col>1</xdr:col>
      <xdr:colOff>952500</xdr:colOff>
      <xdr:row>1367</xdr:row>
      <xdr:rowOff>304800</xdr:rowOff>
    </xdr:to>
    <xdr:sp macro="" textlink="">
      <xdr:nvSpPr>
        <xdr:cNvPr id="304036" name="TextBox 1080">
          <a:extLst>
            <a:ext uri="{FF2B5EF4-FFF2-40B4-BE49-F238E27FC236}">
              <a16:creationId xmlns:a16="http://schemas.microsoft.com/office/drawing/2014/main" id="{00000000-0008-0000-2200-0000A4A30400}"/>
            </a:ext>
          </a:extLst>
        </xdr:cNvPr>
        <xdr:cNvSpPr txBox="1">
          <a:spLocks noChangeArrowheads="1"/>
        </xdr:cNvSpPr>
      </xdr:nvSpPr>
      <xdr:spPr bwMode="auto">
        <a:xfrm>
          <a:off x="1485900" y="275247100"/>
          <a:ext cx="0" cy="69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952500</xdr:colOff>
      <xdr:row>1366</xdr:row>
      <xdr:rowOff>0</xdr:rowOff>
    </xdr:from>
    <xdr:to>
      <xdr:col>1</xdr:col>
      <xdr:colOff>952500</xdr:colOff>
      <xdr:row>1367</xdr:row>
      <xdr:rowOff>304800</xdr:rowOff>
    </xdr:to>
    <xdr:sp macro="" textlink="">
      <xdr:nvSpPr>
        <xdr:cNvPr id="304037" name="TextBox 1211">
          <a:extLst>
            <a:ext uri="{FF2B5EF4-FFF2-40B4-BE49-F238E27FC236}">
              <a16:creationId xmlns:a16="http://schemas.microsoft.com/office/drawing/2014/main" id="{00000000-0008-0000-2200-0000A5A30400}"/>
            </a:ext>
          </a:extLst>
        </xdr:cNvPr>
        <xdr:cNvSpPr txBox="1">
          <a:spLocks noChangeArrowheads="1"/>
        </xdr:cNvSpPr>
      </xdr:nvSpPr>
      <xdr:spPr bwMode="auto">
        <a:xfrm>
          <a:off x="1485900" y="275247100"/>
          <a:ext cx="0" cy="69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952500</xdr:colOff>
      <xdr:row>1366</xdr:row>
      <xdr:rowOff>0</xdr:rowOff>
    </xdr:from>
    <xdr:to>
      <xdr:col>1</xdr:col>
      <xdr:colOff>952500</xdr:colOff>
      <xdr:row>1367</xdr:row>
      <xdr:rowOff>304800</xdr:rowOff>
    </xdr:to>
    <xdr:sp macro="" textlink="">
      <xdr:nvSpPr>
        <xdr:cNvPr id="304038" name="TextBox 1080">
          <a:extLst>
            <a:ext uri="{FF2B5EF4-FFF2-40B4-BE49-F238E27FC236}">
              <a16:creationId xmlns:a16="http://schemas.microsoft.com/office/drawing/2014/main" id="{00000000-0008-0000-2200-0000A6A30400}"/>
            </a:ext>
          </a:extLst>
        </xdr:cNvPr>
        <xdr:cNvSpPr txBox="1">
          <a:spLocks noChangeArrowheads="1"/>
        </xdr:cNvSpPr>
      </xdr:nvSpPr>
      <xdr:spPr bwMode="auto">
        <a:xfrm>
          <a:off x="1485900" y="275247100"/>
          <a:ext cx="0" cy="69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952500</xdr:colOff>
      <xdr:row>1366</xdr:row>
      <xdr:rowOff>0</xdr:rowOff>
    </xdr:from>
    <xdr:to>
      <xdr:col>1</xdr:col>
      <xdr:colOff>952500</xdr:colOff>
      <xdr:row>1367</xdr:row>
      <xdr:rowOff>304800</xdr:rowOff>
    </xdr:to>
    <xdr:sp macro="" textlink="">
      <xdr:nvSpPr>
        <xdr:cNvPr id="304039" name="TextBox 1211">
          <a:extLst>
            <a:ext uri="{FF2B5EF4-FFF2-40B4-BE49-F238E27FC236}">
              <a16:creationId xmlns:a16="http://schemas.microsoft.com/office/drawing/2014/main" id="{00000000-0008-0000-2200-0000A7A30400}"/>
            </a:ext>
          </a:extLst>
        </xdr:cNvPr>
        <xdr:cNvSpPr txBox="1">
          <a:spLocks noChangeArrowheads="1"/>
        </xdr:cNvSpPr>
      </xdr:nvSpPr>
      <xdr:spPr bwMode="auto">
        <a:xfrm>
          <a:off x="1485900" y="275247100"/>
          <a:ext cx="0" cy="69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965200</xdr:colOff>
      <xdr:row>1366</xdr:row>
      <xdr:rowOff>0</xdr:rowOff>
    </xdr:from>
    <xdr:to>
      <xdr:col>1</xdr:col>
      <xdr:colOff>965200</xdr:colOff>
      <xdr:row>1367</xdr:row>
      <xdr:rowOff>304800</xdr:rowOff>
    </xdr:to>
    <xdr:sp macro="" textlink="">
      <xdr:nvSpPr>
        <xdr:cNvPr id="304040" name="TextBox 1080">
          <a:extLst>
            <a:ext uri="{FF2B5EF4-FFF2-40B4-BE49-F238E27FC236}">
              <a16:creationId xmlns:a16="http://schemas.microsoft.com/office/drawing/2014/main" id="{00000000-0008-0000-2200-0000A8A30400}"/>
            </a:ext>
          </a:extLst>
        </xdr:cNvPr>
        <xdr:cNvSpPr txBox="1">
          <a:spLocks noChangeArrowheads="1"/>
        </xdr:cNvSpPr>
      </xdr:nvSpPr>
      <xdr:spPr bwMode="auto">
        <a:xfrm>
          <a:off x="1498600" y="275247100"/>
          <a:ext cx="0" cy="69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965200</xdr:colOff>
      <xdr:row>1366</xdr:row>
      <xdr:rowOff>0</xdr:rowOff>
    </xdr:from>
    <xdr:to>
      <xdr:col>1</xdr:col>
      <xdr:colOff>965200</xdr:colOff>
      <xdr:row>1367</xdr:row>
      <xdr:rowOff>304800</xdr:rowOff>
    </xdr:to>
    <xdr:sp macro="" textlink="">
      <xdr:nvSpPr>
        <xdr:cNvPr id="304041" name="TextBox 1211">
          <a:extLst>
            <a:ext uri="{FF2B5EF4-FFF2-40B4-BE49-F238E27FC236}">
              <a16:creationId xmlns:a16="http://schemas.microsoft.com/office/drawing/2014/main" id="{00000000-0008-0000-2200-0000A9A30400}"/>
            </a:ext>
          </a:extLst>
        </xdr:cNvPr>
        <xdr:cNvSpPr txBox="1">
          <a:spLocks noChangeArrowheads="1"/>
        </xdr:cNvSpPr>
      </xdr:nvSpPr>
      <xdr:spPr bwMode="auto">
        <a:xfrm>
          <a:off x="1498600" y="275247100"/>
          <a:ext cx="0" cy="69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965200</xdr:colOff>
      <xdr:row>1366</xdr:row>
      <xdr:rowOff>0</xdr:rowOff>
    </xdr:from>
    <xdr:to>
      <xdr:col>1</xdr:col>
      <xdr:colOff>965200</xdr:colOff>
      <xdr:row>1367</xdr:row>
      <xdr:rowOff>304800</xdr:rowOff>
    </xdr:to>
    <xdr:sp macro="" textlink="">
      <xdr:nvSpPr>
        <xdr:cNvPr id="304042" name="TextBox 1080">
          <a:extLst>
            <a:ext uri="{FF2B5EF4-FFF2-40B4-BE49-F238E27FC236}">
              <a16:creationId xmlns:a16="http://schemas.microsoft.com/office/drawing/2014/main" id="{00000000-0008-0000-2200-0000AAA30400}"/>
            </a:ext>
          </a:extLst>
        </xdr:cNvPr>
        <xdr:cNvSpPr txBox="1">
          <a:spLocks noChangeArrowheads="1"/>
        </xdr:cNvSpPr>
      </xdr:nvSpPr>
      <xdr:spPr bwMode="auto">
        <a:xfrm>
          <a:off x="1498600" y="275247100"/>
          <a:ext cx="0" cy="69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965200</xdr:colOff>
      <xdr:row>1366</xdr:row>
      <xdr:rowOff>0</xdr:rowOff>
    </xdr:from>
    <xdr:to>
      <xdr:col>1</xdr:col>
      <xdr:colOff>965200</xdr:colOff>
      <xdr:row>1367</xdr:row>
      <xdr:rowOff>304800</xdr:rowOff>
    </xdr:to>
    <xdr:sp macro="" textlink="">
      <xdr:nvSpPr>
        <xdr:cNvPr id="304043" name="TextBox 1211">
          <a:extLst>
            <a:ext uri="{FF2B5EF4-FFF2-40B4-BE49-F238E27FC236}">
              <a16:creationId xmlns:a16="http://schemas.microsoft.com/office/drawing/2014/main" id="{00000000-0008-0000-2200-0000ABA30400}"/>
            </a:ext>
          </a:extLst>
        </xdr:cNvPr>
        <xdr:cNvSpPr txBox="1">
          <a:spLocks noChangeArrowheads="1"/>
        </xdr:cNvSpPr>
      </xdr:nvSpPr>
      <xdr:spPr bwMode="auto">
        <a:xfrm>
          <a:off x="1498600" y="275247100"/>
          <a:ext cx="0" cy="69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1366</xdr:row>
      <xdr:rowOff>0</xdr:rowOff>
    </xdr:from>
    <xdr:to>
      <xdr:col>2</xdr:col>
      <xdr:colOff>0</xdr:colOff>
      <xdr:row>1367</xdr:row>
      <xdr:rowOff>304800</xdr:rowOff>
    </xdr:to>
    <xdr:sp macro="" textlink="">
      <xdr:nvSpPr>
        <xdr:cNvPr id="304044" name="TextBox 1080">
          <a:extLst>
            <a:ext uri="{FF2B5EF4-FFF2-40B4-BE49-F238E27FC236}">
              <a16:creationId xmlns:a16="http://schemas.microsoft.com/office/drawing/2014/main" id="{00000000-0008-0000-2200-0000ACA30400}"/>
            </a:ext>
          </a:extLst>
        </xdr:cNvPr>
        <xdr:cNvSpPr txBox="1">
          <a:spLocks noChangeArrowheads="1"/>
        </xdr:cNvSpPr>
      </xdr:nvSpPr>
      <xdr:spPr bwMode="auto">
        <a:xfrm>
          <a:off x="3651250" y="275247100"/>
          <a:ext cx="0" cy="69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1366</xdr:row>
      <xdr:rowOff>0</xdr:rowOff>
    </xdr:from>
    <xdr:to>
      <xdr:col>2</xdr:col>
      <xdr:colOff>0</xdr:colOff>
      <xdr:row>1367</xdr:row>
      <xdr:rowOff>304800</xdr:rowOff>
    </xdr:to>
    <xdr:sp macro="" textlink="">
      <xdr:nvSpPr>
        <xdr:cNvPr id="304045" name="TextBox 1211">
          <a:extLst>
            <a:ext uri="{FF2B5EF4-FFF2-40B4-BE49-F238E27FC236}">
              <a16:creationId xmlns:a16="http://schemas.microsoft.com/office/drawing/2014/main" id="{00000000-0008-0000-2200-0000ADA30400}"/>
            </a:ext>
          </a:extLst>
        </xdr:cNvPr>
        <xdr:cNvSpPr txBox="1">
          <a:spLocks noChangeArrowheads="1"/>
        </xdr:cNvSpPr>
      </xdr:nvSpPr>
      <xdr:spPr bwMode="auto">
        <a:xfrm>
          <a:off x="3651250" y="275247100"/>
          <a:ext cx="0" cy="69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1366</xdr:row>
      <xdr:rowOff>0</xdr:rowOff>
    </xdr:from>
    <xdr:to>
      <xdr:col>2</xdr:col>
      <xdr:colOff>0</xdr:colOff>
      <xdr:row>1367</xdr:row>
      <xdr:rowOff>304800</xdr:rowOff>
    </xdr:to>
    <xdr:sp macro="" textlink="">
      <xdr:nvSpPr>
        <xdr:cNvPr id="304046" name="TextBox 1080">
          <a:extLst>
            <a:ext uri="{FF2B5EF4-FFF2-40B4-BE49-F238E27FC236}">
              <a16:creationId xmlns:a16="http://schemas.microsoft.com/office/drawing/2014/main" id="{00000000-0008-0000-2200-0000AEA30400}"/>
            </a:ext>
          </a:extLst>
        </xdr:cNvPr>
        <xdr:cNvSpPr txBox="1">
          <a:spLocks noChangeArrowheads="1"/>
        </xdr:cNvSpPr>
      </xdr:nvSpPr>
      <xdr:spPr bwMode="auto">
        <a:xfrm>
          <a:off x="3651250" y="275247100"/>
          <a:ext cx="0" cy="69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1366</xdr:row>
      <xdr:rowOff>0</xdr:rowOff>
    </xdr:from>
    <xdr:to>
      <xdr:col>2</xdr:col>
      <xdr:colOff>0</xdr:colOff>
      <xdr:row>1367</xdr:row>
      <xdr:rowOff>304800</xdr:rowOff>
    </xdr:to>
    <xdr:sp macro="" textlink="">
      <xdr:nvSpPr>
        <xdr:cNvPr id="304047" name="TextBox 1211">
          <a:extLst>
            <a:ext uri="{FF2B5EF4-FFF2-40B4-BE49-F238E27FC236}">
              <a16:creationId xmlns:a16="http://schemas.microsoft.com/office/drawing/2014/main" id="{00000000-0008-0000-2200-0000AFA30400}"/>
            </a:ext>
          </a:extLst>
        </xdr:cNvPr>
        <xdr:cNvSpPr txBox="1">
          <a:spLocks noChangeArrowheads="1"/>
        </xdr:cNvSpPr>
      </xdr:nvSpPr>
      <xdr:spPr bwMode="auto">
        <a:xfrm>
          <a:off x="3651250" y="275247100"/>
          <a:ext cx="0" cy="69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965200</xdr:colOff>
      <xdr:row>1366</xdr:row>
      <xdr:rowOff>0</xdr:rowOff>
    </xdr:from>
    <xdr:to>
      <xdr:col>1</xdr:col>
      <xdr:colOff>965200</xdr:colOff>
      <xdr:row>1367</xdr:row>
      <xdr:rowOff>304800</xdr:rowOff>
    </xdr:to>
    <xdr:sp macro="" textlink="">
      <xdr:nvSpPr>
        <xdr:cNvPr id="304048" name="TextBox 1080">
          <a:extLst>
            <a:ext uri="{FF2B5EF4-FFF2-40B4-BE49-F238E27FC236}">
              <a16:creationId xmlns:a16="http://schemas.microsoft.com/office/drawing/2014/main" id="{00000000-0008-0000-2200-0000B0A30400}"/>
            </a:ext>
          </a:extLst>
        </xdr:cNvPr>
        <xdr:cNvSpPr txBox="1">
          <a:spLocks noChangeArrowheads="1"/>
        </xdr:cNvSpPr>
      </xdr:nvSpPr>
      <xdr:spPr bwMode="auto">
        <a:xfrm>
          <a:off x="1498600" y="275247100"/>
          <a:ext cx="0" cy="69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965200</xdr:colOff>
      <xdr:row>1366</xdr:row>
      <xdr:rowOff>0</xdr:rowOff>
    </xdr:from>
    <xdr:to>
      <xdr:col>1</xdr:col>
      <xdr:colOff>965200</xdr:colOff>
      <xdr:row>1367</xdr:row>
      <xdr:rowOff>304800</xdr:rowOff>
    </xdr:to>
    <xdr:sp macro="" textlink="">
      <xdr:nvSpPr>
        <xdr:cNvPr id="304049" name="TextBox 1211">
          <a:extLst>
            <a:ext uri="{FF2B5EF4-FFF2-40B4-BE49-F238E27FC236}">
              <a16:creationId xmlns:a16="http://schemas.microsoft.com/office/drawing/2014/main" id="{00000000-0008-0000-2200-0000B1A30400}"/>
            </a:ext>
          </a:extLst>
        </xdr:cNvPr>
        <xdr:cNvSpPr txBox="1">
          <a:spLocks noChangeArrowheads="1"/>
        </xdr:cNvSpPr>
      </xdr:nvSpPr>
      <xdr:spPr bwMode="auto">
        <a:xfrm>
          <a:off x="1498600" y="275247100"/>
          <a:ext cx="0" cy="69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1366</xdr:row>
      <xdr:rowOff>0</xdr:rowOff>
    </xdr:from>
    <xdr:to>
      <xdr:col>2</xdr:col>
      <xdr:colOff>0</xdr:colOff>
      <xdr:row>1367</xdr:row>
      <xdr:rowOff>152400</xdr:rowOff>
    </xdr:to>
    <xdr:sp macro="" textlink="">
      <xdr:nvSpPr>
        <xdr:cNvPr id="304050" name="TextBox 1080">
          <a:extLst>
            <a:ext uri="{FF2B5EF4-FFF2-40B4-BE49-F238E27FC236}">
              <a16:creationId xmlns:a16="http://schemas.microsoft.com/office/drawing/2014/main" id="{00000000-0008-0000-2200-0000B2A30400}"/>
            </a:ext>
          </a:extLst>
        </xdr:cNvPr>
        <xdr:cNvSpPr txBox="1">
          <a:spLocks noChangeArrowheads="1"/>
        </xdr:cNvSpPr>
      </xdr:nvSpPr>
      <xdr:spPr bwMode="auto">
        <a:xfrm>
          <a:off x="3651250" y="275247100"/>
          <a:ext cx="0" cy="546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1366</xdr:row>
      <xdr:rowOff>0</xdr:rowOff>
    </xdr:from>
    <xdr:to>
      <xdr:col>2</xdr:col>
      <xdr:colOff>0</xdr:colOff>
      <xdr:row>1367</xdr:row>
      <xdr:rowOff>152400</xdr:rowOff>
    </xdr:to>
    <xdr:sp macro="" textlink="">
      <xdr:nvSpPr>
        <xdr:cNvPr id="304051" name="TextBox 1211">
          <a:extLst>
            <a:ext uri="{FF2B5EF4-FFF2-40B4-BE49-F238E27FC236}">
              <a16:creationId xmlns:a16="http://schemas.microsoft.com/office/drawing/2014/main" id="{00000000-0008-0000-2200-0000B3A30400}"/>
            </a:ext>
          </a:extLst>
        </xdr:cNvPr>
        <xdr:cNvSpPr txBox="1">
          <a:spLocks noChangeArrowheads="1"/>
        </xdr:cNvSpPr>
      </xdr:nvSpPr>
      <xdr:spPr bwMode="auto">
        <a:xfrm>
          <a:off x="3651250" y="275247100"/>
          <a:ext cx="0" cy="546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1366</xdr:row>
      <xdr:rowOff>0</xdr:rowOff>
    </xdr:from>
    <xdr:to>
      <xdr:col>2</xdr:col>
      <xdr:colOff>0</xdr:colOff>
      <xdr:row>1367</xdr:row>
      <xdr:rowOff>152400</xdr:rowOff>
    </xdr:to>
    <xdr:sp macro="" textlink="">
      <xdr:nvSpPr>
        <xdr:cNvPr id="304052" name="TextBox 1080">
          <a:extLst>
            <a:ext uri="{FF2B5EF4-FFF2-40B4-BE49-F238E27FC236}">
              <a16:creationId xmlns:a16="http://schemas.microsoft.com/office/drawing/2014/main" id="{00000000-0008-0000-2200-0000B4A30400}"/>
            </a:ext>
          </a:extLst>
        </xdr:cNvPr>
        <xdr:cNvSpPr txBox="1">
          <a:spLocks noChangeArrowheads="1"/>
        </xdr:cNvSpPr>
      </xdr:nvSpPr>
      <xdr:spPr bwMode="auto">
        <a:xfrm>
          <a:off x="3651250" y="275247100"/>
          <a:ext cx="0" cy="546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1366</xdr:row>
      <xdr:rowOff>0</xdr:rowOff>
    </xdr:from>
    <xdr:to>
      <xdr:col>2</xdr:col>
      <xdr:colOff>0</xdr:colOff>
      <xdr:row>1367</xdr:row>
      <xdr:rowOff>152400</xdr:rowOff>
    </xdr:to>
    <xdr:sp macro="" textlink="">
      <xdr:nvSpPr>
        <xdr:cNvPr id="304053" name="TextBox 1211">
          <a:extLst>
            <a:ext uri="{FF2B5EF4-FFF2-40B4-BE49-F238E27FC236}">
              <a16:creationId xmlns:a16="http://schemas.microsoft.com/office/drawing/2014/main" id="{00000000-0008-0000-2200-0000B5A30400}"/>
            </a:ext>
          </a:extLst>
        </xdr:cNvPr>
        <xdr:cNvSpPr txBox="1">
          <a:spLocks noChangeArrowheads="1"/>
        </xdr:cNvSpPr>
      </xdr:nvSpPr>
      <xdr:spPr bwMode="auto">
        <a:xfrm>
          <a:off x="3651250" y="275247100"/>
          <a:ext cx="0" cy="546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1366</xdr:row>
      <xdr:rowOff>0</xdr:rowOff>
    </xdr:from>
    <xdr:to>
      <xdr:col>2</xdr:col>
      <xdr:colOff>0</xdr:colOff>
      <xdr:row>1367</xdr:row>
      <xdr:rowOff>152400</xdr:rowOff>
    </xdr:to>
    <xdr:sp macro="" textlink="">
      <xdr:nvSpPr>
        <xdr:cNvPr id="304054" name="TextBox 1080">
          <a:extLst>
            <a:ext uri="{FF2B5EF4-FFF2-40B4-BE49-F238E27FC236}">
              <a16:creationId xmlns:a16="http://schemas.microsoft.com/office/drawing/2014/main" id="{00000000-0008-0000-2200-0000B6A30400}"/>
            </a:ext>
          </a:extLst>
        </xdr:cNvPr>
        <xdr:cNvSpPr txBox="1">
          <a:spLocks noChangeArrowheads="1"/>
        </xdr:cNvSpPr>
      </xdr:nvSpPr>
      <xdr:spPr bwMode="auto">
        <a:xfrm>
          <a:off x="3651250" y="275247100"/>
          <a:ext cx="0" cy="546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1366</xdr:row>
      <xdr:rowOff>0</xdr:rowOff>
    </xdr:from>
    <xdr:to>
      <xdr:col>2</xdr:col>
      <xdr:colOff>0</xdr:colOff>
      <xdr:row>1367</xdr:row>
      <xdr:rowOff>152400</xdr:rowOff>
    </xdr:to>
    <xdr:sp macro="" textlink="">
      <xdr:nvSpPr>
        <xdr:cNvPr id="304055" name="TextBox 1211">
          <a:extLst>
            <a:ext uri="{FF2B5EF4-FFF2-40B4-BE49-F238E27FC236}">
              <a16:creationId xmlns:a16="http://schemas.microsoft.com/office/drawing/2014/main" id="{00000000-0008-0000-2200-0000B7A30400}"/>
            </a:ext>
          </a:extLst>
        </xdr:cNvPr>
        <xdr:cNvSpPr txBox="1">
          <a:spLocks noChangeArrowheads="1"/>
        </xdr:cNvSpPr>
      </xdr:nvSpPr>
      <xdr:spPr bwMode="auto">
        <a:xfrm>
          <a:off x="3651250" y="275247100"/>
          <a:ext cx="0" cy="546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1366</xdr:row>
      <xdr:rowOff>0</xdr:rowOff>
    </xdr:from>
    <xdr:to>
      <xdr:col>2</xdr:col>
      <xdr:colOff>0</xdr:colOff>
      <xdr:row>1367</xdr:row>
      <xdr:rowOff>152400</xdr:rowOff>
    </xdr:to>
    <xdr:sp macro="" textlink="">
      <xdr:nvSpPr>
        <xdr:cNvPr id="304056" name="TextBox 1080">
          <a:extLst>
            <a:ext uri="{FF2B5EF4-FFF2-40B4-BE49-F238E27FC236}">
              <a16:creationId xmlns:a16="http://schemas.microsoft.com/office/drawing/2014/main" id="{00000000-0008-0000-2200-0000B8A30400}"/>
            </a:ext>
          </a:extLst>
        </xdr:cNvPr>
        <xdr:cNvSpPr txBox="1">
          <a:spLocks noChangeArrowheads="1"/>
        </xdr:cNvSpPr>
      </xdr:nvSpPr>
      <xdr:spPr bwMode="auto">
        <a:xfrm>
          <a:off x="3651250" y="275247100"/>
          <a:ext cx="0" cy="546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1366</xdr:row>
      <xdr:rowOff>0</xdr:rowOff>
    </xdr:from>
    <xdr:to>
      <xdr:col>2</xdr:col>
      <xdr:colOff>0</xdr:colOff>
      <xdr:row>1367</xdr:row>
      <xdr:rowOff>152400</xdr:rowOff>
    </xdr:to>
    <xdr:sp macro="" textlink="">
      <xdr:nvSpPr>
        <xdr:cNvPr id="304057" name="TextBox 1211">
          <a:extLst>
            <a:ext uri="{FF2B5EF4-FFF2-40B4-BE49-F238E27FC236}">
              <a16:creationId xmlns:a16="http://schemas.microsoft.com/office/drawing/2014/main" id="{00000000-0008-0000-2200-0000B9A30400}"/>
            </a:ext>
          </a:extLst>
        </xdr:cNvPr>
        <xdr:cNvSpPr txBox="1">
          <a:spLocks noChangeArrowheads="1"/>
        </xdr:cNvSpPr>
      </xdr:nvSpPr>
      <xdr:spPr bwMode="auto">
        <a:xfrm>
          <a:off x="3651250" y="275247100"/>
          <a:ext cx="0" cy="546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1366</xdr:row>
      <xdr:rowOff>0</xdr:rowOff>
    </xdr:from>
    <xdr:to>
      <xdr:col>2</xdr:col>
      <xdr:colOff>0</xdr:colOff>
      <xdr:row>1367</xdr:row>
      <xdr:rowOff>152400</xdr:rowOff>
    </xdr:to>
    <xdr:sp macro="" textlink="">
      <xdr:nvSpPr>
        <xdr:cNvPr id="304058" name="TextBox 1080">
          <a:extLst>
            <a:ext uri="{FF2B5EF4-FFF2-40B4-BE49-F238E27FC236}">
              <a16:creationId xmlns:a16="http://schemas.microsoft.com/office/drawing/2014/main" id="{00000000-0008-0000-2200-0000BAA30400}"/>
            </a:ext>
          </a:extLst>
        </xdr:cNvPr>
        <xdr:cNvSpPr txBox="1">
          <a:spLocks noChangeArrowheads="1"/>
        </xdr:cNvSpPr>
      </xdr:nvSpPr>
      <xdr:spPr bwMode="auto">
        <a:xfrm>
          <a:off x="3651250" y="275247100"/>
          <a:ext cx="0" cy="546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1366</xdr:row>
      <xdr:rowOff>0</xdr:rowOff>
    </xdr:from>
    <xdr:to>
      <xdr:col>2</xdr:col>
      <xdr:colOff>0</xdr:colOff>
      <xdr:row>1367</xdr:row>
      <xdr:rowOff>152400</xdr:rowOff>
    </xdr:to>
    <xdr:sp macro="" textlink="">
      <xdr:nvSpPr>
        <xdr:cNvPr id="304059" name="TextBox 1211">
          <a:extLst>
            <a:ext uri="{FF2B5EF4-FFF2-40B4-BE49-F238E27FC236}">
              <a16:creationId xmlns:a16="http://schemas.microsoft.com/office/drawing/2014/main" id="{00000000-0008-0000-2200-0000BBA30400}"/>
            </a:ext>
          </a:extLst>
        </xdr:cNvPr>
        <xdr:cNvSpPr txBox="1">
          <a:spLocks noChangeArrowheads="1"/>
        </xdr:cNvSpPr>
      </xdr:nvSpPr>
      <xdr:spPr bwMode="auto">
        <a:xfrm>
          <a:off x="3651250" y="275247100"/>
          <a:ext cx="0" cy="546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1366</xdr:row>
      <xdr:rowOff>0</xdr:rowOff>
    </xdr:from>
    <xdr:to>
      <xdr:col>2</xdr:col>
      <xdr:colOff>0</xdr:colOff>
      <xdr:row>1367</xdr:row>
      <xdr:rowOff>152400</xdr:rowOff>
    </xdr:to>
    <xdr:sp macro="" textlink="">
      <xdr:nvSpPr>
        <xdr:cNvPr id="304060" name="TextBox 1080">
          <a:extLst>
            <a:ext uri="{FF2B5EF4-FFF2-40B4-BE49-F238E27FC236}">
              <a16:creationId xmlns:a16="http://schemas.microsoft.com/office/drawing/2014/main" id="{00000000-0008-0000-2200-0000BCA30400}"/>
            </a:ext>
          </a:extLst>
        </xdr:cNvPr>
        <xdr:cNvSpPr txBox="1">
          <a:spLocks noChangeArrowheads="1"/>
        </xdr:cNvSpPr>
      </xdr:nvSpPr>
      <xdr:spPr bwMode="auto">
        <a:xfrm>
          <a:off x="3651250" y="275247100"/>
          <a:ext cx="0" cy="546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1366</xdr:row>
      <xdr:rowOff>0</xdr:rowOff>
    </xdr:from>
    <xdr:to>
      <xdr:col>2</xdr:col>
      <xdr:colOff>0</xdr:colOff>
      <xdr:row>1367</xdr:row>
      <xdr:rowOff>152400</xdr:rowOff>
    </xdr:to>
    <xdr:sp macro="" textlink="">
      <xdr:nvSpPr>
        <xdr:cNvPr id="304061" name="TextBox 1211">
          <a:extLst>
            <a:ext uri="{FF2B5EF4-FFF2-40B4-BE49-F238E27FC236}">
              <a16:creationId xmlns:a16="http://schemas.microsoft.com/office/drawing/2014/main" id="{00000000-0008-0000-2200-0000BDA30400}"/>
            </a:ext>
          </a:extLst>
        </xdr:cNvPr>
        <xdr:cNvSpPr txBox="1">
          <a:spLocks noChangeArrowheads="1"/>
        </xdr:cNvSpPr>
      </xdr:nvSpPr>
      <xdr:spPr bwMode="auto">
        <a:xfrm>
          <a:off x="3651250" y="275247100"/>
          <a:ext cx="0" cy="546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1366</xdr:row>
      <xdr:rowOff>0</xdr:rowOff>
    </xdr:from>
    <xdr:to>
      <xdr:col>2</xdr:col>
      <xdr:colOff>0</xdr:colOff>
      <xdr:row>1367</xdr:row>
      <xdr:rowOff>12700</xdr:rowOff>
    </xdr:to>
    <xdr:sp macro="" textlink="">
      <xdr:nvSpPr>
        <xdr:cNvPr id="304062" name="TextBox 1080">
          <a:extLst>
            <a:ext uri="{FF2B5EF4-FFF2-40B4-BE49-F238E27FC236}">
              <a16:creationId xmlns:a16="http://schemas.microsoft.com/office/drawing/2014/main" id="{00000000-0008-0000-2200-0000BEA30400}"/>
            </a:ext>
          </a:extLst>
        </xdr:cNvPr>
        <xdr:cNvSpPr txBox="1">
          <a:spLocks noChangeArrowheads="1"/>
        </xdr:cNvSpPr>
      </xdr:nvSpPr>
      <xdr:spPr bwMode="auto">
        <a:xfrm>
          <a:off x="3651250" y="275247100"/>
          <a:ext cx="0" cy="40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1366</xdr:row>
      <xdr:rowOff>0</xdr:rowOff>
    </xdr:from>
    <xdr:to>
      <xdr:col>2</xdr:col>
      <xdr:colOff>0</xdr:colOff>
      <xdr:row>1367</xdr:row>
      <xdr:rowOff>12700</xdr:rowOff>
    </xdr:to>
    <xdr:sp macro="" textlink="">
      <xdr:nvSpPr>
        <xdr:cNvPr id="304063" name="TextBox 1211">
          <a:extLst>
            <a:ext uri="{FF2B5EF4-FFF2-40B4-BE49-F238E27FC236}">
              <a16:creationId xmlns:a16="http://schemas.microsoft.com/office/drawing/2014/main" id="{00000000-0008-0000-2200-0000BFA30400}"/>
            </a:ext>
          </a:extLst>
        </xdr:cNvPr>
        <xdr:cNvSpPr txBox="1">
          <a:spLocks noChangeArrowheads="1"/>
        </xdr:cNvSpPr>
      </xdr:nvSpPr>
      <xdr:spPr bwMode="auto">
        <a:xfrm>
          <a:off x="3651250" y="275247100"/>
          <a:ext cx="0" cy="40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1366</xdr:row>
      <xdr:rowOff>0</xdr:rowOff>
    </xdr:from>
    <xdr:to>
      <xdr:col>2</xdr:col>
      <xdr:colOff>0</xdr:colOff>
      <xdr:row>1367</xdr:row>
      <xdr:rowOff>12700</xdr:rowOff>
    </xdr:to>
    <xdr:sp macro="" textlink="">
      <xdr:nvSpPr>
        <xdr:cNvPr id="304064" name="TextBox 1080">
          <a:extLst>
            <a:ext uri="{FF2B5EF4-FFF2-40B4-BE49-F238E27FC236}">
              <a16:creationId xmlns:a16="http://schemas.microsoft.com/office/drawing/2014/main" id="{00000000-0008-0000-2200-0000C0A30400}"/>
            </a:ext>
          </a:extLst>
        </xdr:cNvPr>
        <xdr:cNvSpPr txBox="1">
          <a:spLocks noChangeArrowheads="1"/>
        </xdr:cNvSpPr>
      </xdr:nvSpPr>
      <xdr:spPr bwMode="auto">
        <a:xfrm>
          <a:off x="3651250" y="275247100"/>
          <a:ext cx="0" cy="40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1366</xdr:row>
      <xdr:rowOff>0</xdr:rowOff>
    </xdr:from>
    <xdr:to>
      <xdr:col>2</xdr:col>
      <xdr:colOff>0</xdr:colOff>
      <xdr:row>1367</xdr:row>
      <xdr:rowOff>12700</xdr:rowOff>
    </xdr:to>
    <xdr:sp macro="" textlink="">
      <xdr:nvSpPr>
        <xdr:cNvPr id="304065" name="TextBox 1211">
          <a:extLst>
            <a:ext uri="{FF2B5EF4-FFF2-40B4-BE49-F238E27FC236}">
              <a16:creationId xmlns:a16="http://schemas.microsoft.com/office/drawing/2014/main" id="{00000000-0008-0000-2200-0000C1A30400}"/>
            </a:ext>
          </a:extLst>
        </xdr:cNvPr>
        <xdr:cNvSpPr txBox="1">
          <a:spLocks noChangeArrowheads="1"/>
        </xdr:cNvSpPr>
      </xdr:nvSpPr>
      <xdr:spPr bwMode="auto">
        <a:xfrm>
          <a:off x="3651250" y="275247100"/>
          <a:ext cx="0" cy="40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1366</xdr:row>
      <xdr:rowOff>0</xdr:rowOff>
    </xdr:from>
    <xdr:to>
      <xdr:col>2</xdr:col>
      <xdr:colOff>0</xdr:colOff>
      <xdr:row>1367</xdr:row>
      <xdr:rowOff>12700</xdr:rowOff>
    </xdr:to>
    <xdr:sp macro="" textlink="">
      <xdr:nvSpPr>
        <xdr:cNvPr id="304066" name="TextBox 1080">
          <a:extLst>
            <a:ext uri="{FF2B5EF4-FFF2-40B4-BE49-F238E27FC236}">
              <a16:creationId xmlns:a16="http://schemas.microsoft.com/office/drawing/2014/main" id="{00000000-0008-0000-2200-0000C2A30400}"/>
            </a:ext>
          </a:extLst>
        </xdr:cNvPr>
        <xdr:cNvSpPr txBox="1">
          <a:spLocks noChangeArrowheads="1"/>
        </xdr:cNvSpPr>
      </xdr:nvSpPr>
      <xdr:spPr bwMode="auto">
        <a:xfrm>
          <a:off x="3651250" y="275247100"/>
          <a:ext cx="0" cy="40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1366</xdr:row>
      <xdr:rowOff>0</xdr:rowOff>
    </xdr:from>
    <xdr:to>
      <xdr:col>2</xdr:col>
      <xdr:colOff>0</xdr:colOff>
      <xdr:row>1367</xdr:row>
      <xdr:rowOff>12700</xdr:rowOff>
    </xdr:to>
    <xdr:sp macro="" textlink="">
      <xdr:nvSpPr>
        <xdr:cNvPr id="304067" name="TextBox 1211">
          <a:extLst>
            <a:ext uri="{FF2B5EF4-FFF2-40B4-BE49-F238E27FC236}">
              <a16:creationId xmlns:a16="http://schemas.microsoft.com/office/drawing/2014/main" id="{00000000-0008-0000-2200-0000C3A30400}"/>
            </a:ext>
          </a:extLst>
        </xdr:cNvPr>
        <xdr:cNvSpPr txBox="1">
          <a:spLocks noChangeArrowheads="1"/>
        </xdr:cNvSpPr>
      </xdr:nvSpPr>
      <xdr:spPr bwMode="auto">
        <a:xfrm>
          <a:off x="3651250" y="275247100"/>
          <a:ext cx="0" cy="40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1366</xdr:row>
      <xdr:rowOff>0</xdr:rowOff>
    </xdr:from>
    <xdr:to>
      <xdr:col>2</xdr:col>
      <xdr:colOff>0</xdr:colOff>
      <xdr:row>1367</xdr:row>
      <xdr:rowOff>12700</xdr:rowOff>
    </xdr:to>
    <xdr:sp macro="" textlink="">
      <xdr:nvSpPr>
        <xdr:cNvPr id="304068" name="TextBox 1080">
          <a:extLst>
            <a:ext uri="{FF2B5EF4-FFF2-40B4-BE49-F238E27FC236}">
              <a16:creationId xmlns:a16="http://schemas.microsoft.com/office/drawing/2014/main" id="{00000000-0008-0000-2200-0000C4A30400}"/>
            </a:ext>
          </a:extLst>
        </xdr:cNvPr>
        <xdr:cNvSpPr txBox="1">
          <a:spLocks noChangeArrowheads="1"/>
        </xdr:cNvSpPr>
      </xdr:nvSpPr>
      <xdr:spPr bwMode="auto">
        <a:xfrm>
          <a:off x="3651250" y="275247100"/>
          <a:ext cx="0" cy="40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1366</xdr:row>
      <xdr:rowOff>0</xdr:rowOff>
    </xdr:from>
    <xdr:to>
      <xdr:col>2</xdr:col>
      <xdr:colOff>0</xdr:colOff>
      <xdr:row>1367</xdr:row>
      <xdr:rowOff>12700</xdr:rowOff>
    </xdr:to>
    <xdr:sp macro="" textlink="">
      <xdr:nvSpPr>
        <xdr:cNvPr id="304069" name="TextBox 1211">
          <a:extLst>
            <a:ext uri="{FF2B5EF4-FFF2-40B4-BE49-F238E27FC236}">
              <a16:creationId xmlns:a16="http://schemas.microsoft.com/office/drawing/2014/main" id="{00000000-0008-0000-2200-0000C5A30400}"/>
            </a:ext>
          </a:extLst>
        </xdr:cNvPr>
        <xdr:cNvSpPr txBox="1">
          <a:spLocks noChangeArrowheads="1"/>
        </xdr:cNvSpPr>
      </xdr:nvSpPr>
      <xdr:spPr bwMode="auto">
        <a:xfrm>
          <a:off x="3651250" y="275247100"/>
          <a:ext cx="0" cy="40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1366</xdr:row>
      <xdr:rowOff>0</xdr:rowOff>
    </xdr:from>
    <xdr:to>
      <xdr:col>2</xdr:col>
      <xdr:colOff>0</xdr:colOff>
      <xdr:row>1366</xdr:row>
      <xdr:rowOff>387350</xdr:rowOff>
    </xdr:to>
    <xdr:sp macro="" textlink="">
      <xdr:nvSpPr>
        <xdr:cNvPr id="304070" name="TextBox 1080">
          <a:extLst>
            <a:ext uri="{FF2B5EF4-FFF2-40B4-BE49-F238E27FC236}">
              <a16:creationId xmlns:a16="http://schemas.microsoft.com/office/drawing/2014/main" id="{00000000-0008-0000-2200-0000C6A30400}"/>
            </a:ext>
          </a:extLst>
        </xdr:cNvPr>
        <xdr:cNvSpPr txBox="1">
          <a:spLocks noChangeArrowheads="1"/>
        </xdr:cNvSpPr>
      </xdr:nvSpPr>
      <xdr:spPr bwMode="auto">
        <a:xfrm>
          <a:off x="3651250" y="275247100"/>
          <a:ext cx="0" cy="38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1366</xdr:row>
      <xdr:rowOff>0</xdr:rowOff>
    </xdr:from>
    <xdr:to>
      <xdr:col>2</xdr:col>
      <xdr:colOff>0</xdr:colOff>
      <xdr:row>1366</xdr:row>
      <xdr:rowOff>387350</xdr:rowOff>
    </xdr:to>
    <xdr:sp macro="" textlink="">
      <xdr:nvSpPr>
        <xdr:cNvPr id="304071" name="TextBox 1211">
          <a:extLst>
            <a:ext uri="{FF2B5EF4-FFF2-40B4-BE49-F238E27FC236}">
              <a16:creationId xmlns:a16="http://schemas.microsoft.com/office/drawing/2014/main" id="{00000000-0008-0000-2200-0000C7A30400}"/>
            </a:ext>
          </a:extLst>
        </xdr:cNvPr>
        <xdr:cNvSpPr txBox="1">
          <a:spLocks noChangeArrowheads="1"/>
        </xdr:cNvSpPr>
      </xdr:nvSpPr>
      <xdr:spPr bwMode="auto">
        <a:xfrm>
          <a:off x="3651250" y="275247100"/>
          <a:ext cx="0" cy="38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1366</xdr:row>
      <xdr:rowOff>0</xdr:rowOff>
    </xdr:from>
    <xdr:to>
      <xdr:col>2</xdr:col>
      <xdr:colOff>0</xdr:colOff>
      <xdr:row>1366</xdr:row>
      <xdr:rowOff>387350</xdr:rowOff>
    </xdr:to>
    <xdr:sp macro="" textlink="">
      <xdr:nvSpPr>
        <xdr:cNvPr id="304072" name="TextBox 1080">
          <a:extLst>
            <a:ext uri="{FF2B5EF4-FFF2-40B4-BE49-F238E27FC236}">
              <a16:creationId xmlns:a16="http://schemas.microsoft.com/office/drawing/2014/main" id="{00000000-0008-0000-2200-0000C8A30400}"/>
            </a:ext>
          </a:extLst>
        </xdr:cNvPr>
        <xdr:cNvSpPr txBox="1">
          <a:spLocks noChangeArrowheads="1"/>
        </xdr:cNvSpPr>
      </xdr:nvSpPr>
      <xdr:spPr bwMode="auto">
        <a:xfrm>
          <a:off x="3651250" y="275247100"/>
          <a:ext cx="0" cy="38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1366</xdr:row>
      <xdr:rowOff>0</xdr:rowOff>
    </xdr:from>
    <xdr:to>
      <xdr:col>2</xdr:col>
      <xdr:colOff>0</xdr:colOff>
      <xdr:row>1366</xdr:row>
      <xdr:rowOff>387350</xdr:rowOff>
    </xdr:to>
    <xdr:sp macro="" textlink="">
      <xdr:nvSpPr>
        <xdr:cNvPr id="304073" name="TextBox 1211">
          <a:extLst>
            <a:ext uri="{FF2B5EF4-FFF2-40B4-BE49-F238E27FC236}">
              <a16:creationId xmlns:a16="http://schemas.microsoft.com/office/drawing/2014/main" id="{00000000-0008-0000-2200-0000C9A30400}"/>
            </a:ext>
          </a:extLst>
        </xdr:cNvPr>
        <xdr:cNvSpPr txBox="1">
          <a:spLocks noChangeArrowheads="1"/>
        </xdr:cNvSpPr>
      </xdr:nvSpPr>
      <xdr:spPr bwMode="auto">
        <a:xfrm>
          <a:off x="3651250" y="275247100"/>
          <a:ext cx="0" cy="38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1366</xdr:row>
      <xdr:rowOff>0</xdr:rowOff>
    </xdr:from>
    <xdr:to>
      <xdr:col>2</xdr:col>
      <xdr:colOff>0</xdr:colOff>
      <xdr:row>1366</xdr:row>
      <xdr:rowOff>387350</xdr:rowOff>
    </xdr:to>
    <xdr:sp macro="" textlink="">
      <xdr:nvSpPr>
        <xdr:cNvPr id="304074" name="TextBox 1080">
          <a:extLst>
            <a:ext uri="{FF2B5EF4-FFF2-40B4-BE49-F238E27FC236}">
              <a16:creationId xmlns:a16="http://schemas.microsoft.com/office/drawing/2014/main" id="{00000000-0008-0000-2200-0000CAA30400}"/>
            </a:ext>
          </a:extLst>
        </xdr:cNvPr>
        <xdr:cNvSpPr txBox="1">
          <a:spLocks noChangeArrowheads="1"/>
        </xdr:cNvSpPr>
      </xdr:nvSpPr>
      <xdr:spPr bwMode="auto">
        <a:xfrm>
          <a:off x="3651250" y="275247100"/>
          <a:ext cx="0" cy="38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1366</xdr:row>
      <xdr:rowOff>0</xdr:rowOff>
    </xdr:from>
    <xdr:to>
      <xdr:col>2</xdr:col>
      <xdr:colOff>0</xdr:colOff>
      <xdr:row>1366</xdr:row>
      <xdr:rowOff>387350</xdr:rowOff>
    </xdr:to>
    <xdr:sp macro="" textlink="">
      <xdr:nvSpPr>
        <xdr:cNvPr id="304075" name="TextBox 1211">
          <a:extLst>
            <a:ext uri="{FF2B5EF4-FFF2-40B4-BE49-F238E27FC236}">
              <a16:creationId xmlns:a16="http://schemas.microsoft.com/office/drawing/2014/main" id="{00000000-0008-0000-2200-0000CBA30400}"/>
            </a:ext>
          </a:extLst>
        </xdr:cNvPr>
        <xdr:cNvSpPr txBox="1">
          <a:spLocks noChangeArrowheads="1"/>
        </xdr:cNvSpPr>
      </xdr:nvSpPr>
      <xdr:spPr bwMode="auto">
        <a:xfrm>
          <a:off x="3651250" y="275247100"/>
          <a:ext cx="0" cy="38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1366</xdr:row>
      <xdr:rowOff>0</xdr:rowOff>
    </xdr:from>
    <xdr:to>
      <xdr:col>2</xdr:col>
      <xdr:colOff>0</xdr:colOff>
      <xdr:row>1366</xdr:row>
      <xdr:rowOff>387350</xdr:rowOff>
    </xdr:to>
    <xdr:sp macro="" textlink="">
      <xdr:nvSpPr>
        <xdr:cNvPr id="304076" name="TextBox 1080">
          <a:extLst>
            <a:ext uri="{FF2B5EF4-FFF2-40B4-BE49-F238E27FC236}">
              <a16:creationId xmlns:a16="http://schemas.microsoft.com/office/drawing/2014/main" id="{00000000-0008-0000-2200-0000CCA30400}"/>
            </a:ext>
          </a:extLst>
        </xdr:cNvPr>
        <xdr:cNvSpPr txBox="1">
          <a:spLocks noChangeArrowheads="1"/>
        </xdr:cNvSpPr>
      </xdr:nvSpPr>
      <xdr:spPr bwMode="auto">
        <a:xfrm>
          <a:off x="3651250" y="275247100"/>
          <a:ext cx="0" cy="38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1366</xdr:row>
      <xdr:rowOff>0</xdr:rowOff>
    </xdr:from>
    <xdr:to>
      <xdr:col>2</xdr:col>
      <xdr:colOff>0</xdr:colOff>
      <xdr:row>1366</xdr:row>
      <xdr:rowOff>387350</xdr:rowOff>
    </xdr:to>
    <xdr:sp macro="" textlink="">
      <xdr:nvSpPr>
        <xdr:cNvPr id="304077" name="TextBox 1211">
          <a:extLst>
            <a:ext uri="{FF2B5EF4-FFF2-40B4-BE49-F238E27FC236}">
              <a16:creationId xmlns:a16="http://schemas.microsoft.com/office/drawing/2014/main" id="{00000000-0008-0000-2200-0000CDA30400}"/>
            </a:ext>
          </a:extLst>
        </xdr:cNvPr>
        <xdr:cNvSpPr txBox="1">
          <a:spLocks noChangeArrowheads="1"/>
        </xdr:cNvSpPr>
      </xdr:nvSpPr>
      <xdr:spPr bwMode="auto">
        <a:xfrm>
          <a:off x="3651250" y="275247100"/>
          <a:ext cx="0" cy="38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aptop88/Documents/Zalo%20Received%20Files/DANH%20MUC%20DONG%20HY%203.7%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Laptop88\Documents\Zalo%20Received%20Files\DANH%20MUC%20DONG%20HY%203.7%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G9\Documents\Zalo%20Received%20Files\phan%20bo%20co%20qd\Chu&#7849;n-DAUT%20QGPB%20SOKHDT%20ng&#224;y%2005.02.2023%20(Duy&#7879;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G9/Documents/Zalo%20Received%20Files/phan%20bo%20co%20qd/Chu&#7849;n-DAUT%20QGPB%20SOKHDT%20ng&#224;y%2005.02.2023%20(Duy&#7879;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PHUONG%20BAC/2.%20Nam%202024/Tinh%20LangSon/2.%20LocBinh/HS%20xin%20y%20kien/Ngay%20041024/Ra%20soat%20071024/HS%20trinh%20HDND%2017.10.24/CC%2017.10.24/Bieu%20CHU%20CHUYEN%20LB%20-%20ma%20tt08.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Admin\Documents\Zalo%20Received%20Files\Bieu%20CHU%20CHUYEN%20LB%20-%20ma%20tt08%2019.1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M tổng (3)"/>
      <sheetName val="DM tổng (2)"/>
      <sheetName val="DM tổng"/>
      <sheetName val="Hóa Thượng"/>
      <sheetName val="Hóa trung"/>
      <sheetName val="minh lập"/>
      <sheetName val="quang sơn"/>
      <sheetName val="Tân long"/>
      <sheetName val="Hòa bình"/>
      <sheetName val="Van lang"/>
      <sheetName val="TT Song Cầu"/>
      <sheetName val="DM tổng (22)"/>
      <sheetName val="DM tổng (21)"/>
      <sheetName val="DM tổng (20)"/>
      <sheetName val="DM tổng (19)"/>
      <sheetName val="DM tổng (18)"/>
      <sheetName val="DM tổng (17)"/>
      <sheetName val="DM tổng (16)"/>
      <sheetName val="gốc"/>
      <sheetName val="10_C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
          <cell r="A1">
            <v>1</v>
          </cell>
        </row>
        <row r="3">
          <cell r="F3" t="str">
            <v>HNK</v>
          </cell>
        </row>
        <row r="9">
          <cell r="I9" t="str">
            <v>LUC</v>
          </cell>
          <cell r="J9" t="str">
            <v>LUK</v>
          </cell>
          <cell r="K9" t="str">
            <v>LUN</v>
          </cell>
          <cell r="L9" t="str">
            <v>HNK</v>
          </cell>
          <cell r="M9" t="str">
            <v>CLN</v>
          </cell>
          <cell r="N9" t="str">
            <v>RPH</v>
          </cell>
          <cell r="O9" t="str">
            <v>RDD</v>
          </cell>
          <cell r="P9" t="str">
            <v>RSX</v>
          </cell>
          <cell r="Q9" t="str">
            <v>RSN</v>
          </cell>
          <cell r="R9" t="str">
            <v>RST</v>
          </cell>
          <cell r="S9" t="str">
            <v>RSM</v>
          </cell>
          <cell r="T9" t="str">
            <v>NTS</v>
          </cell>
          <cell r="U9" t="str">
            <v>NKH</v>
          </cell>
          <cell r="V9" t="str">
            <v>CQP</v>
          </cell>
          <cell r="W9" t="str">
            <v>CAN</v>
          </cell>
          <cell r="X9" t="str">
            <v>SKK</v>
          </cell>
          <cell r="Y9" t="str">
            <v>SKN</v>
          </cell>
          <cell r="Z9" t="str">
            <v>TMD</v>
          </cell>
          <cell r="AA9" t="str">
            <v>SKC</v>
          </cell>
          <cell r="AB9" t="str">
            <v>SKS</v>
          </cell>
          <cell r="AC9" t="str">
            <v>SKX</v>
          </cell>
          <cell r="AD9" t="str">
            <v>DGT</v>
          </cell>
          <cell r="AE9" t="str">
            <v>DTL</v>
          </cell>
          <cell r="AF9" t="str">
            <v>DVH</v>
          </cell>
          <cell r="AG9" t="str">
            <v>DYT</v>
          </cell>
          <cell r="AH9" t="str">
            <v>DGD</v>
          </cell>
          <cell r="AI9" t="str">
            <v>DTT</v>
          </cell>
          <cell r="AJ9" t="str">
            <v>DNL</v>
          </cell>
          <cell r="AK9" t="str">
            <v>DBV</v>
          </cell>
          <cell r="AL9" t="str">
            <v>DKG</v>
          </cell>
          <cell r="AM9" t="str">
            <v>DDT</v>
          </cell>
          <cell r="AN9" t="str">
            <v>DRA</v>
          </cell>
          <cell r="AO9" t="str">
            <v>TON</v>
          </cell>
          <cell r="AP9" t="str">
            <v>NTD</v>
          </cell>
          <cell r="AQ9" t="str">
            <v>DKH</v>
          </cell>
          <cell r="AR9" t="str">
            <v>DXH</v>
          </cell>
          <cell r="AS9" t="str">
            <v>DCH</v>
          </cell>
          <cell r="AT9" t="str">
            <v>DDL</v>
          </cell>
          <cell r="AU9" t="str">
            <v>DSH</v>
          </cell>
          <cell r="AV9" t="str">
            <v>DKV</v>
          </cell>
          <cell r="AW9" t="str">
            <v>ONT</v>
          </cell>
          <cell r="AX9" t="str">
            <v>ODT</v>
          </cell>
          <cell r="AY9" t="str">
            <v>TSC</v>
          </cell>
          <cell r="AZ9" t="str">
            <v>DTS</v>
          </cell>
          <cell r="BA9" t="str">
            <v>TIN</v>
          </cell>
          <cell r="BB9" t="str">
            <v>SON</v>
          </cell>
          <cell r="BC9" t="str">
            <v>MNC</v>
          </cell>
          <cell r="BD9" t="str">
            <v>PNK</v>
          </cell>
          <cell r="BE9" t="str">
            <v>CSD</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M tổng (3)"/>
      <sheetName val="DM tổng (2)"/>
      <sheetName val="DM tổng"/>
      <sheetName val="Hóa Thượng"/>
      <sheetName val="Hóa trung"/>
      <sheetName val="minh lập"/>
      <sheetName val="quang sơn"/>
      <sheetName val="Tân long"/>
      <sheetName val="Hòa bình"/>
      <sheetName val="Van lang"/>
      <sheetName val="TT Song Cầu"/>
      <sheetName val="DM tổng (22)"/>
      <sheetName val="DM tổng (21)"/>
      <sheetName val="DM tổng (20)"/>
      <sheetName val="DM tổng (19)"/>
      <sheetName val="DM tổng (18)"/>
      <sheetName val="DM tổng (17)"/>
      <sheetName val="DM tổng (16)"/>
      <sheetName val="gốc"/>
      <sheetName val="10_C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
          <cell r="A1">
            <v>1</v>
          </cell>
        </row>
        <row r="3">
          <cell r="F3" t="str">
            <v>HNK</v>
          </cell>
        </row>
        <row r="9">
          <cell r="I9" t="str">
            <v>LUC</v>
          </cell>
          <cell r="J9" t="str">
            <v>LUK</v>
          </cell>
          <cell r="K9" t="str">
            <v>LUN</v>
          </cell>
          <cell r="L9" t="str">
            <v>HNK</v>
          </cell>
          <cell r="M9" t="str">
            <v>CLN</v>
          </cell>
          <cell r="N9" t="str">
            <v>RPH</v>
          </cell>
          <cell r="O9" t="str">
            <v>RDD</v>
          </cell>
          <cell r="P9" t="str">
            <v>RSX</v>
          </cell>
          <cell r="Q9" t="str">
            <v>RSN</v>
          </cell>
          <cell r="R9" t="str">
            <v>RST</v>
          </cell>
          <cell r="S9" t="str">
            <v>RSM</v>
          </cell>
          <cell r="T9" t="str">
            <v>NTS</v>
          </cell>
          <cell r="U9" t="str">
            <v>NKH</v>
          </cell>
          <cell r="V9" t="str">
            <v>CQP</v>
          </cell>
          <cell r="W9" t="str">
            <v>CAN</v>
          </cell>
          <cell r="X9" t="str">
            <v>SKK</v>
          </cell>
          <cell r="Y9" t="str">
            <v>SKN</v>
          </cell>
          <cell r="Z9" t="str">
            <v>TMD</v>
          </cell>
          <cell r="AA9" t="str">
            <v>SKC</v>
          </cell>
          <cell r="AB9" t="str">
            <v>SKS</v>
          </cell>
          <cell r="AC9" t="str">
            <v>SKX</v>
          </cell>
          <cell r="AD9" t="str">
            <v>DGT</v>
          </cell>
          <cell r="AE9" t="str">
            <v>DTL</v>
          </cell>
          <cell r="AF9" t="str">
            <v>DVH</v>
          </cell>
          <cell r="AG9" t="str">
            <v>DYT</v>
          </cell>
          <cell r="AH9" t="str">
            <v>DGD</v>
          </cell>
          <cell r="AI9" t="str">
            <v>DTT</v>
          </cell>
          <cell r="AJ9" t="str">
            <v>DNL</v>
          </cell>
          <cell r="AK9" t="str">
            <v>DBV</v>
          </cell>
          <cell r="AL9" t="str">
            <v>DKG</v>
          </cell>
          <cell r="AM9" t="str">
            <v>DDT</v>
          </cell>
          <cell r="AN9" t="str">
            <v>DRA</v>
          </cell>
          <cell r="AO9" t="str">
            <v>TON</v>
          </cell>
          <cell r="AP9" t="str">
            <v>NTD</v>
          </cell>
          <cell r="AQ9" t="str">
            <v>DKH</v>
          </cell>
          <cell r="AR9" t="str">
            <v>DXH</v>
          </cell>
          <cell r="AS9" t="str">
            <v>DCH</v>
          </cell>
          <cell r="AT9" t="str">
            <v>DDL</v>
          </cell>
          <cell r="AU9" t="str">
            <v>DSH</v>
          </cell>
          <cell r="AV9" t="str">
            <v>DKV</v>
          </cell>
          <cell r="AW9" t="str">
            <v>ONT</v>
          </cell>
          <cell r="AX9" t="str">
            <v>ODT</v>
          </cell>
          <cell r="AY9" t="str">
            <v>TSC</v>
          </cell>
          <cell r="AZ9" t="str">
            <v>DTS</v>
          </cell>
          <cell r="BA9" t="str">
            <v>TIN</v>
          </cell>
          <cell r="BB9" t="str">
            <v>SON</v>
          </cell>
          <cell r="BC9" t="str">
            <v>MNC</v>
          </cell>
          <cell r="BD9" t="str">
            <v>PNK</v>
          </cell>
          <cell r="BE9" t="str">
            <v>CSD</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_CH"/>
      <sheetName val="Tinh THAI NGUYEN"/>
      <sheetName val="Các huyện"/>
      <sheetName val="Tinh THAI NGUYEN - thu hoi"/>
      <sheetName val="Các huyện - thu hoi"/>
      <sheetName val="DS HUYEN"/>
      <sheetName val="2020"/>
      <sheetName val="Sheet1"/>
      <sheetName val="Sheet2"/>
      <sheetName val="Sheet3"/>
    </sheetNames>
    <sheetDataSet>
      <sheetData sheetId="0"/>
      <sheetData sheetId="1"/>
      <sheetData sheetId="2"/>
      <sheetData sheetId="3"/>
      <sheetData sheetId="4"/>
      <sheetData sheetId="5">
        <row r="1">
          <cell r="A1">
            <v>10</v>
          </cell>
        </row>
        <row r="6">
          <cell r="A6" t="str">
            <v>Tỉnh Thái Nguyên</v>
          </cell>
          <cell r="G6" t="str">
            <v>Tất cả</v>
          </cell>
          <cell r="K6" t="str">
            <v>NNP</v>
          </cell>
          <cell r="L6" t="str">
            <v>NNP</v>
          </cell>
          <cell r="M6" t="str">
            <v>NNP</v>
          </cell>
        </row>
        <row r="7">
          <cell r="G7" t="str">
            <v>Thu hồi</v>
          </cell>
          <cell r="K7" t="str">
            <v>LUA</v>
          </cell>
          <cell r="L7" t="str">
            <v>LUA</v>
          </cell>
          <cell r="M7" t="str">
            <v>NNP</v>
          </cell>
        </row>
        <row r="8">
          <cell r="K8" t="str">
            <v>LUC</v>
          </cell>
          <cell r="L8" t="str">
            <v>LUA</v>
          </cell>
          <cell r="M8" t="str">
            <v>NNP</v>
          </cell>
        </row>
        <row r="9">
          <cell r="K9" t="str">
            <v>LUK</v>
          </cell>
          <cell r="L9" t="str">
            <v>LUA</v>
          </cell>
          <cell r="M9" t="str">
            <v>NNP</v>
          </cell>
        </row>
        <row r="10">
          <cell r="K10" t="str">
            <v>LUN</v>
          </cell>
          <cell r="L10" t="str">
            <v>LUA</v>
          </cell>
          <cell r="M10" t="str">
            <v>NNP</v>
          </cell>
        </row>
        <row r="11">
          <cell r="K11" t="str">
            <v>HNK</v>
          </cell>
          <cell r="L11" t="str">
            <v>HNK</v>
          </cell>
          <cell r="M11" t="str">
            <v>NNP</v>
          </cell>
        </row>
        <row r="12">
          <cell r="K12" t="str">
            <v>CLN</v>
          </cell>
          <cell r="L12" t="str">
            <v>CLN</v>
          </cell>
          <cell r="M12" t="str">
            <v>NNP</v>
          </cell>
        </row>
        <row r="13">
          <cell r="K13" t="str">
            <v>RPH</v>
          </cell>
          <cell r="L13" t="str">
            <v>RPH</v>
          </cell>
          <cell r="M13" t="str">
            <v>NNP</v>
          </cell>
        </row>
        <row r="14">
          <cell r="K14" t="str">
            <v>RDD</v>
          </cell>
          <cell r="L14" t="str">
            <v>RDD</v>
          </cell>
          <cell r="M14" t="str">
            <v>NNP</v>
          </cell>
        </row>
        <row r="15">
          <cell r="K15" t="str">
            <v>RSX</v>
          </cell>
          <cell r="L15" t="str">
            <v>RSX</v>
          </cell>
          <cell r="M15" t="str">
            <v>NNP</v>
          </cell>
        </row>
        <row r="16">
          <cell r="K16" t="str">
            <v>RSN</v>
          </cell>
          <cell r="L16" t="str">
            <v>RSN</v>
          </cell>
          <cell r="M16" t="str">
            <v>NNP</v>
          </cell>
        </row>
        <row r="17">
          <cell r="K17" t="str">
            <v>NTS</v>
          </cell>
          <cell r="L17" t="str">
            <v>NTS</v>
          </cell>
          <cell r="M17" t="str">
            <v>NNP</v>
          </cell>
        </row>
        <row r="18">
          <cell r="K18" t="str">
            <v>LMU</v>
          </cell>
          <cell r="L18" t="str">
            <v>LMU</v>
          </cell>
          <cell r="M18" t="str">
            <v>NNP</v>
          </cell>
        </row>
        <row r="19">
          <cell r="K19" t="str">
            <v>NKH</v>
          </cell>
          <cell r="L19" t="str">
            <v>NKH</v>
          </cell>
          <cell r="M19" t="str">
            <v>NNP</v>
          </cell>
        </row>
        <row r="20">
          <cell r="K20" t="str">
            <v>PNN</v>
          </cell>
          <cell r="L20" t="str">
            <v>PNN</v>
          </cell>
          <cell r="M20" t="str">
            <v>PNN</v>
          </cell>
        </row>
        <row r="21">
          <cell r="K21" t="str">
            <v>CQP</v>
          </cell>
          <cell r="L21" t="str">
            <v>CQP</v>
          </cell>
          <cell r="M21" t="str">
            <v>PNN</v>
          </cell>
        </row>
        <row r="22">
          <cell r="K22" t="str">
            <v>CAN</v>
          </cell>
          <cell r="L22" t="str">
            <v>CAN</v>
          </cell>
          <cell r="M22" t="str">
            <v>PNN</v>
          </cell>
        </row>
        <row r="23">
          <cell r="K23" t="str">
            <v>SKK</v>
          </cell>
          <cell r="L23" t="str">
            <v>SKK</v>
          </cell>
          <cell r="M23" t="str">
            <v>PNN</v>
          </cell>
        </row>
        <row r="24">
          <cell r="K24" t="str">
            <v>SKN</v>
          </cell>
          <cell r="L24" t="str">
            <v>SKN</v>
          </cell>
          <cell r="M24" t="str">
            <v>PNN</v>
          </cell>
        </row>
        <row r="25">
          <cell r="K25" t="str">
            <v>TMD</v>
          </cell>
          <cell r="L25" t="str">
            <v>TMD</v>
          </cell>
          <cell r="M25" t="str">
            <v>PNN</v>
          </cell>
        </row>
        <row r="26">
          <cell r="K26" t="str">
            <v>SKC</v>
          </cell>
          <cell r="L26" t="str">
            <v>SKC</v>
          </cell>
          <cell r="M26" t="str">
            <v>PNN</v>
          </cell>
        </row>
        <row r="27">
          <cell r="K27" t="str">
            <v>SKS</v>
          </cell>
          <cell r="L27" t="str">
            <v>SKS</v>
          </cell>
          <cell r="M27" t="str">
            <v>PNN</v>
          </cell>
        </row>
        <row r="28">
          <cell r="K28" t="str">
            <v>SKX</v>
          </cell>
          <cell r="L28" t="str">
            <v>SKX</v>
          </cell>
          <cell r="M28" t="str">
            <v>PNN</v>
          </cell>
        </row>
        <row r="29">
          <cell r="K29" t="str">
            <v>DHT</v>
          </cell>
          <cell r="L29" t="str">
            <v>DHT</v>
          </cell>
          <cell r="M29" t="str">
            <v>PNN</v>
          </cell>
        </row>
        <row r="30">
          <cell r="K30" t="str">
            <v>DGT</v>
          </cell>
          <cell r="L30" t="str">
            <v>DHT</v>
          </cell>
          <cell r="M30" t="str">
            <v>PNN</v>
          </cell>
        </row>
        <row r="31">
          <cell r="K31" t="str">
            <v>DTL</v>
          </cell>
          <cell r="L31" t="str">
            <v>DHT</v>
          </cell>
          <cell r="M31" t="str">
            <v>PNN</v>
          </cell>
        </row>
        <row r="32">
          <cell r="K32" t="str">
            <v>DVH</v>
          </cell>
          <cell r="L32" t="str">
            <v>DHT</v>
          </cell>
          <cell r="M32" t="str">
            <v>PNN</v>
          </cell>
        </row>
        <row r="33">
          <cell r="K33" t="str">
            <v>DYT</v>
          </cell>
          <cell r="L33" t="str">
            <v>DHT</v>
          </cell>
          <cell r="M33" t="str">
            <v>PNN</v>
          </cell>
        </row>
        <row r="34">
          <cell r="K34" t="str">
            <v>DGD</v>
          </cell>
          <cell r="L34" t="str">
            <v>DHT</v>
          </cell>
          <cell r="M34" t="str">
            <v>PNN</v>
          </cell>
        </row>
        <row r="35">
          <cell r="K35" t="str">
            <v>DTT</v>
          </cell>
          <cell r="L35" t="str">
            <v>DHT</v>
          </cell>
          <cell r="M35" t="str">
            <v>PNN</v>
          </cell>
        </row>
        <row r="36">
          <cell r="K36" t="str">
            <v>DNL</v>
          </cell>
          <cell r="L36" t="str">
            <v>DHT</v>
          </cell>
          <cell r="M36" t="str">
            <v>PNN</v>
          </cell>
        </row>
        <row r="37">
          <cell r="K37" t="str">
            <v>DBV</v>
          </cell>
          <cell r="L37" t="str">
            <v>DHT</v>
          </cell>
          <cell r="M37" t="str">
            <v>PNN</v>
          </cell>
        </row>
        <row r="38">
          <cell r="K38" t="str">
            <v>TON</v>
          </cell>
          <cell r="L38" t="str">
            <v>DHT</v>
          </cell>
          <cell r="M38" t="str">
            <v>PNN</v>
          </cell>
        </row>
        <row r="39">
          <cell r="K39" t="str">
            <v>NTD</v>
          </cell>
          <cell r="L39" t="str">
            <v>DHT</v>
          </cell>
          <cell r="M39" t="str">
            <v>PNN</v>
          </cell>
        </row>
        <row r="40">
          <cell r="K40" t="str">
            <v>DKH</v>
          </cell>
          <cell r="L40" t="str">
            <v>DHT</v>
          </cell>
          <cell r="M40" t="str">
            <v>PNN</v>
          </cell>
        </row>
        <row r="41">
          <cell r="K41" t="str">
            <v>DXH</v>
          </cell>
          <cell r="L41" t="str">
            <v>DHT</v>
          </cell>
          <cell r="M41" t="str">
            <v>PNN</v>
          </cell>
        </row>
        <row r="42">
          <cell r="K42" t="str">
            <v>DCH</v>
          </cell>
          <cell r="L42" t="str">
            <v>DHT</v>
          </cell>
          <cell r="M42" t="str">
            <v>PNN</v>
          </cell>
        </row>
        <row r="43">
          <cell r="K43" t="str">
            <v>DCK</v>
          </cell>
          <cell r="L43" t="str">
            <v>DHT</v>
          </cell>
          <cell r="M43" t="str">
            <v>PNN</v>
          </cell>
        </row>
        <row r="44">
          <cell r="K44" t="str">
            <v>DSK</v>
          </cell>
          <cell r="L44" t="str">
            <v>DHT</v>
          </cell>
          <cell r="M44" t="str">
            <v>PNN</v>
          </cell>
        </row>
        <row r="45">
          <cell r="K45" t="str">
            <v>DKG</v>
          </cell>
          <cell r="L45" t="str">
            <v>DKG</v>
          </cell>
          <cell r="M45" t="str">
            <v>PNN</v>
          </cell>
        </row>
        <row r="46">
          <cell r="K46" t="str">
            <v>DDT</v>
          </cell>
          <cell r="L46" t="str">
            <v>DDT</v>
          </cell>
          <cell r="M46" t="str">
            <v>PNN</v>
          </cell>
        </row>
        <row r="47">
          <cell r="K47" t="str">
            <v>DRA</v>
          </cell>
          <cell r="L47" t="str">
            <v>DRA</v>
          </cell>
          <cell r="M47" t="str">
            <v>PNN</v>
          </cell>
        </row>
        <row r="48">
          <cell r="K48" t="str">
            <v>DDL</v>
          </cell>
          <cell r="L48" t="str">
            <v>DDL</v>
          </cell>
          <cell r="M48" t="str">
            <v>PNN</v>
          </cell>
        </row>
        <row r="49">
          <cell r="K49" t="str">
            <v>DSH</v>
          </cell>
          <cell r="L49" t="str">
            <v>DSH</v>
          </cell>
          <cell r="M49" t="str">
            <v>PNN</v>
          </cell>
        </row>
        <row r="50">
          <cell r="K50" t="str">
            <v>DKV</v>
          </cell>
          <cell r="L50" t="str">
            <v>DKV</v>
          </cell>
          <cell r="M50" t="str">
            <v>PNN</v>
          </cell>
        </row>
        <row r="51">
          <cell r="K51" t="str">
            <v>ONT</v>
          </cell>
          <cell r="L51" t="str">
            <v>ONT</v>
          </cell>
          <cell r="M51" t="str">
            <v>PNN</v>
          </cell>
        </row>
        <row r="52">
          <cell r="K52" t="str">
            <v>ODT</v>
          </cell>
          <cell r="L52" t="str">
            <v>ODT</v>
          </cell>
          <cell r="M52" t="str">
            <v>PNN</v>
          </cell>
        </row>
        <row r="53">
          <cell r="K53" t="str">
            <v>TSC</v>
          </cell>
          <cell r="L53" t="str">
            <v>TSC</v>
          </cell>
          <cell r="M53" t="str">
            <v>PNN</v>
          </cell>
        </row>
        <row r="54">
          <cell r="K54" t="str">
            <v>DTS</v>
          </cell>
          <cell r="L54" t="str">
            <v>DTS</v>
          </cell>
          <cell r="M54" t="str">
            <v>PNN</v>
          </cell>
        </row>
        <row r="55">
          <cell r="K55" t="str">
            <v>DNG</v>
          </cell>
          <cell r="L55" t="str">
            <v>DNG</v>
          </cell>
          <cell r="M55" t="str">
            <v>PNN</v>
          </cell>
        </row>
        <row r="56">
          <cell r="K56" t="str">
            <v>TIN</v>
          </cell>
          <cell r="L56" t="str">
            <v>TIN</v>
          </cell>
          <cell r="M56" t="str">
            <v>PNN</v>
          </cell>
        </row>
        <row r="57">
          <cell r="K57" t="str">
            <v>SON</v>
          </cell>
          <cell r="L57" t="str">
            <v>SON</v>
          </cell>
          <cell r="M57" t="str">
            <v>PNN</v>
          </cell>
        </row>
        <row r="58">
          <cell r="K58" t="str">
            <v>MNC</v>
          </cell>
          <cell r="L58" t="str">
            <v>MNC</v>
          </cell>
          <cell r="M58" t="str">
            <v>PNN</v>
          </cell>
        </row>
        <row r="59">
          <cell r="K59" t="str">
            <v>PNK</v>
          </cell>
          <cell r="L59" t="str">
            <v>PNK</v>
          </cell>
          <cell r="M59" t="str">
            <v>PNN</v>
          </cell>
        </row>
        <row r="60">
          <cell r="K60" t="str">
            <v>CSD</v>
          </cell>
          <cell r="L60" t="str">
            <v>CSD</v>
          </cell>
          <cell r="M60" t="str">
            <v>CSD</v>
          </cell>
        </row>
      </sheetData>
      <sheetData sheetId="6">
        <row r="20">
          <cell r="I20">
            <v>506.28</v>
          </cell>
        </row>
      </sheetData>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_CH"/>
      <sheetName val="Tinh THAI NGUYEN"/>
      <sheetName val="Các huyện"/>
      <sheetName val="Tinh THAI NGUYEN - thu hoi"/>
      <sheetName val="Các huyện - thu hoi"/>
      <sheetName val="DS HUYEN"/>
      <sheetName val="2020"/>
      <sheetName val="Sheet1"/>
      <sheetName val="Sheet2"/>
      <sheetName val="Sheet3"/>
    </sheetNames>
    <sheetDataSet>
      <sheetData sheetId="0"/>
      <sheetData sheetId="1"/>
      <sheetData sheetId="2"/>
      <sheetData sheetId="3"/>
      <sheetData sheetId="4"/>
      <sheetData sheetId="5">
        <row r="1">
          <cell r="A1">
            <v>10</v>
          </cell>
        </row>
        <row r="6">
          <cell r="A6" t="str">
            <v>Tỉnh Thái Nguyên</v>
          </cell>
          <cell r="G6" t="str">
            <v>Tất cả</v>
          </cell>
          <cell r="K6" t="str">
            <v>NNP</v>
          </cell>
          <cell r="L6" t="str">
            <v>NNP</v>
          </cell>
          <cell r="M6" t="str">
            <v>NNP</v>
          </cell>
        </row>
        <row r="7">
          <cell r="G7" t="str">
            <v>Thu hồi</v>
          </cell>
          <cell r="K7" t="str">
            <v>LUA</v>
          </cell>
          <cell r="L7" t="str">
            <v>LUA</v>
          </cell>
          <cell r="M7" t="str">
            <v>NNP</v>
          </cell>
        </row>
        <row r="8">
          <cell r="K8" t="str">
            <v>LUC</v>
          </cell>
          <cell r="L8" t="str">
            <v>LUA</v>
          </cell>
          <cell r="M8" t="str">
            <v>NNP</v>
          </cell>
        </row>
        <row r="9">
          <cell r="K9" t="str">
            <v>LUK</v>
          </cell>
          <cell r="L9" t="str">
            <v>LUA</v>
          </cell>
          <cell r="M9" t="str">
            <v>NNP</v>
          </cell>
        </row>
        <row r="10">
          <cell r="K10" t="str">
            <v>LUN</v>
          </cell>
          <cell r="L10" t="str">
            <v>LUA</v>
          </cell>
          <cell r="M10" t="str">
            <v>NNP</v>
          </cell>
        </row>
        <row r="11">
          <cell r="K11" t="str">
            <v>HNK</v>
          </cell>
          <cell r="L11" t="str">
            <v>HNK</v>
          </cell>
          <cell r="M11" t="str">
            <v>NNP</v>
          </cell>
        </row>
        <row r="12">
          <cell r="K12" t="str">
            <v>CLN</v>
          </cell>
          <cell r="L12" t="str">
            <v>CLN</v>
          </cell>
          <cell r="M12" t="str">
            <v>NNP</v>
          </cell>
        </row>
        <row r="13">
          <cell r="K13" t="str">
            <v>RPH</v>
          </cell>
          <cell r="L13" t="str">
            <v>RPH</v>
          </cell>
          <cell r="M13" t="str">
            <v>NNP</v>
          </cell>
        </row>
        <row r="14">
          <cell r="K14" t="str">
            <v>RDD</v>
          </cell>
          <cell r="L14" t="str">
            <v>RDD</v>
          </cell>
          <cell r="M14" t="str">
            <v>NNP</v>
          </cell>
        </row>
        <row r="15">
          <cell r="K15" t="str">
            <v>RSX</v>
          </cell>
          <cell r="L15" t="str">
            <v>RSX</v>
          </cell>
          <cell r="M15" t="str">
            <v>NNP</v>
          </cell>
        </row>
        <row r="16">
          <cell r="K16" t="str">
            <v>RSN</v>
          </cell>
          <cell r="L16" t="str">
            <v>RSN</v>
          </cell>
          <cell r="M16" t="str">
            <v>NNP</v>
          </cell>
        </row>
        <row r="17">
          <cell r="K17" t="str">
            <v>NTS</v>
          </cell>
          <cell r="L17" t="str">
            <v>NTS</v>
          </cell>
          <cell r="M17" t="str">
            <v>NNP</v>
          </cell>
        </row>
        <row r="18">
          <cell r="K18" t="str">
            <v>LMU</v>
          </cell>
          <cell r="L18" t="str">
            <v>LMU</v>
          </cell>
          <cell r="M18" t="str">
            <v>NNP</v>
          </cell>
        </row>
        <row r="19">
          <cell r="K19" t="str">
            <v>NKH</v>
          </cell>
          <cell r="L19" t="str">
            <v>NKH</v>
          </cell>
          <cell r="M19" t="str">
            <v>NNP</v>
          </cell>
        </row>
        <row r="20">
          <cell r="K20" t="str">
            <v>PNN</v>
          </cell>
          <cell r="L20" t="str">
            <v>PNN</v>
          </cell>
          <cell r="M20" t="str">
            <v>PNN</v>
          </cell>
        </row>
        <row r="21">
          <cell r="K21" t="str">
            <v>CQP</v>
          </cell>
          <cell r="L21" t="str">
            <v>CQP</v>
          </cell>
          <cell r="M21" t="str">
            <v>PNN</v>
          </cell>
        </row>
        <row r="22">
          <cell r="K22" t="str">
            <v>CAN</v>
          </cell>
          <cell r="L22" t="str">
            <v>CAN</v>
          </cell>
          <cell r="M22" t="str">
            <v>PNN</v>
          </cell>
        </row>
        <row r="23">
          <cell r="K23" t="str">
            <v>SKK</v>
          </cell>
          <cell r="L23" t="str">
            <v>SKK</v>
          </cell>
          <cell r="M23" t="str">
            <v>PNN</v>
          </cell>
        </row>
        <row r="24">
          <cell r="K24" t="str">
            <v>SKN</v>
          </cell>
          <cell r="L24" t="str">
            <v>SKN</v>
          </cell>
          <cell r="M24" t="str">
            <v>PNN</v>
          </cell>
        </row>
        <row r="25">
          <cell r="K25" t="str">
            <v>TMD</v>
          </cell>
          <cell r="L25" t="str">
            <v>TMD</v>
          </cell>
          <cell r="M25" t="str">
            <v>PNN</v>
          </cell>
        </row>
        <row r="26">
          <cell r="K26" t="str">
            <v>SKC</v>
          </cell>
          <cell r="L26" t="str">
            <v>SKC</v>
          </cell>
          <cell r="M26" t="str">
            <v>PNN</v>
          </cell>
        </row>
        <row r="27">
          <cell r="K27" t="str">
            <v>SKS</v>
          </cell>
          <cell r="L27" t="str">
            <v>SKS</v>
          </cell>
          <cell r="M27" t="str">
            <v>PNN</v>
          </cell>
        </row>
        <row r="28">
          <cell r="K28" t="str">
            <v>SKX</v>
          </cell>
          <cell r="L28" t="str">
            <v>SKX</v>
          </cell>
          <cell r="M28" t="str">
            <v>PNN</v>
          </cell>
        </row>
        <row r="29">
          <cell r="K29" t="str">
            <v>DHT</v>
          </cell>
          <cell r="L29" t="str">
            <v>DHT</v>
          </cell>
          <cell r="M29" t="str">
            <v>PNN</v>
          </cell>
        </row>
        <row r="30">
          <cell r="K30" t="str">
            <v>DGT</v>
          </cell>
          <cell r="L30" t="str">
            <v>DHT</v>
          </cell>
          <cell r="M30" t="str">
            <v>PNN</v>
          </cell>
        </row>
        <row r="31">
          <cell r="K31" t="str">
            <v>DTL</v>
          </cell>
          <cell r="L31" t="str">
            <v>DHT</v>
          </cell>
          <cell r="M31" t="str">
            <v>PNN</v>
          </cell>
        </row>
        <row r="32">
          <cell r="K32" t="str">
            <v>DVH</v>
          </cell>
          <cell r="L32" t="str">
            <v>DHT</v>
          </cell>
          <cell r="M32" t="str">
            <v>PNN</v>
          </cell>
        </row>
        <row r="33">
          <cell r="K33" t="str">
            <v>DYT</v>
          </cell>
          <cell r="L33" t="str">
            <v>DHT</v>
          </cell>
          <cell r="M33" t="str">
            <v>PNN</v>
          </cell>
        </row>
        <row r="34">
          <cell r="K34" t="str">
            <v>DGD</v>
          </cell>
          <cell r="L34" t="str">
            <v>DHT</v>
          </cell>
          <cell r="M34" t="str">
            <v>PNN</v>
          </cell>
        </row>
        <row r="35">
          <cell r="K35" t="str">
            <v>DTT</v>
          </cell>
          <cell r="L35" t="str">
            <v>DHT</v>
          </cell>
          <cell r="M35" t="str">
            <v>PNN</v>
          </cell>
        </row>
        <row r="36">
          <cell r="K36" t="str">
            <v>DNL</v>
          </cell>
          <cell r="L36" t="str">
            <v>DHT</v>
          </cell>
          <cell r="M36" t="str">
            <v>PNN</v>
          </cell>
        </row>
        <row r="37">
          <cell r="K37" t="str">
            <v>DBV</v>
          </cell>
          <cell r="L37" t="str">
            <v>DHT</v>
          </cell>
          <cell r="M37" t="str">
            <v>PNN</v>
          </cell>
        </row>
        <row r="38">
          <cell r="K38" t="str">
            <v>TON</v>
          </cell>
          <cell r="L38" t="str">
            <v>DHT</v>
          </cell>
          <cell r="M38" t="str">
            <v>PNN</v>
          </cell>
        </row>
        <row r="39">
          <cell r="K39" t="str">
            <v>NTD</v>
          </cell>
          <cell r="L39" t="str">
            <v>DHT</v>
          </cell>
          <cell r="M39" t="str">
            <v>PNN</v>
          </cell>
        </row>
        <row r="40">
          <cell r="K40" t="str">
            <v>DKH</v>
          </cell>
          <cell r="L40" t="str">
            <v>DHT</v>
          </cell>
          <cell r="M40" t="str">
            <v>PNN</v>
          </cell>
        </row>
        <row r="41">
          <cell r="K41" t="str">
            <v>DXH</v>
          </cell>
          <cell r="L41" t="str">
            <v>DHT</v>
          </cell>
          <cell r="M41" t="str">
            <v>PNN</v>
          </cell>
        </row>
        <row r="42">
          <cell r="K42" t="str">
            <v>DCH</v>
          </cell>
          <cell r="L42" t="str">
            <v>DHT</v>
          </cell>
          <cell r="M42" t="str">
            <v>PNN</v>
          </cell>
        </row>
        <row r="43">
          <cell r="K43" t="str">
            <v>DCK</v>
          </cell>
          <cell r="L43" t="str">
            <v>DHT</v>
          </cell>
          <cell r="M43" t="str">
            <v>PNN</v>
          </cell>
        </row>
        <row r="44">
          <cell r="K44" t="str">
            <v>DSK</v>
          </cell>
          <cell r="L44" t="str">
            <v>DHT</v>
          </cell>
          <cell r="M44" t="str">
            <v>PNN</v>
          </cell>
        </row>
        <row r="45">
          <cell r="K45" t="str">
            <v>DKG</v>
          </cell>
          <cell r="L45" t="str">
            <v>DKG</v>
          </cell>
          <cell r="M45" t="str">
            <v>PNN</v>
          </cell>
        </row>
        <row r="46">
          <cell r="K46" t="str">
            <v>DDT</v>
          </cell>
          <cell r="L46" t="str">
            <v>DDT</v>
          </cell>
          <cell r="M46" t="str">
            <v>PNN</v>
          </cell>
        </row>
        <row r="47">
          <cell r="K47" t="str">
            <v>DRA</v>
          </cell>
          <cell r="L47" t="str">
            <v>DRA</v>
          </cell>
          <cell r="M47" t="str">
            <v>PNN</v>
          </cell>
        </row>
        <row r="48">
          <cell r="K48" t="str">
            <v>DDL</v>
          </cell>
          <cell r="L48" t="str">
            <v>DDL</v>
          </cell>
          <cell r="M48" t="str">
            <v>PNN</v>
          </cell>
        </row>
        <row r="49">
          <cell r="K49" t="str">
            <v>DSH</v>
          </cell>
          <cell r="L49" t="str">
            <v>DSH</v>
          </cell>
          <cell r="M49" t="str">
            <v>PNN</v>
          </cell>
        </row>
        <row r="50">
          <cell r="K50" t="str">
            <v>DKV</v>
          </cell>
          <cell r="L50" t="str">
            <v>DKV</v>
          </cell>
          <cell r="M50" t="str">
            <v>PNN</v>
          </cell>
        </row>
        <row r="51">
          <cell r="K51" t="str">
            <v>ONT</v>
          </cell>
          <cell r="L51" t="str">
            <v>ONT</v>
          </cell>
          <cell r="M51" t="str">
            <v>PNN</v>
          </cell>
        </row>
        <row r="52">
          <cell r="K52" t="str">
            <v>ODT</v>
          </cell>
          <cell r="L52" t="str">
            <v>ODT</v>
          </cell>
          <cell r="M52" t="str">
            <v>PNN</v>
          </cell>
        </row>
        <row r="53">
          <cell r="K53" t="str">
            <v>TSC</v>
          </cell>
          <cell r="L53" t="str">
            <v>TSC</v>
          </cell>
          <cell r="M53" t="str">
            <v>PNN</v>
          </cell>
        </row>
        <row r="54">
          <cell r="K54" t="str">
            <v>DTS</v>
          </cell>
          <cell r="L54" t="str">
            <v>DTS</v>
          </cell>
          <cell r="M54" t="str">
            <v>PNN</v>
          </cell>
        </row>
        <row r="55">
          <cell r="K55" t="str">
            <v>DNG</v>
          </cell>
          <cell r="L55" t="str">
            <v>DNG</v>
          </cell>
          <cell r="M55" t="str">
            <v>PNN</v>
          </cell>
        </row>
        <row r="56">
          <cell r="K56" t="str">
            <v>TIN</v>
          </cell>
          <cell r="L56" t="str">
            <v>TIN</v>
          </cell>
          <cell r="M56" t="str">
            <v>PNN</v>
          </cell>
        </row>
        <row r="57">
          <cell r="K57" t="str">
            <v>SON</v>
          </cell>
          <cell r="L57" t="str">
            <v>SON</v>
          </cell>
          <cell r="M57" t="str">
            <v>PNN</v>
          </cell>
        </row>
        <row r="58">
          <cell r="K58" t="str">
            <v>MNC</v>
          </cell>
          <cell r="L58" t="str">
            <v>MNC</v>
          </cell>
          <cell r="M58" t="str">
            <v>PNN</v>
          </cell>
        </row>
        <row r="59">
          <cell r="K59" t="str">
            <v>PNK</v>
          </cell>
          <cell r="L59" t="str">
            <v>PNK</v>
          </cell>
          <cell r="M59" t="str">
            <v>PNN</v>
          </cell>
        </row>
        <row r="60">
          <cell r="K60" t="str">
            <v>CSD</v>
          </cell>
          <cell r="L60" t="str">
            <v>CSD</v>
          </cell>
          <cell r="M60" t="str">
            <v>CSD</v>
          </cell>
        </row>
      </sheetData>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xz"/>
      <sheetName val="HTg_hieuchinh"/>
      <sheetName val="DMbieu  (in)"/>
      <sheetName val="01CH"/>
      <sheetName val="02CH"/>
      <sheetName val="03ch"/>
      <sheetName val="04ch"/>
      <sheetName val="05Ch"/>
      <sheetName val="11CH"/>
      <sheetName val="12ch"/>
      <sheetName val="KT"/>
      <sheetName val="dm"/>
      <sheetName val="CC HUYEN"/>
      <sheetName val="CC TONG"/>
      <sheetName val="X1"/>
      <sheetName val="X2"/>
      <sheetName val="X3"/>
      <sheetName val="X4"/>
      <sheetName val="X5"/>
      <sheetName val="X6"/>
      <sheetName val="X7"/>
      <sheetName val="X8"/>
      <sheetName val="X9"/>
      <sheetName val="X10"/>
      <sheetName val="X11"/>
      <sheetName val="X12"/>
      <sheetName val="X13"/>
      <sheetName val="X14"/>
      <sheetName val="X15"/>
      <sheetName val="X16"/>
      <sheetName val="X17"/>
      <sheetName val="X18"/>
      <sheetName val="X19"/>
      <sheetName val="X20"/>
      <sheetName val="X21"/>
      <sheetName val="X22"/>
    </sheetNames>
    <sheetDataSet>
      <sheetData sheetId="0"/>
      <sheetData sheetId="1">
        <row r="16">
          <cell r="D16">
            <v>64068.660000000011</v>
          </cell>
        </row>
      </sheetData>
      <sheetData sheetId="2"/>
      <sheetData sheetId="3">
        <row r="7">
          <cell r="D7">
            <v>98642.920000000013</v>
          </cell>
        </row>
      </sheetData>
      <sheetData sheetId="4"/>
      <sheetData sheetId="5"/>
      <sheetData sheetId="6"/>
      <sheetData sheetId="7"/>
      <sheetData sheetId="8"/>
      <sheetData sheetId="9"/>
      <sheetData sheetId="10"/>
      <sheetData sheetId="11"/>
      <sheetData sheetId="12"/>
      <sheetData sheetId="13"/>
      <sheetData sheetId="14">
        <row r="69">
          <cell r="D69">
            <v>139.59</v>
          </cell>
        </row>
      </sheetData>
      <sheetData sheetId="15">
        <row r="69">
          <cell r="D69">
            <v>148.35</v>
          </cell>
        </row>
      </sheetData>
      <sheetData sheetId="16">
        <row r="69">
          <cell r="D69">
            <v>176.87</v>
          </cell>
        </row>
      </sheetData>
      <sheetData sheetId="17">
        <row r="69">
          <cell r="D69">
            <v>179.99</v>
          </cell>
        </row>
      </sheetData>
      <sheetData sheetId="18">
        <row r="69">
          <cell r="D69">
            <v>649.49</v>
          </cell>
        </row>
      </sheetData>
      <sheetData sheetId="19">
        <row r="69">
          <cell r="D69">
            <v>225.81</v>
          </cell>
        </row>
      </sheetData>
      <sheetData sheetId="20">
        <row r="69">
          <cell r="D69">
            <v>248.28</v>
          </cell>
        </row>
      </sheetData>
      <sheetData sheetId="21">
        <row r="69">
          <cell r="D69">
            <v>233.26999999999998</v>
          </cell>
        </row>
      </sheetData>
      <sheetData sheetId="22">
        <row r="69">
          <cell r="D69">
            <v>441.85</v>
          </cell>
        </row>
      </sheetData>
      <sheetData sheetId="23">
        <row r="69">
          <cell r="D69">
            <v>322.99</v>
          </cell>
        </row>
      </sheetData>
      <sheetData sheetId="24">
        <row r="69">
          <cell r="D69">
            <v>62.27</v>
          </cell>
        </row>
      </sheetData>
      <sheetData sheetId="25">
        <row r="69">
          <cell r="D69">
            <v>314.83</v>
          </cell>
        </row>
      </sheetData>
      <sheetData sheetId="26">
        <row r="69">
          <cell r="D69">
            <v>249.64999999999998</v>
          </cell>
        </row>
      </sheetData>
      <sheetData sheetId="27">
        <row r="69">
          <cell r="D69">
            <v>407.46</v>
          </cell>
        </row>
      </sheetData>
      <sheetData sheetId="28">
        <row r="69">
          <cell r="D69">
            <v>220.71</v>
          </cell>
        </row>
      </sheetData>
      <sheetData sheetId="29">
        <row r="69">
          <cell r="D69">
            <v>407.65</v>
          </cell>
        </row>
      </sheetData>
      <sheetData sheetId="30">
        <row r="69">
          <cell r="D69">
            <v>142.19</v>
          </cell>
        </row>
      </sheetData>
      <sheetData sheetId="31">
        <row r="69">
          <cell r="D69">
            <v>704.05</v>
          </cell>
        </row>
      </sheetData>
      <sheetData sheetId="32">
        <row r="69">
          <cell r="D69">
            <v>419.01</v>
          </cell>
        </row>
      </sheetData>
      <sheetData sheetId="33">
        <row r="69">
          <cell r="D69">
            <v>127.96000000000001</v>
          </cell>
        </row>
      </sheetData>
      <sheetData sheetId="34">
        <row r="69">
          <cell r="D69">
            <v>270.78000000000003</v>
          </cell>
        </row>
      </sheetData>
      <sheetData sheetId="35">
        <row r="69">
          <cell r="D69">
            <v>0</v>
          </cell>
        </row>
        <row r="70">
          <cell r="D70">
            <v>0</v>
          </cell>
        </row>
        <row r="73">
          <cell r="D73">
            <v>0</v>
          </cell>
        </row>
        <row r="74">
          <cell r="D74">
            <v>0</v>
          </cell>
        </row>
        <row r="75">
          <cell r="D75">
            <v>0</v>
          </cell>
        </row>
        <row r="76">
          <cell r="D76">
            <v>0</v>
          </cell>
        </row>
        <row r="77">
          <cell r="D77">
            <v>0</v>
          </cell>
        </row>
        <row r="78">
          <cell r="D78">
            <v>0</v>
          </cell>
        </row>
        <row r="81">
          <cell r="D81">
            <v>0</v>
          </cell>
        </row>
        <row r="82">
          <cell r="D82">
            <v>0</v>
          </cell>
        </row>
        <row r="83">
          <cell r="D83">
            <v>0</v>
          </cell>
        </row>
        <row r="85">
          <cell r="D85">
            <v>0</v>
          </cell>
        </row>
        <row r="86">
          <cell r="D86">
            <v>0</v>
          </cell>
        </row>
        <row r="87">
          <cell r="D87">
            <v>0</v>
          </cell>
        </row>
        <row r="88">
          <cell r="D88">
            <v>0</v>
          </cell>
        </row>
        <row r="89">
          <cell r="D89">
            <v>0</v>
          </cell>
        </row>
        <row r="90">
          <cell r="D90">
            <v>0</v>
          </cell>
        </row>
        <row r="91">
          <cell r="D91">
            <v>0</v>
          </cell>
        </row>
        <row r="92">
          <cell r="D92">
            <v>0</v>
          </cell>
        </row>
        <row r="94">
          <cell r="D94">
            <v>0</v>
          </cell>
        </row>
        <row r="95">
          <cell r="D95">
            <v>0</v>
          </cell>
        </row>
        <row r="96">
          <cell r="D96">
            <v>0</v>
          </cell>
        </row>
        <row r="97">
          <cell r="D97">
            <v>0</v>
          </cell>
        </row>
        <row r="98">
          <cell r="D98">
            <v>0</v>
          </cell>
        </row>
        <row r="99">
          <cell r="D99">
            <v>0</v>
          </cell>
        </row>
        <row r="100">
          <cell r="D100">
            <v>0</v>
          </cell>
        </row>
        <row r="101">
          <cell r="D101">
            <v>0</v>
          </cell>
        </row>
        <row r="102">
          <cell r="D102">
            <v>0</v>
          </cell>
        </row>
        <row r="103">
          <cell r="D103">
            <v>0</v>
          </cell>
        </row>
        <row r="104">
          <cell r="D104">
            <v>0</v>
          </cell>
        </row>
        <row r="105">
          <cell r="D105">
            <v>0</v>
          </cell>
        </row>
        <row r="106">
          <cell r="D106">
            <v>0</v>
          </cell>
        </row>
        <row r="107">
          <cell r="D107">
            <v>0</v>
          </cell>
        </row>
        <row r="108">
          <cell r="D108">
            <v>0</v>
          </cell>
        </row>
        <row r="109">
          <cell r="D109">
            <v>0</v>
          </cell>
        </row>
        <row r="110">
          <cell r="D110">
            <v>0</v>
          </cell>
        </row>
        <row r="111">
          <cell r="D111">
            <v>0</v>
          </cell>
        </row>
        <row r="112">
          <cell r="D112">
            <v>0</v>
          </cell>
        </row>
        <row r="113">
          <cell r="D113">
            <v>0</v>
          </cell>
        </row>
        <row r="114">
          <cell r="D114">
            <v>0</v>
          </cell>
        </row>
        <row r="115">
          <cell r="D115">
            <v>0</v>
          </cell>
        </row>
        <row r="116">
          <cell r="D116">
            <v>0</v>
          </cell>
        </row>
        <row r="117">
          <cell r="D117">
            <v>0</v>
          </cell>
        </row>
        <row r="118">
          <cell r="D118">
            <v>0</v>
          </cell>
        </row>
        <row r="120">
          <cell r="D120">
            <v>0</v>
          </cell>
        </row>
        <row r="121">
          <cell r="D121">
            <v>0</v>
          </cell>
        </row>
        <row r="122">
          <cell r="D122">
            <v>0</v>
          </cell>
        </row>
        <row r="123">
          <cell r="D123">
            <v>0</v>
          </cell>
        </row>
        <row r="124">
          <cell r="D124">
            <v>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xz"/>
      <sheetName val="HTg_hieuchinh"/>
      <sheetName val="DMbieu  (in)"/>
      <sheetName val="01CH"/>
      <sheetName val="02CH"/>
      <sheetName val="03ch"/>
      <sheetName val="04ch"/>
      <sheetName val="05Ch"/>
      <sheetName val="11CH"/>
      <sheetName val="12ch"/>
      <sheetName val="KT"/>
      <sheetName val="03ch (2)"/>
      <sheetName val="dm"/>
      <sheetName val="CC HUYEN"/>
      <sheetName val="CC TONG"/>
      <sheetName val="X1"/>
      <sheetName val="X2"/>
      <sheetName val="X3"/>
      <sheetName val="X4"/>
      <sheetName val="X5"/>
      <sheetName val="X6"/>
      <sheetName val="X7"/>
      <sheetName val="X8"/>
      <sheetName val="X9"/>
      <sheetName val="X10"/>
      <sheetName val="X11"/>
      <sheetName val="X12"/>
      <sheetName val="X13"/>
      <sheetName val="X14"/>
      <sheetName val="X15"/>
      <sheetName val="X16"/>
      <sheetName val="X17"/>
      <sheetName val="X18"/>
      <sheetName val="X19"/>
      <sheetName val="X20"/>
      <sheetName val="X21"/>
      <sheetName val="X22"/>
    </sheetNames>
    <sheetDataSet>
      <sheetData sheetId="0"/>
      <sheetData sheetId="1"/>
      <sheetData sheetId="2"/>
      <sheetData sheetId="3">
        <row r="5">
          <cell r="F5" t="str">
            <v>Thị trấn Lộc Bình</v>
          </cell>
          <cell r="G5" t="str">
            <v>Thị trấn Na Dương</v>
          </cell>
          <cell r="H5" t="str">
            <v>Xã Ái Quốc</v>
          </cell>
          <cell r="I5" t="str">
            <v>Xã Đồng Bục</v>
          </cell>
          <cell r="J5" t="str">
            <v>Xã Đông Quan</v>
          </cell>
          <cell r="K5" t="str">
            <v>Xã Hữu Khánh</v>
          </cell>
          <cell r="L5" t="str">
            <v>Xã Hữu Lân</v>
          </cell>
          <cell r="M5" t="str">
            <v>Xã Khánh Xuân</v>
          </cell>
          <cell r="N5" t="str">
            <v>Xã Khuất Xá</v>
          </cell>
          <cell r="O5" t="str">
            <v>Xã Lợi Bác</v>
          </cell>
          <cell r="P5" t="str">
            <v>Xã Mẫu Sơn</v>
          </cell>
          <cell r="Q5" t="str">
            <v>Xã Minh Hiệp</v>
          </cell>
          <cell r="R5" t="str">
            <v>Xã Nam Quan</v>
          </cell>
          <cell r="S5" t="str">
            <v>Xã Sàn Viên</v>
          </cell>
          <cell r="T5" t="str">
            <v>Xã Tam Gia</v>
          </cell>
          <cell r="U5" t="str">
            <v>Xã Thống Nhất</v>
          </cell>
          <cell r="V5" t="str">
            <v>Xã Tĩnh Bắc</v>
          </cell>
          <cell r="W5" t="str">
            <v>Xã Tú Đoạn</v>
          </cell>
          <cell r="X5" t="str">
            <v>Xã Tú Mịch</v>
          </cell>
          <cell r="Y5" t="str">
            <v>Xã Xuân Dương</v>
          </cell>
          <cell r="Z5" t="str">
            <v>Xã Yên Khoái</v>
          </cell>
          <cell r="AA5">
            <v>0</v>
          </cell>
        </row>
        <row r="7">
          <cell r="D7">
            <v>98642.920000000013</v>
          </cell>
        </row>
        <row r="8">
          <cell r="D8">
            <v>88916.340000000011</v>
          </cell>
        </row>
        <row r="10">
          <cell r="D10">
            <v>6091.2399999999989</v>
          </cell>
        </row>
        <row r="11">
          <cell r="D11">
            <v>3338.4599999999996</v>
          </cell>
        </row>
        <row r="12">
          <cell r="D12">
            <v>4777.9400000000005</v>
          </cell>
        </row>
        <row r="13">
          <cell r="D13">
            <v>1692.25</v>
          </cell>
        </row>
        <row r="14">
          <cell r="D14">
            <v>9814.9499999999989</v>
          </cell>
        </row>
        <row r="15">
          <cell r="D15">
            <v>2219</v>
          </cell>
        </row>
        <row r="16">
          <cell r="D16">
            <v>64030.86</v>
          </cell>
        </row>
        <row r="17">
          <cell r="D17">
            <v>5538.4</v>
          </cell>
        </row>
        <row r="18">
          <cell r="D18">
            <v>288.79000000000002</v>
          </cell>
        </row>
        <row r="19">
          <cell r="D19">
            <v>0</v>
          </cell>
        </row>
        <row r="20">
          <cell r="D20">
            <v>1.31</v>
          </cell>
        </row>
        <row r="21">
          <cell r="D21">
            <v>8216.659999999998</v>
          </cell>
        </row>
        <row r="23">
          <cell r="D23">
            <v>1736.52</v>
          </cell>
          <cell r="P23">
            <v>0.9</v>
          </cell>
        </row>
        <row r="24">
          <cell r="D24">
            <v>8.0200000000000014</v>
          </cell>
        </row>
        <row r="25">
          <cell r="D25">
            <v>0</v>
          </cell>
        </row>
        <row r="26">
          <cell r="D26">
            <v>3.25</v>
          </cell>
        </row>
        <row r="27">
          <cell r="D27">
            <v>19.97</v>
          </cell>
        </row>
        <row r="28">
          <cell r="D28">
            <v>54.080000000000005</v>
          </cell>
        </row>
        <row r="29">
          <cell r="D29">
            <v>255.28000000000003</v>
          </cell>
        </row>
        <row r="30">
          <cell r="D30">
            <v>0</v>
          </cell>
        </row>
        <row r="31">
          <cell r="D31">
            <v>2629.6700000000005</v>
          </cell>
        </row>
        <row r="32">
          <cell r="D32">
            <v>0</v>
          </cell>
        </row>
        <row r="33">
          <cell r="D33">
            <v>1751.56</v>
          </cell>
        </row>
        <row r="34">
          <cell r="D34">
            <v>129.73999999999998</v>
          </cell>
        </row>
        <row r="35">
          <cell r="D35">
            <v>14.56</v>
          </cell>
        </row>
        <row r="36">
          <cell r="D36">
            <v>8</v>
          </cell>
        </row>
        <row r="37">
          <cell r="D37">
            <v>60.670000000000009</v>
          </cell>
        </row>
        <row r="38">
          <cell r="D38">
            <v>21.15</v>
          </cell>
        </row>
        <row r="39">
          <cell r="D39">
            <v>30.37</v>
          </cell>
        </row>
        <row r="40">
          <cell r="D40">
            <v>1.4400000000000002</v>
          </cell>
        </row>
        <row r="41">
          <cell r="D41">
            <v>0</v>
          </cell>
        </row>
        <row r="42">
          <cell r="D42">
            <v>1.1699999999999995</v>
          </cell>
        </row>
        <row r="43">
          <cell r="D43">
            <v>500.91000000000008</v>
          </cell>
        </row>
        <row r="44">
          <cell r="D44">
            <v>1.38</v>
          </cell>
        </row>
        <row r="45">
          <cell r="D45">
            <v>105.94</v>
          </cell>
        </row>
        <row r="46">
          <cell r="D46">
            <v>0</v>
          </cell>
        </row>
        <row r="47">
          <cell r="D47">
            <v>0</v>
          </cell>
        </row>
        <row r="48">
          <cell r="D48">
            <v>2.2700000000000005</v>
          </cell>
        </row>
        <row r="49">
          <cell r="D49">
            <v>0.33</v>
          </cell>
        </row>
        <row r="50">
          <cell r="D50">
            <v>0</v>
          </cell>
        </row>
        <row r="51">
          <cell r="D51">
            <v>2.08</v>
          </cell>
        </row>
        <row r="52">
          <cell r="D52">
            <v>955.12999999999988</v>
          </cell>
        </row>
        <row r="53">
          <cell r="D53">
            <v>170.34</v>
          </cell>
        </row>
        <row r="54">
          <cell r="D54">
            <v>15.440000000000003</v>
          </cell>
        </row>
        <row r="55">
          <cell r="D55">
            <v>0.18</v>
          </cell>
        </row>
        <row r="56">
          <cell r="D56">
            <v>0</v>
          </cell>
        </row>
        <row r="57">
          <cell r="D57">
            <v>0</v>
          </cell>
        </row>
        <row r="58">
          <cell r="D58">
            <v>0</v>
          </cell>
        </row>
        <row r="59">
          <cell r="D59">
            <v>23.46</v>
          </cell>
        </row>
        <row r="60">
          <cell r="D60">
            <v>1376.1999999999998</v>
          </cell>
        </row>
        <row r="61">
          <cell r="D61">
            <v>965.68999999999983</v>
          </cell>
        </row>
        <row r="62">
          <cell r="D62">
            <v>1.51</v>
          </cell>
        </row>
        <row r="63">
          <cell r="D63">
            <v>1509.92</v>
          </cell>
        </row>
      </sheetData>
      <sheetData sheetId="4">
        <row r="7">
          <cell r="D7">
            <v>98642.92</v>
          </cell>
        </row>
        <row r="8">
          <cell r="D8">
            <v>87326.82</v>
          </cell>
        </row>
        <row r="10">
          <cell r="D10">
            <v>5851.5</v>
          </cell>
        </row>
        <row r="11">
          <cell r="D11">
            <v>3201.3</v>
          </cell>
        </row>
        <row r="12">
          <cell r="D12">
            <v>4602.3500000000004</v>
          </cell>
        </row>
        <row r="13">
          <cell r="D13">
            <v>2569.4</v>
          </cell>
        </row>
        <row r="14">
          <cell r="D14">
            <v>9729.9</v>
          </cell>
        </row>
        <row r="15">
          <cell r="D15">
            <v>2211.8000000000002</v>
          </cell>
        </row>
        <row r="16">
          <cell r="D16">
            <v>61792.7</v>
          </cell>
        </row>
        <row r="17">
          <cell r="D17">
            <v>5532.4</v>
          </cell>
        </row>
        <row r="18">
          <cell r="D18">
            <v>275.01</v>
          </cell>
        </row>
        <row r="19">
          <cell r="D19">
            <v>275.009765625</v>
          </cell>
        </row>
        <row r="20">
          <cell r="D20">
            <v>294.16000000000003</v>
          </cell>
        </row>
        <row r="21">
          <cell r="D21">
            <v>9961.7999999999993</v>
          </cell>
        </row>
        <row r="23">
          <cell r="D23">
            <v>1835.3</v>
          </cell>
        </row>
        <row r="24">
          <cell r="D24">
            <v>12.41</v>
          </cell>
        </row>
        <row r="25">
          <cell r="D25">
            <v>12.409996032714844</v>
          </cell>
        </row>
        <row r="26">
          <cell r="D26">
            <v>128.84</v>
          </cell>
        </row>
        <row r="27">
          <cell r="D27">
            <v>63.2</v>
          </cell>
        </row>
        <row r="28">
          <cell r="D28">
            <v>122.16</v>
          </cell>
        </row>
        <row r="29">
          <cell r="D29">
            <v>525.82000000000005</v>
          </cell>
        </row>
        <row r="30">
          <cell r="D30">
            <v>110.38000000000001</v>
          </cell>
        </row>
        <row r="31">
          <cell r="D31">
            <v>3643.0700000000006</v>
          </cell>
        </row>
        <row r="33">
          <cell r="D33">
            <v>2028.9</v>
          </cell>
        </row>
        <row r="34">
          <cell r="D34">
            <v>172.2</v>
          </cell>
        </row>
        <row r="35">
          <cell r="D35">
            <v>21.64</v>
          </cell>
        </row>
        <row r="36">
          <cell r="D36">
            <v>10.9</v>
          </cell>
        </row>
        <row r="37">
          <cell r="D37">
            <v>82.6</v>
          </cell>
        </row>
        <row r="38">
          <cell r="D38">
            <v>31.3</v>
          </cell>
        </row>
        <row r="39">
          <cell r="D39">
            <v>174.9</v>
          </cell>
        </row>
        <row r="40">
          <cell r="D40">
            <v>4.04</v>
          </cell>
        </row>
        <row r="41">
          <cell r="D41">
            <v>4.0399971008300781</v>
          </cell>
        </row>
        <row r="42">
          <cell r="D42">
            <v>459.21</v>
          </cell>
        </row>
        <row r="43">
          <cell r="D43">
            <v>526.1</v>
          </cell>
        </row>
        <row r="44">
          <cell r="D44">
            <v>1.38</v>
          </cell>
        </row>
        <row r="45">
          <cell r="D45">
            <v>116.3</v>
          </cell>
        </row>
        <row r="46">
          <cell r="D46">
            <v>1.5</v>
          </cell>
        </row>
        <row r="47">
          <cell r="D47">
            <v>3.3</v>
          </cell>
        </row>
        <row r="48">
          <cell r="D48">
            <v>8.8000000000000007</v>
          </cell>
        </row>
        <row r="49">
          <cell r="D49">
            <v>8.7999954223632813</v>
          </cell>
        </row>
        <row r="50">
          <cell r="D50">
            <v>8.7999954223632813</v>
          </cell>
        </row>
        <row r="51">
          <cell r="D51">
            <v>8.7999954223632813</v>
          </cell>
        </row>
        <row r="52">
          <cell r="D52">
            <v>8.86</v>
          </cell>
        </row>
        <row r="53">
          <cell r="D53">
            <v>1011.8</v>
          </cell>
        </row>
        <row r="54">
          <cell r="D54">
            <v>217</v>
          </cell>
        </row>
        <row r="55">
          <cell r="D55">
            <v>24.39</v>
          </cell>
        </row>
        <row r="56">
          <cell r="D56">
            <v>24.389999389648438</v>
          </cell>
        </row>
        <row r="57">
          <cell r="D57">
            <v>0.02</v>
          </cell>
        </row>
        <row r="58">
          <cell r="D58">
            <v>1.9999995827674866E-2</v>
          </cell>
        </row>
        <row r="59">
          <cell r="D59">
            <v>22.57</v>
          </cell>
        </row>
        <row r="60">
          <cell r="D60">
            <v>1362.82</v>
          </cell>
        </row>
        <row r="61">
          <cell r="D61">
            <v>965.81</v>
          </cell>
        </row>
        <row r="62">
          <cell r="D62">
            <v>17.73</v>
          </cell>
        </row>
        <row r="63">
          <cell r="D63">
            <v>1354.3</v>
          </cell>
        </row>
      </sheetData>
      <sheetData sheetId="5">
        <row r="79">
          <cell r="F79">
            <v>1649.12</v>
          </cell>
        </row>
        <row r="80">
          <cell r="F80">
            <v>0</v>
          </cell>
        </row>
      </sheetData>
      <sheetData sheetId="6"/>
      <sheetData sheetId="7"/>
      <sheetData sheetId="8"/>
      <sheetData sheetId="9">
        <row r="5">
          <cell r="BM5">
            <v>98642.920000000013</v>
          </cell>
        </row>
        <row r="6">
          <cell r="BM6">
            <v>87283.852680000011</v>
          </cell>
        </row>
        <row r="7">
          <cell r="BM7">
            <v>5851.5017499999985</v>
          </cell>
        </row>
        <row r="8">
          <cell r="BM8">
            <v>3201.2949999999996</v>
          </cell>
        </row>
        <row r="11">
          <cell r="BM11">
            <v>4526.9147000000003</v>
          </cell>
        </row>
        <row r="12">
          <cell r="BM12">
            <v>2566.4021299999999</v>
          </cell>
        </row>
        <row r="13">
          <cell r="BM13">
            <v>9729.9299999999985</v>
          </cell>
        </row>
        <row r="14">
          <cell r="BM14">
            <v>2208.1999999999998</v>
          </cell>
        </row>
        <row r="15">
          <cell r="BM15">
            <v>61783.804100000001</v>
          </cell>
        </row>
        <row r="16">
          <cell r="BM16">
            <v>5532.4</v>
          </cell>
        </row>
        <row r="19">
          <cell r="BM19">
            <v>275.02000000000004</v>
          </cell>
        </row>
        <row r="20">
          <cell r="BM20">
            <v>0</v>
          </cell>
        </row>
        <row r="21">
          <cell r="BM21">
            <v>342.08</v>
          </cell>
        </row>
        <row r="22">
          <cell r="BM22">
            <v>9986.8673199999994</v>
          </cell>
        </row>
        <row r="23">
          <cell r="BM23">
            <v>1852.35</v>
          </cell>
        </row>
        <row r="24">
          <cell r="BM24">
            <v>16.050000000000004</v>
          </cell>
        </row>
        <row r="25">
          <cell r="BM25">
            <v>0</v>
          </cell>
        </row>
        <row r="26">
          <cell r="BM26">
            <v>125.35</v>
          </cell>
        </row>
        <row r="27">
          <cell r="BM27">
            <v>72.06</v>
          </cell>
        </row>
        <row r="28">
          <cell r="BM28">
            <v>142.53</v>
          </cell>
        </row>
        <row r="29">
          <cell r="BM29">
            <v>458.75</v>
          </cell>
        </row>
        <row r="30">
          <cell r="BM30">
            <v>0</v>
          </cell>
        </row>
        <row r="31">
          <cell r="BM31">
            <v>3631.4680000000003</v>
          </cell>
        </row>
        <row r="32">
          <cell r="BM32">
            <v>2028.9009999999998</v>
          </cell>
        </row>
        <row r="33">
          <cell r="BM33">
            <v>148.07</v>
          </cell>
        </row>
        <row r="34">
          <cell r="BM34">
            <v>22.717000000000002</v>
          </cell>
        </row>
        <row r="35">
          <cell r="BM35">
            <v>7.5200000000000005</v>
          </cell>
        </row>
        <row r="36">
          <cell r="BM36">
            <v>85.440000000000012</v>
          </cell>
        </row>
        <row r="37">
          <cell r="BM37">
            <v>35.459999999999994</v>
          </cell>
        </row>
        <row r="38">
          <cell r="BM38">
            <v>177.95</v>
          </cell>
        </row>
        <row r="39">
          <cell r="BM39">
            <v>1.79</v>
          </cell>
        </row>
        <row r="40">
          <cell r="BM40">
            <v>0</v>
          </cell>
        </row>
        <row r="41">
          <cell r="BM41">
            <v>452.4</v>
          </cell>
        </row>
        <row r="42">
          <cell r="BM42">
            <v>529.15000000000009</v>
          </cell>
        </row>
        <row r="43">
          <cell r="BM43">
            <v>1.38</v>
          </cell>
        </row>
        <row r="44">
          <cell r="BM44">
            <v>122.53999999999999</v>
          </cell>
        </row>
        <row r="45">
          <cell r="BM45">
            <v>0</v>
          </cell>
        </row>
        <row r="46">
          <cell r="BM46">
            <v>3.3</v>
          </cell>
        </row>
        <row r="47">
          <cell r="BM47">
            <v>14.340000000000003</v>
          </cell>
        </row>
        <row r="48">
          <cell r="BM48">
            <v>3.26</v>
          </cell>
        </row>
        <row r="49">
          <cell r="BM49">
            <v>16.2</v>
          </cell>
        </row>
        <row r="50">
          <cell r="BM50">
            <v>15.845000000000001</v>
          </cell>
        </row>
        <row r="51">
          <cell r="BM51">
            <v>1018.3143199999998</v>
          </cell>
        </row>
        <row r="52">
          <cell r="BM52">
            <v>217.04</v>
          </cell>
        </row>
        <row r="53">
          <cell r="BM53">
            <v>24.520000000000003</v>
          </cell>
        </row>
        <row r="54">
          <cell r="BM54">
            <v>0.2</v>
          </cell>
        </row>
        <row r="55">
          <cell r="BM55">
            <v>0</v>
          </cell>
        </row>
        <row r="56">
          <cell r="BM56">
            <v>0.02</v>
          </cell>
        </row>
        <row r="57">
          <cell r="BM57">
            <v>0</v>
          </cell>
        </row>
        <row r="58">
          <cell r="BM58">
            <v>23.880000000000003</v>
          </cell>
        </row>
        <row r="59">
          <cell r="BM59">
            <v>1385.3799999999999</v>
          </cell>
        </row>
        <row r="60">
          <cell r="BM60">
            <v>967.91999999999985</v>
          </cell>
        </row>
        <row r="61">
          <cell r="BM61">
            <v>16.240000000000002</v>
          </cell>
        </row>
        <row r="62">
          <cell r="BM62">
            <v>1372.2</v>
          </cell>
        </row>
        <row r="63">
          <cell r="BM63">
            <v>0</v>
          </cell>
        </row>
        <row r="64">
          <cell r="BM64">
            <v>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69">
          <cell r="K69">
            <v>0</v>
          </cell>
          <cell r="L69">
            <v>0</v>
          </cell>
          <cell r="M69">
            <v>0</v>
          </cell>
          <cell r="N69">
            <v>0</v>
          </cell>
          <cell r="R69">
            <v>0</v>
          </cell>
          <cell r="S69">
            <v>0</v>
          </cell>
          <cell r="U69">
            <v>0</v>
          </cell>
        </row>
        <row r="70">
          <cell r="U70">
            <v>0</v>
          </cell>
        </row>
        <row r="73">
          <cell r="R73">
            <v>0</v>
          </cell>
          <cell r="S73">
            <v>0</v>
          </cell>
          <cell r="U73">
            <v>0</v>
          </cell>
        </row>
        <row r="74">
          <cell r="U74">
            <v>0</v>
          </cell>
        </row>
        <row r="75">
          <cell r="F75">
            <v>0</v>
          </cell>
          <cell r="J75">
            <v>0</v>
          </cell>
          <cell r="K75">
            <v>0</v>
          </cell>
          <cell r="R75">
            <v>0</v>
          </cell>
          <cell r="S75">
            <v>0</v>
          </cell>
          <cell r="T75">
            <v>0</v>
          </cell>
          <cell r="U75">
            <v>0</v>
          </cell>
        </row>
        <row r="76">
          <cell r="F76">
            <v>0</v>
          </cell>
          <cell r="J76">
            <v>0</v>
          </cell>
          <cell r="K76">
            <v>0</v>
          </cell>
          <cell r="R76">
            <v>0</v>
          </cell>
          <cell r="S76">
            <v>0</v>
          </cell>
          <cell r="T76">
            <v>0</v>
          </cell>
          <cell r="U76">
            <v>0</v>
          </cell>
        </row>
        <row r="77">
          <cell r="F77">
            <v>0</v>
          </cell>
          <cell r="J77">
            <v>0</v>
          </cell>
          <cell r="K77">
            <v>0</v>
          </cell>
          <cell r="R77">
            <v>0</v>
          </cell>
          <cell r="S77">
            <v>0</v>
          </cell>
          <cell r="T77">
            <v>0</v>
          </cell>
          <cell r="U77">
            <v>0</v>
          </cell>
        </row>
        <row r="78">
          <cell r="F78">
            <v>0</v>
          </cell>
          <cell r="J78">
            <v>0</v>
          </cell>
          <cell r="K78">
            <v>0</v>
          </cell>
          <cell r="R78">
            <v>0</v>
          </cell>
          <cell r="S78">
            <v>0</v>
          </cell>
          <cell r="T78">
            <v>0</v>
          </cell>
          <cell r="U78">
            <v>0</v>
          </cell>
        </row>
        <row r="81">
          <cell r="U81">
            <v>0</v>
          </cell>
        </row>
        <row r="82">
          <cell r="U82">
            <v>0</v>
          </cell>
        </row>
        <row r="83">
          <cell r="U83">
            <v>0</v>
          </cell>
        </row>
        <row r="85">
          <cell r="AX85">
            <v>0</v>
          </cell>
          <cell r="AY85">
            <v>0</v>
          </cell>
        </row>
        <row r="86">
          <cell r="AX86">
            <v>0</v>
          </cell>
          <cell r="AY86">
            <v>0</v>
          </cell>
        </row>
        <row r="87">
          <cell r="AX87">
            <v>0</v>
          </cell>
          <cell r="AY87">
            <v>0</v>
          </cell>
        </row>
        <row r="88">
          <cell r="AX88">
            <v>0</v>
          </cell>
          <cell r="AY88">
            <v>0</v>
          </cell>
        </row>
        <row r="89">
          <cell r="AX89">
            <v>0</v>
          </cell>
          <cell r="AY89">
            <v>0</v>
          </cell>
        </row>
        <row r="90">
          <cell r="AX90">
            <v>0</v>
          </cell>
          <cell r="AY90">
            <v>0</v>
          </cell>
        </row>
        <row r="91">
          <cell r="AX91">
            <v>0</v>
          </cell>
          <cell r="AY91">
            <v>0</v>
          </cell>
        </row>
        <row r="92">
          <cell r="AX92">
            <v>0</v>
          </cell>
          <cell r="AY92">
            <v>0</v>
          </cell>
        </row>
        <row r="93">
          <cell r="AX93">
            <v>0</v>
          </cell>
          <cell r="AY93">
            <v>0</v>
          </cell>
        </row>
        <row r="115">
          <cell r="AX115">
            <v>0</v>
          </cell>
          <cell r="AY115">
            <v>0</v>
          </cell>
        </row>
        <row r="116">
          <cell r="AX116">
            <v>0</v>
          </cell>
          <cell r="AY116">
            <v>0</v>
          </cell>
        </row>
        <row r="117">
          <cell r="AX117">
            <v>0</v>
          </cell>
          <cell r="AY117">
            <v>0</v>
          </cell>
        </row>
        <row r="118">
          <cell r="AX118">
            <v>0</v>
          </cell>
          <cell r="AY118">
            <v>0</v>
          </cell>
        </row>
        <row r="119">
          <cell r="AX119">
            <v>0</v>
          </cell>
          <cell r="AY119">
            <v>0</v>
          </cell>
        </row>
        <row r="120">
          <cell r="AX120">
            <v>0</v>
          </cell>
          <cell r="AY120">
            <v>0</v>
          </cell>
        </row>
        <row r="121">
          <cell r="AX121">
            <v>0</v>
          </cell>
          <cell r="AY121">
            <v>0</v>
          </cell>
        </row>
        <row r="122">
          <cell r="AX122">
            <v>0</v>
          </cell>
          <cell r="AY122">
            <v>0</v>
          </cell>
        </row>
        <row r="123">
          <cell r="AX123">
            <v>0</v>
          </cell>
          <cell r="AY123">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16.bin"/><Relationship Id="rId4" Type="http://schemas.openxmlformats.org/officeDocument/2006/relationships/comments" Target="../comments3.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21.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2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
  <sheetViews>
    <sheetView workbookViewId="0"/>
  </sheetViews>
  <sheetFormatPr defaultRowHeight="14.25"/>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
  <sheetViews>
    <sheetView workbookViewId="0"/>
  </sheetViews>
  <sheetFormatPr defaultRowHeight="14.25"/>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
  <sheetViews>
    <sheetView workbookViewId="0"/>
  </sheetViews>
  <sheetFormatPr defaultRowHeight="14.25"/>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
  <sheetViews>
    <sheetView workbookViewId="0"/>
  </sheetViews>
  <sheetFormatPr defaultRowHeight="14.25"/>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
  <sheetViews>
    <sheetView workbookViewId="0"/>
  </sheetViews>
  <sheetFormatPr defaultRowHeight="14.25"/>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
  <sheetViews>
    <sheetView workbookViewId="0"/>
  </sheetViews>
  <sheetFormatPr defaultRowHeight="14.2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AE75"/>
  <sheetViews>
    <sheetView showZeros="0" zoomScale="70" zoomScaleNormal="70" zoomScaleSheetLayoutView="100" workbookViewId="0">
      <pane xSplit="4" ySplit="5" topLeftCell="F27" activePane="bottomRight" state="frozen"/>
      <selection activeCell="L28" sqref="L28"/>
      <selection pane="topRight" activeCell="L28" sqref="L28"/>
      <selection pane="bottomLeft" activeCell="L28" sqref="L28"/>
      <selection pane="bottomRight" activeCell="D7" sqref="D7:Z63"/>
    </sheetView>
  </sheetViews>
  <sheetFormatPr defaultColWidth="8.375" defaultRowHeight="15"/>
  <cols>
    <col min="1" max="1" width="6.375" style="374" customWidth="1"/>
    <col min="2" max="2" width="39" style="379" customWidth="1"/>
    <col min="3" max="3" width="6.375" style="374" bestFit="1" customWidth="1"/>
    <col min="4" max="4" width="11.5" style="374" customWidth="1"/>
    <col min="5" max="5" width="8.375" style="374" hidden="1" customWidth="1"/>
    <col min="6" max="6" width="9.125" style="374" customWidth="1"/>
    <col min="7" max="7" width="9.625" style="374" customWidth="1"/>
    <col min="8" max="8" width="9.625" style="374" bestFit="1" customWidth="1"/>
    <col min="9" max="9" width="9.125" style="374" bestFit="1" customWidth="1"/>
    <col min="10" max="10" width="10" style="374" customWidth="1"/>
    <col min="11" max="11" width="9.125" style="374" customWidth="1"/>
    <col min="12" max="13" width="9.5" style="374" customWidth="1"/>
    <col min="14" max="14" width="9.125" style="374" customWidth="1"/>
    <col min="15" max="26" width="9.625" style="374" customWidth="1"/>
    <col min="27" max="27" width="10.125" style="374" customWidth="1"/>
    <col min="28" max="28" width="8.625" style="374" customWidth="1"/>
    <col min="29" max="29" width="9.125" style="374" bestFit="1" customWidth="1"/>
    <col min="30" max="30" width="17" style="374" customWidth="1"/>
    <col min="31" max="16384" width="8.375" style="374"/>
  </cols>
  <sheetData>
    <row r="1" spans="1:31" s="342" customFormat="1" ht="15.75">
      <c r="A1" s="1515" t="s">
        <v>249</v>
      </c>
      <c r="B1" s="1515"/>
      <c r="C1" s="340"/>
      <c r="D1" s="340"/>
      <c r="E1" s="340"/>
      <c r="F1" s="341"/>
      <c r="G1" s="341"/>
      <c r="H1" s="341"/>
      <c r="I1" s="341"/>
    </row>
    <row r="2" spans="1:31" s="343" customFormat="1" ht="15.75">
      <c r="A2" s="1516" t="s">
        <v>2783</v>
      </c>
      <c r="B2" s="1516"/>
      <c r="C2" s="1516"/>
      <c r="D2" s="1516"/>
      <c r="E2" s="1516"/>
      <c r="F2" s="1516"/>
      <c r="G2" s="1516"/>
      <c r="H2" s="1516"/>
      <c r="I2" s="1516"/>
      <c r="J2" s="1516"/>
      <c r="K2" s="1516"/>
      <c r="L2" s="1516"/>
      <c r="M2" s="1516"/>
      <c r="N2" s="1516"/>
      <c r="O2" s="1516"/>
      <c r="P2" s="1516"/>
      <c r="Q2" s="1516"/>
      <c r="R2" s="1516"/>
      <c r="S2" s="1516"/>
      <c r="T2" s="1516"/>
      <c r="U2" s="1516"/>
      <c r="V2" s="1516"/>
      <c r="W2" s="1516"/>
      <c r="X2" s="1516"/>
      <c r="Y2" s="1516"/>
      <c r="Z2" s="1516"/>
      <c r="AA2" s="1516"/>
    </row>
    <row r="3" spans="1:31" s="343" customFormat="1" ht="15.75">
      <c r="A3" s="340"/>
      <c r="B3" s="340"/>
      <c r="C3" s="340"/>
      <c r="D3" s="340"/>
      <c r="E3" s="340"/>
      <c r="F3" s="340"/>
      <c r="G3" s="340"/>
      <c r="H3" s="340"/>
      <c r="I3" s="340"/>
      <c r="J3" s="340"/>
      <c r="K3" s="340"/>
      <c r="L3" s="340"/>
      <c r="M3" s="340"/>
      <c r="N3" s="1517" t="s">
        <v>2784</v>
      </c>
      <c r="O3" s="1517"/>
      <c r="P3" s="1517"/>
      <c r="Q3" s="1517"/>
      <c r="R3" s="1517"/>
      <c r="S3" s="1517"/>
      <c r="T3" s="1517"/>
      <c r="U3" s="1517"/>
      <c r="V3" s="1517"/>
      <c r="W3" s="1517"/>
      <c r="X3" s="1517"/>
      <c r="Y3" s="1517"/>
      <c r="Z3" s="1517"/>
      <c r="AA3" s="1517"/>
    </row>
    <row r="4" spans="1:31" s="342" customFormat="1" ht="15.75">
      <c r="A4" s="1518" t="s">
        <v>170</v>
      </c>
      <c r="B4" s="1518" t="s">
        <v>175</v>
      </c>
      <c r="C4" s="1518" t="s">
        <v>172</v>
      </c>
      <c r="D4" s="1518" t="s">
        <v>2785</v>
      </c>
      <c r="E4" s="1518" t="s">
        <v>2786</v>
      </c>
      <c r="F4" s="1518" t="s">
        <v>2787</v>
      </c>
      <c r="G4" s="1518"/>
      <c r="H4" s="1518"/>
      <c r="I4" s="1518"/>
      <c r="J4" s="1518"/>
      <c r="K4" s="1518"/>
      <c r="L4" s="1518"/>
      <c r="M4" s="1518"/>
      <c r="N4" s="1518"/>
      <c r="O4" s="1518"/>
      <c r="P4" s="1518"/>
      <c r="Q4" s="1518"/>
      <c r="R4" s="1518"/>
      <c r="S4" s="1518"/>
      <c r="T4" s="1518"/>
      <c r="U4" s="1518"/>
      <c r="V4" s="1518"/>
      <c r="W4" s="1518"/>
      <c r="X4" s="1518"/>
      <c r="Y4" s="1518"/>
      <c r="Z4" s="1518"/>
      <c r="AA4" s="1518"/>
    </row>
    <row r="5" spans="1:31" s="342" customFormat="1" ht="45" customHeight="1">
      <c r="A5" s="1518"/>
      <c r="B5" s="1518"/>
      <c r="C5" s="1518"/>
      <c r="D5" s="1518"/>
      <c r="E5" s="1518"/>
      <c r="F5" s="344" t="s">
        <v>2788</v>
      </c>
      <c r="G5" s="344" t="s">
        <v>2789</v>
      </c>
      <c r="H5" s="344" t="s">
        <v>2790</v>
      </c>
      <c r="I5" s="344" t="s">
        <v>2791</v>
      </c>
      <c r="J5" s="344" t="s">
        <v>2792</v>
      </c>
      <c r="K5" s="344" t="s">
        <v>2793</v>
      </c>
      <c r="L5" s="344" t="s">
        <v>2794</v>
      </c>
      <c r="M5" s="344" t="s">
        <v>2795</v>
      </c>
      <c r="N5" s="344" t="s">
        <v>2796</v>
      </c>
      <c r="O5" s="344" t="s">
        <v>2797</v>
      </c>
      <c r="P5" s="344" t="s">
        <v>2798</v>
      </c>
      <c r="Q5" s="344" t="s">
        <v>2799</v>
      </c>
      <c r="R5" s="344" t="s">
        <v>2800</v>
      </c>
      <c r="S5" s="344" t="s">
        <v>2801</v>
      </c>
      <c r="T5" s="344" t="s">
        <v>2802</v>
      </c>
      <c r="U5" s="344" t="s">
        <v>2803</v>
      </c>
      <c r="V5" s="344" t="s">
        <v>2804</v>
      </c>
      <c r="W5" s="344" t="s">
        <v>2805</v>
      </c>
      <c r="X5" s="344" t="s">
        <v>2806</v>
      </c>
      <c r="Y5" s="344" t="s">
        <v>2807</v>
      </c>
      <c r="Z5" s="344" t="s">
        <v>2808</v>
      </c>
      <c r="AA5" s="345"/>
      <c r="AD5" s="346"/>
    </row>
    <row r="6" spans="1:31" s="333" customFormat="1" ht="31.5" customHeight="1">
      <c r="A6" s="335">
        <v>-1</v>
      </c>
      <c r="B6" s="335">
        <v>-2</v>
      </c>
      <c r="C6" s="335">
        <v>-3</v>
      </c>
      <c r="D6" s="334" t="s">
        <v>2809</v>
      </c>
      <c r="E6" s="335">
        <v>-5</v>
      </c>
      <c r="F6" s="335">
        <v>-5</v>
      </c>
      <c r="G6" s="335">
        <v>-6</v>
      </c>
      <c r="H6" s="335">
        <v>-7</v>
      </c>
      <c r="I6" s="335">
        <v>-8</v>
      </c>
      <c r="J6" s="335">
        <v>-9</v>
      </c>
      <c r="K6" s="335">
        <v>-10</v>
      </c>
      <c r="L6" s="335">
        <v>-11</v>
      </c>
      <c r="M6" s="335">
        <v>-12</v>
      </c>
      <c r="N6" s="335">
        <v>-13</v>
      </c>
      <c r="O6" s="335">
        <v>-14</v>
      </c>
      <c r="P6" s="335">
        <v>-15</v>
      </c>
      <c r="Q6" s="335">
        <v>-16</v>
      </c>
      <c r="R6" s="335">
        <v>-17</v>
      </c>
      <c r="S6" s="335">
        <v>-18</v>
      </c>
      <c r="T6" s="335">
        <v>-19</v>
      </c>
      <c r="U6" s="335">
        <v>-20</v>
      </c>
      <c r="V6" s="335">
        <v>-21</v>
      </c>
      <c r="W6" s="335">
        <v>-22</v>
      </c>
      <c r="X6" s="335">
        <v>-23</v>
      </c>
      <c r="Y6" s="335">
        <v>-24</v>
      </c>
      <c r="Z6" s="335">
        <v>-25</v>
      </c>
      <c r="AA6" s="335">
        <v>-26</v>
      </c>
    </row>
    <row r="7" spans="1:31" s="333" customFormat="1" ht="15.75">
      <c r="A7" s="347"/>
      <c r="B7" s="348" t="s">
        <v>2810</v>
      </c>
      <c r="C7" s="347"/>
      <c r="D7" s="349">
        <v>98642.920000000013</v>
      </c>
      <c r="E7" s="349">
        <v>100.00299999999999</v>
      </c>
      <c r="F7" s="350">
        <v>1776.69</v>
      </c>
      <c r="G7" s="350">
        <v>1146.0899999999999</v>
      </c>
      <c r="H7" s="350">
        <v>9869.11</v>
      </c>
      <c r="I7" s="350">
        <v>972.22000000000025</v>
      </c>
      <c r="J7" s="350">
        <v>7358.5199999999995</v>
      </c>
      <c r="K7" s="350">
        <v>2109.9</v>
      </c>
      <c r="L7" s="350">
        <v>9103.9800000000014</v>
      </c>
      <c r="M7" s="350">
        <v>3055.7899999999995</v>
      </c>
      <c r="N7" s="350">
        <v>2734.87</v>
      </c>
      <c r="O7" s="350">
        <v>7445.39</v>
      </c>
      <c r="P7" s="350">
        <v>5655.37</v>
      </c>
      <c r="Q7" s="350">
        <v>5226.0300000000007</v>
      </c>
      <c r="R7" s="350">
        <v>6181.6100000000015</v>
      </c>
      <c r="S7" s="350">
        <v>6465.7200000000012</v>
      </c>
      <c r="T7" s="350">
        <v>4877.08</v>
      </c>
      <c r="U7" s="350">
        <v>4730.880000000001</v>
      </c>
      <c r="V7" s="350">
        <v>4879.1099999999997</v>
      </c>
      <c r="W7" s="350">
        <v>2485.8099999999995</v>
      </c>
      <c r="X7" s="350">
        <v>5322.9999999999991</v>
      </c>
      <c r="Y7" s="350">
        <v>4619.3200000000015</v>
      </c>
      <c r="Z7" s="350">
        <v>2626.4300000000003</v>
      </c>
      <c r="AA7" s="350">
        <f t="shared" ref="AA7" si="0">AA8+AA21+AA63</f>
        <v>0</v>
      </c>
      <c r="AE7" s="351"/>
    </row>
    <row r="8" spans="1:31" s="342" customFormat="1" ht="15.75">
      <c r="A8" s="352">
        <v>1</v>
      </c>
      <c r="B8" s="353" t="s">
        <v>3</v>
      </c>
      <c r="C8" s="354" t="s">
        <v>4</v>
      </c>
      <c r="D8" s="355">
        <v>88916.340000000011</v>
      </c>
      <c r="E8" s="349">
        <v>90.139606572879231</v>
      </c>
      <c r="F8" s="356">
        <v>1450.0100000000002</v>
      </c>
      <c r="G8" s="356">
        <v>736.8900000000001</v>
      </c>
      <c r="H8" s="356">
        <v>8128.7400000000007</v>
      </c>
      <c r="I8" s="356">
        <v>833.17000000000019</v>
      </c>
      <c r="J8" s="356">
        <v>6620.49</v>
      </c>
      <c r="K8" s="356">
        <v>1831.72</v>
      </c>
      <c r="L8" s="356">
        <v>8805.2200000000012</v>
      </c>
      <c r="M8" s="356">
        <v>2738.1099999999997</v>
      </c>
      <c r="N8" s="356">
        <v>2218.0500000000002</v>
      </c>
      <c r="O8" s="356">
        <v>7006.29</v>
      </c>
      <c r="P8" s="356">
        <v>5550.87</v>
      </c>
      <c r="Q8" s="356">
        <v>4787.18</v>
      </c>
      <c r="R8" s="356">
        <v>5989.0700000000015</v>
      </c>
      <c r="S8" s="356">
        <v>5435.64</v>
      </c>
      <c r="T8" s="356">
        <v>4621.6400000000003</v>
      </c>
      <c r="U8" s="356">
        <v>4303.2700000000004</v>
      </c>
      <c r="V8" s="356">
        <v>4230.43</v>
      </c>
      <c r="W8" s="356">
        <v>1997.01</v>
      </c>
      <c r="X8" s="356">
        <v>4862.0899999999992</v>
      </c>
      <c r="Y8" s="356">
        <v>4389.9600000000009</v>
      </c>
      <c r="Z8" s="356">
        <v>2380.4900000000002</v>
      </c>
      <c r="AA8" s="356">
        <f t="shared" ref="AA8" si="1">SUM(AA10:AA20)-AA11-AA17</f>
        <v>0</v>
      </c>
      <c r="AC8" s="333"/>
      <c r="AD8" s="333"/>
    </row>
    <row r="9" spans="1:31" s="342" customFormat="1" ht="15.75">
      <c r="A9" s="352"/>
      <c r="B9" s="357" t="s">
        <v>2811</v>
      </c>
      <c r="C9" s="354"/>
      <c r="D9" s="355"/>
      <c r="E9" s="349"/>
      <c r="F9" s="356"/>
      <c r="G9" s="356"/>
      <c r="H9" s="356"/>
      <c r="I9" s="356"/>
      <c r="J9" s="356"/>
      <c r="K9" s="356"/>
      <c r="L9" s="356"/>
      <c r="M9" s="356"/>
      <c r="N9" s="356"/>
      <c r="O9" s="356"/>
      <c r="P9" s="356"/>
      <c r="Q9" s="356"/>
      <c r="R9" s="356"/>
      <c r="S9" s="356"/>
      <c r="T9" s="356"/>
      <c r="U9" s="356"/>
      <c r="V9" s="356"/>
      <c r="W9" s="356"/>
      <c r="X9" s="356"/>
      <c r="Y9" s="356"/>
      <c r="Z9" s="356"/>
      <c r="AA9" s="356"/>
    </row>
    <row r="10" spans="1:31" s="343" customFormat="1" ht="15.75">
      <c r="A10" s="358" t="s">
        <v>6</v>
      </c>
      <c r="B10" s="357" t="s">
        <v>85</v>
      </c>
      <c r="C10" s="358" t="s">
        <v>5</v>
      </c>
      <c r="D10" s="359">
        <v>6091.2399999999989</v>
      </c>
      <c r="E10" s="360">
        <v>6.1750402360351844</v>
      </c>
      <c r="F10" s="361">
        <v>139.46</v>
      </c>
      <c r="G10" s="361">
        <v>148.35</v>
      </c>
      <c r="H10" s="361">
        <v>176.87</v>
      </c>
      <c r="I10" s="361">
        <v>179.93</v>
      </c>
      <c r="J10" s="361">
        <v>649.43000000000006</v>
      </c>
      <c r="K10" s="361">
        <v>226.12</v>
      </c>
      <c r="L10" s="361">
        <v>248.27</v>
      </c>
      <c r="M10" s="361">
        <v>233.09</v>
      </c>
      <c r="N10" s="361">
        <v>441.35</v>
      </c>
      <c r="O10" s="361">
        <v>322.43</v>
      </c>
      <c r="P10" s="361">
        <v>62.27</v>
      </c>
      <c r="Q10" s="361">
        <v>314.83</v>
      </c>
      <c r="R10" s="361">
        <v>249.64999999999998</v>
      </c>
      <c r="S10" s="361">
        <v>407.53999999999996</v>
      </c>
      <c r="T10" s="361">
        <v>220.53000000000003</v>
      </c>
      <c r="U10" s="361">
        <v>407.62</v>
      </c>
      <c r="V10" s="361">
        <v>142.03</v>
      </c>
      <c r="W10" s="361">
        <v>703.75</v>
      </c>
      <c r="X10" s="361">
        <v>419</v>
      </c>
      <c r="Y10" s="361">
        <v>127.94</v>
      </c>
      <c r="Z10" s="361">
        <v>270.78000000000003</v>
      </c>
      <c r="AA10" s="361">
        <f>[5]X22!$D$69</f>
        <v>0</v>
      </c>
      <c r="AD10" s="342"/>
      <c r="AE10" s="362"/>
    </row>
    <row r="11" spans="1:31" s="367" customFormat="1" ht="15.75">
      <c r="A11" s="363"/>
      <c r="B11" s="363" t="s">
        <v>2812</v>
      </c>
      <c r="C11" s="364" t="s">
        <v>7</v>
      </c>
      <c r="D11" s="365">
        <v>3338.4599999999996</v>
      </c>
      <c r="E11" s="360">
        <v>3.3843888644010125</v>
      </c>
      <c r="F11" s="366">
        <v>73.290000000000006</v>
      </c>
      <c r="G11" s="366">
        <v>91.82</v>
      </c>
      <c r="H11" s="366">
        <v>31.24</v>
      </c>
      <c r="I11" s="366">
        <v>84.679999999999993</v>
      </c>
      <c r="J11" s="366">
        <v>332.69</v>
      </c>
      <c r="K11" s="366">
        <v>137.22999999999999</v>
      </c>
      <c r="L11" s="366">
        <v>64.03</v>
      </c>
      <c r="M11" s="366">
        <v>191.09</v>
      </c>
      <c r="N11" s="366">
        <v>202.16000000000003</v>
      </c>
      <c r="O11" s="366">
        <v>85.440000000000012</v>
      </c>
      <c r="P11" s="366">
        <v>12.31</v>
      </c>
      <c r="Q11" s="366">
        <v>287.39</v>
      </c>
      <c r="R11" s="366">
        <v>95.7</v>
      </c>
      <c r="S11" s="366">
        <v>208.60999999999999</v>
      </c>
      <c r="T11" s="366">
        <v>110.44000000000001</v>
      </c>
      <c r="U11" s="366">
        <v>320.04000000000002</v>
      </c>
      <c r="V11" s="366">
        <v>0</v>
      </c>
      <c r="W11" s="366">
        <v>420.16</v>
      </c>
      <c r="X11" s="366">
        <v>392.63</v>
      </c>
      <c r="Y11" s="366">
        <v>47.660000000000004</v>
      </c>
      <c r="Z11" s="366">
        <v>149.85000000000002</v>
      </c>
      <c r="AA11" s="366">
        <f>[5]X22!$D$70</f>
        <v>0</v>
      </c>
      <c r="AB11" s="343"/>
      <c r="AC11" s="343"/>
      <c r="AD11" s="365"/>
      <c r="AE11" s="362"/>
    </row>
    <row r="12" spans="1:31" s="343" customFormat="1" ht="15.75">
      <c r="A12" s="357" t="s">
        <v>9</v>
      </c>
      <c r="B12" s="357" t="s">
        <v>88</v>
      </c>
      <c r="C12" s="358" t="s">
        <v>12</v>
      </c>
      <c r="D12" s="359">
        <v>4777.9400000000005</v>
      </c>
      <c r="E12" s="360">
        <v>4.8436725109110723</v>
      </c>
      <c r="F12" s="361">
        <v>166.09</v>
      </c>
      <c r="G12" s="361">
        <v>89.79</v>
      </c>
      <c r="H12" s="361">
        <v>189.16</v>
      </c>
      <c r="I12" s="361">
        <v>134.44999999999999</v>
      </c>
      <c r="J12" s="361">
        <v>444.77</v>
      </c>
      <c r="K12" s="361">
        <v>201.31</v>
      </c>
      <c r="L12" s="361">
        <v>226.55</v>
      </c>
      <c r="M12" s="361">
        <v>202.1</v>
      </c>
      <c r="N12" s="361">
        <v>215.19</v>
      </c>
      <c r="O12" s="361">
        <v>214.91</v>
      </c>
      <c r="P12" s="361">
        <v>97.71</v>
      </c>
      <c r="Q12" s="361">
        <v>570.84</v>
      </c>
      <c r="R12" s="361">
        <v>87.02</v>
      </c>
      <c r="S12" s="361">
        <v>156.13</v>
      </c>
      <c r="T12" s="361">
        <v>86.43</v>
      </c>
      <c r="U12" s="361">
        <v>671.55</v>
      </c>
      <c r="V12" s="361">
        <v>48.69</v>
      </c>
      <c r="W12" s="361">
        <v>356.41</v>
      </c>
      <c r="X12" s="361">
        <v>231.13</v>
      </c>
      <c r="Y12" s="361">
        <v>233.32</v>
      </c>
      <c r="Z12" s="361">
        <v>154.38999999999999</v>
      </c>
      <c r="AA12" s="361">
        <f>[5]X22!$D$73</f>
        <v>0</v>
      </c>
      <c r="AE12" s="362"/>
    </row>
    <row r="13" spans="1:31" s="343" customFormat="1" ht="15.75">
      <c r="A13" s="357" t="s">
        <v>11</v>
      </c>
      <c r="B13" s="357" t="s">
        <v>60</v>
      </c>
      <c r="C13" s="358" t="s">
        <v>14</v>
      </c>
      <c r="D13" s="360">
        <v>1692.25</v>
      </c>
      <c r="E13" s="360">
        <v>1.7155311298570639</v>
      </c>
      <c r="F13" s="361">
        <v>46.39</v>
      </c>
      <c r="G13" s="361">
        <v>54.57</v>
      </c>
      <c r="H13" s="361">
        <v>37.08</v>
      </c>
      <c r="I13" s="361">
        <v>52.53</v>
      </c>
      <c r="J13" s="361">
        <v>85.34</v>
      </c>
      <c r="K13" s="361">
        <v>76.98</v>
      </c>
      <c r="L13" s="361">
        <v>61.36</v>
      </c>
      <c r="M13" s="361">
        <v>65.11999999999999</v>
      </c>
      <c r="N13" s="361">
        <v>127.74</v>
      </c>
      <c r="O13" s="361">
        <v>164.8</v>
      </c>
      <c r="P13" s="361">
        <v>207.26</v>
      </c>
      <c r="Q13" s="361">
        <v>45.39</v>
      </c>
      <c r="R13" s="361">
        <v>16.020000000000003</v>
      </c>
      <c r="S13" s="361">
        <v>92.47</v>
      </c>
      <c r="T13" s="361">
        <v>50.86</v>
      </c>
      <c r="U13" s="361">
        <v>166.06</v>
      </c>
      <c r="V13" s="361">
        <v>6.45</v>
      </c>
      <c r="W13" s="361">
        <v>178.32000000000002</v>
      </c>
      <c r="X13" s="361">
        <v>54.82</v>
      </c>
      <c r="Y13" s="361">
        <v>49.879999999999995</v>
      </c>
      <c r="Z13" s="361">
        <v>52.81</v>
      </c>
      <c r="AA13" s="361">
        <f>[5]X22!$D$74</f>
        <v>0</v>
      </c>
      <c r="AE13" s="362"/>
    </row>
    <row r="14" spans="1:31" s="343" customFormat="1" ht="15.75">
      <c r="A14" s="357" t="s">
        <v>13</v>
      </c>
      <c r="B14" s="357" t="s">
        <v>61</v>
      </c>
      <c r="C14" s="358" t="s">
        <v>16</v>
      </c>
      <c r="D14" s="360">
        <v>9814.9499999999989</v>
      </c>
      <c r="E14" s="360">
        <v>9.9499791774209427</v>
      </c>
      <c r="F14" s="361">
        <v>0</v>
      </c>
      <c r="G14" s="361">
        <v>0</v>
      </c>
      <c r="H14" s="361">
        <v>1229.8599999999999</v>
      </c>
      <c r="I14" s="361">
        <v>0</v>
      </c>
      <c r="J14" s="361">
        <v>0</v>
      </c>
      <c r="K14" s="361">
        <v>0</v>
      </c>
      <c r="L14" s="361">
        <v>3044.3</v>
      </c>
      <c r="M14" s="361">
        <v>0</v>
      </c>
      <c r="N14" s="361">
        <v>0</v>
      </c>
      <c r="O14" s="361">
        <v>157.27000000000001</v>
      </c>
      <c r="P14" s="361">
        <v>1623.12</v>
      </c>
      <c r="Q14" s="361">
        <v>402.75</v>
      </c>
      <c r="R14" s="361">
        <v>531.53</v>
      </c>
      <c r="S14" s="361">
        <v>377.84</v>
      </c>
      <c r="T14" s="361">
        <v>598.49</v>
      </c>
      <c r="U14" s="361">
        <v>0</v>
      </c>
      <c r="V14" s="361">
        <v>789.28</v>
      </c>
      <c r="W14" s="361">
        <v>0</v>
      </c>
      <c r="X14" s="361">
        <v>44.46</v>
      </c>
      <c r="Y14" s="361">
        <v>1016.05</v>
      </c>
      <c r="Z14" s="361">
        <v>0</v>
      </c>
      <c r="AA14" s="361">
        <f>[5]X22!$D$75</f>
        <v>0</v>
      </c>
    </row>
    <row r="15" spans="1:31" s="343" customFormat="1" ht="15.75">
      <c r="A15" s="357" t="s">
        <v>15</v>
      </c>
      <c r="B15" s="357" t="s">
        <v>62</v>
      </c>
      <c r="C15" s="358" t="s">
        <v>17</v>
      </c>
      <c r="D15" s="360">
        <v>2219</v>
      </c>
      <c r="E15" s="360">
        <v>2.2495278931321172</v>
      </c>
      <c r="F15" s="361">
        <v>0</v>
      </c>
      <c r="G15" s="361">
        <v>0</v>
      </c>
      <c r="H15" s="361">
        <v>0</v>
      </c>
      <c r="I15" s="361">
        <v>0</v>
      </c>
      <c r="J15" s="361">
        <v>0</v>
      </c>
      <c r="K15" s="361">
        <v>0</v>
      </c>
      <c r="L15" s="361">
        <v>0</v>
      </c>
      <c r="M15" s="361">
        <v>0</v>
      </c>
      <c r="N15" s="361">
        <v>0</v>
      </c>
      <c r="O15" s="361">
        <v>0</v>
      </c>
      <c r="P15" s="361">
        <v>2219</v>
      </c>
      <c r="Q15" s="361">
        <v>0</v>
      </c>
      <c r="R15" s="361">
        <v>0</v>
      </c>
      <c r="S15" s="361">
        <v>0</v>
      </c>
      <c r="T15" s="361">
        <v>0</v>
      </c>
      <c r="U15" s="361">
        <v>0</v>
      </c>
      <c r="V15" s="361">
        <v>0</v>
      </c>
      <c r="W15" s="361">
        <v>0</v>
      </c>
      <c r="X15" s="361">
        <v>0</v>
      </c>
      <c r="Y15" s="361">
        <v>0</v>
      </c>
      <c r="Z15" s="361">
        <v>0</v>
      </c>
      <c r="AA15" s="361">
        <f>[5]X22!$D$76</f>
        <v>0</v>
      </c>
      <c r="AE15" s="362"/>
    </row>
    <row r="16" spans="1:31" s="343" customFormat="1" ht="15.75">
      <c r="A16" s="357" t="s">
        <v>64</v>
      </c>
      <c r="B16" s="357" t="s">
        <v>63</v>
      </c>
      <c r="C16" s="358" t="s">
        <v>18</v>
      </c>
      <c r="D16" s="360">
        <v>64030.86</v>
      </c>
      <c r="E16" s="360">
        <v>64.911764574690196</v>
      </c>
      <c r="F16" s="361">
        <v>1087.1600000000001</v>
      </c>
      <c r="G16" s="361">
        <v>425.22</v>
      </c>
      <c r="H16" s="361">
        <v>6493.73</v>
      </c>
      <c r="I16" s="361">
        <v>454.32</v>
      </c>
      <c r="J16" s="361">
        <v>5405.32</v>
      </c>
      <c r="K16" s="361">
        <v>1314.05</v>
      </c>
      <c r="L16" s="361">
        <v>5221.8900000000003</v>
      </c>
      <c r="M16" s="361">
        <v>2228.9299999999998</v>
      </c>
      <c r="N16" s="361">
        <v>1416.3500000000001</v>
      </c>
      <c r="O16" s="361">
        <v>6131.15</v>
      </c>
      <c r="P16" s="361">
        <v>1339.85</v>
      </c>
      <c r="Q16" s="361">
        <v>3443.94</v>
      </c>
      <c r="R16" s="361">
        <v>5094.8300000000008</v>
      </c>
      <c r="S16" s="361">
        <v>4384.04</v>
      </c>
      <c r="T16" s="361">
        <v>3658.81</v>
      </c>
      <c r="U16" s="361">
        <v>3027.19</v>
      </c>
      <c r="V16" s="361">
        <v>3239.9800000000005</v>
      </c>
      <c r="W16" s="361">
        <v>724.8</v>
      </c>
      <c r="X16" s="361">
        <v>4090.27</v>
      </c>
      <c r="Y16" s="361">
        <v>2958.38</v>
      </c>
      <c r="Z16" s="361">
        <v>1890.65</v>
      </c>
      <c r="AA16" s="361">
        <f>[5]X22!$D$77</f>
        <v>0</v>
      </c>
      <c r="AE16" s="362"/>
    </row>
    <row r="17" spans="1:31" s="367" customFormat="1" ht="31.5">
      <c r="A17" s="363"/>
      <c r="B17" s="363" t="s">
        <v>2813</v>
      </c>
      <c r="C17" s="364" t="s">
        <v>187</v>
      </c>
      <c r="D17" s="368">
        <v>5538.4</v>
      </c>
      <c r="E17" s="360">
        <v>5.6145945395777002</v>
      </c>
      <c r="F17" s="366">
        <v>0</v>
      </c>
      <c r="G17" s="366">
        <v>0</v>
      </c>
      <c r="H17" s="366">
        <v>248.45</v>
      </c>
      <c r="I17" s="366">
        <v>0</v>
      </c>
      <c r="J17" s="366">
        <v>167.66</v>
      </c>
      <c r="K17" s="366">
        <v>0</v>
      </c>
      <c r="L17" s="366">
        <v>1216.3699999999999</v>
      </c>
      <c r="M17" s="366">
        <v>48.34</v>
      </c>
      <c r="N17" s="366">
        <v>0</v>
      </c>
      <c r="O17" s="366">
        <v>237.82</v>
      </c>
      <c r="P17" s="366">
        <v>102.04</v>
      </c>
      <c r="Q17" s="366">
        <v>38.82</v>
      </c>
      <c r="R17" s="366">
        <v>504.8</v>
      </c>
      <c r="S17" s="366">
        <v>498.86</v>
      </c>
      <c r="T17" s="366">
        <v>328.25</v>
      </c>
      <c r="U17" s="366">
        <v>154.18</v>
      </c>
      <c r="V17" s="366">
        <v>203.05</v>
      </c>
      <c r="W17" s="366">
        <v>0</v>
      </c>
      <c r="X17" s="366">
        <v>24.16</v>
      </c>
      <c r="Y17" s="366">
        <v>1765.6</v>
      </c>
      <c r="Z17" s="366">
        <v>0</v>
      </c>
      <c r="AA17" s="366">
        <f>[5]X22!$D$78</f>
        <v>0</v>
      </c>
      <c r="AB17" s="343"/>
      <c r="AE17" s="362"/>
    </row>
    <row r="18" spans="1:31" s="343" customFormat="1" ht="15.75">
      <c r="A18" s="357" t="s">
        <v>73</v>
      </c>
      <c r="B18" s="357" t="s">
        <v>1859</v>
      </c>
      <c r="C18" s="358" t="s">
        <v>19</v>
      </c>
      <c r="D18" s="360">
        <v>288.79000000000002</v>
      </c>
      <c r="E18" s="360">
        <v>0.29276302850726638</v>
      </c>
      <c r="F18" s="361">
        <v>10.91</v>
      </c>
      <c r="G18" s="361">
        <v>18.96</v>
      </c>
      <c r="H18" s="361">
        <v>2.04</v>
      </c>
      <c r="I18" s="361">
        <v>11.58</v>
      </c>
      <c r="J18" s="361">
        <v>35.630000000000003</v>
      </c>
      <c r="K18" s="361">
        <v>13.26</v>
      </c>
      <c r="L18" s="361">
        <v>2.85</v>
      </c>
      <c r="M18" s="361">
        <v>8.870000000000001</v>
      </c>
      <c r="N18" s="361">
        <v>17.3</v>
      </c>
      <c r="O18" s="361">
        <v>15.73</v>
      </c>
      <c r="P18" s="361">
        <v>1.66</v>
      </c>
      <c r="Q18" s="361">
        <v>9.43</v>
      </c>
      <c r="R18" s="361">
        <v>10.02</v>
      </c>
      <c r="S18" s="361">
        <v>17.41</v>
      </c>
      <c r="T18" s="361">
        <v>6.52</v>
      </c>
      <c r="U18" s="361">
        <v>30.85</v>
      </c>
      <c r="V18" s="361">
        <v>4</v>
      </c>
      <c r="W18" s="361">
        <v>33.729999999999997</v>
      </c>
      <c r="X18" s="361">
        <v>21.79</v>
      </c>
      <c r="Y18" s="361">
        <v>4.3899999999999997</v>
      </c>
      <c r="Z18" s="361">
        <v>11.86</v>
      </c>
      <c r="AA18" s="361">
        <f>[5]X22!$D$81</f>
        <v>0</v>
      </c>
      <c r="AE18" s="362"/>
    </row>
    <row r="19" spans="1:31" s="343" customFormat="1" ht="15.75">
      <c r="A19" s="357" t="s">
        <v>86</v>
      </c>
      <c r="B19" s="357" t="s">
        <v>2749</v>
      </c>
      <c r="C19" s="358" t="s">
        <v>2752</v>
      </c>
      <c r="D19" s="360">
        <v>0</v>
      </c>
      <c r="E19" s="360">
        <v>0</v>
      </c>
      <c r="F19" s="361">
        <v>0</v>
      </c>
      <c r="G19" s="361">
        <v>0</v>
      </c>
      <c r="H19" s="361">
        <v>0</v>
      </c>
      <c r="I19" s="361">
        <v>0</v>
      </c>
      <c r="J19" s="361">
        <v>0</v>
      </c>
      <c r="K19" s="361">
        <v>0</v>
      </c>
      <c r="L19" s="361">
        <v>0</v>
      </c>
      <c r="M19" s="361">
        <v>0</v>
      </c>
      <c r="N19" s="361">
        <v>0</v>
      </c>
      <c r="O19" s="361">
        <v>0</v>
      </c>
      <c r="P19" s="361">
        <v>0</v>
      </c>
      <c r="Q19" s="361">
        <v>0</v>
      </c>
      <c r="R19" s="361">
        <v>0</v>
      </c>
      <c r="S19" s="361">
        <v>0</v>
      </c>
      <c r="T19" s="361">
        <v>0</v>
      </c>
      <c r="U19" s="361">
        <v>0</v>
      </c>
      <c r="V19" s="361">
        <v>0</v>
      </c>
      <c r="W19" s="361">
        <v>0</v>
      </c>
      <c r="X19" s="361">
        <v>0</v>
      </c>
      <c r="Y19" s="361">
        <v>0</v>
      </c>
      <c r="Z19" s="361">
        <v>0</v>
      </c>
      <c r="AA19" s="361">
        <f>[5]X22!$D$82</f>
        <v>0</v>
      </c>
      <c r="AE19" s="362"/>
    </row>
    <row r="20" spans="1:31" s="343" customFormat="1" ht="15.75">
      <c r="A20" s="357" t="s">
        <v>2756</v>
      </c>
      <c r="B20" s="357" t="s">
        <v>89</v>
      </c>
      <c r="C20" s="358" t="s">
        <v>20</v>
      </c>
      <c r="D20" s="360">
        <v>1.31</v>
      </c>
      <c r="E20" s="360">
        <v>1.3280223253731743E-3</v>
      </c>
      <c r="F20" s="361">
        <v>0</v>
      </c>
      <c r="G20" s="361">
        <v>0</v>
      </c>
      <c r="H20" s="361">
        <v>0</v>
      </c>
      <c r="I20" s="361">
        <v>0.36</v>
      </c>
      <c r="J20" s="361">
        <v>0</v>
      </c>
      <c r="K20" s="361">
        <v>0</v>
      </c>
      <c r="L20" s="361">
        <v>0</v>
      </c>
      <c r="M20" s="361">
        <v>0</v>
      </c>
      <c r="N20" s="361">
        <v>0.12</v>
      </c>
      <c r="O20" s="361">
        <v>0</v>
      </c>
      <c r="P20" s="361">
        <v>0</v>
      </c>
      <c r="Q20" s="361">
        <v>0</v>
      </c>
      <c r="R20" s="361">
        <v>0</v>
      </c>
      <c r="S20" s="361">
        <v>0.21</v>
      </c>
      <c r="T20" s="361">
        <v>0</v>
      </c>
      <c r="U20" s="361">
        <v>0</v>
      </c>
      <c r="V20" s="361">
        <v>0</v>
      </c>
      <c r="W20" s="361">
        <v>0</v>
      </c>
      <c r="X20" s="361">
        <v>0.62</v>
      </c>
      <c r="Y20" s="361">
        <v>0</v>
      </c>
      <c r="Z20" s="361">
        <v>0</v>
      </c>
      <c r="AA20" s="361">
        <f>[5]X22!$D$83</f>
        <v>0</v>
      </c>
      <c r="AE20" s="362"/>
    </row>
    <row r="21" spans="1:31" s="342" customFormat="1" ht="15.75">
      <c r="A21" s="369">
        <v>2</v>
      </c>
      <c r="B21" s="353" t="s">
        <v>21</v>
      </c>
      <c r="C21" s="370" t="s">
        <v>22</v>
      </c>
      <c r="D21" s="349">
        <v>8216.659999999998</v>
      </c>
      <c r="E21" s="349">
        <v>8.3327007022906443</v>
      </c>
      <c r="F21" s="350">
        <v>297.62</v>
      </c>
      <c r="G21" s="350">
        <v>397.20999999999992</v>
      </c>
      <c r="H21" s="350">
        <v>1695.7099999999998</v>
      </c>
      <c r="I21" s="350">
        <v>127.46000000000001</v>
      </c>
      <c r="J21" s="350">
        <v>619.94999999999982</v>
      </c>
      <c r="K21" s="350">
        <v>253.25999999999996</v>
      </c>
      <c r="L21" s="350">
        <v>200.58</v>
      </c>
      <c r="M21" s="350">
        <v>240.22999999999996</v>
      </c>
      <c r="N21" s="350">
        <v>450.23999999999995</v>
      </c>
      <c r="O21" s="350">
        <v>308.26000000000005</v>
      </c>
      <c r="P21" s="350">
        <v>84.65</v>
      </c>
      <c r="Q21" s="350">
        <v>209.04999999999995</v>
      </c>
      <c r="R21" s="350">
        <v>160.23000000000002</v>
      </c>
      <c r="S21" s="350">
        <v>894.56</v>
      </c>
      <c r="T21" s="350">
        <v>187.93999999999997</v>
      </c>
      <c r="U21" s="350">
        <v>343.30000000000007</v>
      </c>
      <c r="V21" s="350">
        <v>626.18999999999994</v>
      </c>
      <c r="W21" s="350">
        <v>420.30999999999989</v>
      </c>
      <c r="X21" s="350">
        <v>336.74999999999989</v>
      </c>
      <c r="Y21" s="350">
        <v>147.93</v>
      </c>
      <c r="Z21" s="350">
        <v>215.23000000000002</v>
      </c>
      <c r="AA21" s="350">
        <f t="shared" ref="AA21" si="2">SUM(AA23:AA62)-AA31</f>
        <v>0</v>
      </c>
      <c r="AE21" s="362"/>
    </row>
    <row r="22" spans="1:31" s="342" customFormat="1" ht="15.75">
      <c r="A22" s="369"/>
      <c r="B22" s="357" t="s">
        <v>2814</v>
      </c>
      <c r="C22" s="370"/>
      <c r="D22" s="349"/>
      <c r="E22" s="349"/>
      <c r="F22" s="350"/>
      <c r="G22" s="350"/>
      <c r="H22" s="350"/>
      <c r="I22" s="350"/>
      <c r="J22" s="350"/>
      <c r="K22" s="350"/>
      <c r="L22" s="350"/>
      <c r="M22" s="350"/>
      <c r="N22" s="350"/>
      <c r="O22" s="350"/>
      <c r="P22" s="350"/>
      <c r="Q22" s="350"/>
      <c r="R22" s="350"/>
      <c r="S22" s="350"/>
      <c r="T22" s="350"/>
      <c r="U22" s="350"/>
      <c r="V22" s="350"/>
      <c r="W22" s="350"/>
      <c r="X22" s="350"/>
      <c r="Y22" s="350"/>
      <c r="Z22" s="350"/>
      <c r="AA22" s="350"/>
    </row>
    <row r="23" spans="1:31" s="343" customFormat="1" ht="15.75">
      <c r="A23" s="358" t="s">
        <v>23</v>
      </c>
      <c r="B23" s="357" t="s">
        <v>65</v>
      </c>
      <c r="C23" s="358" t="s">
        <v>26</v>
      </c>
      <c r="D23" s="360">
        <v>1736.52</v>
      </c>
      <c r="E23" s="360">
        <v>1.760410174394675</v>
      </c>
      <c r="F23" s="361">
        <v>8.82</v>
      </c>
      <c r="G23" s="361">
        <v>0</v>
      </c>
      <c r="H23" s="361">
        <v>1535.04</v>
      </c>
      <c r="I23" s="361">
        <v>0</v>
      </c>
      <c r="J23" s="361">
        <v>60.34</v>
      </c>
      <c r="K23" s="361">
        <v>42.69</v>
      </c>
      <c r="L23" s="361">
        <v>0</v>
      </c>
      <c r="M23" s="361">
        <v>0</v>
      </c>
      <c r="N23" s="361">
        <v>18.559999999999999</v>
      </c>
      <c r="O23" s="361">
        <v>0</v>
      </c>
      <c r="P23" s="361">
        <v>0.9</v>
      </c>
      <c r="Q23" s="361">
        <v>0</v>
      </c>
      <c r="R23" s="361">
        <v>8.43</v>
      </c>
      <c r="S23" s="361">
        <v>0</v>
      </c>
      <c r="T23" s="361">
        <v>1.07</v>
      </c>
      <c r="U23" s="361">
        <v>0</v>
      </c>
      <c r="V23" s="361">
        <v>0</v>
      </c>
      <c r="W23" s="361">
        <v>10.48</v>
      </c>
      <c r="X23" s="361">
        <v>24.44</v>
      </c>
      <c r="Y23" s="361">
        <v>0</v>
      </c>
      <c r="Z23" s="361">
        <v>25.75</v>
      </c>
      <c r="AA23" s="361">
        <f>[5]X22!$D$85</f>
        <v>0</v>
      </c>
    </row>
    <row r="24" spans="1:31" s="342" customFormat="1" ht="15.75">
      <c r="A24" s="358" t="s">
        <v>25</v>
      </c>
      <c r="B24" s="357" t="s">
        <v>66</v>
      </c>
      <c r="C24" s="358" t="s">
        <v>28</v>
      </c>
      <c r="D24" s="360">
        <v>8.0200000000000014</v>
      </c>
      <c r="E24" s="360">
        <v>8.1303351522846248E-3</v>
      </c>
      <c r="F24" s="361">
        <v>5.1100000000000003</v>
      </c>
      <c r="G24" s="361">
        <v>0.09</v>
      </c>
      <c r="H24" s="361">
        <v>0</v>
      </c>
      <c r="I24" s="361">
        <v>0.13</v>
      </c>
      <c r="J24" s="361">
        <v>0</v>
      </c>
      <c r="K24" s="361">
        <v>0.16000000000000003</v>
      </c>
      <c r="L24" s="361">
        <v>0</v>
      </c>
      <c r="M24" s="361">
        <v>0</v>
      </c>
      <c r="N24" s="361">
        <v>0</v>
      </c>
      <c r="O24" s="361">
        <v>0.23</v>
      </c>
      <c r="P24" s="361">
        <v>0.18</v>
      </c>
      <c r="Q24" s="361">
        <v>0</v>
      </c>
      <c r="R24" s="361">
        <v>0</v>
      </c>
      <c r="S24" s="361">
        <v>0.16999999999999998</v>
      </c>
      <c r="T24" s="361">
        <v>0.33</v>
      </c>
      <c r="U24" s="361">
        <v>0.33</v>
      </c>
      <c r="V24" s="361">
        <v>0</v>
      </c>
      <c r="W24" s="361">
        <v>0.19</v>
      </c>
      <c r="X24" s="361">
        <v>0.31</v>
      </c>
      <c r="Y24" s="361">
        <v>0.2</v>
      </c>
      <c r="Z24" s="361">
        <v>0.59</v>
      </c>
      <c r="AA24" s="361">
        <f>[5]X22!$D$86</f>
        <v>0</v>
      </c>
      <c r="AB24" s="343"/>
      <c r="AC24" s="343"/>
      <c r="AD24" s="343"/>
      <c r="AE24" s="343"/>
    </row>
    <row r="25" spans="1:31" s="343" customFormat="1" ht="15.75">
      <c r="A25" s="358" t="s">
        <v>27</v>
      </c>
      <c r="B25" s="357" t="s">
        <v>67</v>
      </c>
      <c r="C25" s="358" t="s">
        <v>30</v>
      </c>
      <c r="D25" s="360">
        <v>0</v>
      </c>
      <c r="E25" s="360">
        <v>0</v>
      </c>
      <c r="F25" s="361">
        <v>0</v>
      </c>
      <c r="G25" s="361">
        <v>0</v>
      </c>
      <c r="H25" s="361">
        <v>0</v>
      </c>
      <c r="I25" s="361">
        <v>0</v>
      </c>
      <c r="J25" s="361">
        <v>0</v>
      </c>
      <c r="K25" s="361">
        <v>0</v>
      </c>
      <c r="L25" s="361">
        <v>0</v>
      </c>
      <c r="M25" s="361">
        <v>0</v>
      </c>
      <c r="N25" s="361">
        <v>0</v>
      </c>
      <c r="O25" s="361">
        <v>0</v>
      </c>
      <c r="P25" s="361">
        <v>0</v>
      </c>
      <c r="Q25" s="361">
        <v>0</v>
      </c>
      <c r="R25" s="361">
        <v>0</v>
      </c>
      <c r="S25" s="361">
        <v>0</v>
      </c>
      <c r="T25" s="361">
        <v>0</v>
      </c>
      <c r="U25" s="361">
        <v>0</v>
      </c>
      <c r="V25" s="361">
        <v>0</v>
      </c>
      <c r="W25" s="361">
        <v>0</v>
      </c>
      <c r="X25" s="361">
        <v>0</v>
      </c>
      <c r="Y25" s="361">
        <v>0</v>
      </c>
      <c r="Z25" s="361">
        <v>0</v>
      </c>
      <c r="AA25" s="361">
        <f>[5]X22!$D$87</f>
        <v>0</v>
      </c>
    </row>
    <row r="26" spans="1:31" s="343" customFormat="1" ht="15.75">
      <c r="A26" s="358" t="s">
        <v>29</v>
      </c>
      <c r="B26" s="357" t="s">
        <v>90</v>
      </c>
      <c r="C26" s="358" t="s">
        <v>91</v>
      </c>
      <c r="D26" s="360">
        <v>3.25</v>
      </c>
      <c r="E26" s="360">
        <v>3.2947118759258137E-3</v>
      </c>
      <c r="F26" s="361">
        <v>0</v>
      </c>
      <c r="G26" s="361">
        <v>0</v>
      </c>
      <c r="H26" s="361">
        <v>0</v>
      </c>
      <c r="I26" s="361">
        <v>0</v>
      </c>
      <c r="J26" s="361">
        <v>3.25</v>
      </c>
      <c r="K26" s="361">
        <v>0</v>
      </c>
      <c r="L26" s="361">
        <v>0</v>
      </c>
      <c r="M26" s="361">
        <v>0</v>
      </c>
      <c r="N26" s="361">
        <v>0</v>
      </c>
      <c r="O26" s="361">
        <v>0</v>
      </c>
      <c r="P26" s="361">
        <v>0</v>
      </c>
      <c r="Q26" s="361">
        <v>0</v>
      </c>
      <c r="R26" s="361">
        <v>0</v>
      </c>
      <c r="S26" s="361">
        <v>0</v>
      </c>
      <c r="T26" s="361">
        <v>0</v>
      </c>
      <c r="U26" s="361">
        <v>0</v>
      </c>
      <c r="V26" s="361">
        <v>0</v>
      </c>
      <c r="W26" s="361">
        <v>0</v>
      </c>
      <c r="X26" s="361">
        <v>0</v>
      </c>
      <c r="Y26" s="361">
        <v>0</v>
      </c>
      <c r="Z26" s="361">
        <v>0</v>
      </c>
      <c r="AA26" s="361">
        <f>[5]X22!$D$88</f>
        <v>0</v>
      </c>
    </row>
    <row r="27" spans="1:31" s="343" customFormat="1" ht="15.75">
      <c r="A27" s="358" t="s">
        <v>31</v>
      </c>
      <c r="B27" s="357" t="s">
        <v>379</v>
      </c>
      <c r="C27" s="358" t="s">
        <v>93</v>
      </c>
      <c r="D27" s="360">
        <v>19.97</v>
      </c>
      <c r="E27" s="360">
        <v>2.0244737280688766E-2</v>
      </c>
      <c r="F27" s="361">
        <v>0.4</v>
      </c>
      <c r="G27" s="361">
        <v>0.33</v>
      </c>
      <c r="H27" s="361">
        <v>0</v>
      </c>
      <c r="I27" s="361">
        <v>0.8</v>
      </c>
      <c r="J27" s="361">
        <v>1.07</v>
      </c>
      <c r="K27" s="361">
        <v>0.56000000000000005</v>
      </c>
      <c r="L27" s="361">
        <v>0</v>
      </c>
      <c r="M27" s="361">
        <v>0</v>
      </c>
      <c r="N27" s="361">
        <v>0.17</v>
      </c>
      <c r="O27" s="361">
        <v>0</v>
      </c>
      <c r="P27" s="361">
        <v>10.540000000000001</v>
      </c>
      <c r="Q27" s="361">
        <v>0</v>
      </c>
      <c r="R27" s="361">
        <v>0</v>
      </c>
      <c r="S27" s="361">
        <v>0</v>
      </c>
      <c r="T27" s="361">
        <v>0</v>
      </c>
      <c r="U27" s="361">
        <v>0</v>
      </c>
      <c r="V27" s="361">
        <v>0</v>
      </c>
      <c r="W27" s="361">
        <v>0</v>
      </c>
      <c r="X27" s="361">
        <v>0</v>
      </c>
      <c r="Y27" s="361">
        <v>0</v>
      </c>
      <c r="Z27" s="361">
        <v>6.1</v>
      </c>
      <c r="AA27" s="361">
        <f>[5]X22!$D$89</f>
        <v>0</v>
      </c>
    </row>
    <row r="28" spans="1:31" s="343" customFormat="1" ht="15.75">
      <c r="A28" s="358" t="s">
        <v>33</v>
      </c>
      <c r="B28" s="357" t="s">
        <v>94</v>
      </c>
      <c r="C28" s="358" t="s">
        <v>32</v>
      </c>
      <c r="D28" s="360">
        <v>54.080000000000005</v>
      </c>
      <c r="E28" s="360">
        <v>5.4824005615405541E-2</v>
      </c>
      <c r="F28" s="361">
        <v>2.16</v>
      </c>
      <c r="G28" s="361">
        <v>3.4200000000000004</v>
      </c>
      <c r="H28" s="361">
        <v>0.03</v>
      </c>
      <c r="I28" s="361">
        <v>1.37</v>
      </c>
      <c r="J28" s="361">
        <v>24.12</v>
      </c>
      <c r="K28" s="361">
        <v>1.9</v>
      </c>
      <c r="L28" s="361">
        <v>0</v>
      </c>
      <c r="M28" s="361">
        <v>0.6</v>
      </c>
      <c r="N28" s="361">
        <v>0</v>
      </c>
      <c r="O28" s="361">
        <v>0</v>
      </c>
      <c r="P28" s="361">
        <v>0.69</v>
      </c>
      <c r="Q28" s="361">
        <v>0.71</v>
      </c>
      <c r="R28" s="361">
        <v>0.47</v>
      </c>
      <c r="S28" s="361">
        <v>0.56000000000000005</v>
      </c>
      <c r="T28" s="361">
        <v>0</v>
      </c>
      <c r="U28" s="361">
        <v>0.17</v>
      </c>
      <c r="V28" s="361">
        <v>0</v>
      </c>
      <c r="W28" s="361">
        <v>2.77</v>
      </c>
      <c r="X28" s="361">
        <v>0</v>
      </c>
      <c r="Y28" s="361">
        <v>0.18</v>
      </c>
      <c r="Z28" s="361">
        <v>14.930000000000001</v>
      </c>
      <c r="AA28" s="361">
        <f>[5]X22!$D$90</f>
        <v>0</v>
      </c>
    </row>
    <row r="29" spans="1:31" s="343" customFormat="1" ht="15.75">
      <c r="A29" s="358" t="s">
        <v>68</v>
      </c>
      <c r="B29" s="357" t="s">
        <v>106</v>
      </c>
      <c r="C29" s="358" t="s">
        <v>35</v>
      </c>
      <c r="D29" s="360">
        <v>255.28000000000003</v>
      </c>
      <c r="E29" s="360">
        <v>0.25879201467272056</v>
      </c>
      <c r="F29" s="361">
        <v>0</v>
      </c>
      <c r="G29" s="361">
        <v>12.06</v>
      </c>
      <c r="H29" s="361">
        <v>0</v>
      </c>
      <c r="I29" s="361">
        <v>0.09</v>
      </c>
      <c r="J29" s="361">
        <v>1.7199999999999998</v>
      </c>
      <c r="K29" s="361">
        <v>0</v>
      </c>
      <c r="L29" s="361">
        <v>0</v>
      </c>
      <c r="M29" s="361">
        <v>2.0499999999999998</v>
      </c>
      <c r="N29" s="361">
        <v>0.28999999999999998</v>
      </c>
      <c r="O29" s="361">
        <v>0</v>
      </c>
      <c r="P29" s="361">
        <v>0.35</v>
      </c>
      <c r="Q29" s="361">
        <v>0</v>
      </c>
      <c r="R29" s="361">
        <v>0</v>
      </c>
      <c r="S29" s="361">
        <v>236.16</v>
      </c>
      <c r="T29" s="361">
        <v>0</v>
      </c>
      <c r="U29" s="361">
        <v>1.55</v>
      </c>
      <c r="V29" s="361">
        <v>0</v>
      </c>
      <c r="W29" s="361">
        <v>0.74</v>
      </c>
      <c r="X29" s="361">
        <v>0</v>
      </c>
      <c r="Y29" s="361">
        <v>0</v>
      </c>
      <c r="Z29" s="361">
        <v>0.27</v>
      </c>
      <c r="AA29" s="361">
        <f>[5]X22!$D$91</f>
        <v>0</v>
      </c>
    </row>
    <row r="30" spans="1:31" s="343" customFormat="1" ht="15.75">
      <c r="A30" s="358" t="s">
        <v>69</v>
      </c>
      <c r="B30" s="357" t="s">
        <v>98</v>
      </c>
      <c r="C30" s="358" t="s">
        <v>34</v>
      </c>
      <c r="D30" s="360">
        <v>0</v>
      </c>
      <c r="E30" s="360">
        <v>0</v>
      </c>
      <c r="F30" s="361">
        <v>0</v>
      </c>
      <c r="G30" s="361">
        <v>0</v>
      </c>
      <c r="H30" s="361">
        <v>0</v>
      </c>
      <c r="I30" s="361">
        <v>0</v>
      </c>
      <c r="J30" s="361">
        <v>0</v>
      </c>
      <c r="K30" s="361">
        <v>0</v>
      </c>
      <c r="L30" s="361">
        <v>0</v>
      </c>
      <c r="M30" s="361">
        <v>0</v>
      </c>
      <c r="N30" s="361">
        <v>0</v>
      </c>
      <c r="O30" s="361">
        <v>0</v>
      </c>
      <c r="P30" s="361">
        <v>0</v>
      </c>
      <c r="Q30" s="361">
        <v>0</v>
      </c>
      <c r="R30" s="361">
        <v>0</v>
      </c>
      <c r="S30" s="361">
        <v>0</v>
      </c>
      <c r="T30" s="361">
        <v>0</v>
      </c>
      <c r="U30" s="361">
        <v>0</v>
      </c>
      <c r="V30" s="361">
        <v>0</v>
      </c>
      <c r="W30" s="361">
        <v>0</v>
      </c>
      <c r="X30" s="361">
        <v>0</v>
      </c>
      <c r="Y30" s="361">
        <v>0</v>
      </c>
      <c r="Z30" s="361">
        <v>0</v>
      </c>
      <c r="AA30" s="361">
        <f>[5]X22!$D$92</f>
        <v>0</v>
      </c>
      <c r="AE30" s="362"/>
    </row>
    <row r="31" spans="1:31" s="343" customFormat="1" ht="31.5">
      <c r="A31" s="358" t="s">
        <v>70</v>
      </c>
      <c r="B31" s="357" t="s">
        <v>125</v>
      </c>
      <c r="C31" s="358" t="s">
        <v>43</v>
      </c>
      <c r="D31" s="360">
        <v>2629.6700000000005</v>
      </c>
      <c r="E31" s="360">
        <v>2.6658476857741036</v>
      </c>
      <c r="F31" s="361">
        <v>94.549999999999983</v>
      </c>
      <c r="G31" s="361">
        <v>222.52999999999997</v>
      </c>
      <c r="H31" s="361">
        <v>111.14</v>
      </c>
      <c r="I31" s="361">
        <v>43.29</v>
      </c>
      <c r="J31" s="361">
        <v>270.50000000000006</v>
      </c>
      <c r="K31" s="361">
        <v>81.77000000000001</v>
      </c>
      <c r="L31" s="361">
        <v>79.640000000000015</v>
      </c>
      <c r="M31" s="361">
        <v>97.699999999999989</v>
      </c>
      <c r="N31" s="361">
        <v>132.82999999999998</v>
      </c>
      <c r="O31" s="361">
        <v>105.27</v>
      </c>
      <c r="P31" s="361">
        <v>45.130000000000017</v>
      </c>
      <c r="Q31" s="361">
        <v>123.33</v>
      </c>
      <c r="R31" s="361">
        <v>62.250000000000014</v>
      </c>
      <c r="S31" s="361">
        <v>415.77</v>
      </c>
      <c r="T31" s="361">
        <v>80.419999999999987</v>
      </c>
      <c r="U31" s="361">
        <v>169.66999999999996</v>
      </c>
      <c r="V31" s="361">
        <v>41.9</v>
      </c>
      <c r="W31" s="361">
        <v>185.65000000000003</v>
      </c>
      <c r="X31" s="361">
        <v>132.29</v>
      </c>
      <c r="Y31" s="361">
        <v>55.01</v>
      </c>
      <c r="Z31" s="361">
        <v>79.030000000000015</v>
      </c>
      <c r="AA31" s="361">
        <f>SUM(AA33:AA48)</f>
        <v>0</v>
      </c>
      <c r="AE31" s="362"/>
    </row>
    <row r="32" spans="1:31" s="367" customFormat="1" ht="15.75">
      <c r="A32" s="364"/>
      <c r="B32" s="363" t="s">
        <v>2815</v>
      </c>
      <c r="C32" s="364"/>
      <c r="D32" s="360">
        <v>0</v>
      </c>
      <c r="E32" s="360">
        <v>0</v>
      </c>
      <c r="F32" s="366"/>
      <c r="G32" s="366"/>
      <c r="H32" s="366"/>
      <c r="I32" s="366"/>
      <c r="J32" s="366"/>
      <c r="K32" s="366"/>
      <c r="L32" s="366"/>
      <c r="M32" s="366"/>
      <c r="N32" s="366"/>
      <c r="O32" s="366"/>
      <c r="P32" s="366"/>
      <c r="Q32" s="366"/>
      <c r="R32" s="366"/>
      <c r="S32" s="366"/>
      <c r="T32" s="366"/>
      <c r="U32" s="366"/>
      <c r="V32" s="366"/>
      <c r="W32" s="366"/>
      <c r="X32" s="366"/>
      <c r="Y32" s="366"/>
      <c r="Z32" s="366"/>
      <c r="AA32" s="366"/>
      <c r="AB32" s="343"/>
      <c r="AE32" s="343"/>
    </row>
    <row r="33" spans="1:31" s="367" customFormat="1" ht="15.75">
      <c r="A33" s="364" t="s">
        <v>2816</v>
      </c>
      <c r="B33" s="363" t="s">
        <v>122</v>
      </c>
      <c r="C33" s="364" t="s">
        <v>44</v>
      </c>
      <c r="D33" s="368">
        <v>1751.56</v>
      </c>
      <c r="E33" s="360">
        <v>1.7756570871989594</v>
      </c>
      <c r="F33" s="366">
        <v>63.13</v>
      </c>
      <c r="G33" s="366">
        <v>55.96</v>
      </c>
      <c r="H33" s="366">
        <v>104.34</v>
      </c>
      <c r="I33" s="366">
        <v>29.4</v>
      </c>
      <c r="J33" s="366">
        <v>178.03</v>
      </c>
      <c r="K33" s="366">
        <v>71.220000000000013</v>
      </c>
      <c r="L33" s="366">
        <v>75.290000000000006</v>
      </c>
      <c r="M33" s="366">
        <v>84.49</v>
      </c>
      <c r="N33" s="366">
        <v>93.16</v>
      </c>
      <c r="O33" s="366">
        <v>88.79</v>
      </c>
      <c r="P33" s="366">
        <v>39.28</v>
      </c>
      <c r="Q33" s="366">
        <v>112.15</v>
      </c>
      <c r="R33" s="366">
        <v>42.25</v>
      </c>
      <c r="S33" s="366">
        <v>96.69</v>
      </c>
      <c r="T33" s="366">
        <v>68.8</v>
      </c>
      <c r="U33" s="366">
        <v>152.66999999999999</v>
      </c>
      <c r="V33" s="366">
        <v>27.2</v>
      </c>
      <c r="W33" s="366">
        <v>133.31</v>
      </c>
      <c r="X33" s="366">
        <v>116.8</v>
      </c>
      <c r="Y33" s="366">
        <v>48.68</v>
      </c>
      <c r="Z33" s="366">
        <v>69.92</v>
      </c>
      <c r="AA33" s="366">
        <f>[5]X22!$D$94</f>
        <v>0</v>
      </c>
      <c r="AB33" s="343"/>
      <c r="AC33" s="343"/>
      <c r="AD33" s="343"/>
      <c r="AE33" s="343"/>
    </row>
    <row r="34" spans="1:31" s="367" customFormat="1" ht="15.75">
      <c r="A34" s="364" t="s">
        <v>2816</v>
      </c>
      <c r="B34" s="363" t="s">
        <v>123</v>
      </c>
      <c r="C34" s="364" t="s">
        <v>45</v>
      </c>
      <c r="D34" s="368">
        <v>129.73999999999998</v>
      </c>
      <c r="E34" s="360">
        <v>0.13152489808695844</v>
      </c>
      <c r="F34" s="366">
        <v>1.9599999999999995</v>
      </c>
      <c r="G34" s="366">
        <v>6.4700000000000006</v>
      </c>
      <c r="H34" s="366">
        <v>0.19</v>
      </c>
      <c r="I34" s="366">
        <v>5.36</v>
      </c>
      <c r="J34" s="366">
        <v>13.6</v>
      </c>
      <c r="K34" s="366">
        <v>5.51</v>
      </c>
      <c r="L34" s="366">
        <v>1.23</v>
      </c>
      <c r="M34" s="366">
        <v>3.2499999999999996</v>
      </c>
      <c r="N34" s="366">
        <v>19.45</v>
      </c>
      <c r="O34" s="366">
        <v>9.2200000000000006</v>
      </c>
      <c r="P34" s="366">
        <v>0.21</v>
      </c>
      <c r="Q34" s="366">
        <v>6.1899999999999995</v>
      </c>
      <c r="R34" s="366">
        <v>2.31</v>
      </c>
      <c r="S34" s="366">
        <v>12.85</v>
      </c>
      <c r="T34" s="366">
        <v>0.69</v>
      </c>
      <c r="U34" s="366">
        <v>2.48</v>
      </c>
      <c r="V34" s="366">
        <v>0.36</v>
      </c>
      <c r="W34" s="366">
        <v>23.02</v>
      </c>
      <c r="X34" s="366">
        <v>8.2100000000000009</v>
      </c>
      <c r="Y34" s="366">
        <v>2.87</v>
      </c>
      <c r="Z34" s="366">
        <v>4.3099999999999996</v>
      </c>
      <c r="AA34" s="366">
        <f>[5]X22!$D$95</f>
        <v>0</v>
      </c>
      <c r="AB34" s="343"/>
      <c r="AD34" s="343"/>
      <c r="AE34" s="343"/>
    </row>
    <row r="35" spans="1:31" s="367" customFormat="1" ht="15.75">
      <c r="A35" s="364" t="s">
        <v>2816</v>
      </c>
      <c r="B35" s="363" t="s">
        <v>127</v>
      </c>
      <c r="C35" s="364" t="s">
        <v>48</v>
      </c>
      <c r="D35" s="368">
        <v>14.56</v>
      </c>
      <c r="E35" s="360">
        <v>1.4760309204147646E-2</v>
      </c>
      <c r="F35" s="366">
        <v>0.41000000000000003</v>
      </c>
      <c r="G35" s="366">
        <v>0.28999999999999998</v>
      </c>
      <c r="H35" s="366">
        <v>0.7</v>
      </c>
      <c r="I35" s="366">
        <v>1.0299999999999998</v>
      </c>
      <c r="J35" s="366">
        <v>0.93</v>
      </c>
      <c r="K35" s="366">
        <v>0.51</v>
      </c>
      <c r="L35" s="366">
        <v>0.38</v>
      </c>
      <c r="M35" s="366">
        <v>1.1500000000000001</v>
      </c>
      <c r="N35" s="366">
        <v>0.91</v>
      </c>
      <c r="O35" s="366">
        <v>0.6</v>
      </c>
      <c r="P35" s="366">
        <v>0.45</v>
      </c>
      <c r="Q35" s="366">
        <v>0.5</v>
      </c>
      <c r="R35" s="366">
        <v>0.42</v>
      </c>
      <c r="S35" s="366">
        <v>0.28000000000000003</v>
      </c>
      <c r="T35" s="366">
        <v>1.35</v>
      </c>
      <c r="U35" s="366">
        <v>0.71</v>
      </c>
      <c r="V35" s="366">
        <v>0.4</v>
      </c>
      <c r="W35" s="366">
        <v>1.07</v>
      </c>
      <c r="X35" s="366">
        <v>1.07</v>
      </c>
      <c r="Y35" s="366">
        <v>0.71</v>
      </c>
      <c r="Z35" s="366">
        <v>0.69000000000000006</v>
      </c>
      <c r="AA35" s="366">
        <f>[5]X22!$D$96</f>
        <v>0</v>
      </c>
      <c r="AB35" s="343"/>
      <c r="AD35" s="343"/>
      <c r="AE35" s="371"/>
    </row>
    <row r="36" spans="1:31" s="367" customFormat="1" ht="15.75">
      <c r="A36" s="364" t="s">
        <v>2816</v>
      </c>
      <c r="B36" s="363" t="s">
        <v>129</v>
      </c>
      <c r="C36" s="364" t="s">
        <v>49</v>
      </c>
      <c r="D36" s="368">
        <v>8</v>
      </c>
      <c r="E36" s="360">
        <v>8.1100600022789258E-3</v>
      </c>
      <c r="F36" s="366">
        <v>2</v>
      </c>
      <c r="G36" s="366">
        <v>0.67</v>
      </c>
      <c r="H36" s="366">
        <v>0.16</v>
      </c>
      <c r="I36" s="366">
        <v>0.1</v>
      </c>
      <c r="J36" s="366">
        <v>0.18</v>
      </c>
      <c r="K36" s="366">
        <v>0.2</v>
      </c>
      <c r="L36" s="366">
        <v>0.12</v>
      </c>
      <c r="M36" s="366">
        <v>0.26</v>
      </c>
      <c r="N36" s="366">
        <v>0.08</v>
      </c>
      <c r="O36" s="366">
        <v>0.4</v>
      </c>
      <c r="P36" s="366">
        <v>0.13</v>
      </c>
      <c r="Q36" s="366">
        <v>0.22</v>
      </c>
      <c r="R36" s="366">
        <v>9.9999999999999992E-2</v>
      </c>
      <c r="S36" s="366">
        <v>0.72999999999999987</v>
      </c>
      <c r="T36" s="366">
        <v>0.4</v>
      </c>
      <c r="U36" s="366">
        <v>1.0699999999999998</v>
      </c>
      <c r="V36" s="366">
        <v>0.08</v>
      </c>
      <c r="W36" s="366">
        <v>0.71</v>
      </c>
      <c r="X36" s="366">
        <v>0.15</v>
      </c>
      <c r="Y36" s="366">
        <v>0.18</v>
      </c>
      <c r="Z36" s="366">
        <v>0.06</v>
      </c>
      <c r="AA36" s="366">
        <f>[5]X22!$D$97</f>
        <v>0</v>
      </c>
      <c r="AB36" s="343"/>
      <c r="AD36" s="343"/>
      <c r="AE36" s="343"/>
    </row>
    <row r="37" spans="1:31" s="367" customFormat="1" ht="15.75">
      <c r="A37" s="364" t="s">
        <v>2816</v>
      </c>
      <c r="B37" s="363" t="s">
        <v>220</v>
      </c>
      <c r="C37" s="364" t="s">
        <v>50</v>
      </c>
      <c r="D37" s="368">
        <v>60.670000000000009</v>
      </c>
      <c r="E37" s="360">
        <v>6.1504667542282808E-2</v>
      </c>
      <c r="F37" s="366">
        <v>8.57</v>
      </c>
      <c r="G37" s="366">
        <v>4.38</v>
      </c>
      <c r="H37" s="366">
        <v>2.61</v>
      </c>
      <c r="I37" s="366">
        <v>1.07</v>
      </c>
      <c r="J37" s="366">
        <v>2.66</v>
      </c>
      <c r="K37" s="366">
        <v>1.6300000000000001</v>
      </c>
      <c r="L37" s="366">
        <v>2.4</v>
      </c>
      <c r="M37" s="366">
        <v>2.1300000000000003</v>
      </c>
      <c r="N37" s="366">
        <v>2.9099999999999993</v>
      </c>
      <c r="O37" s="366">
        <v>3.6</v>
      </c>
      <c r="P37" s="366">
        <v>2.34</v>
      </c>
      <c r="Q37" s="366">
        <v>2.27</v>
      </c>
      <c r="R37" s="366">
        <v>0.77</v>
      </c>
      <c r="S37" s="366">
        <v>3.03</v>
      </c>
      <c r="T37" s="366">
        <v>3.4699999999999998</v>
      </c>
      <c r="U37" s="366">
        <v>3.88</v>
      </c>
      <c r="V37" s="366">
        <v>1.1000000000000001</v>
      </c>
      <c r="W37" s="366">
        <v>4.97</v>
      </c>
      <c r="X37" s="366">
        <v>3.24</v>
      </c>
      <c r="Y37" s="366">
        <v>1.36</v>
      </c>
      <c r="Z37" s="366">
        <v>2.2800000000000002</v>
      </c>
      <c r="AA37" s="366">
        <f>[5]X22!$D$98</f>
        <v>0</v>
      </c>
      <c r="AB37" s="343"/>
      <c r="AD37" s="343"/>
      <c r="AE37" s="362"/>
    </row>
    <row r="38" spans="1:31" s="367" customFormat="1" ht="15.75">
      <c r="A38" s="364" t="s">
        <v>2816</v>
      </c>
      <c r="B38" s="363" t="s">
        <v>131</v>
      </c>
      <c r="C38" s="364" t="s">
        <v>51</v>
      </c>
      <c r="D38" s="368">
        <v>21.15</v>
      </c>
      <c r="E38" s="360">
        <v>2.1440971131024909E-2</v>
      </c>
      <c r="F38" s="366">
        <v>2.13</v>
      </c>
      <c r="G38" s="366">
        <v>1.55</v>
      </c>
      <c r="H38" s="366">
        <v>3.01</v>
      </c>
      <c r="I38" s="366">
        <v>0.85</v>
      </c>
      <c r="J38" s="366">
        <v>0.76</v>
      </c>
      <c r="K38" s="366">
        <v>0.19</v>
      </c>
      <c r="L38" s="366">
        <v>0.21</v>
      </c>
      <c r="M38" s="366">
        <v>0.45999999999999996</v>
      </c>
      <c r="N38" s="366">
        <v>1.72</v>
      </c>
      <c r="O38" s="366">
        <v>1.73</v>
      </c>
      <c r="P38" s="366">
        <v>0.38</v>
      </c>
      <c r="Q38" s="366">
        <v>0.37</v>
      </c>
      <c r="R38" s="366">
        <v>0.19</v>
      </c>
      <c r="S38" s="366">
        <v>0.44</v>
      </c>
      <c r="T38" s="366">
        <v>3.23</v>
      </c>
      <c r="U38" s="366">
        <v>1.42</v>
      </c>
      <c r="V38" s="366">
        <v>0.18</v>
      </c>
      <c r="W38" s="366">
        <v>1.08</v>
      </c>
      <c r="X38" s="366">
        <v>0.37</v>
      </c>
      <c r="Y38" s="366">
        <v>0.43</v>
      </c>
      <c r="Z38" s="366">
        <v>0.45</v>
      </c>
      <c r="AA38" s="366">
        <f>[5]X22!$D$99</f>
        <v>0</v>
      </c>
      <c r="AB38" s="343"/>
      <c r="AD38" s="343"/>
      <c r="AE38" s="362"/>
    </row>
    <row r="39" spans="1:31" s="367" customFormat="1" ht="15.75">
      <c r="A39" s="364" t="s">
        <v>2816</v>
      </c>
      <c r="B39" s="363" t="s">
        <v>134</v>
      </c>
      <c r="C39" s="364" t="s">
        <v>46</v>
      </c>
      <c r="D39" s="368">
        <v>30.37</v>
      </c>
      <c r="E39" s="360">
        <v>3.0787815283651373E-2</v>
      </c>
      <c r="F39" s="366">
        <v>0.11</v>
      </c>
      <c r="G39" s="366">
        <v>29.1</v>
      </c>
      <c r="H39" s="366">
        <v>7.0000000000000007E-2</v>
      </c>
      <c r="I39" s="366">
        <v>0.05</v>
      </c>
      <c r="J39" s="366">
        <v>0.01</v>
      </c>
      <c r="K39" s="366">
        <v>0.02</v>
      </c>
      <c r="L39" s="366">
        <v>0</v>
      </c>
      <c r="M39" s="366">
        <v>0.05</v>
      </c>
      <c r="N39" s="366">
        <v>0</v>
      </c>
      <c r="O39" s="366">
        <v>0.49</v>
      </c>
      <c r="P39" s="366">
        <v>0.06</v>
      </c>
      <c r="Q39" s="366">
        <v>0.04</v>
      </c>
      <c r="R39" s="366">
        <v>0.02</v>
      </c>
      <c r="S39" s="366">
        <v>0.03</v>
      </c>
      <c r="T39" s="366">
        <v>0.02</v>
      </c>
      <c r="U39" s="366">
        <v>0.05</v>
      </c>
      <c r="V39" s="366">
        <v>0</v>
      </c>
      <c r="W39" s="366">
        <v>0.15</v>
      </c>
      <c r="X39" s="366">
        <v>0.01</v>
      </c>
      <c r="Y39" s="366">
        <v>0.05</v>
      </c>
      <c r="Z39" s="366">
        <v>0.04</v>
      </c>
      <c r="AA39" s="366">
        <f>[5]X22!$D$100</f>
        <v>0</v>
      </c>
      <c r="AB39" s="343"/>
      <c r="AD39" s="343"/>
      <c r="AE39" s="362"/>
    </row>
    <row r="40" spans="1:31" s="367" customFormat="1" ht="15.75">
      <c r="A40" s="364" t="s">
        <v>2816</v>
      </c>
      <c r="B40" s="363" t="s">
        <v>2817</v>
      </c>
      <c r="C40" s="364" t="s">
        <v>47</v>
      </c>
      <c r="D40" s="368">
        <v>1.4400000000000002</v>
      </c>
      <c r="E40" s="360">
        <v>1.4598108004102068E-3</v>
      </c>
      <c r="F40" s="366">
        <v>0.09</v>
      </c>
      <c r="G40" s="366">
        <v>7.0000000000000007E-2</v>
      </c>
      <c r="H40" s="366">
        <v>6.0000000000000005E-2</v>
      </c>
      <c r="I40" s="366">
        <v>0.03</v>
      </c>
      <c r="J40" s="366">
        <v>0.05</v>
      </c>
      <c r="K40" s="366">
        <v>0.02</v>
      </c>
      <c r="L40" s="366">
        <v>0</v>
      </c>
      <c r="M40" s="366">
        <v>0.03</v>
      </c>
      <c r="N40" s="366">
        <v>0.09</v>
      </c>
      <c r="O40" s="366">
        <v>0.05</v>
      </c>
      <c r="P40" s="366">
        <v>0.26</v>
      </c>
      <c r="Q40" s="366">
        <v>0.02</v>
      </c>
      <c r="R40" s="366">
        <v>0.2</v>
      </c>
      <c r="S40" s="366">
        <v>0</v>
      </c>
      <c r="T40" s="366">
        <v>0.1</v>
      </c>
      <c r="U40" s="366">
        <v>6.9999999999999993E-2</v>
      </c>
      <c r="V40" s="366">
        <v>0.02</v>
      </c>
      <c r="W40" s="366">
        <v>0.02</v>
      </c>
      <c r="X40" s="366">
        <v>0</v>
      </c>
      <c r="Y40" s="366">
        <v>0.03</v>
      </c>
      <c r="Z40" s="366">
        <v>0.23</v>
      </c>
      <c r="AA40" s="366">
        <f>[5]X22!$D$101</f>
        <v>0</v>
      </c>
      <c r="AB40" s="343"/>
      <c r="AD40" s="343"/>
      <c r="AE40" s="362"/>
    </row>
    <row r="41" spans="1:31" s="367" customFormat="1" ht="15.75">
      <c r="A41" s="364" t="s">
        <v>2816</v>
      </c>
      <c r="B41" s="363" t="s">
        <v>2761</v>
      </c>
      <c r="C41" s="364" t="s">
        <v>2762</v>
      </c>
      <c r="D41" s="368">
        <v>0</v>
      </c>
      <c r="E41" s="360">
        <v>0</v>
      </c>
      <c r="F41" s="366">
        <v>0</v>
      </c>
      <c r="G41" s="366">
        <v>0</v>
      </c>
      <c r="H41" s="366">
        <v>0</v>
      </c>
      <c r="I41" s="366">
        <v>0</v>
      </c>
      <c r="J41" s="366">
        <v>0</v>
      </c>
      <c r="K41" s="366">
        <v>0</v>
      </c>
      <c r="L41" s="366">
        <v>0</v>
      </c>
      <c r="M41" s="366">
        <v>0</v>
      </c>
      <c r="N41" s="366">
        <v>0</v>
      </c>
      <c r="O41" s="366">
        <v>0</v>
      </c>
      <c r="P41" s="366">
        <v>0</v>
      </c>
      <c r="Q41" s="366">
        <v>0</v>
      </c>
      <c r="R41" s="366">
        <v>0</v>
      </c>
      <c r="S41" s="366">
        <v>0</v>
      </c>
      <c r="T41" s="366">
        <v>0</v>
      </c>
      <c r="U41" s="366">
        <v>0</v>
      </c>
      <c r="V41" s="366">
        <v>0</v>
      </c>
      <c r="W41" s="366">
        <v>0</v>
      </c>
      <c r="X41" s="366">
        <v>0</v>
      </c>
      <c r="Y41" s="366">
        <v>0</v>
      </c>
      <c r="Z41" s="366">
        <v>0</v>
      </c>
      <c r="AA41" s="366">
        <f>[5]X22!$D$102</f>
        <v>0</v>
      </c>
      <c r="AB41" s="343"/>
      <c r="AD41" s="343"/>
      <c r="AE41" s="362"/>
    </row>
    <row r="42" spans="1:31" s="367" customFormat="1" ht="31.5">
      <c r="A42" s="364" t="s">
        <v>2816</v>
      </c>
      <c r="B42" s="363" t="s">
        <v>2763</v>
      </c>
      <c r="C42" s="364" t="s">
        <v>2764</v>
      </c>
      <c r="D42" s="368">
        <v>1.1699999999999995</v>
      </c>
      <c r="E42" s="360">
        <v>1.1860962753332924E-3</v>
      </c>
      <c r="F42" s="366">
        <v>0</v>
      </c>
      <c r="G42" s="366">
        <v>0</v>
      </c>
      <c r="H42" s="366">
        <v>0</v>
      </c>
      <c r="I42" s="366">
        <v>0</v>
      </c>
      <c r="J42" s="366">
        <v>0</v>
      </c>
      <c r="K42" s="366">
        <v>0.10999999999999943</v>
      </c>
      <c r="L42" s="366">
        <v>0</v>
      </c>
      <c r="M42" s="366">
        <v>0</v>
      </c>
      <c r="N42" s="366">
        <v>0.06</v>
      </c>
      <c r="O42" s="366">
        <v>0</v>
      </c>
      <c r="P42" s="366">
        <v>1</v>
      </c>
      <c r="Q42" s="366">
        <v>0</v>
      </c>
      <c r="R42" s="366">
        <v>0</v>
      </c>
      <c r="S42" s="366">
        <v>0</v>
      </c>
      <c r="T42" s="366">
        <v>0</v>
      </c>
      <c r="U42" s="366">
        <v>0</v>
      </c>
      <c r="V42" s="366">
        <v>0</v>
      </c>
      <c r="W42" s="366">
        <v>0</v>
      </c>
      <c r="X42" s="366">
        <v>0</v>
      </c>
      <c r="Y42" s="366">
        <v>0</v>
      </c>
      <c r="Z42" s="366">
        <v>0</v>
      </c>
      <c r="AA42" s="366">
        <f>[5]X22!$D$103</f>
        <v>0</v>
      </c>
      <c r="AB42" s="343"/>
      <c r="AD42" s="343"/>
      <c r="AE42" s="362"/>
    </row>
    <row r="43" spans="1:31" s="367" customFormat="1" ht="15.75">
      <c r="A43" s="364" t="s">
        <v>2816</v>
      </c>
      <c r="B43" s="363" t="s">
        <v>80</v>
      </c>
      <c r="C43" s="364" t="s">
        <v>37</v>
      </c>
      <c r="D43" s="368">
        <v>500.91000000000008</v>
      </c>
      <c r="E43" s="360">
        <v>0.50780126946769222</v>
      </c>
      <c r="F43" s="366">
        <v>0.14000000000000001</v>
      </c>
      <c r="G43" s="366">
        <v>120.4</v>
      </c>
      <c r="H43" s="366">
        <v>0</v>
      </c>
      <c r="I43" s="366">
        <v>0</v>
      </c>
      <c r="J43" s="366">
        <v>72.62</v>
      </c>
      <c r="K43" s="366">
        <v>0.83</v>
      </c>
      <c r="L43" s="366">
        <v>0</v>
      </c>
      <c r="M43" s="366">
        <v>0</v>
      </c>
      <c r="N43" s="366">
        <v>0</v>
      </c>
      <c r="O43" s="366">
        <v>0</v>
      </c>
      <c r="P43" s="366">
        <v>0</v>
      </c>
      <c r="Q43" s="366">
        <v>0</v>
      </c>
      <c r="R43" s="366">
        <v>0</v>
      </c>
      <c r="S43" s="366">
        <v>295.69</v>
      </c>
      <c r="T43" s="366">
        <v>2.23</v>
      </c>
      <c r="U43" s="366">
        <v>0</v>
      </c>
      <c r="V43" s="366">
        <v>0</v>
      </c>
      <c r="W43" s="366">
        <v>9</v>
      </c>
      <c r="X43" s="366">
        <v>0</v>
      </c>
      <c r="Y43" s="366">
        <v>0</v>
      </c>
      <c r="Z43" s="366">
        <v>0</v>
      </c>
      <c r="AA43" s="366">
        <f>[5]X22!$D$104</f>
        <v>0</v>
      </c>
      <c r="AB43" s="343"/>
      <c r="AD43" s="343"/>
      <c r="AE43" s="343"/>
    </row>
    <row r="44" spans="1:31" s="367" customFormat="1" ht="15.75">
      <c r="A44" s="364" t="s">
        <v>2816</v>
      </c>
      <c r="B44" s="363" t="s">
        <v>111</v>
      </c>
      <c r="C44" s="364" t="s">
        <v>38</v>
      </c>
      <c r="D44" s="368">
        <v>1.38</v>
      </c>
      <c r="E44" s="360">
        <v>1.3989853503931144E-3</v>
      </c>
      <c r="F44" s="366">
        <v>0.88</v>
      </c>
      <c r="G44" s="366">
        <v>0</v>
      </c>
      <c r="H44" s="366">
        <v>0</v>
      </c>
      <c r="I44" s="366">
        <v>0</v>
      </c>
      <c r="J44" s="366">
        <v>0</v>
      </c>
      <c r="K44" s="366">
        <v>0</v>
      </c>
      <c r="L44" s="366">
        <v>0</v>
      </c>
      <c r="M44" s="366">
        <v>0</v>
      </c>
      <c r="N44" s="366">
        <v>0</v>
      </c>
      <c r="O44" s="366">
        <v>0</v>
      </c>
      <c r="P44" s="366">
        <v>0</v>
      </c>
      <c r="Q44" s="366">
        <v>0</v>
      </c>
      <c r="R44" s="366">
        <v>0</v>
      </c>
      <c r="S44" s="366">
        <v>0</v>
      </c>
      <c r="T44" s="366">
        <v>0</v>
      </c>
      <c r="U44" s="366">
        <v>0</v>
      </c>
      <c r="V44" s="366">
        <v>0</v>
      </c>
      <c r="W44" s="366">
        <v>0.5</v>
      </c>
      <c r="X44" s="366">
        <v>0</v>
      </c>
      <c r="Y44" s="366">
        <v>0</v>
      </c>
      <c r="Z44" s="366">
        <v>0</v>
      </c>
      <c r="AA44" s="366">
        <f>[5]X22!$D$105</f>
        <v>0</v>
      </c>
      <c r="AB44" s="343"/>
      <c r="AD44" s="343"/>
      <c r="AE44" s="362"/>
    </row>
    <row r="45" spans="1:31" s="367" customFormat="1" ht="31.5">
      <c r="A45" s="364" t="s">
        <v>2816</v>
      </c>
      <c r="B45" s="363" t="s">
        <v>2818</v>
      </c>
      <c r="C45" s="364" t="s">
        <v>40</v>
      </c>
      <c r="D45" s="368">
        <v>105.94</v>
      </c>
      <c r="E45" s="360">
        <v>0.10739746958017868</v>
      </c>
      <c r="F45" s="366">
        <v>14.69</v>
      </c>
      <c r="G45" s="366">
        <v>2.96</v>
      </c>
      <c r="H45" s="366">
        <v>0</v>
      </c>
      <c r="I45" s="366">
        <v>5.4</v>
      </c>
      <c r="J45" s="366">
        <v>1.66</v>
      </c>
      <c r="K45" s="366">
        <v>1.53</v>
      </c>
      <c r="L45" s="366">
        <v>0.01</v>
      </c>
      <c r="M45" s="366">
        <v>5.88</v>
      </c>
      <c r="N45" s="366">
        <v>14.450000000000001</v>
      </c>
      <c r="O45" s="366">
        <v>0.39</v>
      </c>
      <c r="P45" s="366">
        <v>0</v>
      </c>
      <c r="Q45" s="366">
        <v>1.57</v>
      </c>
      <c r="R45" s="366">
        <v>15.99</v>
      </c>
      <c r="S45" s="366">
        <v>6.03</v>
      </c>
      <c r="T45" s="366">
        <v>0.06</v>
      </c>
      <c r="U45" s="366">
        <v>7.32</v>
      </c>
      <c r="V45" s="366">
        <v>12.56</v>
      </c>
      <c r="W45" s="366">
        <v>11.82</v>
      </c>
      <c r="X45" s="366">
        <v>2.44</v>
      </c>
      <c r="Y45" s="366">
        <v>0.7</v>
      </c>
      <c r="Z45" s="366">
        <v>0.48</v>
      </c>
      <c r="AA45" s="366">
        <f>[5]X22!$D$106</f>
        <v>0</v>
      </c>
      <c r="AB45" s="343"/>
      <c r="AD45" s="343"/>
      <c r="AE45" s="362"/>
    </row>
    <row r="46" spans="1:31" s="367" customFormat="1" ht="15.75">
      <c r="A46" s="364" t="s">
        <v>2816</v>
      </c>
      <c r="B46" s="363" t="s">
        <v>2819</v>
      </c>
      <c r="C46" s="364" t="s">
        <v>52</v>
      </c>
      <c r="D46" s="368">
        <v>0</v>
      </c>
      <c r="E46" s="360">
        <v>0</v>
      </c>
      <c r="F46" s="366">
        <v>0</v>
      </c>
      <c r="G46" s="366">
        <v>0</v>
      </c>
      <c r="H46" s="366">
        <v>0</v>
      </c>
      <c r="I46" s="366">
        <v>0</v>
      </c>
      <c r="J46" s="366">
        <v>0</v>
      </c>
      <c r="K46" s="366">
        <v>0</v>
      </c>
      <c r="L46" s="366">
        <v>0</v>
      </c>
      <c r="M46" s="366">
        <v>0</v>
      </c>
      <c r="N46" s="366">
        <v>0</v>
      </c>
      <c r="O46" s="366">
        <v>0</v>
      </c>
      <c r="P46" s="366">
        <v>0</v>
      </c>
      <c r="Q46" s="366">
        <v>0</v>
      </c>
      <c r="R46" s="366">
        <v>0</v>
      </c>
      <c r="S46" s="366">
        <v>0</v>
      </c>
      <c r="T46" s="366">
        <v>0</v>
      </c>
      <c r="U46" s="366">
        <v>0</v>
      </c>
      <c r="V46" s="366">
        <v>0</v>
      </c>
      <c r="W46" s="366">
        <v>0</v>
      </c>
      <c r="X46" s="366">
        <v>0</v>
      </c>
      <c r="Y46" s="366">
        <v>0</v>
      </c>
      <c r="Z46" s="366">
        <v>0</v>
      </c>
      <c r="AA46" s="366">
        <f>[5]X22!$D$107</f>
        <v>0</v>
      </c>
      <c r="AB46" s="343"/>
      <c r="AD46" s="343"/>
      <c r="AE46" s="362"/>
    </row>
    <row r="47" spans="1:31" s="367" customFormat="1" ht="15.75">
      <c r="A47" s="364" t="s">
        <v>2816</v>
      </c>
      <c r="B47" s="363" t="s">
        <v>128</v>
      </c>
      <c r="C47" s="364" t="s">
        <v>53</v>
      </c>
      <c r="D47" s="368">
        <v>0</v>
      </c>
      <c r="E47" s="360">
        <v>0</v>
      </c>
      <c r="F47" s="366">
        <v>0</v>
      </c>
      <c r="G47" s="366">
        <v>0</v>
      </c>
      <c r="H47" s="366">
        <v>0</v>
      </c>
      <c r="I47" s="366">
        <v>0</v>
      </c>
      <c r="J47" s="366">
        <v>0</v>
      </c>
      <c r="K47" s="366">
        <v>0</v>
      </c>
      <c r="L47" s="366">
        <v>0</v>
      </c>
      <c r="M47" s="366">
        <v>0</v>
      </c>
      <c r="N47" s="366">
        <v>0</v>
      </c>
      <c r="O47" s="366">
        <v>0</v>
      </c>
      <c r="P47" s="366">
        <v>0</v>
      </c>
      <c r="Q47" s="366">
        <v>0</v>
      </c>
      <c r="R47" s="366">
        <v>0</v>
      </c>
      <c r="S47" s="366">
        <v>0</v>
      </c>
      <c r="T47" s="366">
        <v>0</v>
      </c>
      <c r="U47" s="366">
        <v>0</v>
      </c>
      <c r="V47" s="366">
        <v>0</v>
      </c>
      <c r="W47" s="366">
        <v>0</v>
      </c>
      <c r="X47" s="366">
        <v>0</v>
      </c>
      <c r="Y47" s="366">
        <v>0</v>
      </c>
      <c r="Z47" s="366">
        <v>0</v>
      </c>
      <c r="AA47" s="366">
        <f>[5]X22!$D$108</f>
        <v>0</v>
      </c>
      <c r="AB47" s="343"/>
      <c r="AD47" s="343"/>
      <c r="AE47" s="362"/>
    </row>
    <row r="48" spans="1:31" s="367" customFormat="1" ht="15.75">
      <c r="A48" s="364" t="s">
        <v>2816</v>
      </c>
      <c r="B48" s="363" t="s">
        <v>124</v>
      </c>
      <c r="C48" s="364" t="s">
        <v>54</v>
      </c>
      <c r="D48" s="368">
        <v>2.2700000000000005</v>
      </c>
      <c r="E48" s="360">
        <v>2.3012295256466457E-3</v>
      </c>
      <c r="F48" s="366">
        <v>0.32</v>
      </c>
      <c r="G48" s="366">
        <v>0.54</v>
      </c>
      <c r="H48" s="366">
        <v>0</v>
      </c>
      <c r="I48" s="366">
        <v>0</v>
      </c>
      <c r="J48" s="366">
        <v>0</v>
      </c>
      <c r="K48" s="366">
        <v>0</v>
      </c>
      <c r="L48" s="366">
        <v>0</v>
      </c>
      <c r="M48" s="366">
        <v>0</v>
      </c>
      <c r="N48" s="366">
        <v>0</v>
      </c>
      <c r="O48" s="366">
        <v>0</v>
      </c>
      <c r="P48" s="366">
        <v>0.84</v>
      </c>
      <c r="Q48" s="366">
        <v>0</v>
      </c>
      <c r="R48" s="366">
        <v>0</v>
      </c>
      <c r="S48" s="366">
        <v>0</v>
      </c>
      <c r="T48" s="366">
        <v>7.0000000000000007E-2</v>
      </c>
      <c r="U48" s="366">
        <v>0</v>
      </c>
      <c r="V48" s="366">
        <v>0</v>
      </c>
      <c r="W48" s="366">
        <v>0</v>
      </c>
      <c r="X48" s="366">
        <v>0</v>
      </c>
      <c r="Y48" s="366">
        <v>0</v>
      </c>
      <c r="Z48" s="366">
        <v>0.5</v>
      </c>
      <c r="AA48" s="366">
        <f>[5]X22!$D$109</f>
        <v>0</v>
      </c>
      <c r="AB48" s="343"/>
      <c r="AD48" s="343"/>
      <c r="AE48" s="362"/>
    </row>
    <row r="49" spans="1:31" s="343" customFormat="1" ht="15.75">
      <c r="A49" s="357" t="s">
        <v>193</v>
      </c>
      <c r="B49" s="357" t="s">
        <v>2770</v>
      </c>
      <c r="C49" s="358" t="s">
        <v>2771</v>
      </c>
      <c r="D49" s="360">
        <v>0.33</v>
      </c>
      <c r="E49" s="360">
        <v>3.3453997509400572E-4</v>
      </c>
      <c r="F49" s="361">
        <v>0.12</v>
      </c>
      <c r="G49" s="361">
        <v>0.14000000000000001</v>
      </c>
      <c r="H49" s="361">
        <v>0</v>
      </c>
      <c r="I49" s="361">
        <v>0</v>
      </c>
      <c r="J49" s="361">
        <v>0</v>
      </c>
      <c r="K49" s="361">
        <v>0</v>
      </c>
      <c r="L49" s="361">
        <v>0</v>
      </c>
      <c r="M49" s="361">
        <v>0</v>
      </c>
      <c r="N49" s="361">
        <v>0</v>
      </c>
      <c r="O49" s="361">
        <v>0</v>
      </c>
      <c r="P49" s="361">
        <v>0</v>
      </c>
      <c r="Q49" s="361">
        <v>0</v>
      </c>
      <c r="R49" s="361">
        <v>0</v>
      </c>
      <c r="S49" s="361">
        <v>0</v>
      </c>
      <c r="T49" s="361">
        <v>0</v>
      </c>
      <c r="U49" s="361">
        <v>0</v>
      </c>
      <c r="V49" s="361">
        <v>0</v>
      </c>
      <c r="W49" s="361">
        <v>0</v>
      </c>
      <c r="X49" s="361">
        <v>0</v>
      </c>
      <c r="Y49" s="361">
        <v>0</v>
      </c>
      <c r="Z49" s="361">
        <v>7.0000000000000007E-2</v>
      </c>
      <c r="AA49" s="361">
        <f>[5]X22!$D$110</f>
        <v>0</v>
      </c>
      <c r="AC49" s="367"/>
    </row>
    <row r="50" spans="1:31" s="343" customFormat="1" ht="15.75">
      <c r="A50" s="357" t="s">
        <v>193</v>
      </c>
      <c r="B50" s="357" t="s">
        <v>2772</v>
      </c>
      <c r="C50" s="358" t="s">
        <v>2773</v>
      </c>
      <c r="D50" s="360">
        <v>0</v>
      </c>
      <c r="E50" s="360">
        <v>0</v>
      </c>
      <c r="F50" s="361">
        <v>0</v>
      </c>
      <c r="G50" s="361">
        <v>0</v>
      </c>
      <c r="H50" s="361">
        <v>0</v>
      </c>
      <c r="I50" s="361">
        <v>0</v>
      </c>
      <c r="J50" s="361">
        <v>0</v>
      </c>
      <c r="K50" s="361">
        <v>0</v>
      </c>
      <c r="L50" s="361">
        <v>0</v>
      </c>
      <c r="M50" s="361">
        <v>0</v>
      </c>
      <c r="N50" s="361">
        <v>0</v>
      </c>
      <c r="O50" s="361">
        <v>0</v>
      </c>
      <c r="P50" s="361">
        <v>0</v>
      </c>
      <c r="Q50" s="361">
        <v>0</v>
      </c>
      <c r="R50" s="361">
        <v>0</v>
      </c>
      <c r="S50" s="361">
        <v>0</v>
      </c>
      <c r="T50" s="361">
        <v>0</v>
      </c>
      <c r="U50" s="361">
        <v>0</v>
      </c>
      <c r="V50" s="361">
        <v>0</v>
      </c>
      <c r="W50" s="361">
        <v>0</v>
      </c>
      <c r="X50" s="361">
        <v>0</v>
      </c>
      <c r="Y50" s="361">
        <v>0</v>
      </c>
      <c r="Z50" s="361">
        <v>0</v>
      </c>
      <c r="AA50" s="361">
        <f>[5]X22!$D$111</f>
        <v>0</v>
      </c>
      <c r="AC50" s="367"/>
    </row>
    <row r="51" spans="1:31" s="343" customFormat="1" ht="15.75">
      <c r="A51" s="357" t="s">
        <v>75</v>
      </c>
      <c r="B51" s="357" t="s">
        <v>1251</v>
      </c>
      <c r="C51" s="358" t="s">
        <v>113</v>
      </c>
      <c r="D51" s="360">
        <v>2.08</v>
      </c>
      <c r="E51" s="360">
        <v>2.1086156005925205E-3</v>
      </c>
      <c r="F51" s="361">
        <v>0.12</v>
      </c>
      <c r="G51" s="361">
        <v>0</v>
      </c>
      <c r="H51" s="361">
        <v>0</v>
      </c>
      <c r="I51" s="361">
        <v>0</v>
      </c>
      <c r="J51" s="361">
        <v>0</v>
      </c>
      <c r="K51" s="361">
        <v>0</v>
      </c>
      <c r="L51" s="361">
        <v>0</v>
      </c>
      <c r="M51" s="361">
        <v>0</v>
      </c>
      <c r="N51" s="361">
        <v>0</v>
      </c>
      <c r="O51" s="361">
        <v>0</v>
      </c>
      <c r="P51" s="361">
        <v>0</v>
      </c>
      <c r="Q51" s="361">
        <v>0</v>
      </c>
      <c r="R51" s="361">
        <v>0</v>
      </c>
      <c r="S51" s="361">
        <v>0</v>
      </c>
      <c r="T51" s="361">
        <v>0</v>
      </c>
      <c r="U51" s="361">
        <v>0</v>
      </c>
      <c r="V51" s="361">
        <v>0</v>
      </c>
      <c r="W51" s="361">
        <v>0</v>
      </c>
      <c r="X51" s="361">
        <v>0</v>
      </c>
      <c r="Y51" s="361">
        <v>0</v>
      </c>
      <c r="Z51" s="361">
        <v>1.96</v>
      </c>
      <c r="AA51" s="361">
        <f>[5]X22!$D$112</f>
        <v>0</v>
      </c>
    </row>
    <row r="52" spans="1:31" s="343" customFormat="1" ht="15.75">
      <c r="A52" s="357" t="s">
        <v>76</v>
      </c>
      <c r="B52" s="357" t="s">
        <v>107</v>
      </c>
      <c r="C52" s="358" t="s">
        <v>59</v>
      </c>
      <c r="D52" s="360">
        <v>955.12999999999988</v>
      </c>
      <c r="E52" s="360">
        <v>0.96827020124708363</v>
      </c>
      <c r="F52" s="361">
        <v>0.1</v>
      </c>
      <c r="G52" s="361">
        <v>0</v>
      </c>
      <c r="H52" s="361">
        <v>19.97</v>
      </c>
      <c r="I52" s="361">
        <v>43.88</v>
      </c>
      <c r="J52" s="361">
        <v>94.53</v>
      </c>
      <c r="K52" s="361">
        <v>94.16</v>
      </c>
      <c r="L52" s="361">
        <v>53.53</v>
      </c>
      <c r="M52" s="361">
        <v>59.23</v>
      </c>
      <c r="N52" s="361">
        <v>65.08</v>
      </c>
      <c r="O52" s="361">
        <v>40.4</v>
      </c>
      <c r="P52" s="361">
        <v>9.2899999999999991</v>
      </c>
      <c r="Q52" s="361">
        <v>61.36</v>
      </c>
      <c r="R52" s="361">
        <v>37.270000000000003</v>
      </c>
      <c r="S52" s="361">
        <v>39</v>
      </c>
      <c r="T52" s="361">
        <v>28.1</v>
      </c>
      <c r="U52" s="361">
        <v>92.48</v>
      </c>
      <c r="V52" s="361">
        <v>13.55</v>
      </c>
      <c r="W52" s="361">
        <v>89</v>
      </c>
      <c r="X52" s="361">
        <v>45.69</v>
      </c>
      <c r="Y52" s="361">
        <v>21.490000000000002</v>
      </c>
      <c r="Z52" s="361">
        <v>47.019999999999996</v>
      </c>
      <c r="AA52" s="361">
        <f>[5]X22!$D$113</f>
        <v>0</v>
      </c>
    </row>
    <row r="53" spans="1:31" s="343" customFormat="1" ht="15.75">
      <c r="A53" s="357" t="s">
        <v>82</v>
      </c>
      <c r="B53" s="357" t="s">
        <v>2772</v>
      </c>
      <c r="C53" s="358" t="s">
        <v>57</v>
      </c>
      <c r="D53" s="360">
        <v>170.34</v>
      </c>
      <c r="E53" s="360">
        <v>0.17268345259852405</v>
      </c>
      <c r="F53" s="361">
        <v>95.17</v>
      </c>
      <c r="G53" s="361">
        <v>75.17</v>
      </c>
      <c r="H53" s="361">
        <v>0</v>
      </c>
      <c r="I53" s="361">
        <v>0</v>
      </c>
      <c r="J53" s="361">
        <v>0</v>
      </c>
      <c r="K53" s="361">
        <v>0</v>
      </c>
      <c r="L53" s="361">
        <v>0</v>
      </c>
      <c r="M53" s="361">
        <v>0</v>
      </c>
      <c r="N53" s="361">
        <v>0</v>
      </c>
      <c r="O53" s="361">
        <v>0</v>
      </c>
      <c r="P53" s="361">
        <v>0</v>
      </c>
      <c r="Q53" s="361">
        <v>0</v>
      </c>
      <c r="R53" s="361">
        <v>0</v>
      </c>
      <c r="S53" s="361">
        <v>0</v>
      </c>
      <c r="T53" s="361">
        <v>0</v>
      </c>
      <c r="U53" s="361">
        <v>0</v>
      </c>
      <c r="V53" s="361">
        <v>0</v>
      </c>
      <c r="W53" s="361">
        <v>0</v>
      </c>
      <c r="X53" s="361">
        <v>0</v>
      </c>
      <c r="Y53" s="361">
        <v>0</v>
      </c>
      <c r="Z53" s="361">
        <v>0</v>
      </c>
      <c r="AA53" s="361">
        <f>[5]X22!$D$114</f>
        <v>0</v>
      </c>
    </row>
    <row r="54" spans="1:31" s="343" customFormat="1" ht="15.75">
      <c r="A54" s="357" t="s">
        <v>83</v>
      </c>
      <c r="B54" s="357" t="s">
        <v>95</v>
      </c>
      <c r="C54" s="358" t="s">
        <v>24</v>
      </c>
      <c r="D54" s="360">
        <v>15.440000000000003</v>
      </c>
      <c r="E54" s="360">
        <v>1.5652415804398329E-2</v>
      </c>
      <c r="F54" s="361">
        <v>3.88</v>
      </c>
      <c r="G54" s="361">
        <v>2.2599999999999998</v>
      </c>
      <c r="H54" s="361">
        <v>0.25</v>
      </c>
      <c r="I54" s="361">
        <v>0.24</v>
      </c>
      <c r="J54" s="361">
        <v>2.04</v>
      </c>
      <c r="K54" s="361">
        <v>0.28000000000000003</v>
      </c>
      <c r="L54" s="361">
        <v>0.3</v>
      </c>
      <c r="M54" s="361">
        <v>0.25000000000000006</v>
      </c>
      <c r="N54" s="361">
        <v>0.13</v>
      </c>
      <c r="O54" s="361">
        <v>0.4</v>
      </c>
      <c r="P54" s="361">
        <v>0.81</v>
      </c>
      <c r="Q54" s="361">
        <v>0.46</v>
      </c>
      <c r="R54" s="361">
        <v>0.28999999999999998</v>
      </c>
      <c r="S54" s="361">
        <v>0.33999999999999997</v>
      </c>
      <c r="T54" s="361">
        <v>0.24</v>
      </c>
      <c r="U54" s="361">
        <v>1</v>
      </c>
      <c r="V54" s="361">
        <v>0.22</v>
      </c>
      <c r="W54" s="361">
        <v>0.18</v>
      </c>
      <c r="X54" s="361">
        <v>0.39</v>
      </c>
      <c r="Y54" s="361">
        <v>0.13</v>
      </c>
      <c r="Z54" s="361">
        <v>1.35</v>
      </c>
      <c r="AA54" s="361">
        <f>[5]X22!$D$115</f>
        <v>0</v>
      </c>
    </row>
    <row r="55" spans="1:31" s="343" customFormat="1" ht="15.75">
      <c r="A55" s="357" t="s">
        <v>84</v>
      </c>
      <c r="B55" s="357" t="s">
        <v>2775</v>
      </c>
      <c r="C55" s="358" t="s">
        <v>2776</v>
      </c>
      <c r="D55" s="360">
        <v>0.18</v>
      </c>
      <c r="E55" s="360">
        <v>1.8247635005127583E-4</v>
      </c>
      <c r="F55" s="361">
        <v>0</v>
      </c>
      <c r="G55" s="361">
        <v>0</v>
      </c>
      <c r="H55" s="361">
        <v>0</v>
      </c>
      <c r="I55" s="361">
        <v>0</v>
      </c>
      <c r="J55" s="361">
        <v>0</v>
      </c>
      <c r="K55" s="361">
        <v>0</v>
      </c>
      <c r="L55" s="361">
        <v>0</v>
      </c>
      <c r="M55" s="361">
        <v>0</v>
      </c>
      <c r="N55" s="361">
        <v>0</v>
      </c>
      <c r="O55" s="361">
        <v>0</v>
      </c>
      <c r="P55" s="361">
        <v>0.18</v>
      </c>
      <c r="Q55" s="361">
        <v>0</v>
      </c>
      <c r="R55" s="361">
        <v>0</v>
      </c>
      <c r="S55" s="361">
        <v>0</v>
      </c>
      <c r="T55" s="361">
        <v>0</v>
      </c>
      <c r="U55" s="361">
        <v>0</v>
      </c>
      <c r="V55" s="361">
        <v>0</v>
      </c>
      <c r="W55" s="361">
        <v>0</v>
      </c>
      <c r="X55" s="361">
        <v>0</v>
      </c>
      <c r="Y55" s="361">
        <v>0</v>
      </c>
      <c r="Z55" s="361">
        <v>0</v>
      </c>
      <c r="AA55" s="361">
        <f>[5]X22!$D$116</f>
        <v>0</v>
      </c>
    </row>
    <row r="56" spans="1:31" s="343" customFormat="1" ht="15.75">
      <c r="A56" s="357" t="s">
        <v>100</v>
      </c>
      <c r="B56" s="357" t="s">
        <v>109</v>
      </c>
      <c r="C56" s="358" t="s">
        <v>110</v>
      </c>
      <c r="D56" s="360">
        <v>0</v>
      </c>
      <c r="E56" s="360">
        <v>0</v>
      </c>
      <c r="F56" s="361">
        <v>0</v>
      </c>
      <c r="G56" s="361">
        <v>0</v>
      </c>
      <c r="H56" s="361">
        <v>0</v>
      </c>
      <c r="I56" s="361">
        <v>0</v>
      </c>
      <c r="J56" s="361">
        <v>0</v>
      </c>
      <c r="K56" s="361">
        <v>0</v>
      </c>
      <c r="L56" s="361">
        <v>0</v>
      </c>
      <c r="M56" s="361">
        <v>0</v>
      </c>
      <c r="N56" s="361">
        <v>0</v>
      </c>
      <c r="O56" s="361">
        <v>0</v>
      </c>
      <c r="P56" s="361">
        <v>0</v>
      </c>
      <c r="Q56" s="361">
        <v>0</v>
      </c>
      <c r="R56" s="361">
        <v>0</v>
      </c>
      <c r="S56" s="361">
        <v>0</v>
      </c>
      <c r="T56" s="361">
        <v>0</v>
      </c>
      <c r="U56" s="361">
        <v>0</v>
      </c>
      <c r="V56" s="361">
        <v>0</v>
      </c>
      <c r="W56" s="361">
        <v>0</v>
      </c>
      <c r="X56" s="361">
        <v>0</v>
      </c>
      <c r="Y56" s="361">
        <v>0</v>
      </c>
      <c r="Z56" s="361">
        <v>0</v>
      </c>
      <c r="AA56" s="361">
        <f>[5]X22!$D$117</f>
        <v>0</v>
      </c>
    </row>
    <row r="57" spans="1:31" s="343" customFormat="1" ht="15.75">
      <c r="A57" s="357" t="s">
        <v>101</v>
      </c>
      <c r="B57" s="357" t="s">
        <v>133</v>
      </c>
      <c r="C57" s="358" t="s">
        <v>137</v>
      </c>
      <c r="D57" s="360"/>
      <c r="E57" s="360"/>
      <c r="F57" s="361">
        <v>0</v>
      </c>
      <c r="G57" s="361">
        <v>0</v>
      </c>
      <c r="H57" s="361">
        <v>0</v>
      </c>
      <c r="I57" s="361">
        <v>0</v>
      </c>
      <c r="J57" s="361">
        <v>0.02</v>
      </c>
      <c r="K57" s="361">
        <v>0</v>
      </c>
      <c r="L57" s="361">
        <v>0</v>
      </c>
      <c r="M57" s="361">
        <v>0</v>
      </c>
      <c r="N57" s="361">
        <v>0</v>
      </c>
      <c r="O57" s="361">
        <v>0</v>
      </c>
      <c r="P57" s="361">
        <v>0</v>
      </c>
      <c r="Q57" s="361">
        <v>0</v>
      </c>
      <c r="R57" s="361">
        <v>0</v>
      </c>
      <c r="S57" s="361">
        <v>0</v>
      </c>
      <c r="T57" s="361">
        <v>0</v>
      </c>
      <c r="U57" s="361">
        <v>0</v>
      </c>
      <c r="V57" s="361">
        <v>0</v>
      </c>
      <c r="W57" s="361">
        <v>0</v>
      </c>
      <c r="X57" s="361">
        <v>0</v>
      </c>
      <c r="Y57" s="361">
        <v>0</v>
      </c>
      <c r="Z57" s="361">
        <v>0</v>
      </c>
      <c r="AA57" s="361">
        <f>[5]X22!$D$118</f>
        <v>0</v>
      </c>
    </row>
    <row r="58" spans="1:31" s="343" customFormat="1" ht="15.75" hidden="1">
      <c r="A58" s="357"/>
      <c r="B58" s="357"/>
      <c r="C58" s="358"/>
      <c r="D58" s="360"/>
      <c r="E58" s="360"/>
      <c r="F58" s="361">
        <v>0</v>
      </c>
      <c r="G58" s="361">
        <v>0</v>
      </c>
      <c r="H58" s="361">
        <v>0</v>
      </c>
      <c r="I58" s="361">
        <v>0</v>
      </c>
      <c r="J58" s="361">
        <v>0</v>
      </c>
      <c r="K58" s="361">
        <v>0</v>
      </c>
      <c r="L58" s="361">
        <v>0</v>
      </c>
      <c r="M58" s="361">
        <v>0</v>
      </c>
      <c r="N58" s="361">
        <v>0</v>
      </c>
      <c r="O58" s="361">
        <v>0</v>
      </c>
      <c r="P58" s="361">
        <v>0</v>
      </c>
      <c r="Q58" s="361">
        <v>0</v>
      </c>
      <c r="R58" s="361">
        <v>0</v>
      </c>
      <c r="S58" s="361">
        <v>0</v>
      </c>
      <c r="T58" s="361">
        <v>0</v>
      </c>
      <c r="U58" s="361">
        <v>0</v>
      </c>
      <c r="V58" s="361">
        <v>0</v>
      </c>
      <c r="W58" s="361">
        <v>0</v>
      </c>
      <c r="X58" s="361">
        <v>0</v>
      </c>
      <c r="Y58" s="361">
        <v>0</v>
      </c>
      <c r="Z58" s="361">
        <v>0</v>
      </c>
      <c r="AA58" s="361"/>
    </row>
    <row r="59" spans="1:31" s="343" customFormat="1" ht="15.75">
      <c r="A59" s="357" t="s">
        <v>103</v>
      </c>
      <c r="B59" s="357" t="s">
        <v>114</v>
      </c>
      <c r="C59" s="358" t="s">
        <v>39</v>
      </c>
      <c r="D59" s="360">
        <v>23.46</v>
      </c>
      <c r="E59" s="360">
        <v>2.378275095668295E-2</v>
      </c>
      <c r="F59" s="361">
        <v>2.16</v>
      </c>
      <c r="G59" s="361">
        <v>0.15</v>
      </c>
      <c r="H59" s="361">
        <v>0</v>
      </c>
      <c r="I59" s="361">
        <v>1.5699999999999998</v>
      </c>
      <c r="J59" s="361">
        <v>0.5</v>
      </c>
      <c r="K59" s="361">
        <v>0.69</v>
      </c>
      <c r="L59" s="361">
        <v>0</v>
      </c>
      <c r="M59" s="361">
        <v>3.65</v>
      </c>
      <c r="N59" s="361">
        <v>3.0300000000000002</v>
      </c>
      <c r="O59" s="361">
        <v>0.05</v>
      </c>
      <c r="P59" s="361">
        <v>0.22</v>
      </c>
      <c r="Q59" s="361">
        <v>0.21</v>
      </c>
      <c r="R59" s="361">
        <v>0</v>
      </c>
      <c r="S59" s="361">
        <v>0.17</v>
      </c>
      <c r="T59" s="361">
        <v>0.89</v>
      </c>
      <c r="U59" s="361">
        <v>2.66</v>
      </c>
      <c r="V59" s="361">
        <v>0.04</v>
      </c>
      <c r="W59" s="361">
        <v>5.66</v>
      </c>
      <c r="X59" s="361">
        <v>0.27</v>
      </c>
      <c r="Y59" s="361">
        <v>0</v>
      </c>
      <c r="Z59" s="361">
        <v>1.54</v>
      </c>
      <c r="AA59" s="361">
        <f>[5]X22!$D$120</f>
        <v>0</v>
      </c>
    </row>
    <row r="60" spans="1:31" s="343" customFormat="1" ht="15.75">
      <c r="A60" s="357" t="s">
        <v>104</v>
      </c>
      <c r="B60" s="357" t="s">
        <v>115</v>
      </c>
      <c r="C60" s="358" t="s">
        <v>42</v>
      </c>
      <c r="D60" s="360">
        <v>1376.1999999999998</v>
      </c>
      <c r="E60" s="360">
        <v>1.3951330718920321</v>
      </c>
      <c r="F60" s="361">
        <v>75.099999999999994</v>
      </c>
      <c r="G60" s="361">
        <v>81.150000000000006</v>
      </c>
      <c r="H60" s="361">
        <v>29.28</v>
      </c>
      <c r="I60" s="361">
        <v>35.83</v>
      </c>
      <c r="J60" s="361">
        <v>135.38999999999999</v>
      </c>
      <c r="K60" s="361">
        <v>26.16</v>
      </c>
      <c r="L60" s="361">
        <v>67.11</v>
      </c>
      <c r="M60" s="361">
        <v>76.75</v>
      </c>
      <c r="N60" s="361">
        <v>75.98</v>
      </c>
      <c r="O60" s="361">
        <v>86.09</v>
      </c>
      <c r="P60" s="361">
        <v>14.790000000000001</v>
      </c>
      <c r="Q60" s="361">
        <v>22.95</v>
      </c>
      <c r="R60" s="361">
        <v>51.52</v>
      </c>
      <c r="S60" s="361">
        <v>72.14</v>
      </c>
      <c r="T60" s="361">
        <v>76.89</v>
      </c>
      <c r="U60" s="361">
        <v>75.430000000000007</v>
      </c>
      <c r="V60" s="361">
        <v>43.55</v>
      </c>
      <c r="W60" s="361">
        <v>100.99</v>
      </c>
      <c r="X60" s="361">
        <v>133.34</v>
      </c>
      <c r="Y60" s="361">
        <v>69.69</v>
      </c>
      <c r="Z60" s="361">
        <v>26.07</v>
      </c>
      <c r="AA60" s="361">
        <f>[5]X22!$D$121</f>
        <v>0</v>
      </c>
    </row>
    <row r="61" spans="1:31" s="343" customFormat="1" ht="15.75">
      <c r="A61" s="357" t="s">
        <v>2820</v>
      </c>
      <c r="B61" s="357" t="s">
        <v>77</v>
      </c>
      <c r="C61" s="358" t="s">
        <v>41</v>
      </c>
      <c r="D61" s="360">
        <v>965.68999999999983</v>
      </c>
      <c r="E61" s="360">
        <v>0.97897548045009186</v>
      </c>
      <c r="F61" s="361">
        <v>10.050000000000001</v>
      </c>
      <c r="G61" s="361">
        <v>0.05</v>
      </c>
      <c r="H61" s="361">
        <v>0</v>
      </c>
      <c r="I61" s="361">
        <v>0.26</v>
      </c>
      <c r="J61" s="361">
        <v>26.47</v>
      </c>
      <c r="K61" s="361">
        <v>4.8899999999999997</v>
      </c>
      <c r="L61" s="361">
        <v>0</v>
      </c>
      <c r="M61" s="361">
        <v>0</v>
      </c>
      <c r="N61" s="361">
        <v>154.16999999999999</v>
      </c>
      <c r="O61" s="361">
        <v>75.819999999999993</v>
      </c>
      <c r="P61" s="361">
        <v>1.75</v>
      </c>
      <c r="Q61" s="361">
        <v>0.01</v>
      </c>
      <c r="R61" s="361">
        <v>0</v>
      </c>
      <c r="S61" s="361">
        <v>130.25</v>
      </c>
      <c r="T61" s="361">
        <v>0</v>
      </c>
      <c r="U61" s="361">
        <v>0.01</v>
      </c>
      <c r="V61" s="361">
        <v>526.92999999999995</v>
      </c>
      <c r="W61" s="361">
        <v>24.65</v>
      </c>
      <c r="X61" s="361">
        <v>0.02</v>
      </c>
      <c r="Y61" s="361">
        <v>0</v>
      </c>
      <c r="Z61" s="361">
        <v>10.36</v>
      </c>
      <c r="AA61" s="361">
        <f>[5]X22!$D$122</f>
        <v>0</v>
      </c>
    </row>
    <row r="62" spans="1:31" s="343" customFormat="1" ht="15.75">
      <c r="A62" s="357" t="s">
        <v>105</v>
      </c>
      <c r="B62" s="357" t="s">
        <v>116</v>
      </c>
      <c r="C62" s="358" t="s">
        <v>55</v>
      </c>
      <c r="D62" s="360">
        <v>1.51</v>
      </c>
      <c r="E62" s="360">
        <v>1.5307738254301472E-3</v>
      </c>
      <c r="F62" s="361">
        <v>0</v>
      </c>
      <c r="G62" s="361">
        <v>0</v>
      </c>
      <c r="H62" s="361">
        <v>0</v>
      </c>
      <c r="I62" s="361">
        <v>0</v>
      </c>
      <c r="J62" s="361">
        <v>0</v>
      </c>
      <c r="K62" s="361">
        <v>0</v>
      </c>
      <c r="L62" s="361">
        <v>0</v>
      </c>
      <c r="M62" s="361">
        <v>0</v>
      </c>
      <c r="N62" s="361">
        <v>0</v>
      </c>
      <c r="O62" s="361">
        <v>0</v>
      </c>
      <c r="P62" s="361">
        <v>0</v>
      </c>
      <c r="Q62" s="361">
        <v>0.02</v>
      </c>
      <c r="R62" s="361">
        <v>0</v>
      </c>
      <c r="S62" s="361">
        <v>0</v>
      </c>
      <c r="T62" s="361">
        <v>0</v>
      </c>
      <c r="U62" s="361">
        <v>0</v>
      </c>
      <c r="V62" s="361">
        <v>0</v>
      </c>
      <c r="W62" s="361">
        <v>0</v>
      </c>
      <c r="X62" s="361">
        <v>0</v>
      </c>
      <c r="Y62" s="361">
        <v>1.23</v>
      </c>
      <c r="Z62" s="361">
        <v>0.26</v>
      </c>
      <c r="AA62" s="361">
        <f>[5]X22!$D$123</f>
        <v>0</v>
      </c>
    </row>
    <row r="63" spans="1:31" s="342" customFormat="1" ht="15.75">
      <c r="A63" s="369">
        <v>3</v>
      </c>
      <c r="B63" s="353" t="s">
        <v>56</v>
      </c>
      <c r="C63" s="370" t="s">
        <v>81</v>
      </c>
      <c r="D63" s="349">
        <v>1509.92</v>
      </c>
      <c r="E63" s="349">
        <v>1.5306927248301245</v>
      </c>
      <c r="F63" s="350">
        <v>29.06</v>
      </c>
      <c r="G63" s="350">
        <v>11.99</v>
      </c>
      <c r="H63" s="350">
        <v>44.66</v>
      </c>
      <c r="I63" s="350">
        <v>11.59</v>
      </c>
      <c r="J63" s="350">
        <v>118.08</v>
      </c>
      <c r="K63" s="350">
        <v>24.92</v>
      </c>
      <c r="L63" s="350">
        <v>98.18</v>
      </c>
      <c r="M63" s="350">
        <v>77.45</v>
      </c>
      <c r="N63" s="350">
        <v>66.58</v>
      </c>
      <c r="O63" s="350">
        <v>130.83999999999997</v>
      </c>
      <c r="P63" s="350">
        <v>19.850000000000001</v>
      </c>
      <c r="Q63" s="350">
        <v>229.8</v>
      </c>
      <c r="R63" s="350">
        <v>32.31</v>
      </c>
      <c r="S63" s="350">
        <v>135.52000000000001</v>
      </c>
      <c r="T63" s="350">
        <v>67.5</v>
      </c>
      <c r="U63" s="350">
        <v>84.31</v>
      </c>
      <c r="V63" s="350">
        <v>22.490000000000002</v>
      </c>
      <c r="W63" s="350">
        <v>68.489999999999995</v>
      </c>
      <c r="X63" s="350">
        <v>124.16</v>
      </c>
      <c r="Y63" s="350">
        <v>81.430000000000007</v>
      </c>
      <c r="Z63" s="350">
        <v>30.71</v>
      </c>
      <c r="AA63" s="350">
        <f>[5]X22!$D$124</f>
        <v>0</v>
      </c>
      <c r="AD63" s="343"/>
      <c r="AE63" s="362"/>
    </row>
    <row r="64" spans="1:31" s="343" customFormat="1" ht="15.75">
      <c r="B64" s="372"/>
      <c r="C64" s="373"/>
    </row>
    <row r="65" spans="5:31" ht="15.75">
      <c r="AC65" s="342"/>
      <c r="AD65" s="342"/>
      <c r="AE65" s="342"/>
    </row>
    <row r="66" spans="5:31">
      <c r="F66" s="374">
        <v>512.09999999999991</v>
      </c>
      <c r="G66" s="374">
        <v>1429.6699999999998</v>
      </c>
      <c r="H66" s="374">
        <v>1761.5600000000004</v>
      </c>
      <c r="I66" s="374">
        <v>1482.1399999999999</v>
      </c>
      <c r="J66" s="374">
        <v>981.8</v>
      </c>
      <c r="K66" s="374">
        <v>1272.1300000000001</v>
      </c>
      <c r="L66" s="374">
        <v>1889.8000000000002</v>
      </c>
      <c r="M66" s="374">
        <v>798.06999999999994</v>
      </c>
      <c r="N66" s="374">
        <v>2786.16</v>
      </c>
      <c r="O66" s="374">
        <v>1297.02</v>
      </c>
      <c r="P66" s="374">
        <v>1407.03</v>
      </c>
      <c r="Q66" s="374">
        <v>665.4799999999999</v>
      </c>
      <c r="R66" s="374">
        <v>1421.69</v>
      </c>
      <c r="S66" s="374">
        <v>2977.46</v>
      </c>
      <c r="T66" s="374">
        <v>1488.2</v>
      </c>
      <c r="U66" s="374">
        <v>656.35</v>
      </c>
      <c r="V66" s="374">
        <v>1448.2000000000003</v>
      </c>
      <c r="W66" s="374">
        <v>1212.6899999999998</v>
      </c>
      <c r="X66" s="374">
        <v>877.58999999999992</v>
      </c>
      <c r="Y66" s="374">
        <v>1654.73</v>
      </c>
      <c r="Z66" s="374">
        <v>1186.0600000000002</v>
      </c>
      <c r="AA66" s="374">
        <v>1079.28</v>
      </c>
    </row>
    <row r="67" spans="5:31">
      <c r="F67" s="375">
        <f t="shared" ref="F67:AA67" si="3">F7-F66</f>
        <v>1264.5900000000001</v>
      </c>
      <c r="G67" s="375">
        <f t="shared" si="3"/>
        <v>-283.57999999999993</v>
      </c>
      <c r="H67" s="375">
        <f t="shared" si="3"/>
        <v>8107.55</v>
      </c>
      <c r="I67" s="375">
        <f t="shared" si="3"/>
        <v>-509.91999999999962</v>
      </c>
      <c r="J67" s="375">
        <f t="shared" si="3"/>
        <v>6376.7199999999993</v>
      </c>
      <c r="K67" s="375">
        <f t="shared" si="3"/>
        <v>837.77</v>
      </c>
      <c r="L67" s="375">
        <f t="shared" si="3"/>
        <v>7214.1800000000012</v>
      </c>
      <c r="M67" s="375">
        <f t="shared" si="3"/>
        <v>2257.7199999999993</v>
      </c>
      <c r="N67" s="375">
        <f t="shared" si="3"/>
        <v>-51.289999999999964</v>
      </c>
      <c r="O67" s="375">
        <f t="shared" si="3"/>
        <v>6148.3700000000008</v>
      </c>
      <c r="P67" s="375">
        <f t="shared" si="3"/>
        <v>4248.34</v>
      </c>
      <c r="Q67" s="375">
        <f t="shared" si="3"/>
        <v>4560.5500000000011</v>
      </c>
      <c r="R67" s="375">
        <f t="shared" si="3"/>
        <v>4759.9200000000019</v>
      </c>
      <c r="S67" s="375">
        <f t="shared" si="3"/>
        <v>3488.2600000000011</v>
      </c>
      <c r="T67" s="375">
        <f t="shared" si="3"/>
        <v>3388.88</v>
      </c>
      <c r="U67" s="375">
        <f t="shared" si="3"/>
        <v>4074.5300000000011</v>
      </c>
      <c r="V67" s="375">
        <f t="shared" si="3"/>
        <v>3430.9099999999994</v>
      </c>
      <c r="W67" s="375">
        <f t="shared" si="3"/>
        <v>1273.1199999999997</v>
      </c>
      <c r="X67" s="375">
        <f t="shared" si="3"/>
        <v>4445.4099999999989</v>
      </c>
      <c r="Y67" s="375">
        <f t="shared" si="3"/>
        <v>2964.5900000000015</v>
      </c>
      <c r="Z67" s="375">
        <f t="shared" si="3"/>
        <v>1440.3700000000001</v>
      </c>
      <c r="AA67" s="375">
        <f t="shared" si="3"/>
        <v>-1079.28</v>
      </c>
    </row>
    <row r="68" spans="5:31">
      <c r="F68" s="375"/>
      <c r="G68" s="375"/>
      <c r="H68" s="376"/>
      <c r="I68" s="377"/>
      <c r="J68" s="377"/>
      <c r="K68" s="377"/>
      <c r="L68" s="377"/>
      <c r="M68" s="377"/>
      <c r="N68" s="377"/>
      <c r="O68" s="377"/>
      <c r="P68" s="377"/>
      <c r="Q68" s="377"/>
      <c r="R68" s="377"/>
      <c r="S68" s="377"/>
      <c r="T68" s="377"/>
      <c r="U68" s="377"/>
      <c r="V68" s="377"/>
      <c r="W68" s="377"/>
      <c r="X68" s="377"/>
      <c r="Y68" s="377"/>
      <c r="Z68" s="377"/>
      <c r="AA68" s="377"/>
    </row>
    <row r="70" spans="5:31">
      <c r="F70" s="375"/>
      <c r="G70" s="375"/>
      <c r="H70" s="375"/>
      <c r="I70" s="375"/>
      <c r="J70" s="375"/>
      <c r="K70" s="375"/>
      <c r="L70" s="375"/>
      <c r="M70" s="375"/>
      <c r="N70" s="375"/>
      <c r="O70" s="375"/>
      <c r="P70" s="375"/>
      <c r="Q70" s="375"/>
      <c r="R70" s="375"/>
      <c r="S70" s="375"/>
      <c r="T70" s="375"/>
      <c r="U70" s="375"/>
      <c r="V70" s="375"/>
      <c r="W70" s="375"/>
      <c r="X70" s="375"/>
      <c r="Y70" s="375"/>
      <c r="Z70" s="375"/>
      <c r="AA70" s="375"/>
    </row>
    <row r="74" spans="5:31">
      <c r="E74" s="378"/>
      <c r="F74" s="375"/>
      <c r="G74" s="375"/>
      <c r="H74" s="375"/>
      <c r="I74" s="375"/>
      <c r="J74" s="375"/>
      <c r="K74" s="375"/>
      <c r="L74" s="375"/>
      <c r="M74" s="375"/>
      <c r="N74" s="375"/>
      <c r="O74" s="375"/>
      <c r="P74" s="375"/>
      <c r="Q74" s="375"/>
      <c r="R74" s="375"/>
      <c r="S74" s="375"/>
      <c r="T74" s="375"/>
      <c r="U74" s="375"/>
      <c r="V74" s="375"/>
      <c r="W74" s="375"/>
      <c r="X74" s="375"/>
      <c r="Y74" s="375"/>
      <c r="Z74" s="375"/>
      <c r="AA74" s="375"/>
    </row>
    <row r="75" spans="5:31">
      <c r="F75" s="378"/>
      <c r="G75" s="378"/>
      <c r="H75" s="378"/>
      <c r="I75" s="378"/>
      <c r="J75" s="378"/>
      <c r="K75" s="378"/>
      <c r="L75" s="378"/>
      <c r="M75" s="378"/>
      <c r="N75" s="378"/>
      <c r="O75" s="378"/>
      <c r="P75" s="378"/>
      <c r="Q75" s="378"/>
      <c r="R75" s="378"/>
      <c r="S75" s="378"/>
      <c r="T75" s="378"/>
      <c r="U75" s="378"/>
      <c r="V75" s="378"/>
      <c r="W75" s="378"/>
      <c r="X75" s="378"/>
      <c r="Y75" s="378"/>
      <c r="Z75" s="378"/>
      <c r="AA75" s="378"/>
    </row>
  </sheetData>
  <mergeCells count="9">
    <mergeCell ref="A1:B1"/>
    <mergeCell ref="A2:AA2"/>
    <mergeCell ref="N3:AA3"/>
    <mergeCell ref="A4:A5"/>
    <mergeCell ref="B4:B5"/>
    <mergeCell ref="C4:C5"/>
    <mergeCell ref="D4:D5"/>
    <mergeCell ref="E4:E5"/>
    <mergeCell ref="F4:AA4"/>
  </mergeCells>
  <conditionalFormatting sqref="B1:Z1 A1:A3 AA1:AA4 AB1:AD5 AE1:IM23 E4:F4 E6:AC6 AD7 AB7:AB20 AB21:AD21 AC23:AD31 A64:AA64">
    <cfRule type="cellIs" dxfId="284" priority="9" stopIfTrue="1" operator="equal">
      <formula>0</formula>
    </cfRule>
  </conditionalFormatting>
  <conditionalFormatting sqref="E7:AA63 A4:D63 AB22:AB64 AF24:IM64 AE24:AE65 AC33:AD65">
    <cfRule type="cellIs" dxfId="283" priority="3" stopIfTrue="1" operator="equal">
      <formula>0</formula>
    </cfRule>
  </conditionalFormatting>
  <conditionalFormatting sqref="F7">
    <cfRule type="duplicateValues" dxfId="282" priority="10"/>
  </conditionalFormatting>
  <conditionalFormatting sqref="G7:AA7">
    <cfRule type="duplicateValues" dxfId="281" priority="2"/>
  </conditionalFormatting>
  <conditionalFormatting sqref="Y5:AA5">
    <cfRule type="cellIs" dxfId="280" priority="5" stopIfTrue="1" operator="equal">
      <formula>0</formula>
    </cfRule>
    <cfRule type="cellIs" dxfId="279" priority="6" stopIfTrue="1" operator="equal">
      <formula>0</formula>
    </cfRule>
    <cfRule type="cellIs" dxfId="278" priority="7" stopIfTrue="1" operator="equal">
      <formula>0</formula>
    </cfRule>
  </conditionalFormatting>
  <conditionalFormatting sqref="AC8:AD20">
    <cfRule type="cellIs" dxfId="277" priority="4" stopIfTrue="1" operator="equal">
      <formula>0</formula>
    </cfRule>
  </conditionalFormatting>
  <printOptions horizontalCentered="1"/>
  <pageMargins left="0" right="0" top="0.17" bottom="0" header="0" footer="0"/>
  <pageSetup paperSize="9" scale="53" fitToHeight="0"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59999389629810485"/>
  </sheetPr>
  <dimension ref="A1:M63"/>
  <sheetViews>
    <sheetView showZeros="0" view="pageBreakPreview" zoomScaleNormal="100" zoomScaleSheetLayoutView="100" workbookViewId="0">
      <pane xSplit="4" ySplit="6" topLeftCell="E7" activePane="bottomRight" state="frozen"/>
      <selection activeCell="L28" sqref="L28"/>
      <selection pane="topRight" activeCell="L28" sqref="L28"/>
      <selection pane="bottomLeft" activeCell="L28" sqref="L28"/>
      <selection pane="bottomRight" activeCell="D7" sqref="D7:G63"/>
    </sheetView>
  </sheetViews>
  <sheetFormatPr defaultColWidth="8.375" defaultRowHeight="15.75"/>
  <cols>
    <col min="1" max="1" width="5.625" style="425" customWidth="1"/>
    <col min="2" max="2" width="36.625" style="425" customWidth="1"/>
    <col min="3" max="3" width="6.125" style="425" bestFit="1" customWidth="1"/>
    <col min="4" max="4" width="12" style="425" customWidth="1"/>
    <col min="5" max="5" width="10.625" style="425" customWidth="1"/>
    <col min="6" max="6" width="10.5" style="425" customWidth="1"/>
    <col min="7" max="7" width="9.625" style="425" customWidth="1"/>
    <col min="8" max="8" width="11.5" style="425" customWidth="1"/>
    <col min="9" max="9" width="10.5" style="425" customWidth="1"/>
    <col min="10" max="11" width="8.375" style="425"/>
    <col min="12" max="12" width="14.625" style="425" customWidth="1"/>
    <col min="13" max="16384" width="8.375" style="425"/>
  </cols>
  <sheetData>
    <row r="1" spans="1:9" s="382" customFormat="1">
      <c r="A1" s="1519" t="s">
        <v>250</v>
      </c>
      <c r="B1" s="1519"/>
      <c r="C1" s="381"/>
      <c r="D1" s="381"/>
    </row>
    <row r="2" spans="1:9" s="382" customFormat="1" ht="19.350000000000001" customHeight="1">
      <c r="A2" s="1520" t="s">
        <v>2821</v>
      </c>
      <c r="B2" s="1520"/>
      <c r="C2" s="1520"/>
      <c r="D2" s="1520"/>
      <c r="E2" s="1520"/>
      <c r="F2" s="1520"/>
      <c r="G2" s="1520"/>
      <c r="H2" s="381"/>
    </row>
    <row r="3" spans="1:9" s="384" customFormat="1">
      <c r="A3" s="1521" t="s">
        <v>170</v>
      </c>
      <c r="B3" s="1521" t="s">
        <v>175</v>
      </c>
      <c r="C3" s="1521" t="s">
        <v>172</v>
      </c>
      <c r="D3" s="1521" t="s">
        <v>217</v>
      </c>
      <c r="E3" s="1521" t="s">
        <v>218</v>
      </c>
      <c r="F3" s="1521"/>
      <c r="G3" s="1521"/>
      <c r="H3" s="381"/>
    </row>
    <row r="4" spans="1:9" s="382" customFormat="1">
      <c r="A4" s="1521"/>
      <c r="B4" s="1521"/>
      <c r="C4" s="1521"/>
      <c r="D4" s="1521"/>
      <c r="E4" s="1521" t="s">
        <v>147</v>
      </c>
      <c r="F4" s="1521" t="s">
        <v>2739</v>
      </c>
      <c r="G4" s="1521"/>
      <c r="H4" s="381"/>
    </row>
    <row r="5" spans="1:9" s="382" customFormat="1" ht="45" customHeight="1">
      <c r="A5" s="1521"/>
      <c r="B5" s="1521"/>
      <c r="C5" s="1521"/>
      <c r="D5" s="1521"/>
      <c r="E5" s="1521"/>
      <c r="F5" s="383" t="s">
        <v>2822</v>
      </c>
      <c r="G5" s="383" t="s">
        <v>269</v>
      </c>
      <c r="H5" s="380"/>
    </row>
    <row r="6" spans="1:9" s="382" customFormat="1" ht="30.75" customHeight="1">
      <c r="A6" s="385">
        <v>-1</v>
      </c>
      <c r="B6" s="385">
        <v>-2</v>
      </c>
      <c r="C6" s="385">
        <v>-3</v>
      </c>
      <c r="D6" s="385">
        <v>-4</v>
      </c>
      <c r="E6" s="385">
        <v>-5</v>
      </c>
      <c r="F6" s="386" t="s">
        <v>191</v>
      </c>
      <c r="G6" s="387" t="s">
        <v>2823</v>
      </c>
      <c r="H6" s="388"/>
      <c r="I6" s="381"/>
    </row>
    <row r="7" spans="1:9" s="382" customFormat="1">
      <c r="A7" s="389"/>
      <c r="B7" s="390" t="s">
        <v>2810</v>
      </c>
      <c r="C7" s="389"/>
      <c r="D7" s="391">
        <v>98642.92</v>
      </c>
      <c r="E7" s="392">
        <v>98642.920000000013</v>
      </c>
      <c r="F7" s="393">
        <v>2.9558577807620168E-12</v>
      </c>
      <c r="G7" s="392">
        <v>100.00000000000003</v>
      </c>
      <c r="H7" s="394"/>
      <c r="I7" s="394"/>
    </row>
    <row r="8" spans="1:9" s="396" customFormat="1">
      <c r="A8" s="383">
        <v>1</v>
      </c>
      <c r="B8" s="390" t="s">
        <v>3</v>
      </c>
      <c r="C8" s="383" t="s">
        <v>4</v>
      </c>
      <c r="D8" s="391">
        <v>87326.82</v>
      </c>
      <c r="E8" s="392">
        <v>88916.340000000011</v>
      </c>
      <c r="F8" s="392">
        <v>1589.5200000000041</v>
      </c>
      <c r="G8" s="392">
        <v>101.82019681925895</v>
      </c>
      <c r="H8" s="395"/>
      <c r="I8" s="394"/>
    </row>
    <row r="9" spans="1:9" s="396" customFormat="1">
      <c r="A9" s="442"/>
      <c r="B9" s="404" t="s">
        <v>2814</v>
      </c>
      <c r="C9" s="442"/>
      <c r="D9" s="391"/>
      <c r="E9" s="392"/>
      <c r="F9" s="392"/>
      <c r="G9" s="392"/>
      <c r="H9" s="395"/>
      <c r="I9" s="398"/>
    </row>
    <row r="10" spans="1:9" s="396" customFormat="1">
      <c r="A10" s="399" t="s">
        <v>6</v>
      </c>
      <c r="B10" s="397" t="s">
        <v>85</v>
      </c>
      <c r="C10" s="399" t="s">
        <v>5</v>
      </c>
      <c r="D10" s="400">
        <v>5851.5</v>
      </c>
      <c r="E10" s="401">
        <v>6091.2399999999989</v>
      </c>
      <c r="F10" s="401">
        <v>239.73999999999887</v>
      </c>
      <c r="G10" s="401">
        <v>104.0970691275741</v>
      </c>
      <c r="H10" s="402"/>
      <c r="I10" s="398"/>
    </row>
    <row r="11" spans="1:9" s="384" customFormat="1">
      <c r="A11" s="403" t="s">
        <v>193</v>
      </c>
      <c r="B11" s="404" t="s">
        <v>2812</v>
      </c>
      <c r="C11" s="403" t="s">
        <v>7</v>
      </c>
      <c r="D11" s="405">
        <v>3201.3</v>
      </c>
      <c r="E11" s="406">
        <v>3338.4599999999996</v>
      </c>
      <c r="F11" s="401">
        <v>137.1599999999994</v>
      </c>
      <c r="G11" s="406">
        <v>104.2845094180489</v>
      </c>
      <c r="H11" s="407"/>
      <c r="I11" s="408"/>
    </row>
    <row r="12" spans="1:9" s="396" customFormat="1">
      <c r="A12" s="399" t="s">
        <v>9</v>
      </c>
      <c r="B12" s="397" t="s">
        <v>88</v>
      </c>
      <c r="C12" s="399" t="s">
        <v>12</v>
      </c>
      <c r="D12" s="409">
        <v>4602.3500000000004</v>
      </c>
      <c r="E12" s="401">
        <v>4777.9400000000005</v>
      </c>
      <c r="F12" s="401">
        <v>175.59000000000015</v>
      </c>
      <c r="G12" s="401">
        <v>103.81522483079297</v>
      </c>
      <c r="H12" s="402"/>
      <c r="I12" s="398"/>
    </row>
    <row r="13" spans="1:9" s="396" customFormat="1">
      <c r="A13" s="399" t="s">
        <v>11</v>
      </c>
      <c r="B13" s="397" t="s">
        <v>60</v>
      </c>
      <c r="C13" s="399" t="s">
        <v>14</v>
      </c>
      <c r="D13" s="410">
        <v>2569.4</v>
      </c>
      <c r="E13" s="401">
        <v>1692.25</v>
      </c>
      <c r="F13" s="401">
        <v>-877.15000000000009</v>
      </c>
      <c r="G13" s="401">
        <v>65.861679769596009</v>
      </c>
      <c r="H13" s="402"/>
      <c r="I13" s="398"/>
    </row>
    <row r="14" spans="1:9" s="396" customFormat="1">
      <c r="A14" s="399" t="s">
        <v>13</v>
      </c>
      <c r="B14" s="397" t="s">
        <v>61</v>
      </c>
      <c r="C14" s="399" t="s">
        <v>16</v>
      </c>
      <c r="D14" s="409">
        <v>9729.9</v>
      </c>
      <c r="E14" s="401">
        <v>9814.9499999999989</v>
      </c>
      <c r="F14" s="401">
        <v>85.049999999999272</v>
      </c>
      <c r="G14" s="401">
        <v>100.87410970308019</v>
      </c>
      <c r="H14" s="402"/>
      <c r="I14" s="398"/>
    </row>
    <row r="15" spans="1:9" s="396" customFormat="1" hidden="1">
      <c r="A15" s="399" t="s">
        <v>15</v>
      </c>
      <c r="B15" s="397" t="s">
        <v>62</v>
      </c>
      <c r="C15" s="399" t="s">
        <v>17</v>
      </c>
      <c r="D15" s="409">
        <v>2211.8000000000002</v>
      </c>
      <c r="E15" s="401">
        <v>2219</v>
      </c>
      <c r="F15" s="401">
        <v>7.1999999999998181</v>
      </c>
      <c r="G15" s="401"/>
      <c r="H15" s="402"/>
      <c r="I15" s="398"/>
    </row>
    <row r="16" spans="1:9" s="396" customFormat="1">
      <c r="A16" s="399" t="s">
        <v>64</v>
      </c>
      <c r="B16" s="397" t="s">
        <v>63</v>
      </c>
      <c r="C16" s="399" t="s">
        <v>18</v>
      </c>
      <c r="D16" s="409">
        <v>61792.7</v>
      </c>
      <c r="E16" s="401">
        <v>64030.86</v>
      </c>
      <c r="F16" s="401">
        <v>2238.1600000000035</v>
      </c>
      <c r="G16" s="401">
        <v>103.6220459698314</v>
      </c>
      <c r="H16" s="402"/>
      <c r="I16" s="398"/>
    </row>
    <row r="17" spans="1:13" s="384" customFormat="1" ht="31.5">
      <c r="A17" s="403" t="s">
        <v>193</v>
      </c>
      <c r="B17" s="411" t="s">
        <v>198</v>
      </c>
      <c r="C17" s="403" t="s">
        <v>187</v>
      </c>
      <c r="D17" s="412">
        <v>5532.4</v>
      </c>
      <c r="E17" s="406">
        <v>5538.4</v>
      </c>
      <c r="F17" s="401">
        <v>6</v>
      </c>
      <c r="G17" s="406">
        <v>100.10845202805292</v>
      </c>
      <c r="H17" s="407"/>
      <c r="I17" s="408"/>
    </row>
    <row r="18" spans="1:13" s="396" customFormat="1">
      <c r="A18" s="399" t="s">
        <v>73</v>
      </c>
      <c r="B18" s="397" t="s">
        <v>1859</v>
      </c>
      <c r="C18" s="399" t="s">
        <v>19</v>
      </c>
      <c r="D18" s="409">
        <v>275.01</v>
      </c>
      <c r="E18" s="401">
        <v>288.79000000000002</v>
      </c>
      <c r="F18" s="401">
        <v>13.78000000000003</v>
      </c>
      <c r="G18" s="401">
        <v>105.01072688265882</v>
      </c>
      <c r="H18" s="402"/>
      <c r="I18" s="398"/>
    </row>
    <row r="19" spans="1:13" s="396" customFormat="1">
      <c r="A19" s="399" t="s">
        <v>86</v>
      </c>
      <c r="B19" s="397" t="s">
        <v>2749</v>
      </c>
      <c r="C19" s="399" t="s">
        <v>2752</v>
      </c>
      <c r="D19" s="409"/>
      <c r="E19" s="401"/>
      <c r="F19" s="401">
        <v>0</v>
      </c>
      <c r="G19" s="392"/>
      <c r="H19" s="402"/>
      <c r="I19" s="398"/>
    </row>
    <row r="20" spans="1:13" s="396" customFormat="1">
      <c r="A20" s="399" t="s">
        <v>2756</v>
      </c>
      <c r="B20" s="397" t="s">
        <v>89</v>
      </c>
      <c r="C20" s="399" t="s">
        <v>20</v>
      </c>
      <c r="D20" s="409">
        <v>294.16000000000003</v>
      </c>
      <c r="E20" s="401">
        <v>1.31</v>
      </c>
      <c r="F20" s="401">
        <v>-292.85000000000002</v>
      </c>
      <c r="G20" s="392"/>
      <c r="H20" s="402"/>
      <c r="I20" s="398"/>
    </row>
    <row r="21" spans="1:13" s="396" customFormat="1">
      <c r="A21" s="383">
        <v>2</v>
      </c>
      <c r="B21" s="390" t="s">
        <v>21</v>
      </c>
      <c r="C21" s="383" t="s">
        <v>22</v>
      </c>
      <c r="D21" s="413">
        <v>9961.7999999999993</v>
      </c>
      <c r="E21" s="392">
        <v>8216.659999999998</v>
      </c>
      <c r="F21" s="392">
        <v>-1745.1400000000012</v>
      </c>
      <c r="G21" s="392">
        <v>82.481680017667486</v>
      </c>
      <c r="H21" s="395"/>
      <c r="I21" s="394"/>
    </row>
    <row r="22" spans="1:13" s="396" customFormat="1">
      <c r="A22" s="383"/>
      <c r="B22" s="397" t="s">
        <v>2814</v>
      </c>
      <c r="C22" s="383"/>
      <c r="D22" s="414"/>
      <c r="E22" s="392"/>
      <c r="F22" s="392"/>
      <c r="G22" s="392"/>
      <c r="H22" s="402"/>
      <c r="I22" s="398"/>
    </row>
    <row r="23" spans="1:13" s="396" customFormat="1">
      <c r="A23" s="399" t="s">
        <v>23</v>
      </c>
      <c r="B23" s="397" t="s">
        <v>65</v>
      </c>
      <c r="C23" s="399" t="s">
        <v>26</v>
      </c>
      <c r="D23" s="415">
        <v>1835.3</v>
      </c>
      <c r="E23" s="401">
        <v>1736.52</v>
      </c>
      <c r="F23" s="401">
        <v>-98.779999999999973</v>
      </c>
      <c r="G23" s="401">
        <v>94.617773660981854</v>
      </c>
      <c r="H23" s="402"/>
      <c r="I23" s="398"/>
    </row>
    <row r="24" spans="1:13" s="396" customFormat="1">
      <c r="A24" s="399" t="s">
        <v>25</v>
      </c>
      <c r="B24" s="397" t="s">
        <v>66</v>
      </c>
      <c r="C24" s="399" t="s">
        <v>28</v>
      </c>
      <c r="D24" s="415">
        <v>12.41</v>
      </c>
      <c r="E24" s="401">
        <v>8.0200000000000014</v>
      </c>
      <c r="F24" s="401">
        <v>-4.3899999999999988</v>
      </c>
      <c r="G24" s="401">
        <v>64.6253021756648</v>
      </c>
      <c r="H24" s="402"/>
      <c r="I24" s="398"/>
    </row>
    <row r="25" spans="1:13" s="396" customFormat="1" hidden="1">
      <c r="A25" s="399" t="s">
        <v>27</v>
      </c>
      <c r="B25" s="397" t="s">
        <v>67</v>
      </c>
      <c r="C25" s="399" t="s">
        <v>30</v>
      </c>
      <c r="D25" s="415"/>
      <c r="E25" s="401">
        <v>0</v>
      </c>
      <c r="F25" s="401">
        <v>0</v>
      </c>
      <c r="G25" s="401"/>
      <c r="H25" s="402"/>
      <c r="I25" s="398"/>
    </row>
    <row r="26" spans="1:13" s="396" customFormat="1">
      <c r="A26" s="399" t="s">
        <v>27</v>
      </c>
      <c r="B26" s="397" t="s">
        <v>90</v>
      </c>
      <c r="C26" s="399" t="s">
        <v>91</v>
      </c>
      <c r="D26" s="415">
        <v>128.84</v>
      </c>
      <c r="E26" s="401">
        <v>3.25</v>
      </c>
      <c r="F26" s="401">
        <v>-125.59</v>
      </c>
      <c r="G26" s="401">
        <v>2.5225085377212042</v>
      </c>
      <c r="H26" s="402"/>
      <c r="I26" s="398"/>
    </row>
    <row r="27" spans="1:13" s="396" customFormat="1">
      <c r="A27" s="399" t="s">
        <v>29</v>
      </c>
      <c r="B27" s="397" t="s">
        <v>379</v>
      </c>
      <c r="C27" s="399" t="s">
        <v>93</v>
      </c>
      <c r="D27" s="415">
        <v>63.2</v>
      </c>
      <c r="E27" s="401">
        <v>19.97</v>
      </c>
      <c r="F27" s="401">
        <v>-43.230000000000004</v>
      </c>
      <c r="G27" s="401">
        <v>31.59810126582278</v>
      </c>
      <c r="H27" s="402"/>
      <c r="I27" s="398"/>
    </row>
    <row r="28" spans="1:13" s="396" customFormat="1">
      <c r="A28" s="399" t="s">
        <v>31</v>
      </c>
      <c r="B28" s="397" t="s">
        <v>94</v>
      </c>
      <c r="C28" s="399" t="s">
        <v>32</v>
      </c>
      <c r="D28" s="416">
        <v>122.16</v>
      </c>
      <c r="E28" s="401">
        <v>54.080000000000005</v>
      </c>
      <c r="F28" s="401">
        <v>-68.079999999999984</v>
      </c>
      <c r="G28" s="401">
        <v>44.269810085134253</v>
      </c>
      <c r="H28" s="402"/>
      <c r="I28" s="398"/>
    </row>
    <row r="29" spans="1:13" s="396" customFormat="1">
      <c r="A29" s="399" t="s">
        <v>33</v>
      </c>
      <c r="B29" s="397" t="s">
        <v>106</v>
      </c>
      <c r="C29" s="399" t="s">
        <v>35</v>
      </c>
      <c r="D29" s="417">
        <v>525.82000000000005</v>
      </c>
      <c r="E29" s="401">
        <v>255.28000000000003</v>
      </c>
      <c r="F29" s="401">
        <v>-270.54000000000002</v>
      </c>
      <c r="G29" s="401">
        <v>48.548933094975467</v>
      </c>
      <c r="H29" s="402"/>
      <c r="I29" s="398"/>
    </row>
    <row r="30" spans="1:13" s="396" customFormat="1" hidden="1">
      <c r="A30" s="399" t="s">
        <v>68</v>
      </c>
      <c r="B30" s="397" t="s">
        <v>98</v>
      </c>
      <c r="C30" s="399" t="s">
        <v>34</v>
      </c>
      <c r="D30" s="409"/>
      <c r="E30" s="401">
        <v>0</v>
      </c>
      <c r="F30" s="401">
        <v>0</v>
      </c>
      <c r="G30" s="401"/>
      <c r="H30" s="402"/>
      <c r="I30" s="398"/>
    </row>
    <row r="31" spans="1:13" s="396" customFormat="1" ht="31.5">
      <c r="A31" s="399" t="s">
        <v>69</v>
      </c>
      <c r="B31" s="418" t="s">
        <v>125</v>
      </c>
      <c r="C31" s="399" t="s">
        <v>43</v>
      </c>
      <c r="D31" s="419">
        <v>3643.0700000000006</v>
      </c>
      <c r="E31" s="401">
        <v>2629.6700000000005</v>
      </c>
      <c r="F31" s="401">
        <v>-1013.4000000000001</v>
      </c>
      <c r="G31" s="401">
        <v>72.18280186765557</v>
      </c>
      <c r="H31" s="402"/>
      <c r="I31" s="398"/>
      <c r="M31" s="398"/>
    </row>
    <row r="32" spans="1:13" s="396" customFormat="1">
      <c r="A32" s="399"/>
      <c r="B32" s="420" t="s">
        <v>2815</v>
      </c>
      <c r="C32" s="399"/>
      <c r="D32" s="421"/>
      <c r="E32" s="401"/>
      <c r="F32" s="401">
        <v>0</v>
      </c>
      <c r="G32" s="401"/>
      <c r="H32" s="402"/>
      <c r="I32" s="398"/>
    </row>
    <row r="33" spans="1:9" s="396" customFormat="1">
      <c r="A33" s="399" t="s">
        <v>193</v>
      </c>
      <c r="B33" s="420" t="s">
        <v>122</v>
      </c>
      <c r="C33" s="422" t="s">
        <v>44</v>
      </c>
      <c r="D33" s="409">
        <v>2028.9</v>
      </c>
      <c r="E33" s="401">
        <v>1751.56</v>
      </c>
      <c r="F33" s="401">
        <v>-277.34000000000015</v>
      </c>
      <c r="G33" s="401">
        <v>86.330523929222721</v>
      </c>
      <c r="H33" s="402"/>
      <c r="I33" s="398"/>
    </row>
    <row r="34" spans="1:9" s="396" customFormat="1">
      <c r="A34" s="399" t="s">
        <v>193</v>
      </c>
      <c r="B34" s="420" t="s">
        <v>123</v>
      </c>
      <c r="C34" s="422" t="s">
        <v>45</v>
      </c>
      <c r="D34" s="409">
        <v>172.2</v>
      </c>
      <c r="E34" s="401">
        <v>129.73999999999998</v>
      </c>
      <c r="F34" s="401">
        <v>-42.460000000000008</v>
      </c>
      <c r="G34" s="401">
        <v>75.342624854819974</v>
      </c>
      <c r="H34" s="402"/>
      <c r="I34" s="398"/>
    </row>
    <row r="35" spans="1:9" s="396" customFormat="1">
      <c r="A35" s="399" t="s">
        <v>193</v>
      </c>
      <c r="B35" s="420" t="s">
        <v>127</v>
      </c>
      <c r="C35" s="422" t="s">
        <v>48</v>
      </c>
      <c r="D35" s="419">
        <v>21.64</v>
      </c>
      <c r="E35" s="401">
        <v>14.56</v>
      </c>
      <c r="F35" s="401">
        <v>-7.08</v>
      </c>
      <c r="G35" s="401">
        <v>67.282809611829947</v>
      </c>
      <c r="H35" s="402"/>
      <c r="I35" s="398"/>
    </row>
    <row r="36" spans="1:9" s="396" customFormat="1">
      <c r="A36" s="399" t="s">
        <v>193</v>
      </c>
      <c r="B36" s="420" t="s">
        <v>129</v>
      </c>
      <c r="C36" s="422" t="s">
        <v>49</v>
      </c>
      <c r="D36" s="419">
        <v>10.9</v>
      </c>
      <c r="E36" s="401">
        <v>8</v>
      </c>
      <c r="F36" s="401">
        <v>-2.9000000000000004</v>
      </c>
      <c r="G36" s="401">
        <v>73.394495412844023</v>
      </c>
      <c r="H36" s="402"/>
      <c r="I36" s="398"/>
    </row>
    <row r="37" spans="1:9" s="396" customFormat="1">
      <c r="A37" s="399" t="s">
        <v>193</v>
      </c>
      <c r="B37" s="420" t="s">
        <v>220</v>
      </c>
      <c r="C37" s="422" t="s">
        <v>50</v>
      </c>
      <c r="D37" s="409">
        <v>82.6</v>
      </c>
      <c r="E37" s="401">
        <v>60.670000000000009</v>
      </c>
      <c r="F37" s="401">
        <v>-21.929999999999986</v>
      </c>
      <c r="G37" s="401">
        <v>73.45036319612592</v>
      </c>
      <c r="H37" s="402"/>
      <c r="I37" s="398"/>
    </row>
    <row r="38" spans="1:9" s="396" customFormat="1">
      <c r="A38" s="399" t="s">
        <v>193</v>
      </c>
      <c r="B38" s="420" t="s">
        <v>131</v>
      </c>
      <c r="C38" s="422" t="s">
        <v>51</v>
      </c>
      <c r="D38" s="409">
        <v>31.3</v>
      </c>
      <c r="E38" s="401">
        <v>21.15</v>
      </c>
      <c r="F38" s="401">
        <v>-10.150000000000002</v>
      </c>
      <c r="G38" s="401">
        <v>67.571884984025559</v>
      </c>
      <c r="H38" s="402"/>
      <c r="I38" s="398"/>
    </row>
    <row r="39" spans="1:9" s="396" customFormat="1">
      <c r="A39" s="399" t="s">
        <v>193</v>
      </c>
      <c r="B39" s="420" t="s">
        <v>134</v>
      </c>
      <c r="C39" s="422" t="s">
        <v>46</v>
      </c>
      <c r="D39" s="409">
        <v>174.9</v>
      </c>
      <c r="E39" s="401">
        <v>30.37</v>
      </c>
      <c r="F39" s="401">
        <v>-144.53</v>
      </c>
      <c r="G39" s="401">
        <v>17.364208118925102</v>
      </c>
      <c r="H39" s="402"/>
      <c r="I39" s="398"/>
    </row>
    <row r="40" spans="1:9" s="396" customFormat="1">
      <c r="A40" s="399" t="s">
        <v>193</v>
      </c>
      <c r="B40" s="420" t="s">
        <v>2817</v>
      </c>
      <c r="C40" s="422" t="s">
        <v>47</v>
      </c>
      <c r="D40" s="409">
        <v>4.04</v>
      </c>
      <c r="E40" s="401">
        <v>1.4400000000000002</v>
      </c>
      <c r="F40" s="401">
        <v>-2.5999999999999996</v>
      </c>
      <c r="G40" s="401">
        <v>35.643564356435647</v>
      </c>
      <c r="H40" s="402"/>
      <c r="I40" s="398"/>
    </row>
    <row r="41" spans="1:9" s="396" customFormat="1">
      <c r="A41" s="399" t="s">
        <v>193</v>
      </c>
      <c r="B41" s="420" t="s">
        <v>2761</v>
      </c>
      <c r="C41" s="422" t="s">
        <v>2762</v>
      </c>
      <c r="D41" s="409"/>
      <c r="E41" s="401">
        <v>0</v>
      </c>
      <c r="F41" s="401">
        <v>0</v>
      </c>
      <c r="G41" s="401"/>
      <c r="H41" s="402"/>
      <c r="I41" s="398"/>
    </row>
    <row r="42" spans="1:9" s="396" customFormat="1" ht="31.5">
      <c r="A42" s="399" t="s">
        <v>193</v>
      </c>
      <c r="B42" s="420" t="s">
        <v>2763</v>
      </c>
      <c r="C42" s="422" t="s">
        <v>2764</v>
      </c>
      <c r="D42" s="409">
        <v>459.21</v>
      </c>
      <c r="E42" s="401">
        <v>1.1699999999999995</v>
      </c>
      <c r="F42" s="401">
        <v>-458.03999999999996</v>
      </c>
      <c r="G42" s="401">
        <v>0.25478539230417446</v>
      </c>
      <c r="H42" s="402"/>
      <c r="I42" s="398"/>
    </row>
    <row r="43" spans="1:9" s="396" customFormat="1">
      <c r="A43" s="399" t="s">
        <v>193</v>
      </c>
      <c r="B43" s="420" t="s">
        <v>80</v>
      </c>
      <c r="C43" s="422" t="s">
        <v>37</v>
      </c>
      <c r="D43" s="409">
        <v>526.1</v>
      </c>
      <c r="E43" s="401">
        <v>500.91000000000008</v>
      </c>
      <c r="F43" s="401">
        <v>-25.189999999999941</v>
      </c>
      <c r="G43" s="401">
        <v>95.211936894126609</v>
      </c>
      <c r="H43" s="402"/>
      <c r="I43" s="398"/>
    </row>
    <row r="44" spans="1:9" s="396" customFormat="1">
      <c r="A44" s="399" t="s">
        <v>193</v>
      </c>
      <c r="B44" s="420" t="s">
        <v>111</v>
      </c>
      <c r="C44" s="422" t="s">
        <v>38</v>
      </c>
      <c r="D44" s="409">
        <v>1.38</v>
      </c>
      <c r="E44" s="401">
        <v>1.38</v>
      </c>
      <c r="F44" s="401">
        <v>0</v>
      </c>
      <c r="G44" s="401">
        <v>100</v>
      </c>
      <c r="H44" s="402"/>
      <c r="I44" s="398"/>
    </row>
    <row r="45" spans="1:9" s="396" customFormat="1">
      <c r="A45" s="399" t="s">
        <v>193</v>
      </c>
      <c r="B45" s="420" t="s">
        <v>2818</v>
      </c>
      <c r="C45" s="422" t="s">
        <v>40</v>
      </c>
      <c r="D45" s="409">
        <v>116.3</v>
      </c>
      <c r="E45" s="401">
        <v>105.94</v>
      </c>
      <c r="F45" s="401">
        <v>-10.36</v>
      </c>
      <c r="G45" s="401">
        <v>91.092003439380903</v>
      </c>
      <c r="H45" s="402"/>
      <c r="I45" s="398"/>
    </row>
    <row r="46" spans="1:9" s="396" customFormat="1">
      <c r="A46" s="399" t="s">
        <v>193</v>
      </c>
      <c r="B46" s="420" t="s">
        <v>2819</v>
      </c>
      <c r="C46" s="422" t="s">
        <v>52</v>
      </c>
      <c r="D46" s="409">
        <v>1.5</v>
      </c>
      <c r="E46" s="401">
        <v>0</v>
      </c>
      <c r="F46" s="401">
        <v>-1.5</v>
      </c>
      <c r="G46" s="401">
        <v>0</v>
      </c>
      <c r="H46" s="402"/>
      <c r="I46" s="398"/>
    </row>
    <row r="47" spans="1:9" s="396" customFormat="1">
      <c r="A47" s="399" t="s">
        <v>193</v>
      </c>
      <c r="B47" s="420" t="s">
        <v>128</v>
      </c>
      <c r="C47" s="422" t="s">
        <v>53</v>
      </c>
      <c r="D47" s="409">
        <v>3.3</v>
      </c>
      <c r="E47" s="401">
        <v>0</v>
      </c>
      <c r="F47" s="401">
        <v>-3.3</v>
      </c>
      <c r="G47" s="401"/>
      <c r="H47" s="402"/>
      <c r="I47" s="398"/>
    </row>
    <row r="48" spans="1:9" s="396" customFormat="1">
      <c r="A48" s="399" t="s">
        <v>193</v>
      </c>
      <c r="B48" s="420" t="s">
        <v>124</v>
      </c>
      <c r="C48" s="422" t="s">
        <v>54</v>
      </c>
      <c r="D48" s="419">
        <v>8.8000000000000007</v>
      </c>
      <c r="E48" s="401">
        <v>2.2700000000000005</v>
      </c>
      <c r="F48" s="401">
        <v>-6.53</v>
      </c>
      <c r="G48" s="401">
        <v>25.79545454545455</v>
      </c>
      <c r="H48" s="402"/>
      <c r="I48" s="398"/>
    </row>
    <row r="49" spans="1:9" s="396" customFormat="1">
      <c r="A49" s="399" t="s">
        <v>193</v>
      </c>
      <c r="B49" s="397" t="s">
        <v>2770</v>
      </c>
      <c r="C49" s="399" t="s">
        <v>2771</v>
      </c>
      <c r="D49" s="419"/>
      <c r="E49" s="401">
        <v>0.33</v>
      </c>
      <c r="F49" s="401">
        <v>0.33</v>
      </c>
      <c r="G49" s="401"/>
      <c r="H49" s="402"/>
      <c r="I49" s="398"/>
    </row>
    <row r="50" spans="1:9" s="396" customFormat="1">
      <c r="A50" s="399" t="s">
        <v>193</v>
      </c>
      <c r="B50" s="397" t="s">
        <v>2772</v>
      </c>
      <c r="C50" s="399" t="s">
        <v>2773</v>
      </c>
      <c r="D50" s="409"/>
      <c r="E50" s="401">
        <v>0</v>
      </c>
      <c r="F50" s="401">
        <v>0</v>
      </c>
      <c r="G50" s="401"/>
      <c r="H50" s="402"/>
      <c r="I50" s="398"/>
    </row>
    <row r="51" spans="1:9" s="396" customFormat="1">
      <c r="A51" s="399" t="s">
        <v>193</v>
      </c>
      <c r="B51" s="397" t="s">
        <v>2775</v>
      </c>
      <c r="C51" s="399" t="s">
        <v>2776</v>
      </c>
      <c r="D51" s="409"/>
      <c r="E51" s="401">
        <v>0.18</v>
      </c>
      <c r="F51" s="401">
        <v>0.18</v>
      </c>
      <c r="G51" s="401"/>
      <c r="H51" s="402"/>
      <c r="I51" s="398"/>
    </row>
    <row r="52" spans="1:9" s="396" customFormat="1">
      <c r="A52" s="399" t="s">
        <v>70</v>
      </c>
      <c r="B52" s="397" t="s">
        <v>1251</v>
      </c>
      <c r="C52" s="399" t="s">
        <v>113</v>
      </c>
      <c r="D52" s="409">
        <v>8.86</v>
      </c>
      <c r="E52" s="401">
        <v>2.08</v>
      </c>
      <c r="F52" s="401">
        <v>-6.7799999999999994</v>
      </c>
      <c r="G52" s="401">
        <v>23.476297968397294</v>
      </c>
      <c r="H52" s="402"/>
      <c r="I52" s="398"/>
    </row>
    <row r="53" spans="1:9" s="396" customFormat="1">
      <c r="A53" s="399" t="s">
        <v>71</v>
      </c>
      <c r="B53" s="397" t="s">
        <v>107</v>
      </c>
      <c r="C53" s="399" t="s">
        <v>59</v>
      </c>
      <c r="D53" s="409">
        <v>1011.8</v>
      </c>
      <c r="E53" s="401">
        <v>955.12999999999988</v>
      </c>
      <c r="F53" s="401">
        <v>-56.670000000000073</v>
      </c>
      <c r="G53" s="401">
        <v>94.399090729393151</v>
      </c>
      <c r="H53" s="402"/>
      <c r="I53" s="398"/>
    </row>
    <row r="54" spans="1:9" s="396" customFormat="1">
      <c r="A54" s="399" t="s">
        <v>74</v>
      </c>
      <c r="B54" s="397" t="s">
        <v>2772</v>
      </c>
      <c r="C54" s="399" t="s">
        <v>57</v>
      </c>
      <c r="D54" s="409">
        <v>217</v>
      </c>
      <c r="E54" s="401">
        <v>170.34</v>
      </c>
      <c r="F54" s="401">
        <v>-46.66</v>
      </c>
      <c r="G54" s="401">
        <v>78.497695852534562</v>
      </c>
      <c r="H54" s="402"/>
      <c r="I54" s="398"/>
    </row>
    <row r="55" spans="1:9" s="396" customFormat="1">
      <c r="A55" s="399" t="s">
        <v>75</v>
      </c>
      <c r="B55" s="397" t="s">
        <v>95</v>
      </c>
      <c r="C55" s="399" t="s">
        <v>24</v>
      </c>
      <c r="D55" s="409">
        <v>24.39</v>
      </c>
      <c r="E55" s="401">
        <v>15.440000000000003</v>
      </c>
      <c r="F55" s="401">
        <v>-8.9499999999999975</v>
      </c>
      <c r="G55" s="401">
        <v>63.304633046330473</v>
      </c>
      <c r="H55" s="402"/>
      <c r="I55" s="398"/>
    </row>
    <row r="56" spans="1:9" s="396" customFormat="1" hidden="1">
      <c r="A56" s="399" t="s">
        <v>100</v>
      </c>
      <c r="B56" s="397" t="s">
        <v>109</v>
      </c>
      <c r="C56" s="399" t="s">
        <v>110</v>
      </c>
      <c r="D56" s="419"/>
      <c r="E56" s="401">
        <v>0</v>
      </c>
      <c r="F56" s="401">
        <v>0</v>
      </c>
      <c r="G56" s="401"/>
      <c r="H56" s="402"/>
      <c r="I56" s="398"/>
    </row>
    <row r="57" spans="1:9" s="396" customFormat="1" hidden="1">
      <c r="A57" s="399" t="s">
        <v>101</v>
      </c>
      <c r="B57" s="397" t="s">
        <v>133</v>
      </c>
      <c r="C57" s="399" t="s">
        <v>137</v>
      </c>
      <c r="D57" s="419">
        <v>0.02</v>
      </c>
      <c r="E57" s="401">
        <v>0.02</v>
      </c>
      <c r="F57" s="401">
        <v>0</v>
      </c>
      <c r="G57" s="401"/>
      <c r="H57" s="402"/>
      <c r="I57" s="398"/>
    </row>
    <row r="58" spans="1:9" s="396" customFormat="1" hidden="1">
      <c r="A58" s="399" t="s">
        <v>102</v>
      </c>
      <c r="B58" s="397" t="s">
        <v>136</v>
      </c>
      <c r="C58" s="399" t="s">
        <v>138</v>
      </c>
      <c r="D58" s="419"/>
      <c r="E58" s="401">
        <v>0</v>
      </c>
      <c r="F58" s="401">
        <v>0</v>
      </c>
      <c r="G58" s="401"/>
      <c r="H58" s="402"/>
      <c r="I58" s="398"/>
    </row>
    <row r="59" spans="1:9" s="396" customFormat="1">
      <c r="A59" s="399" t="s">
        <v>76</v>
      </c>
      <c r="B59" s="397" t="s">
        <v>114</v>
      </c>
      <c r="C59" s="399" t="s">
        <v>39</v>
      </c>
      <c r="D59" s="409">
        <v>22.57</v>
      </c>
      <c r="E59" s="401">
        <v>23.46</v>
      </c>
      <c r="F59" s="401">
        <v>0.89000000000000057</v>
      </c>
      <c r="G59" s="401">
        <v>103.94328754984492</v>
      </c>
      <c r="H59" s="402"/>
      <c r="I59" s="398"/>
    </row>
    <row r="60" spans="1:9" s="396" customFormat="1">
      <c r="A60" s="399" t="s">
        <v>82</v>
      </c>
      <c r="B60" s="397" t="s">
        <v>115</v>
      </c>
      <c r="C60" s="399" t="s">
        <v>42</v>
      </c>
      <c r="D60" s="409">
        <v>1362.82</v>
      </c>
      <c r="E60" s="401">
        <v>1376.1999999999998</v>
      </c>
      <c r="F60" s="401">
        <v>13.379999999999882</v>
      </c>
      <c r="G60" s="423">
        <v>100.9817877636078</v>
      </c>
      <c r="H60" s="402"/>
      <c r="I60" s="398"/>
    </row>
    <row r="61" spans="1:9" s="396" customFormat="1">
      <c r="A61" s="399" t="s">
        <v>83</v>
      </c>
      <c r="B61" s="397" t="s">
        <v>77</v>
      </c>
      <c r="C61" s="399" t="s">
        <v>41</v>
      </c>
      <c r="D61" s="409">
        <v>965.81</v>
      </c>
      <c r="E61" s="401">
        <v>965.68999999999983</v>
      </c>
      <c r="F61" s="401">
        <v>-0.12000000000011823</v>
      </c>
      <c r="G61" s="401">
        <v>99.987575195949489</v>
      </c>
      <c r="H61" s="402"/>
      <c r="I61" s="398"/>
    </row>
    <row r="62" spans="1:9" s="396" customFormat="1">
      <c r="A62" s="399" t="s">
        <v>84</v>
      </c>
      <c r="B62" s="397" t="s">
        <v>116</v>
      </c>
      <c r="C62" s="399" t="s">
        <v>55</v>
      </c>
      <c r="D62" s="419">
        <v>17.73</v>
      </c>
      <c r="E62" s="401">
        <v>1.51</v>
      </c>
      <c r="F62" s="401">
        <v>-16.22</v>
      </c>
      <c r="G62" s="401">
        <v>8.516638465877044</v>
      </c>
      <c r="H62" s="402"/>
      <c r="I62" s="398"/>
    </row>
    <row r="63" spans="1:9" s="396" customFormat="1">
      <c r="A63" s="383">
        <v>3</v>
      </c>
      <c r="B63" s="390" t="s">
        <v>56</v>
      </c>
      <c r="C63" s="383" t="s">
        <v>81</v>
      </c>
      <c r="D63" s="424">
        <v>1354.3</v>
      </c>
      <c r="E63" s="392">
        <v>1509.92</v>
      </c>
      <c r="F63" s="392">
        <v>155.62000000000012</v>
      </c>
      <c r="G63" s="392">
        <v>111.49080705899728</v>
      </c>
      <c r="H63" s="395"/>
      <c r="I63" s="394"/>
    </row>
  </sheetData>
  <mergeCells count="9">
    <mergeCell ref="A1:B1"/>
    <mergeCell ref="A2:G2"/>
    <mergeCell ref="A3:A5"/>
    <mergeCell ref="B3:B5"/>
    <mergeCell ref="C3:C5"/>
    <mergeCell ref="D3:D5"/>
    <mergeCell ref="E3:G3"/>
    <mergeCell ref="E4:E5"/>
    <mergeCell ref="F4:G4"/>
  </mergeCells>
  <conditionalFormatting sqref="B6 D6:H6 A6:A7 C6:C7">
    <cfRule type="cellIs" dxfId="276" priority="6" stopIfTrue="1" operator="equal">
      <formula>0</formula>
    </cfRule>
  </conditionalFormatting>
  <conditionalFormatting sqref="B17">
    <cfRule type="cellIs" dxfId="275" priority="2" stopIfTrue="1" operator="equal">
      <formula>0</formula>
    </cfRule>
  </conditionalFormatting>
  <conditionalFormatting sqref="B31:B32">
    <cfRule type="cellIs" dxfId="274" priority="1" stopIfTrue="1" operator="equal">
      <formula>0</formula>
    </cfRule>
  </conditionalFormatting>
  <conditionalFormatting sqref="B33:C51">
    <cfRule type="cellIs" dxfId="273" priority="3" stopIfTrue="1" operator="equal">
      <formula>0</formula>
    </cfRule>
  </conditionalFormatting>
  <pageMargins left="0.7" right="0.26" top="0.73" bottom="0.67" header="0.32" footer="0.3"/>
  <pageSetup paperSize="9" scale="93"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BE92"/>
  <sheetViews>
    <sheetView showZeros="0" zoomScale="85" zoomScaleNormal="85" workbookViewId="0">
      <pane xSplit="6" ySplit="7" topLeftCell="G27" activePane="bottomRight" state="frozen"/>
      <selection activeCell="L28" sqref="L28"/>
      <selection pane="topRight" activeCell="L28" sqref="L28"/>
      <selection pane="bottomLeft" activeCell="L28" sqref="L28"/>
      <selection pane="bottomRight" activeCell="D9" sqref="D9:AB80"/>
    </sheetView>
  </sheetViews>
  <sheetFormatPr defaultColWidth="8.125" defaultRowHeight="15"/>
  <cols>
    <col min="1" max="1" width="4.625" style="444" bestFit="1" customWidth="1"/>
    <col min="2" max="2" width="35.875" style="444" customWidth="1"/>
    <col min="3" max="3" width="6.125" style="444" bestFit="1" customWidth="1"/>
    <col min="4" max="4" width="11.5" style="444" customWidth="1"/>
    <col min="5" max="5" width="13.125" style="445" customWidth="1"/>
    <col min="6" max="6" width="12.375" style="444" customWidth="1"/>
    <col min="7" max="10" width="10.625" style="444" bestFit="1" customWidth="1"/>
    <col min="11" max="11" width="11.875" style="444" bestFit="1" customWidth="1"/>
    <col min="12" max="27" width="10.625" style="444" bestFit="1" customWidth="1"/>
    <col min="28" max="28" width="10.125" style="444" bestFit="1" customWidth="1"/>
    <col min="29" max="29" width="16.375" style="444" customWidth="1"/>
    <col min="30" max="31" width="10.125" style="444" customWidth="1"/>
    <col min="32" max="32" width="8.125" style="444"/>
    <col min="33" max="33" width="12.5" style="444" customWidth="1"/>
    <col min="34" max="34" width="6.375" style="444" bestFit="1" customWidth="1"/>
    <col min="35" max="35" width="8.125" style="444"/>
    <col min="36" max="36" width="11" style="444" customWidth="1"/>
    <col min="37" max="38" width="8.125" style="444"/>
    <col min="39" max="39" width="4.875" style="444" bestFit="1" customWidth="1"/>
    <col min="40" max="40" width="58.125" style="444" customWidth="1"/>
    <col min="41" max="41" width="6.375" style="444" bestFit="1" customWidth="1"/>
    <col min="42" max="45" width="10.5" style="444" customWidth="1"/>
    <col min="46" max="46" width="10.5" style="446" customWidth="1"/>
    <col min="47" max="47" width="13.125" style="444" hidden="1" customWidth="1"/>
    <col min="48" max="49" width="9.625" style="444" customWidth="1"/>
    <col min="50" max="52" width="13.625" style="444" customWidth="1"/>
    <col min="53" max="55" width="8.125" style="444"/>
    <col min="56" max="56" width="12.125" style="444" bestFit="1" customWidth="1"/>
    <col min="57" max="16384" width="8.125" style="444"/>
  </cols>
  <sheetData>
    <row r="1" spans="1:56">
      <c r="G1" s="444">
        <v>1776.69</v>
      </c>
      <c r="H1" s="444">
        <v>1146.0899999999999</v>
      </c>
      <c r="I1" s="444">
        <v>9869.11</v>
      </c>
      <c r="J1" s="444">
        <v>972.22</v>
      </c>
      <c r="K1" s="444">
        <v>7358.52</v>
      </c>
      <c r="L1" s="444">
        <v>2109.9</v>
      </c>
      <c r="M1" s="444">
        <v>9103.98</v>
      </c>
      <c r="N1" s="444">
        <v>3055.79</v>
      </c>
      <c r="O1" s="444">
        <v>2734.87</v>
      </c>
      <c r="P1" s="444">
        <v>7445.39</v>
      </c>
      <c r="Q1" s="444">
        <v>5655.37</v>
      </c>
      <c r="R1" s="444">
        <v>5226.03</v>
      </c>
      <c r="S1" s="444">
        <v>6181.61</v>
      </c>
      <c r="T1" s="444">
        <v>6465.72</v>
      </c>
      <c r="U1" s="444">
        <v>4877.08</v>
      </c>
      <c r="V1" s="444">
        <v>4730.88</v>
      </c>
      <c r="W1" s="444">
        <v>4879.1099999999997</v>
      </c>
      <c r="X1" s="444">
        <v>2485.81</v>
      </c>
      <c r="Y1" s="444">
        <v>5323</v>
      </c>
      <c r="Z1" s="444">
        <v>4619.32</v>
      </c>
      <c r="AA1" s="444">
        <v>2626.44</v>
      </c>
    </row>
    <row r="2" spans="1:56">
      <c r="G2" s="447">
        <f>+G1-G9</f>
        <v>0</v>
      </c>
      <c r="H2" s="447">
        <f t="shared" ref="H2:AA2" si="0">+H1-H9</f>
        <v>0</v>
      </c>
      <c r="I2" s="447">
        <f t="shared" si="0"/>
        <v>0</v>
      </c>
      <c r="J2" s="447">
        <f t="shared" si="0"/>
        <v>0</v>
      </c>
      <c r="K2" s="447">
        <f t="shared" si="0"/>
        <v>0</v>
      </c>
      <c r="L2" s="447">
        <f t="shared" si="0"/>
        <v>0</v>
      </c>
      <c r="M2" s="447">
        <f t="shared" si="0"/>
        <v>0</v>
      </c>
      <c r="N2" s="447">
        <f t="shared" si="0"/>
        <v>0</v>
      </c>
      <c r="O2" s="447">
        <f t="shared" si="0"/>
        <v>0</v>
      </c>
      <c r="P2" s="447">
        <f t="shared" si="0"/>
        <v>0</v>
      </c>
      <c r="Q2" s="447">
        <f t="shared" si="0"/>
        <v>0</v>
      </c>
      <c r="R2" s="447">
        <f t="shared" si="0"/>
        <v>0</v>
      </c>
      <c r="S2" s="447">
        <f t="shared" si="0"/>
        <v>0</v>
      </c>
      <c r="T2" s="447">
        <f t="shared" si="0"/>
        <v>0</v>
      </c>
      <c r="U2" s="447">
        <f t="shared" si="0"/>
        <v>0</v>
      </c>
      <c r="V2" s="447">
        <f t="shared" si="0"/>
        <v>0</v>
      </c>
      <c r="W2" s="447">
        <f t="shared" si="0"/>
        <v>0</v>
      </c>
      <c r="X2" s="447">
        <f t="shared" si="0"/>
        <v>0</v>
      </c>
      <c r="Y2" s="447">
        <f t="shared" si="0"/>
        <v>0</v>
      </c>
      <c r="Z2" s="447">
        <f t="shared" si="0"/>
        <v>0</v>
      </c>
      <c r="AA2" s="447">
        <f t="shared" si="0"/>
        <v>1.0000000000218279E-2</v>
      </c>
    </row>
    <row r="3" spans="1:56" s="448" customFormat="1" ht="27.75" customHeight="1">
      <c r="A3" s="1522" t="s">
        <v>251</v>
      </c>
      <c r="B3" s="1522"/>
      <c r="E3" s="449"/>
      <c r="G3" s="450"/>
      <c r="H3" s="450"/>
      <c r="I3" s="450"/>
      <c r="J3" s="450"/>
      <c r="K3" s="450"/>
      <c r="L3" s="450"/>
      <c r="M3" s="451"/>
      <c r="N3" s="450"/>
      <c r="O3" s="450"/>
      <c r="P3" s="450"/>
      <c r="Q3" s="450"/>
      <c r="R3" s="450"/>
      <c r="S3" s="450"/>
      <c r="T3" s="450"/>
      <c r="U3" s="450"/>
      <c r="V3" s="450"/>
      <c r="W3" s="450"/>
      <c r="X3" s="450"/>
      <c r="Y3" s="450"/>
      <c r="Z3" s="450"/>
      <c r="AA3" s="450"/>
      <c r="AB3" s="450"/>
      <c r="AC3" s="450"/>
      <c r="AD3" s="450"/>
      <c r="AE3" s="450"/>
      <c r="AF3" s="452">
        <f>'[6]01CH'!P23-'03CH_GOC'!Q26</f>
        <v>-2.25</v>
      </c>
      <c r="AG3" s="453"/>
      <c r="AH3" s="453"/>
      <c r="AI3" s="453"/>
      <c r="AT3" s="454"/>
    </row>
    <row r="4" spans="1:56" s="448" customFormat="1" ht="35.25" customHeight="1">
      <c r="A4" s="1523" t="s">
        <v>2833</v>
      </c>
      <c r="B4" s="1524"/>
      <c r="C4" s="1524"/>
      <c r="D4" s="1524"/>
      <c r="E4" s="1524"/>
      <c r="F4" s="1524"/>
      <c r="G4" s="1524"/>
      <c r="H4" s="1524"/>
      <c r="I4" s="1524"/>
      <c r="J4" s="1524"/>
      <c r="K4" s="1524"/>
      <c r="L4" s="1524"/>
      <c r="M4" s="1524"/>
      <c r="N4" s="1524"/>
      <c r="O4" s="1524"/>
      <c r="P4" s="1524"/>
      <c r="Q4" s="1524"/>
      <c r="R4" s="1524"/>
      <c r="S4" s="1524"/>
      <c r="T4" s="1524"/>
      <c r="U4" s="1524"/>
      <c r="V4" s="1524"/>
      <c r="W4" s="1524"/>
      <c r="X4" s="1524"/>
      <c r="Y4" s="1524"/>
      <c r="Z4" s="1524"/>
      <c r="AA4" s="1524"/>
      <c r="AB4" s="1524"/>
      <c r="AC4" s="456"/>
      <c r="AD4" s="456"/>
      <c r="AE4" s="456"/>
      <c r="AF4" s="453"/>
      <c r="AG4" s="453"/>
      <c r="AH4" s="453"/>
      <c r="AI4" s="453"/>
      <c r="AT4" s="454"/>
    </row>
    <row r="5" spans="1:56" s="448" customFormat="1" ht="15.75">
      <c r="A5" s="456"/>
      <c r="B5" s="456"/>
      <c r="C5" s="456"/>
      <c r="D5" s="456"/>
      <c r="E5" s="457"/>
      <c r="F5" s="456"/>
      <c r="G5" s="456"/>
      <c r="H5" s="456"/>
      <c r="I5" s="456"/>
      <c r="J5" s="456"/>
      <c r="K5" s="456"/>
      <c r="L5" s="456"/>
      <c r="M5" s="456"/>
      <c r="N5" s="456"/>
      <c r="O5" s="1525" t="s">
        <v>0</v>
      </c>
      <c r="P5" s="1525"/>
      <c r="Q5" s="1525"/>
      <c r="R5" s="1525"/>
      <c r="S5" s="1525"/>
      <c r="T5" s="1525"/>
      <c r="U5" s="1525"/>
      <c r="V5" s="1525"/>
      <c r="W5" s="1525"/>
      <c r="X5" s="1525"/>
      <c r="Y5" s="1525"/>
      <c r="Z5" s="1525"/>
      <c r="AA5" s="1525"/>
      <c r="AB5" s="1525"/>
      <c r="AC5" s="458"/>
      <c r="AD5" s="458"/>
      <c r="AE5" s="458"/>
      <c r="AF5" s="453"/>
      <c r="AG5" s="453"/>
      <c r="AH5" s="453"/>
      <c r="AI5" s="453"/>
      <c r="AT5" s="454"/>
    </row>
    <row r="6" spans="1:56" s="448" customFormat="1" ht="15.75" customHeight="1">
      <c r="A6" s="1526" t="s">
        <v>170</v>
      </c>
      <c r="B6" s="1526" t="s">
        <v>175</v>
      </c>
      <c r="C6" s="1526" t="s">
        <v>172</v>
      </c>
      <c r="D6" s="1527" t="s">
        <v>2743</v>
      </c>
      <c r="E6" s="1529" t="s">
        <v>2834</v>
      </c>
      <c r="F6" s="1531" t="s">
        <v>2835</v>
      </c>
      <c r="G6" s="1533" t="s">
        <v>2836</v>
      </c>
      <c r="H6" s="1534"/>
      <c r="I6" s="1534"/>
      <c r="J6" s="1534"/>
      <c r="K6" s="1534"/>
      <c r="L6" s="1534"/>
      <c r="M6" s="1534"/>
      <c r="N6" s="1534"/>
      <c r="O6" s="1534"/>
      <c r="P6" s="1534"/>
      <c r="Q6" s="1534"/>
      <c r="R6" s="1534"/>
      <c r="S6" s="1534"/>
      <c r="T6" s="1534"/>
      <c r="U6" s="1534"/>
      <c r="V6" s="1534"/>
      <c r="W6" s="1534"/>
      <c r="X6" s="1534"/>
      <c r="Y6" s="1534"/>
      <c r="Z6" s="1534"/>
      <c r="AA6" s="1535"/>
      <c r="AB6" s="460"/>
      <c r="AC6" s="455"/>
      <c r="AD6" s="455"/>
      <c r="AE6" s="455"/>
      <c r="AF6" s="453"/>
      <c r="AG6" s="453"/>
      <c r="AH6" s="453"/>
      <c r="AI6" s="453"/>
      <c r="AM6" s="1526" t="s">
        <v>170</v>
      </c>
      <c r="AN6" s="1526" t="s">
        <v>175</v>
      </c>
      <c r="AO6" s="1526" t="s">
        <v>172</v>
      </c>
      <c r="AP6" s="1536" t="s">
        <v>2837</v>
      </c>
      <c r="AQ6" s="1536"/>
      <c r="AR6" s="1533" t="s">
        <v>2838</v>
      </c>
      <c r="AS6" s="1535"/>
      <c r="AT6" s="1538" t="s">
        <v>2839</v>
      </c>
      <c r="AU6" s="1536" t="s">
        <v>2834</v>
      </c>
      <c r="AV6" s="1533" t="s">
        <v>2840</v>
      </c>
      <c r="AW6" s="1535"/>
      <c r="AX6" s="1533" t="s">
        <v>2841</v>
      </c>
      <c r="AY6" s="1534"/>
      <c r="AZ6" s="1535"/>
    </row>
    <row r="7" spans="1:56" s="448" customFormat="1" ht="67.5" customHeight="1">
      <c r="A7" s="1526"/>
      <c r="B7" s="1526"/>
      <c r="C7" s="1526"/>
      <c r="D7" s="1528"/>
      <c r="E7" s="1530"/>
      <c r="F7" s="1532"/>
      <c r="G7" s="463" t="str">
        <f>'[6]01CH'!F5</f>
        <v>Thị trấn Lộc Bình</v>
      </c>
      <c r="H7" s="463" t="str">
        <f>'[6]01CH'!G5</f>
        <v>Thị trấn Na Dương</v>
      </c>
      <c r="I7" s="463" t="str">
        <f>'[6]01CH'!H5</f>
        <v>Xã Ái Quốc</v>
      </c>
      <c r="J7" s="463" t="str">
        <f>'[6]01CH'!I5</f>
        <v>Xã Đồng Bục</v>
      </c>
      <c r="K7" s="463" t="str">
        <f>'[6]01CH'!J5</f>
        <v>Xã Đông Quan</v>
      </c>
      <c r="L7" s="463" t="str">
        <f>'[6]01CH'!K5</f>
        <v>Xã Hữu Khánh</v>
      </c>
      <c r="M7" s="463" t="str">
        <f>'[6]01CH'!L5</f>
        <v>Xã Hữu Lân</v>
      </c>
      <c r="N7" s="463" t="str">
        <f>'[6]01CH'!M5</f>
        <v>Xã Khánh Xuân</v>
      </c>
      <c r="O7" s="463" t="str">
        <f>'[6]01CH'!N5</f>
        <v>Xã Khuất Xá</v>
      </c>
      <c r="P7" s="463" t="str">
        <f>'[6]01CH'!O5</f>
        <v>Xã Lợi Bác</v>
      </c>
      <c r="Q7" s="463" t="str">
        <f>'[6]01CH'!P5</f>
        <v>Xã Mẫu Sơn</v>
      </c>
      <c r="R7" s="463" t="str">
        <f>'[6]01CH'!Q5</f>
        <v>Xã Minh Hiệp</v>
      </c>
      <c r="S7" s="463" t="str">
        <f>'[6]01CH'!R5</f>
        <v>Xã Nam Quan</v>
      </c>
      <c r="T7" s="463" t="str">
        <f>'[6]01CH'!S5</f>
        <v>Xã Sàn Viên</v>
      </c>
      <c r="U7" s="463" t="str">
        <f>'[6]01CH'!T5</f>
        <v>Xã Tam Gia</v>
      </c>
      <c r="V7" s="463" t="str">
        <f>'[6]01CH'!U5</f>
        <v>Xã Thống Nhất</v>
      </c>
      <c r="W7" s="463" t="str">
        <f>'[6]01CH'!V5</f>
        <v>Xã Tĩnh Bắc</v>
      </c>
      <c r="X7" s="463" t="str">
        <f>'[6]01CH'!W5</f>
        <v>Xã Tú Đoạn</v>
      </c>
      <c r="Y7" s="463" t="str">
        <f>'[6]01CH'!X5</f>
        <v>Xã Tú Mịch</v>
      </c>
      <c r="Z7" s="463" t="str">
        <f>'[6]01CH'!Y5</f>
        <v>Xã Xuân Dương</v>
      </c>
      <c r="AA7" s="463" t="str">
        <f>'[6]01CH'!Z5</f>
        <v>Xã Yên Khoái</v>
      </c>
      <c r="AB7" s="463">
        <f>'[6]01CH'!AA5</f>
        <v>0</v>
      </c>
      <c r="AC7" s="462" t="s">
        <v>2842</v>
      </c>
      <c r="AD7" s="455" t="s">
        <v>2843</v>
      </c>
      <c r="AE7" s="455"/>
      <c r="AF7" s="453"/>
      <c r="AG7" s="453"/>
      <c r="AH7" s="453"/>
      <c r="AI7" s="453"/>
      <c r="AM7" s="1526"/>
      <c r="AN7" s="1526"/>
      <c r="AO7" s="1526"/>
      <c r="AP7" s="461" t="s">
        <v>147</v>
      </c>
      <c r="AQ7" s="461" t="s">
        <v>173</v>
      </c>
      <c r="AR7" s="461" t="s">
        <v>147</v>
      </c>
      <c r="AS7" s="461" t="s">
        <v>173</v>
      </c>
      <c r="AT7" s="1538"/>
      <c r="AU7" s="1536"/>
      <c r="AV7" s="461" t="s">
        <v>147</v>
      </c>
      <c r="AW7" s="461" t="s">
        <v>173</v>
      </c>
      <c r="AX7" s="461" t="s">
        <v>2841</v>
      </c>
      <c r="AY7" s="461" t="s">
        <v>2844</v>
      </c>
      <c r="AZ7" s="461" t="s">
        <v>2845</v>
      </c>
    </row>
    <row r="8" spans="1:56" s="448" customFormat="1" ht="15.75">
      <c r="A8" s="464">
        <v>-1</v>
      </c>
      <c r="B8" s="465">
        <v>-2</v>
      </c>
      <c r="C8" s="464">
        <v>-3</v>
      </c>
      <c r="D8" s="465">
        <v>-4</v>
      </c>
      <c r="E8" s="466">
        <v>-5</v>
      </c>
      <c r="F8" s="465" t="s">
        <v>2744</v>
      </c>
      <c r="G8" s="464">
        <v>-7</v>
      </c>
      <c r="H8" s="465">
        <v>-8</v>
      </c>
      <c r="I8" s="464">
        <v>-9</v>
      </c>
      <c r="J8" s="465">
        <v>-10</v>
      </c>
      <c r="K8" s="464">
        <v>-11</v>
      </c>
      <c r="L8" s="465">
        <v>-12</v>
      </c>
      <c r="M8" s="464">
        <v>-13</v>
      </c>
      <c r="N8" s="465">
        <v>-14</v>
      </c>
      <c r="O8" s="464">
        <v>-15</v>
      </c>
      <c r="P8" s="465">
        <v>-16</v>
      </c>
      <c r="Q8" s="464">
        <v>-17</v>
      </c>
      <c r="R8" s="465">
        <v>-18</v>
      </c>
      <c r="S8" s="464">
        <v>-19</v>
      </c>
      <c r="T8" s="465">
        <v>-20</v>
      </c>
      <c r="U8" s="464">
        <v>-21</v>
      </c>
      <c r="V8" s="465">
        <v>-22</v>
      </c>
      <c r="W8" s="464">
        <v>-23</v>
      </c>
      <c r="X8" s="465">
        <v>-24</v>
      </c>
      <c r="Y8" s="464">
        <v>-25</v>
      </c>
      <c r="Z8" s="465">
        <v>-26</v>
      </c>
      <c r="AA8" s="464">
        <v>-27</v>
      </c>
      <c r="AB8" s="465">
        <v>-28</v>
      </c>
      <c r="AC8" s="467"/>
      <c r="AD8" s="467"/>
      <c r="AE8" s="467"/>
      <c r="AF8" s="453"/>
      <c r="AG8" s="453"/>
      <c r="AH8" s="453"/>
      <c r="AI8" s="453"/>
      <c r="AM8" s="464">
        <v>-1</v>
      </c>
      <c r="AN8" s="465">
        <v>-2</v>
      </c>
      <c r="AO8" s="464">
        <v>-3</v>
      </c>
      <c r="AP8" s="465">
        <v>-4</v>
      </c>
      <c r="AQ8" s="465">
        <v>-5</v>
      </c>
      <c r="AR8" s="465">
        <v>-6</v>
      </c>
      <c r="AS8" s="465">
        <v>-7</v>
      </c>
      <c r="AT8" s="468">
        <v>-8</v>
      </c>
      <c r="AU8" s="465">
        <v>-6</v>
      </c>
      <c r="AV8" s="464">
        <v>-9</v>
      </c>
      <c r="AW8" s="464">
        <v>-10</v>
      </c>
      <c r="AX8" s="464" t="s">
        <v>2846</v>
      </c>
      <c r="AY8" s="464" t="s">
        <v>2847</v>
      </c>
      <c r="AZ8" s="464" t="s">
        <v>2848</v>
      </c>
    </row>
    <row r="9" spans="1:56" s="477" customFormat="1" ht="15.75">
      <c r="A9" s="464"/>
      <c r="B9" s="469" t="s">
        <v>174</v>
      </c>
      <c r="C9" s="464"/>
      <c r="D9" s="470">
        <v>98642.9</v>
      </c>
      <c r="E9" s="471"/>
      <c r="F9" s="472">
        <v>98642.920000000013</v>
      </c>
      <c r="G9" s="473">
        <v>1776.6899999999998</v>
      </c>
      <c r="H9" s="473">
        <v>1146.0899999999999</v>
      </c>
      <c r="I9" s="473">
        <v>9869.1099999999988</v>
      </c>
      <c r="J9" s="473">
        <v>972.21999999999991</v>
      </c>
      <c r="K9" s="473">
        <v>7358.5199999999995</v>
      </c>
      <c r="L9" s="473">
        <v>2109.9</v>
      </c>
      <c r="M9" s="473">
        <v>9103.9800000000014</v>
      </c>
      <c r="N9" s="473">
        <v>3055.79</v>
      </c>
      <c r="O9" s="473">
        <v>2734.8700000000003</v>
      </c>
      <c r="P9" s="473">
        <v>7445.39</v>
      </c>
      <c r="Q9" s="473">
        <v>5655.369999999999</v>
      </c>
      <c r="R9" s="473">
        <v>5226.03</v>
      </c>
      <c r="S9" s="473">
        <v>6181.6100000000015</v>
      </c>
      <c r="T9" s="473">
        <v>6465.72</v>
      </c>
      <c r="U9" s="473">
        <v>4877.08</v>
      </c>
      <c r="V9" s="473">
        <v>4730.8799999999992</v>
      </c>
      <c r="W9" s="473">
        <v>4879.1099999999997</v>
      </c>
      <c r="X9" s="473">
        <v>2485.8099999999995</v>
      </c>
      <c r="Y9" s="473">
        <v>5323.0000000000009</v>
      </c>
      <c r="Z9" s="473">
        <v>4619.3200000000006</v>
      </c>
      <c r="AA9" s="473">
        <v>2626.43</v>
      </c>
      <c r="AB9" s="473">
        <v>0</v>
      </c>
      <c r="AC9" s="474">
        <f>'[6]12ch'!BM5</f>
        <v>98642.920000000013</v>
      </c>
      <c r="AD9" s="474">
        <f>F9-AC9</f>
        <v>0</v>
      </c>
      <c r="AE9" s="474"/>
      <c r="AF9" s="475">
        <f>F9-'[6]01CH'!D7</f>
        <v>0</v>
      </c>
      <c r="AG9" s="476"/>
      <c r="AH9" s="476"/>
      <c r="AI9" s="476"/>
      <c r="AM9" s="464"/>
      <c r="AN9" s="469" t="s">
        <v>174</v>
      </c>
      <c r="AO9" s="464"/>
      <c r="AP9" s="472">
        <f>+'[6]01CH'!D7</f>
        <v>98642.920000000013</v>
      </c>
      <c r="AQ9" s="472">
        <f>+AP9/$AP$9*100</f>
        <v>100</v>
      </c>
      <c r="AR9" s="472">
        <f>+'[6]02CH'!D7</f>
        <v>98642.92</v>
      </c>
      <c r="AS9" s="478">
        <f>+AR9/$AR$9*100</f>
        <v>100</v>
      </c>
      <c r="AT9" s="479">
        <f>D9</f>
        <v>98642.9</v>
      </c>
      <c r="AU9" s="480">
        <f>E9</f>
        <v>0</v>
      </c>
      <c r="AV9" s="472">
        <f>F9</f>
        <v>98642.920000000013</v>
      </c>
      <c r="AW9" s="472">
        <f>+AV9/$AV$9*100</f>
        <v>100</v>
      </c>
      <c r="AX9" s="481" t="s">
        <v>2849</v>
      </c>
      <c r="AY9" s="482" t="s">
        <v>2849</v>
      </c>
      <c r="AZ9" s="482" t="s">
        <v>2850</v>
      </c>
    </row>
    <row r="10" spans="1:56" s="477" customFormat="1" ht="15.75">
      <c r="A10" s="483" t="s">
        <v>78</v>
      </c>
      <c r="B10" s="484" t="s">
        <v>2851</v>
      </c>
      <c r="C10" s="464"/>
      <c r="D10" s="470"/>
      <c r="E10" s="471"/>
      <c r="F10" s="485"/>
      <c r="G10" s="486"/>
      <c r="H10" s="486"/>
      <c r="I10" s="486"/>
      <c r="J10" s="486"/>
      <c r="K10" s="486"/>
      <c r="L10" s="486"/>
      <c r="M10" s="486"/>
      <c r="N10" s="486"/>
      <c r="O10" s="486"/>
      <c r="P10" s="486"/>
      <c r="Q10" s="486"/>
      <c r="R10" s="486"/>
      <c r="S10" s="486"/>
      <c r="T10" s="486"/>
      <c r="U10" s="486"/>
      <c r="V10" s="486"/>
      <c r="W10" s="486"/>
      <c r="X10" s="486"/>
      <c r="Y10" s="486"/>
      <c r="Z10" s="486"/>
      <c r="AA10" s="486"/>
      <c r="AB10" s="486"/>
      <c r="AC10" s="474"/>
      <c r="AD10" s="474">
        <f t="shared" ref="AD10:AD69" si="1">F10-AC10</f>
        <v>0</v>
      </c>
      <c r="AE10" s="474"/>
      <c r="AF10" s="476"/>
      <c r="AG10" s="476"/>
      <c r="AH10" s="476"/>
      <c r="AI10" s="476"/>
      <c r="AM10" s="483" t="s">
        <v>78</v>
      </c>
      <c r="AN10" s="484" t="s">
        <v>2851</v>
      </c>
      <c r="AO10" s="464"/>
      <c r="AP10" s="485"/>
      <c r="AQ10" s="485"/>
      <c r="AR10" s="485"/>
      <c r="AS10" s="485"/>
      <c r="AT10" s="487"/>
      <c r="AU10" s="488"/>
      <c r="AV10" s="485">
        <f t="shared" ref="AV10:AV59" si="2">F10</f>
        <v>0</v>
      </c>
      <c r="AW10" s="485"/>
      <c r="AX10" s="485">
        <f t="shared" ref="AX10:AX65" si="3">AV10-AP10</f>
        <v>0</v>
      </c>
      <c r="AY10" s="485">
        <f>AV10-AP10</f>
        <v>0</v>
      </c>
      <c r="AZ10" s="488">
        <f>AW10-AQ10</f>
        <v>0</v>
      </c>
    </row>
    <row r="11" spans="1:56" s="495" customFormat="1" ht="15.75">
      <c r="A11" s="461">
        <v>1</v>
      </c>
      <c r="B11" s="489" t="s">
        <v>3</v>
      </c>
      <c r="C11" s="490" t="s">
        <v>4</v>
      </c>
      <c r="D11" s="470">
        <v>87326.82</v>
      </c>
      <c r="E11" s="491">
        <v>-43.167320000022301</v>
      </c>
      <c r="F11" s="478">
        <v>87283.652679999985</v>
      </c>
      <c r="G11" s="492">
        <v>1326.2049999999999</v>
      </c>
      <c r="H11" s="492">
        <v>671.07999999999993</v>
      </c>
      <c r="I11" s="492">
        <v>8094.6399999999994</v>
      </c>
      <c r="J11" s="492">
        <v>810.95999999999992</v>
      </c>
      <c r="K11" s="492">
        <v>6414.4199999999992</v>
      </c>
      <c r="L11" s="492">
        <v>1729.0300000000002</v>
      </c>
      <c r="M11" s="492">
        <v>8782</v>
      </c>
      <c r="N11" s="492">
        <v>2602.2806799999998</v>
      </c>
      <c r="O11" s="492">
        <v>2177.2300000000005</v>
      </c>
      <c r="P11" s="492">
        <v>6948.389000000001</v>
      </c>
      <c r="Q11" s="492">
        <v>5183.369999999999</v>
      </c>
      <c r="R11" s="492">
        <v>4805.6399999999994</v>
      </c>
      <c r="S11" s="492">
        <v>5961.6000000000013</v>
      </c>
      <c r="T11" s="492">
        <v>5303.66</v>
      </c>
      <c r="U11" s="492">
        <v>4601.38</v>
      </c>
      <c r="V11" s="492">
        <v>4275.8279999999995</v>
      </c>
      <c r="W11" s="492">
        <v>4206.1400000000003</v>
      </c>
      <c r="X11" s="492">
        <v>1853.7699999999995</v>
      </c>
      <c r="Y11" s="492">
        <v>4841.3600000000006</v>
      </c>
      <c r="Z11" s="492">
        <v>4387.66</v>
      </c>
      <c r="AA11" s="492">
        <v>2307.0099999999998</v>
      </c>
      <c r="AB11" s="492">
        <v>0</v>
      </c>
      <c r="AC11" s="474">
        <f>'[6]12ch'!BM6</f>
        <v>87283.852680000011</v>
      </c>
      <c r="AD11" s="474">
        <f t="shared" si="1"/>
        <v>-0.20000000002619345</v>
      </c>
      <c r="AE11" s="474"/>
      <c r="AF11" s="493">
        <f>F11/F9*100</f>
        <v>88.484457556609215</v>
      </c>
      <c r="AG11" s="493"/>
      <c r="AH11" s="493"/>
      <c r="AI11" s="493" t="s">
        <v>4</v>
      </c>
      <c r="AJ11" s="494">
        <v>36781.743307721401</v>
      </c>
      <c r="AM11" s="461">
        <v>1</v>
      </c>
      <c r="AN11" s="489" t="s">
        <v>3</v>
      </c>
      <c r="AO11" s="490" t="s">
        <v>4</v>
      </c>
      <c r="AP11" s="478">
        <f>+'[6]01CH'!D8</f>
        <v>88916.340000000011</v>
      </c>
      <c r="AQ11" s="478">
        <f>+AP11/$AP$9*100</f>
        <v>90.139606572879231</v>
      </c>
      <c r="AR11" s="478">
        <f>+'[6]02CH'!D8</f>
        <v>87326.82</v>
      </c>
      <c r="AS11" s="478">
        <f>+AR11/$AR$9*100</f>
        <v>88.528218751026429</v>
      </c>
      <c r="AT11" s="496">
        <f>D11</f>
        <v>87326.82</v>
      </c>
      <c r="AU11" s="497">
        <f>E11</f>
        <v>-43.167320000022301</v>
      </c>
      <c r="AV11" s="478">
        <f t="shared" si="2"/>
        <v>87283.652679999985</v>
      </c>
      <c r="AW11" s="472">
        <f>+AV11/$AV$9*100</f>
        <v>88.484457556609215</v>
      </c>
      <c r="AX11" s="478">
        <f t="shared" si="3"/>
        <v>-1632.6873200000264</v>
      </c>
      <c r="AY11" s="478">
        <f>+AV11-AR11</f>
        <v>-43.167320000022301</v>
      </c>
      <c r="AZ11" s="497">
        <f>+AV11-AT11</f>
        <v>-43.167320000022301</v>
      </c>
      <c r="BD11" s="498"/>
    </row>
    <row r="12" spans="1:56" s="495" customFormat="1" ht="15.75">
      <c r="A12" s="461"/>
      <c r="B12" s="499" t="s">
        <v>2815</v>
      </c>
      <c r="C12" s="490"/>
      <c r="D12" s="500"/>
      <c r="E12" s="501">
        <v>0</v>
      </c>
      <c r="F12" s="478"/>
      <c r="G12" s="492"/>
      <c r="H12" s="492"/>
      <c r="I12" s="492"/>
      <c r="J12" s="492"/>
      <c r="K12" s="492"/>
      <c r="L12" s="492"/>
      <c r="M12" s="492"/>
      <c r="N12" s="492"/>
      <c r="O12" s="492"/>
      <c r="P12" s="492"/>
      <c r="Q12" s="492"/>
      <c r="R12" s="492"/>
      <c r="S12" s="492"/>
      <c r="T12" s="492"/>
      <c r="U12" s="492"/>
      <c r="V12" s="492"/>
      <c r="W12" s="492"/>
      <c r="X12" s="492"/>
      <c r="Y12" s="492"/>
      <c r="Z12" s="492"/>
      <c r="AA12" s="492"/>
      <c r="AB12" s="492"/>
      <c r="AC12" s="474"/>
      <c r="AD12" s="474">
        <f t="shared" si="1"/>
        <v>0</v>
      </c>
      <c r="AE12" s="474"/>
      <c r="AF12" s="493"/>
      <c r="AG12" s="493"/>
      <c r="AH12" s="493"/>
      <c r="AI12" s="493" t="s">
        <v>5</v>
      </c>
      <c r="AJ12" s="502">
        <v>3841.277748296749</v>
      </c>
      <c r="AM12" s="461"/>
      <c r="AN12" s="499" t="s">
        <v>2815</v>
      </c>
      <c r="AO12" s="490"/>
      <c r="AP12" s="478"/>
      <c r="AQ12" s="478"/>
      <c r="AR12" s="478"/>
      <c r="AS12" s="478"/>
      <c r="AT12" s="496"/>
      <c r="AU12" s="497">
        <f t="shared" ref="AU12:AU59" si="4">E12</f>
        <v>0</v>
      </c>
      <c r="AV12" s="478">
        <f t="shared" si="2"/>
        <v>0</v>
      </c>
      <c r="AW12" s="478"/>
      <c r="AX12" s="478">
        <f t="shared" si="3"/>
        <v>0</v>
      </c>
      <c r="AY12" s="478">
        <f>AV12-AP12</f>
        <v>0</v>
      </c>
      <c r="AZ12" s="497">
        <f>AW12-AQ12</f>
        <v>0</v>
      </c>
    </row>
    <row r="13" spans="1:56" s="448" customFormat="1" ht="15.75">
      <c r="A13" s="503" t="s">
        <v>6</v>
      </c>
      <c r="B13" s="504" t="s">
        <v>85</v>
      </c>
      <c r="C13" s="505" t="s">
        <v>5</v>
      </c>
      <c r="D13" s="506">
        <v>5851.5</v>
      </c>
      <c r="E13" s="501">
        <v>1.7499999994470272E-3</v>
      </c>
      <c r="F13" s="507">
        <v>5851.5017499999994</v>
      </c>
      <c r="G13" s="508">
        <v>107.12</v>
      </c>
      <c r="H13" s="508">
        <v>132.51</v>
      </c>
      <c r="I13" s="508">
        <v>173.03</v>
      </c>
      <c r="J13" s="508">
        <v>187.45000000000002</v>
      </c>
      <c r="K13" s="508">
        <v>613.47</v>
      </c>
      <c r="L13" s="508">
        <v>215.93</v>
      </c>
      <c r="M13" s="508">
        <v>246.57000000000002</v>
      </c>
      <c r="N13" s="508">
        <v>220.20675</v>
      </c>
      <c r="O13" s="508">
        <v>435.28000000000003</v>
      </c>
      <c r="P13" s="508">
        <v>317.34000000000003</v>
      </c>
      <c r="Q13" s="508">
        <v>49.940000000000005</v>
      </c>
      <c r="R13" s="508">
        <v>313.65999999999997</v>
      </c>
      <c r="S13" s="508">
        <v>246.23999999999998</v>
      </c>
      <c r="T13" s="508">
        <v>367.35999999999996</v>
      </c>
      <c r="U13" s="508">
        <v>218.24000000000004</v>
      </c>
      <c r="V13" s="508">
        <v>401.245</v>
      </c>
      <c r="W13" s="508">
        <v>140.94</v>
      </c>
      <c r="X13" s="508">
        <v>669.33</v>
      </c>
      <c r="Y13" s="508">
        <v>414.57</v>
      </c>
      <c r="Z13" s="508">
        <v>125.34</v>
      </c>
      <c r="AA13" s="508">
        <v>255.73000000000002</v>
      </c>
      <c r="AB13" s="508">
        <v>0</v>
      </c>
      <c r="AC13" s="474">
        <f>'[6]12ch'!BM7</f>
        <v>5851.5017499999985</v>
      </c>
      <c r="AD13" s="474">
        <f t="shared" si="1"/>
        <v>0</v>
      </c>
      <c r="AE13" s="474"/>
      <c r="AF13" s="509">
        <f t="shared" ref="AF13:AF66" si="5">F13/$F$9*100</f>
        <v>5.9320037869925164</v>
      </c>
      <c r="AG13" s="493">
        <v>3944.080309296749</v>
      </c>
      <c r="AH13" s="509"/>
      <c r="AI13" s="509" t="s">
        <v>7</v>
      </c>
      <c r="AJ13" s="510">
        <v>1400.8650562931775</v>
      </c>
      <c r="AM13" s="503" t="s">
        <v>6</v>
      </c>
      <c r="AN13" s="504" t="s">
        <v>85</v>
      </c>
      <c r="AO13" s="505" t="s">
        <v>5</v>
      </c>
      <c r="AP13" s="507">
        <f>+'[6]01CH'!D10</f>
        <v>6091.2399999999989</v>
      </c>
      <c r="AQ13" s="507">
        <f>+AP13/$AP$9*100</f>
        <v>6.1750402360351844</v>
      </c>
      <c r="AR13" s="507">
        <f>+'[6]02CH'!D10</f>
        <v>5851.5</v>
      </c>
      <c r="AS13" s="507">
        <f>+AR13/$AR$9*100</f>
        <v>5.9320020129168931</v>
      </c>
      <c r="AT13" s="511">
        <f t="shared" ref="AT13:AT24" si="6">D13</f>
        <v>5851.5</v>
      </c>
      <c r="AU13" s="512">
        <f t="shared" si="4"/>
        <v>1.7499999994470272E-3</v>
      </c>
      <c r="AV13" s="507">
        <f t="shared" si="2"/>
        <v>5851.5017499999994</v>
      </c>
      <c r="AW13" s="507">
        <f>+AV13/$AV$9*100</f>
        <v>5.9320037869925164</v>
      </c>
      <c r="AX13" s="507">
        <f t="shared" si="3"/>
        <v>-239.73824999999943</v>
      </c>
      <c r="AY13" s="507">
        <f>+AV13-AR13</f>
        <v>1.7499999994470272E-3</v>
      </c>
      <c r="AZ13" s="512">
        <f>+AV13-AT13</f>
        <v>1.7499999994470272E-3</v>
      </c>
    </row>
    <row r="14" spans="1:56" s="518" customFormat="1" ht="15.75">
      <c r="A14" s="513" t="s">
        <v>193</v>
      </c>
      <c r="B14" s="514" t="s">
        <v>2746</v>
      </c>
      <c r="C14" s="513" t="s">
        <v>7</v>
      </c>
      <c r="D14" s="500">
        <v>3201.3</v>
      </c>
      <c r="E14" s="501">
        <v>-4.999999999654392E-3</v>
      </c>
      <c r="F14" s="515">
        <v>3201.2950000000005</v>
      </c>
      <c r="G14" s="516">
        <v>57.730000000000004</v>
      </c>
      <c r="H14" s="516">
        <v>86.199999999999989</v>
      </c>
      <c r="I14" s="516">
        <v>30.619999999999997</v>
      </c>
      <c r="J14" s="516">
        <v>79.27</v>
      </c>
      <c r="K14" s="516">
        <v>324.99</v>
      </c>
      <c r="L14" s="516">
        <v>132.94999999999999</v>
      </c>
      <c r="M14" s="516">
        <v>63.52</v>
      </c>
      <c r="N14" s="516">
        <v>182.52</v>
      </c>
      <c r="O14" s="516">
        <v>198.62000000000003</v>
      </c>
      <c r="P14" s="516">
        <v>83.830000000000013</v>
      </c>
      <c r="Q14" s="516">
        <v>10.620000000000001</v>
      </c>
      <c r="R14" s="516">
        <v>287.08999999999997</v>
      </c>
      <c r="S14" s="516">
        <v>92.710000000000008</v>
      </c>
      <c r="T14" s="516">
        <v>176.90999999999997</v>
      </c>
      <c r="U14" s="516">
        <v>108.37000000000002</v>
      </c>
      <c r="V14" s="516">
        <v>315.14500000000004</v>
      </c>
      <c r="W14" s="516">
        <v>0</v>
      </c>
      <c r="X14" s="516">
        <v>388.13</v>
      </c>
      <c r="Y14" s="516">
        <v>388.77</v>
      </c>
      <c r="Z14" s="516">
        <v>46.400000000000006</v>
      </c>
      <c r="AA14" s="516">
        <v>146.90000000000003</v>
      </c>
      <c r="AB14" s="516">
        <v>0</v>
      </c>
      <c r="AC14" s="474">
        <f>'[6]12ch'!BM8</f>
        <v>3201.2949999999996</v>
      </c>
      <c r="AD14" s="474">
        <f t="shared" si="1"/>
        <v>0</v>
      </c>
      <c r="AE14" s="474"/>
      <c r="AF14" s="517">
        <f t="shared" si="5"/>
        <v>3.2453368168744396</v>
      </c>
      <c r="AG14" s="493">
        <v>1419.9660562931776</v>
      </c>
      <c r="AH14" s="517">
        <f>F14/F13*100</f>
        <v>54.708947151899956</v>
      </c>
      <c r="AI14" s="517" t="s">
        <v>8</v>
      </c>
      <c r="AJ14" s="510">
        <v>2440.412692003571</v>
      </c>
      <c r="AM14" s="513" t="s">
        <v>193</v>
      </c>
      <c r="AN14" s="514" t="s">
        <v>2746</v>
      </c>
      <c r="AO14" s="513" t="s">
        <v>7</v>
      </c>
      <c r="AP14" s="507">
        <f>+'[6]01CH'!D11</f>
        <v>3338.4599999999996</v>
      </c>
      <c r="AQ14" s="507">
        <f t="shared" ref="AQ14:AQ23" si="7">+AP14/$AP$9*100</f>
        <v>3.3843888644010125</v>
      </c>
      <c r="AR14" s="507">
        <f>+'[6]02CH'!D11</f>
        <v>3201.3</v>
      </c>
      <c r="AS14" s="507">
        <f t="shared" ref="AS14:AS23" si="8">+AR14/$AR$9*100</f>
        <v>3.2453418856619414</v>
      </c>
      <c r="AT14" s="511">
        <f t="shared" si="6"/>
        <v>3201.3</v>
      </c>
      <c r="AU14" s="512">
        <f t="shared" si="4"/>
        <v>-4.999999999654392E-3</v>
      </c>
      <c r="AV14" s="515">
        <f t="shared" si="2"/>
        <v>3201.2950000000005</v>
      </c>
      <c r="AW14" s="507">
        <f t="shared" ref="AW14:AW23" si="9">+AV14/$AV$9*100</f>
        <v>3.2453368168744396</v>
      </c>
      <c r="AX14" s="515">
        <f t="shared" si="3"/>
        <v>-137.16499999999905</v>
      </c>
      <c r="AY14" s="507">
        <f t="shared" ref="AY14:AY23" si="10">+AV14-AR14</f>
        <v>-4.999999999654392E-3</v>
      </c>
      <c r="AZ14" s="512">
        <f t="shared" ref="AZ14:AZ22" si="11">+AV14-AT14</f>
        <v>-4.999999999654392E-3</v>
      </c>
    </row>
    <row r="15" spans="1:56" s="518" customFormat="1" ht="15.75">
      <c r="A15" s="503" t="s">
        <v>9</v>
      </c>
      <c r="B15" s="504" t="s">
        <v>88</v>
      </c>
      <c r="C15" s="505" t="s">
        <v>12</v>
      </c>
      <c r="D15" s="506"/>
      <c r="E15" s="501">
        <v>4526.2847000000002</v>
      </c>
      <c r="F15" s="507">
        <v>4526.2847000000002</v>
      </c>
      <c r="G15" s="508">
        <v>124.58</v>
      </c>
      <c r="H15" s="508">
        <v>83.14</v>
      </c>
      <c r="I15" s="508">
        <v>192.02</v>
      </c>
      <c r="J15" s="508">
        <v>119.15999999999998</v>
      </c>
      <c r="K15" s="508">
        <v>429.15</v>
      </c>
      <c r="L15" s="508">
        <v>198.3</v>
      </c>
      <c r="M15" s="508">
        <v>228.79000000000002</v>
      </c>
      <c r="N15" s="508">
        <v>168.5017</v>
      </c>
      <c r="O15" s="508">
        <v>216.63</v>
      </c>
      <c r="P15" s="508">
        <v>197.56</v>
      </c>
      <c r="Q15" s="508">
        <v>69.169999999999987</v>
      </c>
      <c r="R15" s="508">
        <v>566.42000000000007</v>
      </c>
      <c r="S15" s="508">
        <v>84.57</v>
      </c>
      <c r="T15" s="508">
        <v>130.05000000000001</v>
      </c>
      <c r="U15" s="508">
        <v>89.860000000000014</v>
      </c>
      <c r="V15" s="508">
        <v>663.70299999999997</v>
      </c>
      <c r="W15" s="508">
        <v>48.019999999999996</v>
      </c>
      <c r="X15" s="508">
        <v>316.96000000000004</v>
      </c>
      <c r="Y15" s="508">
        <v>229.26999999999998</v>
      </c>
      <c r="Z15" s="508">
        <v>229.97</v>
      </c>
      <c r="AA15" s="508">
        <v>140.45999999999998</v>
      </c>
      <c r="AB15" s="508">
        <v>0</v>
      </c>
      <c r="AC15" s="474">
        <f>'[6]12ch'!BM11</f>
        <v>4526.9147000000003</v>
      </c>
      <c r="AD15" s="474">
        <f t="shared" si="1"/>
        <v>-0.63000000000010914</v>
      </c>
      <c r="AE15" s="474"/>
      <c r="AF15" s="509">
        <f t="shared" si="5"/>
        <v>4.5885550630496335</v>
      </c>
      <c r="AG15" s="509"/>
      <c r="AH15" s="509"/>
      <c r="AI15" s="509" t="s">
        <v>10</v>
      </c>
      <c r="AJ15" s="507">
        <v>0</v>
      </c>
      <c r="AM15" s="503" t="s">
        <v>9</v>
      </c>
      <c r="AN15" s="504" t="s">
        <v>88</v>
      </c>
      <c r="AO15" s="505" t="s">
        <v>12</v>
      </c>
      <c r="AP15" s="507">
        <f>+'[6]01CH'!D12</f>
        <v>4777.9400000000005</v>
      </c>
      <c r="AQ15" s="507">
        <f t="shared" si="7"/>
        <v>4.8436725109110723</v>
      </c>
      <c r="AR15" s="507">
        <f>+'[6]02CH'!D12</f>
        <v>4602.3500000000004</v>
      </c>
      <c r="AS15" s="507">
        <f t="shared" si="8"/>
        <v>4.6656668314360532</v>
      </c>
      <c r="AT15" s="511">
        <f t="shared" si="6"/>
        <v>0</v>
      </c>
      <c r="AU15" s="512">
        <f t="shared" si="4"/>
        <v>4526.2847000000002</v>
      </c>
      <c r="AV15" s="507">
        <f t="shared" si="2"/>
        <v>4526.2847000000002</v>
      </c>
      <c r="AW15" s="507">
        <f t="shared" si="9"/>
        <v>4.5885550630496335</v>
      </c>
      <c r="AX15" s="507">
        <f t="shared" si="3"/>
        <v>-251.65530000000035</v>
      </c>
      <c r="AY15" s="507">
        <f t="shared" si="10"/>
        <v>-76.065300000000207</v>
      </c>
      <c r="AZ15" s="512"/>
    </row>
    <row r="16" spans="1:56" s="448" customFormat="1" ht="15.75">
      <c r="A16" s="503" t="s">
        <v>11</v>
      </c>
      <c r="B16" s="504" t="s">
        <v>60</v>
      </c>
      <c r="C16" s="505" t="s">
        <v>14</v>
      </c>
      <c r="D16" s="506">
        <v>2566.4</v>
      </c>
      <c r="E16" s="501">
        <v>2.1299999998518615E-3</v>
      </c>
      <c r="F16" s="507">
        <v>2566.4021299999999</v>
      </c>
      <c r="G16" s="508">
        <v>40.56</v>
      </c>
      <c r="H16" s="508">
        <v>47.29</v>
      </c>
      <c r="I16" s="508">
        <v>130.14999999999998</v>
      </c>
      <c r="J16" s="508">
        <v>49.7</v>
      </c>
      <c r="K16" s="508">
        <v>131.44</v>
      </c>
      <c r="L16" s="508">
        <v>71.740000000000009</v>
      </c>
      <c r="M16" s="508">
        <v>130.56</v>
      </c>
      <c r="N16" s="508">
        <v>114.51312999999999</v>
      </c>
      <c r="O16" s="508">
        <v>194.08999999999997</v>
      </c>
      <c r="P16" s="508">
        <v>224.029</v>
      </c>
      <c r="Q16" s="508">
        <v>177.72</v>
      </c>
      <c r="R16" s="508">
        <v>100</v>
      </c>
      <c r="S16" s="508">
        <v>116.11000000000001</v>
      </c>
      <c r="T16" s="508">
        <v>138.49</v>
      </c>
      <c r="U16" s="508">
        <v>50.63</v>
      </c>
      <c r="V16" s="508">
        <v>258.11</v>
      </c>
      <c r="W16" s="508">
        <v>67.06</v>
      </c>
      <c r="X16" s="508">
        <v>226.32000000000002</v>
      </c>
      <c r="Y16" s="508">
        <v>148.94</v>
      </c>
      <c r="Z16" s="508">
        <v>48.239999999999995</v>
      </c>
      <c r="AA16" s="508">
        <v>100.71000000000001</v>
      </c>
      <c r="AB16" s="508">
        <v>0</v>
      </c>
      <c r="AC16" s="474">
        <f>'[6]12ch'!BM12</f>
        <v>2566.4021299999999</v>
      </c>
      <c r="AD16" s="474">
        <f t="shared" si="1"/>
        <v>0</v>
      </c>
      <c r="AE16" s="474"/>
      <c r="AF16" s="509">
        <f t="shared" si="5"/>
        <v>2.6017094080345551</v>
      </c>
      <c r="AG16" s="509"/>
      <c r="AH16" s="509"/>
      <c r="AI16" s="509" t="s">
        <v>12</v>
      </c>
      <c r="AJ16" s="510">
        <v>1004.9630034313185</v>
      </c>
      <c r="AM16" s="503" t="s">
        <v>11</v>
      </c>
      <c r="AN16" s="504" t="s">
        <v>60</v>
      </c>
      <c r="AO16" s="505" t="s">
        <v>14</v>
      </c>
      <c r="AP16" s="507">
        <f>+'[6]01CH'!D13</f>
        <v>1692.25</v>
      </c>
      <c r="AQ16" s="507">
        <f t="shared" si="7"/>
        <v>1.7155311298570639</v>
      </c>
      <c r="AR16" s="507">
        <f>+'[6]02CH'!D13</f>
        <v>2569.4</v>
      </c>
      <c r="AS16" s="507">
        <f t="shared" si="8"/>
        <v>2.6047485212319343</v>
      </c>
      <c r="AT16" s="511">
        <f t="shared" si="6"/>
        <v>2566.4</v>
      </c>
      <c r="AU16" s="512">
        <f t="shared" si="4"/>
        <v>2.1299999998518615E-3</v>
      </c>
      <c r="AV16" s="507">
        <f t="shared" si="2"/>
        <v>2566.4021299999999</v>
      </c>
      <c r="AW16" s="507">
        <f t="shared" si="9"/>
        <v>2.6017094080345551</v>
      </c>
      <c r="AX16" s="507">
        <f t="shared" si="3"/>
        <v>874.15212999999994</v>
      </c>
      <c r="AY16" s="507">
        <f t="shared" si="10"/>
        <v>-2.9978700000001481</v>
      </c>
      <c r="AZ16" s="512">
        <f t="shared" si="11"/>
        <v>2.1299999998518615E-3</v>
      </c>
    </row>
    <row r="17" spans="1:56" s="448" customFormat="1" ht="15.75">
      <c r="A17" s="503" t="s">
        <v>13</v>
      </c>
      <c r="B17" s="504" t="s">
        <v>61</v>
      </c>
      <c r="C17" s="505" t="s">
        <v>16</v>
      </c>
      <c r="D17" s="506">
        <v>9729.9</v>
      </c>
      <c r="E17" s="501">
        <v>0</v>
      </c>
      <c r="F17" s="507">
        <v>9729.9000000000015</v>
      </c>
      <c r="G17" s="508">
        <v>0</v>
      </c>
      <c r="H17" s="508">
        <v>0</v>
      </c>
      <c r="I17" s="508">
        <v>1224.58</v>
      </c>
      <c r="J17" s="508">
        <v>0</v>
      </c>
      <c r="K17" s="508">
        <v>0</v>
      </c>
      <c r="L17" s="508">
        <v>0</v>
      </c>
      <c r="M17" s="508">
        <v>3080.3900000000003</v>
      </c>
      <c r="N17" s="508">
        <v>0</v>
      </c>
      <c r="O17" s="508">
        <v>0</v>
      </c>
      <c r="P17" s="508">
        <v>152.73000000000002</v>
      </c>
      <c r="Q17" s="508">
        <v>1412.58</v>
      </c>
      <c r="R17" s="508">
        <v>432.85</v>
      </c>
      <c r="S17" s="508">
        <v>560.62</v>
      </c>
      <c r="T17" s="508">
        <v>397</v>
      </c>
      <c r="U17" s="508">
        <v>596.81000000000006</v>
      </c>
      <c r="V17" s="508">
        <v>9.42</v>
      </c>
      <c r="W17" s="508">
        <v>789.28</v>
      </c>
      <c r="X17" s="508">
        <v>0</v>
      </c>
      <c r="Y17" s="508">
        <v>64.16</v>
      </c>
      <c r="Z17" s="508">
        <v>1009.4799999999999</v>
      </c>
      <c r="AA17" s="508">
        <v>0</v>
      </c>
      <c r="AB17" s="508">
        <v>0</v>
      </c>
      <c r="AC17" s="474">
        <f>'[6]12ch'!BM13</f>
        <v>9729.9299999999985</v>
      </c>
      <c r="AD17" s="474">
        <f t="shared" si="1"/>
        <v>-2.9999999997016857E-2</v>
      </c>
      <c r="AE17" s="474"/>
      <c r="AF17" s="509">
        <f t="shared" si="5"/>
        <v>9.8637591020217172</v>
      </c>
      <c r="AG17" s="509"/>
      <c r="AH17" s="509"/>
      <c r="AI17" s="509" t="s">
        <v>14</v>
      </c>
      <c r="AJ17" s="510">
        <v>9037.7353259433421</v>
      </c>
      <c r="AK17" s="519">
        <f>AJ16-F15</f>
        <v>-3521.3216965686815</v>
      </c>
      <c r="AM17" s="503" t="s">
        <v>13</v>
      </c>
      <c r="AN17" s="504" t="s">
        <v>61</v>
      </c>
      <c r="AO17" s="505" t="s">
        <v>16</v>
      </c>
      <c r="AP17" s="507">
        <f>+'[6]01CH'!D14</f>
        <v>9814.9499999999989</v>
      </c>
      <c r="AQ17" s="507">
        <f t="shared" si="7"/>
        <v>9.9499791774209427</v>
      </c>
      <c r="AR17" s="507">
        <f>+'[6]02CH'!D14</f>
        <v>9729.9</v>
      </c>
      <c r="AS17" s="507">
        <f t="shared" si="8"/>
        <v>9.8637591020217155</v>
      </c>
      <c r="AT17" s="511">
        <f t="shared" si="6"/>
        <v>9729.9</v>
      </c>
      <c r="AU17" s="512">
        <f t="shared" si="4"/>
        <v>0</v>
      </c>
      <c r="AV17" s="507">
        <f t="shared" si="2"/>
        <v>9729.9000000000015</v>
      </c>
      <c r="AW17" s="507">
        <f t="shared" si="9"/>
        <v>9.8637591020217172</v>
      </c>
      <c r="AX17" s="507">
        <f t="shared" si="3"/>
        <v>-85.049999999997453</v>
      </c>
      <c r="AY17" s="507">
        <f t="shared" si="10"/>
        <v>0</v>
      </c>
      <c r="AZ17" s="512">
        <f t="shared" si="11"/>
        <v>0</v>
      </c>
    </row>
    <row r="18" spans="1:56" s="448" customFormat="1" ht="15.75">
      <c r="A18" s="503" t="s">
        <v>15</v>
      </c>
      <c r="B18" s="504" t="s">
        <v>62</v>
      </c>
      <c r="C18" s="505" t="s">
        <v>17</v>
      </c>
      <c r="D18" s="506">
        <v>2211.8000000000002</v>
      </c>
      <c r="E18" s="501">
        <v>-3.6000000000003638</v>
      </c>
      <c r="F18" s="507">
        <v>2208.1999999999998</v>
      </c>
      <c r="G18" s="508">
        <v>0</v>
      </c>
      <c r="H18" s="508">
        <v>0</v>
      </c>
      <c r="I18" s="508">
        <v>0</v>
      </c>
      <c r="J18" s="508">
        <v>0</v>
      </c>
      <c r="K18" s="508">
        <v>0</v>
      </c>
      <c r="L18" s="508">
        <v>0</v>
      </c>
      <c r="M18" s="508">
        <v>0</v>
      </c>
      <c r="N18" s="508">
        <v>0</v>
      </c>
      <c r="O18" s="508">
        <v>0</v>
      </c>
      <c r="P18" s="508">
        <v>0</v>
      </c>
      <c r="Q18" s="508">
        <v>2208.1999999999998</v>
      </c>
      <c r="R18" s="508">
        <v>0</v>
      </c>
      <c r="S18" s="508">
        <v>0</v>
      </c>
      <c r="T18" s="508">
        <v>0</v>
      </c>
      <c r="U18" s="508">
        <v>0</v>
      </c>
      <c r="V18" s="508">
        <v>0</v>
      </c>
      <c r="W18" s="508">
        <v>0</v>
      </c>
      <c r="X18" s="508">
        <v>0</v>
      </c>
      <c r="Y18" s="508">
        <v>0</v>
      </c>
      <c r="Z18" s="508">
        <v>0</v>
      </c>
      <c r="AA18" s="508">
        <v>0</v>
      </c>
      <c r="AB18" s="508">
        <v>0</v>
      </c>
      <c r="AC18" s="474">
        <f>'[6]12ch'!BM14</f>
        <v>2208.1999999999998</v>
      </c>
      <c r="AD18" s="474">
        <f t="shared" si="1"/>
        <v>0</v>
      </c>
      <c r="AE18" s="474"/>
      <c r="AF18" s="509">
        <f t="shared" si="5"/>
        <v>2.23857931212904</v>
      </c>
      <c r="AG18" s="509"/>
      <c r="AH18" s="509"/>
      <c r="AI18" s="509" t="s">
        <v>16</v>
      </c>
      <c r="AJ18" s="507">
        <v>5029.4799999999996</v>
      </c>
      <c r="AM18" s="503" t="s">
        <v>15</v>
      </c>
      <c r="AN18" s="504" t="s">
        <v>62</v>
      </c>
      <c r="AO18" s="505" t="s">
        <v>17</v>
      </c>
      <c r="AP18" s="507">
        <f>+'[6]01CH'!D15</f>
        <v>2219</v>
      </c>
      <c r="AQ18" s="507">
        <f t="shared" si="7"/>
        <v>2.2495278931321172</v>
      </c>
      <c r="AR18" s="507">
        <f>+'[6]02CH'!D15</f>
        <v>2211.8000000000002</v>
      </c>
      <c r="AS18" s="507">
        <f t="shared" si="8"/>
        <v>2.2422288391300662</v>
      </c>
      <c r="AT18" s="511">
        <f t="shared" si="6"/>
        <v>2211.8000000000002</v>
      </c>
      <c r="AU18" s="512">
        <f t="shared" si="4"/>
        <v>-3.6000000000003638</v>
      </c>
      <c r="AV18" s="507">
        <f t="shared" si="2"/>
        <v>2208.1999999999998</v>
      </c>
      <c r="AW18" s="507">
        <f t="shared" si="9"/>
        <v>2.23857931212904</v>
      </c>
      <c r="AX18" s="507">
        <f t="shared" si="3"/>
        <v>-10.800000000000182</v>
      </c>
      <c r="AY18" s="507">
        <f t="shared" si="10"/>
        <v>-3.6000000000003638</v>
      </c>
      <c r="AZ18" s="512">
        <f t="shared" si="11"/>
        <v>-3.6000000000003638</v>
      </c>
    </row>
    <row r="19" spans="1:56" s="448" customFormat="1" ht="15.75">
      <c r="A19" s="503" t="s">
        <v>64</v>
      </c>
      <c r="B19" s="504" t="s">
        <v>63</v>
      </c>
      <c r="C19" s="505" t="s">
        <v>18</v>
      </c>
      <c r="D19" s="506">
        <v>61783.799999999996</v>
      </c>
      <c r="E19" s="501">
        <v>4.10000001284061E-3</v>
      </c>
      <c r="F19" s="507">
        <v>61783.804100000008</v>
      </c>
      <c r="G19" s="508">
        <v>1044.8150000000001</v>
      </c>
      <c r="H19" s="508">
        <v>389.18</v>
      </c>
      <c r="I19" s="508">
        <v>6361.07</v>
      </c>
      <c r="J19" s="508">
        <v>441.28</v>
      </c>
      <c r="K19" s="508">
        <v>5202.5099999999993</v>
      </c>
      <c r="L19" s="508">
        <v>1230.02</v>
      </c>
      <c r="M19" s="508">
        <v>5079.5700000000006</v>
      </c>
      <c r="N19" s="508">
        <v>2088.5290999999997</v>
      </c>
      <c r="O19" s="508">
        <v>1313.8300000000002</v>
      </c>
      <c r="P19" s="508">
        <v>6036.62</v>
      </c>
      <c r="Q19" s="508">
        <v>1263.6599999999999</v>
      </c>
      <c r="R19" s="508">
        <v>3382.68</v>
      </c>
      <c r="S19" s="508">
        <v>4906.0400000000009</v>
      </c>
      <c r="T19" s="508">
        <v>4255.0200000000004</v>
      </c>
      <c r="U19" s="508">
        <v>3634.68</v>
      </c>
      <c r="V19" s="508">
        <v>2909.34</v>
      </c>
      <c r="W19" s="508">
        <v>3156.8600000000006</v>
      </c>
      <c r="X19" s="508">
        <v>603.4</v>
      </c>
      <c r="Y19" s="508">
        <v>3806.32</v>
      </c>
      <c r="Z19" s="508">
        <v>2970.44</v>
      </c>
      <c r="AA19" s="508">
        <v>1707.94</v>
      </c>
      <c r="AB19" s="508">
        <v>0</v>
      </c>
      <c r="AC19" s="474">
        <f>'[6]12ch'!BM15</f>
        <v>61783.804100000001</v>
      </c>
      <c r="AD19" s="474">
        <f t="shared" si="1"/>
        <v>0</v>
      </c>
      <c r="AE19" s="474"/>
      <c r="AF19" s="509">
        <f t="shared" si="5"/>
        <v>62.633794802505847</v>
      </c>
      <c r="AG19" s="509"/>
      <c r="AH19" s="509"/>
      <c r="AI19" s="509" t="s">
        <v>17</v>
      </c>
      <c r="AJ19" s="510">
        <v>0</v>
      </c>
      <c r="AM19" s="503" t="s">
        <v>64</v>
      </c>
      <c r="AN19" s="504" t="s">
        <v>63</v>
      </c>
      <c r="AO19" s="505" t="s">
        <v>18</v>
      </c>
      <c r="AP19" s="507">
        <f>+'[6]01CH'!D16</f>
        <v>64030.86</v>
      </c>
      <c r="AQ19" s="507">
        <f t="shared" si="7"/>
        <v>64.911764574690196</v>
      </c>
      <c r="AR19" s="507">
        <f>+'[6]02CH'!D16</f>
        <v>61792.7</v>
      </c>
      <c r="AS19" s="507">
        <f t="shared" si="8"/>
        <v>62.64281308785263</v>
      </c>
      <c r="AT19" s="511">
        <f t="shared" si="6"/>
        <v>61783.799999999996</v>
      </c>
      <c r="AU19" s="512">
        <f t="shared" si="4"/>
        <v>4.10000001284061E-3</v>
      </c>
      <c r="AV19" s="507">
        <f t="shared" si="2"/>
        <v>61783.804100000008</v>
      </c>
      <c r="AW19" s="507">
        <f t="shared" si="9"/>
        <v>62.633794802505847</v>
      </c>
      <c r="AX19" s="507">
        <f t="shared" si="3"/>
        <v>-2247.0558999999921</v>
      </c>
      <c r="AY19" s="507">
        <f t="shared" si="10"/>
        <v>-8.8958999999886146</v>
      </c>
      <c r="AZ19" s="512">
        <f t="shared" si="11"/>
        <v>4.10000001284061E-3</v>
      </c>
    </row>
    <row r="20" spans="1:56" s="518" customFormat="1" ht="15.75">
      <c r="A20" s="513" t="s">
        <v>193</v>
      </c>
      <c r="B20" s="520" t="s">
        <v>2813</v>
      </c>
      <c r="C20" s="521" t="s">
        <v>187</v>
      </c>
      <c r="D20" s="500">
        <v>5532.4</v>
      </c>
      <c r="E20" s="501">
        <v>0</v>
      </c>
      <c r="F20" s="515">
        <v>5532.4</v>
      </c>
      <c r="G20" s="516">
        <v>0</v>
      </c>
      <c r="H20" s="516">
        <v>0</v>
      </c>
      <c r="I20" s="516">
        <v>246.48999999999998</v>
      </c>
      <c r="J20" s="516">
        <v>0</v>
      </c>
      <c r="K20" s="516">
        <v>167.66</v>
      </c>
      <c r="L20" s="516">
        <v>0</v>
      </c>
      <c r="M20" s="516">
        <v>1227.4499999999998</v>
      </c>
      <c r="N20" s="516">
        <v>48.34</v>
      </c>
      <c r="O20" s="516">
        <v>0</v>
      </c>
      <c r="P20" s="516">
        <v>235.76999999999998</v>
      </c>
      <c r="Q20" s="516">
        <v>99.050000000000011</v>
      </c>
      <c r="R20" s="516">
        <v>38.82</v>
      </c>
      <c r="S20" s="516">
        <v>504.8</v>
      </c>
      <c r="T20" s="516">
        <v>494.63</v>
      </c>
      <c r="U20" s="516">
        <v>325.08999999999997</v>
      </c>
      <c r="V20" s="516">
        <v>154.18</v>
      </c>
      <c r="W20" s="516">
        <v>200.93</v>
      </c>
      <c r="X20" s="516">
        <v>0</v>
      </c>
      <c r="Y20" s="516">
        <v>24.16</v>
      </c>
      <c r="Z20" s="516">
        <v>1765.03</v>
      </c>
      <c r="AA20" s="516">
        <v>0</v>
      </c>
      <c r="AB20" s="516">
        <v>0</v>
      </c>
      <c r="AC20" s="474">
        <f>'[6]12ch'!BM16</f>
        <v>5532.4</v>
      </c>
      <c r="AD20" s="474">
        <f t="shared" si="1"/>
        <v>0</v>
      </c>
      <c r="AE20" s="474"/>
      <c r="AF20" s="509">
        <f t="shared" si="5"/>
        <v>5.6085119945759914</v>
      </c>
      <c r="AG20" s="509"/>
      <c r="AH20" s="509"/>
      <c r="AI20" s="509" t="s">
        <v>18</v>
      </c>
      <c r="AJ20" s="510">
        <v>16792.949999999997</v>
      </c>
      <c r="AM20" s="513" t="s">
        <v>193</v>
      </c>
      <c r="AN20" s="520" t="s">
        <v>2813</v>
      </c>
      <c r="AO20" s="521" t="s">
        <v>187</v>
      </c>
      <c r="AP20" s="507">
        <f>+'[6]01CH'!D17</f>
        <v>5538.4</v>
      </c>
      <c r="AQ20" s="507">
        <f t="shared" si="7"/>
        <v>5.6145945395777002</v>
      </c>
      <c r="AR20" s="507">
        <f>+'[6]02CH'!D17</f>
        <v>5532.4</v>
      </c>
      <c r="AS20" s="507">
        <f t="shared" si="8"/>
        <v>5.6085119945759914</v>
      </c>
      <c r="AT20" s="511">
        <f t="shared" si="6"/>
        <v>5532.4</v>
      </c>
      <c r="AU20" s="512">
        <f t="shared" si="4"/>
        <v>0</v>
      </c>
      <c r="AV20" s="515">
        <f t="shared" si="2"/>
        <v>5532.4</v>
      </c>
      <c r="AW20" s="507">
        <f t="shared" si="9"/>
        <v>5.6085119945759914</v>
      </c>
      <c r="AX20" s="515">
        <f t="shared" si="3"/>
        <v>-6</v>
      </c>
      <c r="AY20" s="507">
        <f t="shared" si="10"/>
        <v>0</v>
      </c>
      <c r="AZ20" s="512">
        <f t="shared" si="11"/>
        <v>0</v>
      </c>
    </row>
    <row r="21" spans="1:56" s="448" customFormat="1" ht="15.75">
      <c r="A21" s="503" t="s">
        <v>73</v>
      </c>
      <c r="B21" s="504" t="s">
        <v>72</v>
      </c>
      <c r="C21" s="505" t="s">
        <v>19</v>
      </c>
      <c r="D21" s="506"/>
      <c r="E21" s="501">
        <v>275.47000000000003</v>
      </c>
      <c r="F21" s="507">
        <v>275.47000000000003</v>
      </c>
      <c r="G21" s="508">
        <v>8.7899999999999991</v>
      </c>
      <c r="H21" s="508">
        <v>17.900000000000002</v>
      </c>
      <c r="I21" s="508">
        <v>3.75</v>
      </c>
      <c r="J21" s="508">
        <v>10.58</v>
      </c>
      <c r="K21" s="508">
        <v>33.620000000000005</v>
      </c>
      <c r="L21" s="508">
        <v>12.64</v>
      </c>
      <c r="M21" s="508">
        <v>2.0500000000000003</v>
      </c>
      <c r="N21" s="508">
        <v>7.7600000000000007</v>
      </c>
      <c r="O21" s="508">
        <v>16.84</v>
      </c>
      <c r="P21" s="508">
        <v>15.450000000000001</v>
      </c>
      <c r="Q21" s="508">
        <v>1.4</v>
      </c>
      <c r="R21" s="508">
        <v>9.879999999999999</v>
      </c>
      <c r="S21" s="508">
        <v>11.299999999999999</v>
      </c>
      <c r="T21" s="508">
        <v>14.45</v>
      </c>
      <c r="U21" s="508">
        <v>6.8699999999999992</v>
      </c>
      <c r="V21" s="508">
        <v>30.37</v>
      </c>
      <c r="W21" s="508">
        <v>3.98</v>
      </c>
      <c r="X21" s="508">
        <v>31.969999999999995</v>
      </c>
      <c r="Y21" s="508">
        <v>21.14</v>
      </c>
      <c r="Z21" s="508">
        <v>3.7399999999999998</v>
      </c>
      <c r="AA21" s="508">
        <v>10.989999999999998</v>
      </c>
      <c r="AB21" s="508">
        <v>0</v>
      </c>
      <c r="AC21" s="474">
        <f>'[6]12ch'!BM19</f>
        <v>275.02000000000004</v>
      </c>
      <c r="AD21" s="474">
        <f t="shared" si="1"/>
        <v>0.44999999999998863</v>
      </c>
      <c r="AE21" s="474"/>
      <c r="AF21" s="509">
        <f t="shared" si="5"/>
        <v>0.27925977860347201</v>
      </c>
      <c r="AG21" s="509"/>
      <c r="AH21" s="509"/>
      <c r="AI21" s="509" t="s">
        <v>187</v>
      </c>
      <c r="AJ21" s="507">
        <v>931.08</v>
      </c>
      <c r="AM21" s="503" t="s">
        <v>73</v>
      </c>
      <c r="AN21" s="504" t="s">
        <v>72</v>
      </c>
      <c r="AO21" s="505" t="s">
        <v>19</v>
      </c>
      <c r="AP21" s="507">
        <f>+'[6]01CH'!D18</f>
        <v>288.79000000000002</v>
      </c>
      <c r="AQ21" s="507">
        <f t="shared" si="7"/>
        <v>0.29276302850726638</v>
      </c>
      <c r="AR21" s="507">
        <f>+'[6]02CH'!D18</f>
        <v>275.01</v>
      </c>
      <c r="AS21" s="507">
        <f t="shared" si="8"/>
        <v>0.27879345015334095</v>
      </c>
      <c r="AT21" s="511">
        <f t="shared" si="6"/>
        <v>0</v>
      </c>
      <c r="AU21" s="512">
        <f t="shared" si="4"/>
        <v>275.47000000000003</v>
      </c>
      <c r="AV21" s="507">
        <f t="shared" si="2"/>
        <v>275.47000000000003</v>
      </c>
      <c r="AW21" s="507">
        <f t="shared" si="9"/>
        <v>0.27925977860347201</v>
      </c>
      <c r="AX21" s="507">
        <f t="shared" si="3"/>
        <v>-13.319999999999993</v>
      </c>
      <c r="AY21" s="507">
        <f t="shared" si="10"/>
        <v>0.46000000000003638</v>
      </c>
      <c r="AZ21" s="512"/>
    </row>
    <row r="22" spans="1:56" s="448" customFormat="1" ht="15.75">
      <c r="A22" s="503" t="s">
        <v>86</v>
      </c>
      <c r="B22" s="504" t="s">
        <v>2749</v>
      </c>
      <c r="C22" s="505" t="s">
        <v>2752</v>
      </c>
      <c r="D22" s="506"/>
      <c r="E22" s="501">
        <v>0</v>
      </c>
      <c r="F22" s="507">
        <v>0</v>
      </c>
      <c r="G22" s="508">
        <v>0</v>
      </c>
      <c r="H22" s="508">
        <v>0</v>
      </c>
      <c r="I22" s="508">
        <v>0</v>
      </c>
      <c r="J22" s="508">
        <v>0</v>
      </c>
      <c r="K22" s="508">
        <v>0</v>
      </c>
      <c r="L22" s="508">
        <v>0</v>
      </c>
      <c r="M22" s="508">
        <v>0</v>
      </c>
      <c r="N22" s="508">
        <v>0</v>
      </c>
      <c r="O22" s="508">
        <v>0</v>
      </c>
      <c r="P22" s="508">
        <v>0</v>
      </c>
      <c r="Q22" s="508">
        <v>0</v>
      </c>
      <c r="R22" s="508">
        <v>0</v>
      </c>
      <c r="S22" s="508">
        <v>0</v>
      </c>
      <c r="T22" s="508">
        <v>0</v>
      </c>
      <c r="U22" s="508">
        <v>0</v>
      </c>
      <c r="V22" s="508">
        <v>0</v>
      </c>
      <c r="W22" s="508">
        <v>0</v>
      </c>
      <c r="X22" s="508">
        <v>0</v>
      </c>
      <c r="Y22" s="508">
        <v>0</v>
      </c>
      <c r="Z22" s="508">
        <v>0</v>
      </c>
      <c r="AA22" s="508">
        <v>0</v>
      </c>
      <c r="AB22" s="508">
        <v>0</v>
      </c>
      <c r="AC22" s="474">
        <f>'[6]12ch'!BM20</f>
        <v>0</v>
      </c>
      <c r="AD22" s="474">
        <f t="shared" si="1"/>
        <v>0</v>
      </c>
      <c r="AE22" s="474"/>
      <c r="AF22" s="509">
        <f t="shared" si="5"/>
        <v>0</v>
      </c>
      <c r="AG22" s="509"/>
      <c r="AH22" s="509"/>
      <c r="AI22" s="509" t="s">
        <v>19</v>
      </c>
      <c r="AJ22" s="507">
        <v>354.09212904999998</v>
      </c>
      <c r="AK22" s="522">
        <f>F21-AJ22</f>
        <v>-78.622129049999955</v>
      </c>
      <c r="AM22" s="503" t="s">
        <v>86</v>
      </c>
      <c r="AN22" s="504" t="s">
        <v>2749</v>
      </c>
      <c r="AO22" s="505" t="s">
        <v>2752</v>
      </c>
      <c r="AP22" s="507">
        <f>+'[6]01CH'!D19</f>
        <v>0</v>
      </c>
      <c r="AQ22" s="507">
        <f t="shared" si="7"/>
        <v>0</v>
      </c>
      <c r="AR22" s="507">
        <f>+'[6]02CH'!D19</f>
        <v>275.009765625</v>
      </c>
      <c r="AS22" s="507">
        <f t="shared" si="8"/>
        <v>0.27879321255392686</v>
      </c>
      <c r="AT22" s="511">
        <f t="shared" si="6"/>
        <v>0</v>
      </c>
      <c r="AU22" s="512">
        <f t="shared" si="4"/>
        <v>0</v>
      </c>
      <c r="AV22" s="507">
        <f t="shared" si="2"/>
        <v>0</v>
      </c>
      <c r="AW22" s="507">
        <f t="shared" si="9"/>
        <v>0</v>
      </c>
      <c r="AX22" s="507">
        <f t="shared" si="3"/>
        <v>0</v>
      </c>
      <c r="AY22" s="507">
        <f t="shared" si="10"/>
        <v>-275.009765625</v>
      </c>
      <c r="AZ22" s="512">
        <f t="shared" si="11"/>
        <v>0</v>
      </c>
    </row>
    <row r="23" spans="1:56" s="448" customFormat="1" ht="15.75">
      <c r="A23" s="503" t="s">
        <v>2756</v>
      </c>
      <c r="B23" s="504" t="s">
        <v>89</v>
      </c>
      <c r="C23" s="503" t="s">
        <v>20</v>
      </c>
      <c r="D23" s="506"/>
      <c r="E23" s="501">
        <v>342.09000000000003</v>
      </c>
      <c r="F23" s="507">
        <v>342.09000000000003</v>
      </c>
      <c r="G23" s="508">
        <v>0.34000000000000008</v>
      </c>
      <c r="H23" s="508">
        <v>1.06</v>
      </c>
      <c r="I23" s="508">
        <v>10.039999999999999</v>
      </c>
      <c r="J23" s="508">
        <v>2.79</v>
      </c>
      <c r="K23" s="508">
        <v>4.2299999999999995</v>
      </c>
      <c r="L23" s="508">
        <v>0.4</v>
      </c>
      <c r="M23" s="508">
        <v>14.07</v>
      </c>
      <c r="N23" s="508">
        <v>2.77</v>
      </c>
      <c r="O23" s="508">
        <v>0.56000000000000005</v>
      </c>
      <c r="P23" s="508">
        <v>4.6599999999999993</v>
      </c>
      <c r="Q23" s="508">
        <v>0.7</v>
      </c>
      <c r="R23" s="508">
        <v>0.15</v>
      </c>
      <c r="S23" s="508">
        <v>36.72</v>
      </c>
      <c r="T23" s="508">
        <v>1.29</v>
      </c>
      <c r="U23" s="508">
        <v>4.2900000000000009</v>
      </c>
      <c r="V23" s="508">
        <v>3.64</v>
      </c>
      <c r="W23" s="508">
        <v>0</v>
      </c>
      <c r="X23" s="508">
        <v>5.79</v>
      </c>
      <c r="Y23" s="508">
        <v>156.96</v>
      </c>
      <c r="Z23" s="508">
        <v>0.45000000000000007</v>
      </c>
      <c r="AA23" s="508">
        <v>91.179999999999993</v>
      </c>
      <c r="AB23" s="508">
        <v>0</v>
      </c>
      <c r="AC23" s="474">
        <f>'[6]12ch'!BM21</f>
        <v>342.08</v>
      </c>
      <c r="AD23" s="474">
        <f t="shared" si="1"/>
        <v>1.0000000000047748E-2</v>
      </c>
      <c r="AE23" s="474"/>
      <c r="AF23" s="509">
        <f t="shared" si="5"/>
        <v>0.3467963032724497</v>
      </c>
      <c r="AG23" s="509"/>
      <c r="AH23" s="509"/>
      <c r="AI23" s="509" t="s">
        <v>2752</v>
      </c>
      <c r="AJ23" s="507">
        <v>0</v>
      </c>
      <c r="AM23" s="503" t="s">
        <v>2756</v>
      </c>
      <c r="AN23" s="504" t="s">
        <v>89</v>
      </c>
      <c r="AO23" s="503" t="s">
        <v>20</v>
      </c>
      <c r="AP23" s="507">
        <f>+'[6]01CH'!D20</f>
        <v>1.31</v>
      </c>
      <c r="AQ23" s="507">
        <f t="shared" si="7"/>
        <v>1.3280223253731743E-3</v>
      </c>
      <c r="AR23" s="507">
        <f>+'[6]02CH'!D20</f>
        <v>294.16000000000003</v>
      </c>
      <c r="AS23" s="507">
        <f t="shared" si="8"/>
        <v>0.2982069062837962</v>
      </c>
      <c r="AT23" s="511">
        <f t="shared" si="6"/>
        <v>0</v>
      </c>
      <c r="AU23" s="512">
        <f t="shared" si="4"/>
        <v>342.09000000000003</v>
      </c>
      <c r="AV23" s="507">
        <f t="shared" si="2"/>
        <v>342.09000000000003</v>
      </c>
      <c r="AW23" s="507">
        <f t="shared" si="9"/>
        <v>0.3467963032724497</v>
      </c>
      <c r="AX23" s="507">
        <f t="shared" si="3"/>
        <v>340.78000000000003</v>
      </c>
      <c r="AY23" s="507">
        <f t="shared" si="10"/>
        <v>47.930000000000007</v>
      </c>
      <c r="AZ23" s="512"/>
    </row>
    <row r="24" spans="1:56" s="495" customFormat="1" ht="15.75">
      <c r="A24" s="461">
        <v>2</v>
      </c>
      <c r="B24" s="489" t="s">
        <v>21</v>
      </c>
      <c r="C24" s="490" t="s">
        <v>22</v>
      </c>
      <c r="D24" s="470">
        <v>9943.7900000000009</v>
      </c>
      <c r="E24" s="491">
        <v>43.17732000000251</v>
      </c>
      <c r="F24" s="478">
        <v>9986.9673200000034</v>
      </c>
      <c r="G24" s="523">
        <v>422.41499999999996</v>
      </c>
      <c r="H24" s="523">
        <v>466.15</v>
      </c>
      <c r="I24" s="523">
        <v>1730.21</v>
      </c>
      <c r="J24" s="523">
        <v>149.97</v>
      </c>
      <c r="K24" s="523">
        <v>854.51</v>
      </c>
      <c r="L24" s="523">
        <v>356.9799999999999</v>
      </c>
      <c r="M24" s="523">
        <v>224.37</v>
      </c>
      <c r="N24" s="523">
        <v>383.96931999999993</v>
      </c>
      <c r="O24" s="523">
        <v>494.13999999999993</v>
      </c>
      <c r="P24" s="523">
        <v>367.30099999999993</v>
      </c>
      <c r="Q24" s="523">
        <v>457.12999999999988</v>
      </c>
      <c r="R24" s="523">
        <v>236.61999999999998</v>
      </c>
      <c r="S24" s="523">
        <v>187.81</v>
      </c>
      <c r="T24" s="523">
        <v>1028.8</v>
      </c>
      <c r="U24" s="523">
        <v>208.36999999999995</v>
      </c>
      <c r="V24" s="523">
        <v>370.9319999999999</v>
      </c>
      <c r="W24" s="523">
        <v>651.18999999999994</v>
      </c>
      <c r="X24" s="523">
        <v>566.00999999999976</v>
      </c>
      <c r="Y24" s="523">
        <v>358.86999999999989</v>
      </c>
      <c r="Z24" s="492">
        <v>177.85000000000002</v>
      </c>
      <c r="AA24" s="492">
        <v>293.37</v>
      </c>
      <c r="AB24" s="492">
        <v>0</v>
      </c>
      <c r="AC24" s="474">
        <f>'[6]12ch'!BM22</f>
        <v>9986.8673199999994</v>
      </c>
      <c r="AD24" s="474">
        <f t="shared" si="1"/>
        <v>0.10000000000400178</v>
      </c>
      <c r="AE24" s="474"/>
      <c r="AF24" s="493">
        <f t="shared" si="5"/>
        <v>10.124363025749847</v>
      </c>
      <c r="AG24" s="493"/>
      <c r="AH24" s="493"/>
      <c r="AI24" s="493" t="s">
        <v>20</v>
      </c>
      <c r="AJ24" s="494">
        <v>721.24510099999998</v>
      </c>
      <c r="AM24" s="461">
        <v>2</v>
      </c>
      <c r="AN24" s="489" t="s">
        <v>21</v>
      </c>
      <c r="AO24" s="490" t="s">
        <v>22</v>
      </c>
      <c r="AP24" s="478">
        <f>+'[6]01CH'!D21</f>
        <v>8216.659999999998</v>
      </c>
      <c r="AQ24" s="478">
        <f>+AP24/$AP$9*100</f>
        <v>8.3297007022906442</v>
      </c>
      <c r="AR24" s="478">
        <f>+'[6]02CH'!D21</f>
        <v>9961.7999999999993</v>
      </c>
      <c r="AS24" s="478">
        <f>+AR24/$AR$9*100</f>
        <v>10.098849466337777</v>
      </c>
      <c r="AT24" s="496">
        <f t="shared" si="6"/>
        <v>9943.7900000000009</v>
      </c>
      <c r="AU24" s="497">
        <f t="shared" si="4"/>
        <v>43.17732000000251</v>
      </c>
      <c r="AV24" s="478">
        <f t="shared" si="2"/>
        <v>9986.9673200000034</v>
      </c>
      <c r="AW24" s="472">
        <f>+AV24/$AV$9*100</f>
        <v>10.124363025749847</v>
      </c>
      <c r="AX24" s="478">
        <f t="shared" si="3"/>
        <v>1770.3073200000053</v>
      </c>
      <c r="AY24" s="478">
        <f>+AV24-AR24</f>
        <v>25.167320000004111</v>
      </c>
      <c r="AZ24" s="497">
        <f>+AV24-AT24</f>
        <v>43.17732000000251</v>
      </c>
      <c r="BD24" s="498"/>
    </row>
    <row r="25" spans="1:56" s="495" customFormat="1" ht="15.75">
      <c r="A25" s="461"/>
      <c r="B25" s="499" t="s">
        <v>2815</v>
      </c>
      <c r="C25" s="490"/>
      <c r="D25" s="470"/>
      <c r="E25" s="501">
        <v>0</v>
      </c>
      <c r="F25" s="478"/>
      <c r="G25" s="492"/>
      <c r="H25" s="492"/>
      <c r="I25" s="492"/>
      <c r="J25" s="492"/>
      <c r="K25" s="492"/>
      <c r="L25" s="492"/>
      <c r="M25" s="492"/>
      <c r="N25" s="492"/>
      <c r="O25" s="492"/>
      <c r="P25" s="492"/>
      <c r="Q25" s="492"/>
      <c r="R25" s="492"/>
      <c r="S25" s="492"/>
      <c r="T25" s="492"/>
      <c r="U25" s="492"/>
      <c r="V25" s="492"/>
      <c r="W25" s="492"/>
      <c r="X25" s="492"/>
      <c r="Y25" s="492"/>
      <c r="Z25" s="492"/>
      <c r="AA25" s="492"/>
      <c r="AB25" s="492"/>
      <c r="AC25" s="474"/>
      <c r="AD25" s="474">
        <f t="shared" si="1"/>
        <v>0</v>
      </c>
      <c r="AE25" s="474"/>
      <c r="AF25" s="509">
        <f t="shared" si="5"/>
        <v>0</v>
      </c>
      <c r="AG25" s="509">
        <f>'[6]01CH'!AE23+'03CH_GOC'!AJ48</f>
        <v>3.24</v>
      </c>
      <c r="AH25" s="509"/>
      <c r="AI25" s="509" t="s">
        <v>22</v>
      </c>
      <c r="AJ25" s="478">
        <v>5711.6020924785917</v>
      </c>
      <c r="AM25" s="461"/>
      <c r="AN25" s="499" t="s">
        <v>2815</v>
      </c>
      <c r="AO25" s="490"/>
      <c r="AP25" s="478"/>
      <c r="AQ25" s="478"/>
      <c r="AR25" s="478"/>
      <c r="AS25" s="478"/>
      <c r="AT25" s="496"/>
      <c r="AU25" s="497">
        <f t="shared" si="4"/>
        <v>0</v>
      </c>
      <c r="AV25" s="478">
        <f t="shared" si="2"/>
        <v>0</v>
      </c>
      <c r="AW25" s="478"/>
      <c r="AX25" s="478">
        <f t="shared" si="3"/>
        <v>0</v>
      </c>
      <c r="AY25" s="478">
        <f>AV25-AP25</f>
        <v>0</v>
      </c>
      <c r="AZ25" s="497">
        <f>AW25-AQ25</f>
        <v>0</v>
      </c>
    </row>
    <row r="26" spans="1:56" s="448" customFormat="1" ht="15.75">
      <c r="A26" s="503" t="s">
        <v>23</v>
      </c>
      <c r="B26" s="504" t="s">
        <v>65</v>
      </c>
      <c r="C26" s="505" t="s">
        <v>26</v>
      </c>
      <c r="D26" s="506">
        <v>1835.3</v>
      </c>
      <c r="E26" s="501">
        <v>17.049999999999955</v>
      </c>
      <c r="F26" s="507">
        <v>1852.35</v>
      </c>
      <c r="G26" s="508">
        <v>8.82</v>
      </c>
      <c r="H26" s="508">
        <v>0</v>
      </c>
      <c r="I26" s="508">
        <v>1535.04</v>
      </c>
      <c r="J26" s="508">
        <v>0</v>
      </c>
      <c r="K26" s="508">
        <v>80.14</v>
      </c>
      <c r="L26" s="508">
        <v>54.23</v>
      </c>
      <c r="M26" s="508">
        <v>0</v>
      </c>
      <c r="N26" s="508">
        <v>0</v>
      </c>
      <c r="O26" s="508">
        <v>33.56</v>
      </c>
      <c r="P26" s="508">
        <v>0</v>
      </c>
      <c r="Q26" s="508">
        <v>3.15</v>
      </c>
      <c r="R26" s="508">
        <v>15</v>
      </c>
      <c r="S26" s="508">
        <v>8.43</v>
      </c>
      <c r="T26" s="508">
        <v>0</v>
      </c>
      <c r="U26" s="508">
        <v>3.87</v>
      </c>
      <c r="V26" s="508">
        <v>0.83</v>
      </c>
      <c r="W26" s="508">
        <v>0.02</v>
      </c>
      <c r="X26" s="508">
        <v>40.480000000000004</v>
      </c>
      <c r="Y26" s="508">
        <v>26.94</v>
      </c>
      <c r="Z26" s="508">
        <v>0</v>
      </c>
      <c r="AA26" s="508">
        <v>41.84</v>
      </c>
      <c r="AB26" s="508">
        <v>0</v>
      </c>
      <c r="AC26" s="474">
        <f>'[6]12ch'!BM23</f>
        <v>1852.35</v>
      </c>
      <c r="AD26" s="474">
        <f t="shared" si="1"/>
        <v>0</v>
      </c>
      <c r="AE26" s="474"/>
      <c r="AF26" s="509">
        <f t="shared" si="5"/>
        <v>1.877833705652671</v>
      </c>
      <c r="AG26" s="509"/>
      <c r="AH26" s="509"/>
      <c r="AI26" s="509" t="s">
        <v>26</v>
      </c>
      <c r="AJ26" s="510">
        <v>545</v>
      </c>
      <c r="AM26" s="503" t="s">
        <v>23</v>
      </c>
      <c r="AN26" s="504" t="s">
        <v>65</v>
      </c>
      <c r="AO26" s="505" t="s">
        <v>26</v>
      </c>
      <c r="AP26" s="507">
        <f>+'[6]01CH'!D23</f>
        <v>1736.52</v>
      </c>
      <c r="AQ26" s="507">
        <f>+AP26/$AP$9*100</f>
        <v>1.760410174394675</v>
      </c>
      <c r="AR26" s="507">
        <f>+'[6]02CH'!D23</f>
        <v>1835.3</v>
      </c>
      <c r="AS26" s="507">
        <f>+AR26/$AR$9*100</f>
        <v>1.8605491402728145</v>
      </c>
      <c r="AT26" s="511">
        <f t="shared" ref="AT26:AT34" si="12">D26</f>
        <v>1835.3</v>
      </c>
      <c r="AU26" s="512">
        <f t="shared" si="4"/>
        <v>17.049999999999955</v>
      </c>
      <c r="AV26" s="507">
        <f t="shared" si="2"/>
        <v>1852.35</v>
      </c>
      <c r="AW26" s="507">
        <f>+AV26/$AV$9*100</f>
        <v>1.877833705652671</v>
      </c>
      <c r="AX26" s="507">
        <f t="shared" si="3"/>
        <v>115.82999999999993</v>
      </c>
      <c r="AY26" s="507">
        <f>+AV26-AR26</f>
        <v>17.049999999999955</v>
      </c>
      <c r="AZ26" s="512">
        <f>+AV26-AT26</f>
        <v>17.049999999999955</v>
      </c>
    </row>
    <row r="27" spans="1:56" s="448" customFormat="1" ht="15.75">
      <c r="A27" s="503" t="s">
        <v>25</v>
      </c>
      <c r="B27" s="504" t="s">
        <v>66</v>
      </c>
      <c r="C27" s="505" t="s">
        <v>28</v>
      </c>
      <c r="D27" s="524">
        <v>16.080000000000002</v>
      </c>
      <c r="E27" s="501">
        <v>-3.000000000000469E-2</v>
      </c>
      <c r="F27" s="507">
        <v>16.049999999999997</v>
      </c>
      <c r="G27" s="508">
        <v>0.62999999999999989</v>
      </c>
      <c r="H27" s="508">
        <v>0.09</v>
      </c>
      <c r="I27" s="508">
        <v>0.15000000000000002</v>
      </c>
      <c r="J27" s="508">
        <v>0.13</v>
      </c>
      <c r="K27" s="508">
        <v>2.2700000000000005</v>
      </c>
      <c r="L27" s="508">
        <v>6.9799999999999995</v>
      </c>
      <c r="M27" s="508">
        <v>0.1</v>
      </c>
      <c r="N27" s="508">
        <v>0.11</v>
      </c>
      <c r="O27" s="508">
        <v>0.12</v>
      </c>
      <c r="P27" s="508">
        <v>0.23</v>
      </c>
      <c r="Q27" s="508">
        <v>1.999999999999999E-2</v>
      </c>
      <c r="R27" s="508">
        <v>0.2</v>
      </c>
      <c r="S27" s="508">
        <v>0.3</v>
      </c>
      <c r="T27" s="508">
        <v>0.16999999999999998</v>
      </c>
      <c r="U27" s="508">
        <v>0.33</v>
      </c>
      <c r="V27" s="508">
        <v>0.33</v>
      </c>
      <c r="W27" s="508">
        <v>0.1</v>
      </c>
      <c r="X27" s="508">
        <v>0.19</v>
      </c>
      <c r="Y27" s="508">
        <v>0.31</v>
      </c>
      <c r="Z27" s="508">
        <v>0.2</v>
      </c>
      <c r="AA27" s="508">
        <v>3.09</v>
      </c>
      <c r="AB27" s="508">
        <v>0</v>
      </c>
      <c r="AC27" s="474">
        <f>'[6]12ch'!BM24</f>
        <v>16.050000000000004</v>
      </c>
      <c r="AD27" s="474">
        <f t="shared" si="1"/>
        <v>0</v>
      </c>
      <c r="AE27" s="474"/>
      <c r="AF27" s="509">
        <f t="shared" si="5"/>
        <v>1.627080787957209E-2</v>
      </c>
      <c r="AG27" s="509"/>
      <c r="AH27" s="509">
        <f>E24-E26-AJ48</f>
        <v>22.887320000002553</v>
      </c>
      <c r="AI27" s="509" t="s">
        <v>28</v>
      </c>
      <c r="AJ27" s="510">
        <v>7.782</v>
      </c>
      <c r="AM27" s="503" t="s">
        <v>25</v>
      </c>
      <c r="AN27" s="504" t="s">
        <v>66</v>
      </c>
      <c r="AO27" s="505" t="s">
        <v>28</v>
      </c>
      <c r="AP27" s="507">
        <f>+'[6]01CH'!D24</f>
        <v>8.0200000000000014</v>
      </c>
      <c r="AQ27" s="507">
        <f t="shared" ref="AQ27:AQ65" si="13">+AP27/$AP$9*100</f>
        <v>8.1303351522846248E-3</v>
      </c>
      <c r="AR27" s="507">
        <f>+'[6]02CH'!D24</f>
        <v>12.41</v>
      </c>
      <c r="AS27" s="507">
        <f t="shared" ref="AS27:AS65" si="14">+AR27/$AR$9*100</f>
        <v>1.2580730578535185E-2</v>
      </c>
      <c r="AT27" s="511">
        <f t="shared" si="12"/>
        <v>16.080000000000002</v>
      </c>
      <c r="AU27" s="512">
        <f t="shared" si="4"/>
        <v>-3.000000000000469E-2</v>
      </c>
      <c r="AV27" s="507">
        <f t="shared" si="2"/>
        <v>16.049999999999997</v>
      </c>
      <c r="AW27" s="507">
        <f t="shared" ref="AW27:AW65" si="15">+AV27/$AV$9*100</f>
        <v>1.627080787957209E-2</v>
      </c>
      <c r="AX27" s="507">
        <f t="shared" si="3"/>
        <v>8.0299999999999958</v>
      </c>
      <c r="AY27" s="507">
        <f t="shared" ref="AY27:AY65" si="16">+AV27-AR27</f>
        <v>3.639999999999997</v>
      </c>
      <c r="AZ27" s="512">
        <f t="shared" ref="AZ27:AZ57" si="17">+AV27-AT27</f>
        <v>-3.000000000000469E-2</v>
      </c>
    </row>
    <row r="28" spans="1:56" s="448" customFormat="1" ht="15.75">
      <c r="A28" s="503" t="s">
        <v>27</v>
      </c>
      <c r="B28" s="504" t="s">
        <v>67</v>
      </c>
      <c r="C28" s="503" t="s">
        <v>30</v>
      </c>
      <c r="D28" s="506"/>
      <c r="E28" s="501">
        <v>0</v>
      </c>
      <c r="F28" s="507">
        <v>0</v>
      </c>
      <c r="G28" s="508">
        <v>0</v>
      </c>
      <c r="H28" s="508">
        <v>0</v>
      </c>
      <c r="I28" s="508">
        <v>0</v>
      </c>
      <c r="J28" s="508">
        <v>0</v>
      </c>
      <c r="K28" s="508">
        <v>0</v>
      </c>
      <c r="L28" s="508">
        <v>0</v>
      </c>
      <c r="M28" s="508">
        <v>0</v>
      </c>
      <c r="N28" s="508">
        <v>0</v>
      </c>
      <c r="O28" s="508">
        <v>0</v>
      </c>
      <c r="P28" s="508">
        <v>0</v>
      </c>
      <c r="Q28" s="508">
        <v>0</v>
      </c>
      <c r="R28" s="508">
        <v>0</v>
      </c>
      <c r="S28" s="508">
        <v>0</v>
      </c>
      <c r="T28" s="508">
        <v>0</v>
      </c>
      <c r="U28" s="508">
        <v>0</v>
      </c>
      <c r="V28" s="508">
        <v>0</v>
      </c>
      <c r="W28" s="508">
        <v>0</v>
      </c>
      <c r="X28" s="508">
        <v>0</v>
      </c>
      <c r="Y28" s="508">
        <v>0</v>
      </c>
      <c r="Z28" s="508">
        <v>0</v>
      </c>
      <c r="AA28" s="508">
        <v>0</v>
      </c>
      <c r="AB28" s="508">
        <v>0</v>
      </c>
      <c r="AC28" s="474">
        <f>'[6]12ch'!BM25</f>
        <v>0</v>
      </c>
      <c r="AD28" s="474">
        <f t="shared" si="1"/>
        <v>0</v>
      </c>
      <c r="AE28" s="474"/>
      <c r="AF28" s="509">
        <f t="shared" si="5"/>
        <v>0</v>
      </c>
      <c r="AG28" s="509"/>
      <c r="AH28" s="509"/>
      <c r="AI28" s="509" t="s">
        <v>30</v>
      </c>
      <c r="AJ28" s="507">
        <v>0</v>
      </c>
      <c r="AM28" s="503" t="s">
        <v>27</v>
      </c>
      <c r="AN28" s="504" t="s">
        <v>67</v>
      </c>
      <c r="AO28" s="503" t="s">
        <v>30</v>
      </c>
      <c r="AP28" s="507">
        <f>+'[6]01CH'!D25</f>
        <v>0</v>
      </c>
      <c r="AQ28" s="507">
        <f t="shared" si="13"/>
        <v>0</v>
      </c>
      <c r="AR28" s="507">
        <f>+'[6]02CH'!D25</f>
        <v>12.409996032714844</v>
      </c>
      <c r="AS28" s="507">
        <f t="shared" si="14"/>
        <v>1.2580726556670103E-2</v>
      </c>
      <c r="AT28" s="511">
        <f t="shared" si="12"/>
        <v>0</v>
      </c>
      <c r="AU28" s="512">
        <f t="shared" si="4"/>
        <v>0</v>
      </c>
      <c r="AV28" s="507">
        <f t="shared" si="2"/>
        <v>0</v>
      </c>
      <c r="AW28" s="507">
        <f t="shared" si="15"/>
        <v>0</v>
      </c>
      <c r="AX28" s="507">
        <f t="shared" si="3"/>
        <v>0</v>
      </c>
      <c r="AY28" s="507">
        <f t="shared" si="16"/>
        <v>-12.409996032714844</v>
      </c>
      <c r="AZ28" s="512">
        <f t="shared" si="17"/>
        <v>0</v>
      </c>
    </row>
    <row r="29" spans="1:56" s="448" customFormat="1" ht="15.75">
      <c r="A29" s="503" t="s">
        <v>29</v>
      </c>
      <c r="B29" s="504" t="s">
        <v>90</v>
      </c>
      <c r="C29" s="505" t="s">
        <v>91</v>
      </c>
      <c r="D29" s="524">
        <v>125.35</v>
      </c>
      <c r="E29" s="501">
        <v>0</v>
      </c>
      <c r="F29" s="507">
        <v>125.35</v>
      </c>
      <c r="G29" s="508">
        <v>0</v>
      </c>
      <c r="H29" s="508">
        <v>0</v>
      </c>
      <c r="I29" s="508">
        <v>0</v>
      </c>
      <c r="J29" s="508">
        <v>0</v>
      </c>
      <c r="K29" s="508">
        <v>117</v>
      </c>
      <c r="L29" s="508">
        <v>8.35</v>
      </c>
      <c r="M29" s="508">
        <v>0</v>
      </c>
      <c r="N29" s="508">
        <v>0</v>
      </c>
      <c r="O29" s="508">
        <v>0</v>
      </c>
      <c r="P29" s="508">
        <v>0</v>
      </c>
      <c r="Q29" s="508">
        <v>0</v>
      </c>
      <c r="R29" s="508">
        <v>0</v>
      </c>
      <c r="S29" s="508">
        <v>0</v>
      </c>
      <c r="T29" s="508">
        <v>0</v>
      </c>
      <c r="U29" s="508">
        <v>0</v>
      </c>
      <c r="V29" s="508">
        <v>0</v>
      </c>
      <c r="W29" s="508">
        <v>0</v>
      </c>
      <c r="X29" s="508">
        <v>0</v>
      </c>
      <c r="Y29" s="508">
        <v>0</v>
      </c>
      <c r="Z29" s="508">
        <v>0</v>
      </c>
      <c r="AA29" s="508">
        <v>0</v>
      </c>
      <c r="AB29" s="508">
        <v>0</v>
      </c>
      <c r="AC29" s="474">
        <f>'[6]12ch'!BM26</f>
        <v>125.35</v>
      </c>
      <c r="AD29" s="474">
        <f t="shared" si="1"/>
        <v>0</v>
      </c>
      <c r="AE29" s="474"/>
      <c r="AF29" s="509">
        <f t="shared" si="5"/>
        <v>0.12707450266070791</v>
      </c>
      <c r="AG29" s="509"/>
      <c r="AH29" s="509"/>
      <c r="AI29" s="509" t="s">
        <v>91</v>
      </c>
      <c r="AJ29" s="510">
        <v>80.800000000000011</v>
      </c>
      <c r="AM29" s="503" t="s">
        <v>29</v>
      </c>
      <c r="AN29" s="504" t="s">
        <v>90</v>
      </c>
      <c r="AO29" s="505" t="s">
        <v>91</v>
      </c>
      <c r="AP29" s="507">
        <f>+'[6]01CH'!D26</f>
        <v>3.25</v>
      </c>
      <c r="AQ29" s="507">
        <f t="shared" si="13"/>
        <v>3.2947118759258137E-3</v>
      </c>
      <c r="AR29" s="507">
        <f>+'[6]02CH'!D26</f>
        <v>128.84</v>
      </c>
      <c r="AS29" s="507">
        <f t="shared" si="14"/>
        <v>0.13061251633670212</v>
      </c>
      <c r="AT29" s="511">
        <f t="shared" si="12"/>
        <v>125.35</v>
      </c>
      <c r="AU29" s="512">
        <f t="shared" si="4"/>
        <v>0</v>
      </c>
      <c r="AV29" s="507">
        <f t="shared" si="2"/>
        <v>125.35</v>
      </c>
      <c r="AW29" s="507">
        <f t="shared" si="15"/>
        <v>0.12707450266070791</v>
      </c>
      <c r="AX29" s="507">
        <f t="shared" si="3"/>
        <v>122.1</v>
      </c>
      <c r="AY29" s="507">
        <f t="shared" si="16"/>
        <v>-3.4900000000000091</v>
      </c>
      <c r="AZ29" s="512">
        <f t="shared" si="17"/>
        <v>0</v>
      </c>
    </row>
    <row r="30" spans="1:56" s="448" customFormat="1" ht="15.75">
      <c r="A30" s="503" t="s">
        <v>31</v>
      </c>
      <c r="B30" s="504" t="s">
        <v>379</v>
      </c>
      <c r="C30" s="505" t="s">
        <v>93</v>
      </c>
      <c r="D30" s="506">
        <v>63.2</v>
      </c>
      <c r="E30" s="501">
        <v>8.86</v>
      </c>
      <c r="F30" s="507">
        <v>72.06</v>
      </c>
      <c r="G30" s="508">
        <v>4.4400000000000004</v>
      </c>
      <c r="H30" s="508">
        <v>6.0200000000000005</v>
      </c>
      <c r="I30" s="508">
        <v>0</v>
      </c>
      <c r="J30" s="508">
        <v>1.32</v>
      </c>
      <c r="K30" s="508">
        <v>1.56</v>
      </c>
      <c r="L30" s="508">
        <v>0.69000000000000006</v>
      </c>
      <c r="M30" s="508">
        <v>0</v>
      </c>
      <c r="N30" s="508">
        <v>11.649999999999999</v>
      </c>
      <c r="O30" s="508">
        <v>5.5100000000000007</v>
      </c>
      <c r="P30" s="508">
        <v>3.2</v>
      </c>
      <c r="Q30" s="508">
        <v>2.2100000000000009</v>
      </c>
      <c r="R30" s="508">
        <v>0.62</v>
      </c>
      <c r="S30" s="508">
        <v>3.07</v>
      </c>
      <c r="T30" s="508">
        <v>10.07</v>
      </c>
      <c r="U30" s="508">
        <v>6.9999999999999993E-2</v>
      </c>
      <c r="V30" s="508">
        <v>1.6600000000000001</v>
      </c>
      <c r="W30" s="508">
        <v>0.35</v>
      </c>
      <c r="X30" s="508">
        <v>3.5099999999999993</v>
      </c>
      <c r="Y30" s="508">
        <v>0.19</v>
      </c>
      <c r="Z30" s="508">
        <v>0.33</v>
      </c>
      <c r="AA30" s="508">
        <v>15.590000000000002</v>
      </c>
      <c r="AB30" s="508">
        <v>0</v>
      </c>
      <c r="AC30" s="474">
        <f>'[6]12ch'!BM27</f>
        <v>72.06</v>
      </c>
      <c r="AD30" s="474">
        <f t="shared" si="1"/>
        <v>0</v>
      </c>
      <c r="AE30" s="474"/>
      <c r="AF30" s="509">
        <f t="shared" si="5"/>
        <v>7.305136547052743E-2</v>
      </c>
      <c r="AG30" s="509"/>
      <c r="AH30" s="509"/>
      <c r="AI30" s="509" t="s">
        <v>93</v>
      </c>
      <c r="AJ30" s="510">
        <v>91.26100000000001</v>
      </c>
      <c r="AM30" s="503" t="s">
        <v>31</v>
      </c>
      <c r="AN30" s="504" t="s">
        <v>379</v>
      </c>
      <c r="AO30" s="505" t="s">
        <v>93</v>
      </c>
      <c r="AP30" s="507">
        <f>+'[6]01CH'!D27</f>
        <v>19.97</v>
      </c>
      <c r="AQ30" s="507">
        <f t="shared" si="13"/>
        <v>2.0244737280688766E-2</v>
      </c>
      <c r="AR30" s="507">
        <f>+'[6]02CH'!D27</f>
        <v>63.2</v>
      </c>
      <c r="AS30" s="507">
        <f t="shared" si="14"/>
        <v>6.406947401800353E-2</v>
      </c>
      <c r="AT30" s="511">
        <f t="shared" si="12"/>
        <v>63.2</v>
      </c>
      <c r="AU30" s="512">
        <f t="shared" si="4"/>
        <v>8.86</v>
      </c>
      <c r="AV30" s="507">
        <f t="shared" si="2"/>
        <v>72.06</v>
      </c>
      <c r="AW30" s="507">
        <f t="shared" si="15"/>
        <v>7.305136547052743E-2</v>
      </c>
      <c r="AX30" s="507">
        <f t="shared" si="3"/>
        <v>52.09</v>
      </c>
      <c r="AY30" s="507">
        <f t="shared" si="16"/>
        <v>8.86</v>
      </c>
      <c r="AZ30" s="512">
        <f t="shared" si="17"/>
        <v>8.86</v>
      </c>
    </row>
    <row r="31" spans="1:56" s="448" customFormat="1" ht="15.75">
      <c r="A31" s="503" t="s">
        <v>33</v>
      </c>
      <c r="B31" s="504" t="s">
        <v>94</v>
      </c>
      <c r="C31" s="503" t="s">
        <v>32</v>
      </c>
      <c r="D31" s="506">
        <v>83</v>
      </c>
      <c r="E31" s="501">
        <v>59.84</v>
      </c>
      <c r="F31" s="507">
        <v>142.84</v>
      </c>
      <c r="G31" s="508">
        <v>5.5900000000000007</v>
      </c>
      <c r="H31" s="508">
        <v>57.8</v>
      </c>
      <c r="I31" s="508">
        <v>0.03</v>
      </c>
      <c r="J31" s="508">
        <v>2.62</v>
      </c>
      <c r="K31" s="508">
        <v>25.810000000000002</v>
      </c>
      <c r="L31" s="508">
        <v>6.75</v>
      </c>
      <c r="M31" s="508">
        <v>0</v>
      </c>
      <c r="N31" s="508">
        <v>4.629999999999999</v>
      </c>
      <c r="O31" s="508">
        <v>0</v>
      </c>
      <c r="P31" s="508">
        <v>1.98</v>
      </c>
      <c r="Q31" s="508">
        <v>5.9999999999999942E-2</v>
      </c>
      <c r="R31" s="508">
        <v>0.71</v>
      </c>
      <c r="S31" s="508">
        <v>2.66</v>
      </c>
      <c r="T31" s="508">
        <v>0.94000000000000006</v>
      </c>
      <c r="U31" s="508">
        <v>0.8899999999999999</v>
      </c>
      <c r="V31" s="508">
        <v>0.17</v>
      </c>
      <c r="W31" s="508">
        <v>0</v>
      </c>
      <c r="X31" s="508">
        <v>14.76</v>
      </c>
      <c r="Y31" s="508">
        <v>1.56</v>
      </c>
      <c r="Z31" s="508">
        <v>1.9</v>
      </c>
      <c r="AA31" s="508">
        <v>13.98</v>
      </c>
      <c r="AB31" s="508">
        <v>0</v>
      </c>
      <c r="AC31" s="474">
        <f>'[6]12ch'!BM28</f>
        <v>142.53</v>
      </c>
      <c r="AD31" s="474">
        <f t="shared" si="1"/>
        <v>0.31000000000000227</v>
      </c>
      <c r="AE31" s="474"/>
      <c r="AF31" s="509">
        <f t="shared" si="5"/>
        <v>0.14480512134069023</v>
      </c>
      <c r="AG31" s="509"/>
      <c r="AH31" s="509"/>
      <c r="AI31" s="509" t="s">
        <v>32</v>
      </c>
      <c r="AJ31" s="510">
        <v>101.51872000000002</v>
      </c>
      <c r="AM31" s="503" t="s">
        <v>33</v>
      </c>
      <c r="AN31" s="504" t="s">
        <v>94</v>
      </c>
      <c r="AO31" s="503" t="s">
        <v>32</v>
      </c>
      <c r="AP31" s="507">
        <f>+'[6]01CH'!D28</f>
        <v>54.080000000000005</v>
      </c>
      <c r="AQ31" s="507">
        <f t="shared" si="13"/>
        <v>5.4824005615405541E-2</v>
      </c>
      <c r="AR31" s="507">
        <f>+'[6]02CH'!D28</f>
        <v>122.16</v>
      </c>
      <c r="AS31" s="507">
        <f t="shared" si="14"/>
        <v>0.12384061623479921</v>
      </c>
      <c r="AT31" s="511">
        <f t="shared" si="12"/>
        <v>83</v>
      </c>
      <c r="AU31" s="512">
        <f t="shared" si="4"/>
        <v>59.84</v>
      </c>
      <c r="AV31" s="507">
        <f t="shared" si="2"/>
        <v>142.84</v>
      </c>
      <c r="AW31" s="507">
        <f t="shared" si="15"/>
        <v>0.14480512134069023</v>
      </c>
      <c r="AX31" s="507">
        <f t="shared" si="3"/>
        <v>88.759999999999991</v>
      </c>
      <c r="AY31" s="507">
        <f t="shared" si="16"/>
        <v>20.680000000000007</v>
      </c>
      <c r="AZ31" s="512">
        <f t="shared" si="17"/>
        <v>59.84</v>
      </c>
    </row>
    <row r="32" spans="1:56" s="448" customFormat="1" ht="15.75">
      <c r="A32" s="503" t="s">
        <v>68</v>
      </c>
      <c r="B32" s="525" t="s">
        <v>106</v>
      </c>
      <c r="C32" s="526" t="s">
        <v>35</v>
      </c>
      <c r="D32" s="506">
        <v>413.3</v>
      </c>
      <c r="E32" s="501">
        <v>45.449999999999989</v>
      </c>
      <c r="F32" s="507">
        <v>458.75</v>
      </c>
      <c r="G32" s="508">
        <v>4</v>
      </c>
      <c r="H32" s="508">
        <v>19.98</v>
      </c>
      <c r="I32" s="508">
        <v>0</v>
      </c>
      <c r="J32" s="508">
        <v>0.09</v>
      </c>
      <c r="K32" s="508">
        <v>15.709999999999997</v>
      </c>
      <c r="L32" s="508">
        <v>8.07</v>
      </c>
      <c r="M32" s="508">
        <v>0</v>
      </c>
      <c r="N32" s="508">
        <v>22.290000000000003</v>
      </c>
      <c r="O32" s="508">
        <v>3.29</v>
      </c>
      <c r="P32" s="508">
        <v>0</v>
      </c>
      <c r="Q32" s="508">
        <v>4.9999999999999989E-2</v>
      </c>
      <c r="R32" s="508">
        <v>0</v>
      </c>
      <c r="S32" s="508">
        <v>0</v>
      </c>
      <c r="T32" s="508">
        <v>316.87</v>
      </c>
      <c r="U32" s="508">
        <v>0</v>
      </c>
      <c r="V32" s="508">
        <v>1.55</v>
      </c>
      <c r="W32" s="508">
        <v>0</v>
      </c>
      <c r="X32" s="508">
        <v>66.58</v>
      </c>
      <c r="Y32" s="508">
        <v>0</v>
      </c>
      <c r="Z32" s="508">
        <v>0</v>
      </c>
      <c r="AA32" s="508">
        <v>0.27</v>
      </c>
      <c r="AB32" s="508">
        <v>0</v>
      </c>
      <c r="AC32" s="474">
        <f>'[6]12ch'!BM29</f>
        <v>458.75</v>
      </c>
      <c r="AD32" s="474">
        <f t="shared" si="1"/>
        <v>0</v>
      </c>
      <c r="AE32" s="474"/>
      <c r="AF32" s="509">
        <f t="shared" si="5"/>
        <v>0.46506125325568215</v>
      </c>
      <c r="AG32" s="509"/>
      <c r="AH32" s="509"/>
      <c r="AI32" s="509" t="s">
        <v>35</v>
      </c>
      <c r="AJ32" s="510">
        <v>476.46559999999999</v>
      </c>
      <c r="AM32" s="503" t="s">
        <v>68</v>
      </c>
      <c r="AN32" s="525" t="s">
        <v>106</v>
      </c>
      <c r="AO32" s="526" t="s">
        <v>35</v>
      </c>
      <c r="AP32" s="507">
        <f>+'[6]01CH'!D29</f>
        <v>255.28000000000003</v>
      </c>
      <c r="AQ32" s="507">
        <f t="shared" si="13"/>
        <v>0.25879201467272056</v>
      </c>
      <c r="AR32" s="507">
        <f>+'[6]02CH'!D29</f>
        <v>525.82000000000005</v>
      </c>
      <c r="AS32" s="507">
        <f t="shared" si="14"/>
        <v>0.53305396879978817</v>
      </c>
      <c r="AT32" s="511">
        <f t="shared" si="12"/>
        <v>413.3</v>
      </c>
      <c r="AU32" s="512">
        <f t="shared" si="4"/>
        <v>45.449999999999989</v>
      </c>
      <c r="AV32" s="507">
        <f t="shared" si="2"/>
        <v>458.75</v>
      </c>
      <c r="AW32" s="507">
        <f t="shared" si="15"/>
        <v>0.46506125325568215</v>
      </c>
      <c r="AX32" s="507">
        <f t="shared" si="3"/>
        <v>203.46999999999997</v>
      </c>
      <c r="AY32" s="507">
        <f t="shared" si="16"/>
        <v>-67.07000000000005</v>
      </c>
      <c r="AZ32" s="512">
        <f t="shared" si="17"/>
        <v>45.449999999999989</v>
      </c>
    </row>
    <row r="33" spans="1:57" s="448" customFormat="1" ht="15.75">
      <c r="A33" s="503" t="s">
        <v>69</v>
      </c>
      <c r="B33" s="418" t="s">
        <v>98</v>
      </c>
      <c r="C33" s="527" t="s">
        <v>34</v>
      </c>
      <c r="D33" s="506"/>
      <c r="E33" s="501">
        <v>0</v>
      </c>
      <c r="F33" s="507">
        <v>0</v>
      </c>
      <c r="G33" s="508">
        <v>0</v>
      </c>
      <c r="H33" s="508">
        <v>0</v>
      </c>
      <c r="I33" s="508">
        <v>0</v>
      </c>
      <c r="J33" s="508">
        <v>0</v>
      </c>
      <c r="K33" s="508">
        <v>0</v>
      </c>
      <c r="L33" s="508">
        <v>0</v>
      </c>
      <c r="M33" s="508">
        <v>0</v>
      </c>
      <c r="N33" s="508">
        <v>0</v>
      </c>
      <c r="O33" s="508">
        <v>0</v>
      </c>
      <c r="P33" s="508">
        <v>0</v>
      </c>
      <c r="Q33" s="508">
        <v>0</v>
      </c>
      <c r="R33" s="508">
        <v>0</v>
      </c>
      <c r="S33" s="508">
        <v>0</v>
      </c>
      <c r="T33" s="508">
        <v>0</v>
      </c>
      <c r="U33" s="508">
        <v>0</v>
      </c>
      <c r="V33" s="508">
        <v>0</v>
      </c>
      <c r="W33" s="508">
        <v>0</v>
      </c>
      <c r="X33" s="508">
        <v>0</v>
      </c>
      <c r="Y33" s="508">
        <v>0</v>
      </c>
      <c r="Z33" s="508">
        <v>0</v>
      </c>
      <c r="AA33" s="508">
        <v>0</v>
      </c>
      <c r="AB33" s="508">
        <v>0</v>
      </c>
      <c r="AC33" s="474">
        <f>'[6]12ch'!BM30</f>
        <v>0</v>
      </c>
      <c r="AD33" s="474">
        <f t="shared" si="1"/>
        <v>0</v>
      </c>
      <c r="AE33" s="474"/>
      <c r="AF33" s="509">
        <f t="shared" si="5"/>
        <v>0</v>
      </c>
      <c r="AG33" s="509"/>
      <c r="AH33" s="509"/>
      <c r="AI33" s="509" t="s">
        <v>34</v>
      </c>
      <c r="AJ33" s="528">
        <v>658.04300000000001</v>
      </c>
      <c r="AL33" s="519"/>
      <c r="AM33" s="503" t="s">
        <v>69</v>
      </c>
      <c r="AN33" s="418" t="s">
        <v>98</v>
      </c>
      <c r="AO33" s="527" t="s">
        <v>34</v>
      </c>
      <c r="AP33" s="507">
        <f>+'[6]01CH'!D30</f>
        <v>0</v>
      </c>
      <c r="AQ33" s="507">
        <f t="shared" si="13"/>
        <v>0</v>
      </c>
      <c r="AR33" s="507">
        <f>+'[6]02CH'!D30</f>
        <v>110.38000000000001</v>
      </c>
      <c r="AS33" s="507">
        <f t="shared" si="14"/>
        <v>0.1118985528814435</v>
      </c>
      <c r="AT33" s="511">
        <f t="shared" si="12"/>
        <v>0</v>
      </c>
      <c r="AU33" s="512">
        <f t="shared" si="4"/>
        <v>0</v>
      </c>
      <c r="AV33" s="507">
        <f t="shared" si="2"/>
        <v>0</v>
      </c>
      <c r="AW33" s="507">
        <f t="shared" si="15"/>
        <v>0</v>
      </c>
      <c r="AX33" s="507">
        <f t="shared" si="3"/>
        <v>0</v>
      </c>
      <c r="AY33" s="507">
        <f t="shared" si="16"/>
        <v>-110.38000000000001</v>
      </c>
      <c r="AZ33" s="512">
        <f t="shared" si="17"/>
        <v>0</v>
      </c>
    </row>
    <row r="34" spans="1:57" s="448" customFormat="1" ht="31.5">
      <c r="A34" s="503" t="s">
        <v>70</v>
      </c>
      <c r="B34" s="504" t="s">
        <v>125</v>
      </c>
      <c r="C34" s="503" t="s">
        <v>43</v>
      </c>
      <c r="D34" s="506">
        <v>3638.46</v>
      </c>
      <c r="E34" s="501">
        <v>-7.0620000000003529</v>
      </c>
      <c r="F34" s="507">
        <v>3631.3979999999997</v>
      </c>
      <c r="G34" s="508">
        <v>161.03999999999996</v>
      </c>
      <c r="H34" s="508">
        <v>215.80999999999997</v>
      </c>
      <c r="I34" s="508">
        <v>144.29</v>
      </c>
      <c r="J34" s="508">
        <v>56.78</v>
      </c>
      <c r="K34" s="508">
        <v>330.77000000000004</v>
      </c>
      <c r="L34" s="508">
        <v>140.58000000000001</v>
      </c>
      <c r="M34" s="508">
        <v>99.530000000000015</v>
      </c>
      <c r="N34" s="508">
        <v>179.41</v>
      </c>
      <c r="O34" s="508">
        <v>149.57999999999998</v>
      </c>
      <c r="P34" s="508">
        <v>157.83099999999999</v>
      </c>
      <c r="Q34" s="508">
        <v>435.17999999999995</v>
      </c>
      <c r="R34" s="508">
        <v>133.03</v>
      </c>
      <c r="S34" s="508">
        <v>82.100000000000023</v>
      </c>
      <c r="T34" s="508">
        <v>440.59</v>
      </c>
      <c r="U34" s="508">
        <v>94.149999999999991</v>
      </c>
      <c r="V34" s="508">
        <v>188.72699999999995</v>
      </c>
      <c r="W34" s="508">
        <v>65.58</v>
      </c>
      <c r="X34" s="508">
        <v>207.42000000000004</v>
      </c>
      <c r="Y34" s="508">
        <v>144.63999999999999</v>
      </c>
      <c r="Z34" s="508">
        <v>79.92</v>
      </c>
      <c r="AA34" s="508">
        <v>124.44000000000003</v>
      </c>
      <c r="AB34" s="508">
        <v>0</v>
      </c>
      <c r="AC34" s="474">
        <f>'[6]12ch'!BM31</f>
        <v>3631.4680000000003</v>
      </c>
      <c r="AD34" s="474">
        <f t="shared" si="1"/>
        <v>-7.0000000000618456E-2</v>
      </c>
      <c r="AE34" s="474"/>
      <c r="AF34" s="509">
        <f t="shared" si="5"/>
        <v>3.6813569590194604</v>
      </c>
      <c r="AG34" s="507">
        <v>1877.78</v>
      </c>
      <c r="AH34" s="509"/>
      <c r="AI34" s="509" t="s">
        <v>43</v>
      </c>
      <c r="AJ34" s="510">
        <v>1877.7787769285937</v>
      </c>
      <c r="AK34" s="529"/>
      <c r="AL34" s="529"/>
      <c r="AM34" s="503" t="s">
        <v>70</v>
      </c>
      <c r="AN34" s="530" t="s">
        <v>125</v>
      </c>
      <c r="AO34" s="503" t="s">
        <v>43</v>
      </c>
      <c r="AP34" s="507">
        <f>+'[6]01CH'!D31</f>
        <v>2629.6700000000005</v>
      </c>
      <c r="AQ34" s="507">
        <f t="shared" si="13"/>
        <v>2.6658476857741036</v>
      </c>
      <c r="AR34" s="507">
        <f>+'[6]02CH'!D31</f>
        <v>3643.0700000000006</v>
      </c>
      <c r="AS34" s="507">
        <f t="shared" si="14"/>
        <v>3.6931895365627869</v>
      </c>
      <c r="AT34" s="511">
        <f t="shared" si="12"/>
        <v>3638.46</v>
      </c>
      <c r="AU34" s="512">
        <f t="shared" si="4"/>
        <v>-7.0620000000003529</v>
      </c>
      <c r="AV34" s="507">
        <f t="shared" si="2"/>
        <v>3631.3979999999997</v>
      </c>
      <c r="AW34" s="507">
        <f t="shared" si="15"/>
        <v>3.6813569590194604</v>
      </c>
      <c r="AX34" s="507">
        <f t="shared" si="3"/>
        <v>1001.7279999999992</v>
      </c>
      <c r="AY34" s="507">
        <f t="shared" si="16"/>
        <v>-11.672000000000935</v>
      </c>
      <c r="AZ34" s="512">
        <f t="shared" si="17"/>
        <v>-7.0620000000003529</v>
      </c>
    </row>
    <row r="35" spans="1:57" s="518" customFormat="1" ht="15.75">
      <c r="A35" s="513"/>
      <c r="B35" s="499" t="s">
        <v>190</v>
      </c>
      <c r="C35" s="513"/>
      <c r="D35" s="500"/>
      <c r="E35" s="501">
        <v>0</v>
      </c>
      <c r="F35" s="515">
        <v>0</v>
      </c>
      <c r="G35" s="516"/>
      <c r="H35" s="516"/>
      <c r="I35" s="516"/>
      <c r="J35" s="516"/>
      <c r="K35" s="516"/>
      <c r="L35" s="516"/>
      <c r="M35" s="516"/>
      <c r="N35" s="516"/>
      <c r="O35" s="516"/>
      <c r="P35" s="516"/>
      <c r="Q35" s="516"/>
      <c r="R35" s="516"/>
      <c r="S35" s="516"/>
      <c r="T35" s="516"/>
      <c r="U35" s="516"/>
      <c r="V35" s="516"/>
      <c r="W35" s="516"/>
      <c r="X35" s="516"/>
      <c r="Y35" s="516"/>
      <c r="Z35" s="516"/>
      <c r="AA35" s="516"/>
      <c r="AB35" s="516"/>
      <c r="AC35" s="474"/>
      <c r="AD35" s="474">
        <f t="shared" si="1"/>
        <v>0</v>
      </c>
      <c r="AE35" s="474"/>
      <c r="AF35" s="509">
        <f t="shared" si="5"/>
        <v>0</v>
      </c>
      <c r="AG35" s="509"/>
      <c r="AH35" s="509"/>
      <c r="AI35" s="509" t="s">
        <v>44</v>
      </c>
      <c r="AJ35" s="515">
        <v>1205.9163973100001</v>
      </c>
      <c r="AM35" s="513"/>
      <c r="AN35" s="499" t="s">
        <v>190</v>
      </c>
      <c r="AO35" s="513"/>
      <c r="AP35" s="507">
        <f>+'[6]01CH'!D32</f>
        <v>0</v>
      </c>
      <c r="AQ35" s="507">
        <f t="shared" si="13"/>
        <v>0</v>
      </c>
      <c r="AR35" s="507"/>
      <c r="AS35" s="507">
        <f t="shared" si="14"/>
        <v>0</v>
      </c>
      <c r="AT35" s="531"/>
      <c r="AU35" s="532">
        <f t="shared" si="4"/>
        <v>0</v>
      </c>
      <c r="AV35" s="515">
        <f t="shared" si="2"/>
        <v>0</v>
      </c>
      <c r="AW35" s="507">
        <f t="shared" si="15"/>
        <v>0</v>
      </c>
      <c r="AX35" s="507">
        <f t="shared" si="3"/>
        <v>0</v>
      </c>
      <c r="AY35" s="507">
        <f t="shared" si="16"/>
        <v>0</v>
      </c>
      <c r="AZ35" s="512">
        <f t="shared" si="17"/>
        <v>0</v>
      </c>
    </row>
    <row r="36" spans="1:57" s="518" customFormat="1" ht="15.75">
      <c r="A36" s="513" t="s">
        <v>193</v>
      </c>
      <c r="B36" s="411" t="s">
        <v>122</v>
      </c>
      <c r="C36" s="533" t="s">
        <v>44</v>
      </c>
      <c r="D36" s="506">
        <v>2028.9</v>
      </c>
      <c r="E36" s="501">
        <v>3.0999999999721695E-2</v>
      </c>
      <c r="F36" s="515">
        <v>2028.9309999999998</v>
      </c>
      <c r="G36" s="516">
        <v>104.89000000000001</v>
      </c>
      <c r="H36" s="516">
        <v>83.44</v>
      </c>
      <c r="I36" s="516">
        <v>106.74000000000001</v>
      </c>
      <c r="J36" s="516">
        <v>42.09</v>
      </c>
      <c r="K36" s="516">
        <v>207.35</v>
      </c>
      <c r="L36" s="516">
        <v>102.73</v>
      </c>
      <c r="M36" s="516">
        <v>80.540000000000006</v>
      </c>
      <c r="N36" s="516">
        <v>109.96</v>
      </c>
      <c r="O36" s="516">
        <v>93.69</v>
      </c>
      <c r="P36" s="516">
        <v>107.251</v>
      </c>
      <c r="Q36" s="516">
        <v>50.88</v>
      </c>
      <c r="R36" s="516">
        <v>119.08000000000001</v>
      </c>
      <c r="S36" s="516">
        <v>46.03</v>
      </c>
      <c r="T36" s="516">
        <v>95.28</v>
      </c>
      <c r="U36" s="516">
        <v>68.78</v>
      </c>
      <c r="V36" s="516">
        <v>168.82</v>
      </c>
      <c r="W36" s="516">
        <v>27.3</v>
      </c>
      <c r="X36" s="516">
        <v>129.38</v>
      </c>
      <c r="Y36" s="516">
        <v>120.00999999999999</v>
      </c>
      <c r="Z36" s="516">
        <v>55.480000000000004</v>
      </c>
      <c r="AA36" s="516">
        <v>109.21000000000001</v>
      </c>
      <c r="AB36" s="516">
        <v>0</v>
      </c>
      <c r="AC36" s="474">
        <f>'[6]12ch'!BM32</f>
        <v>2028.9009999999998</v>
      </c>
      <c r="AD36" s="474">
        <f t="shared" si="1"/>
        <v>2.9999999999972715E-2</v>
      </c>
      <c r="AE36" s="474"/>
      <c r="AF36" s="517">
        <f t="shared" si="5"/>
        <v>2.0568440188104726</v>
      </c>
      <c r="AG36" s="517"/>
      <c r="AH36" s="517"/>
      <c r="AI36" s="517" t="s">
        <v>45</v>
      </c>
      <c r="AJ36" s="534">
        <v>373.36117153999999</v>
      </c>
      <c r="AM36" s="513" t="s">
        <v>193</v>
      </c>
      <c r="AN36" s="411" t="s">
        <v>122</v>
      </c>
      <c r="AO36" s="533" t="s">
        <v>44</v>
      </c>
      <c r="AP36" s="507">
        <f>+'[6]01CH'!D33</f>
        <v>1751.56</v>
      </c>
      <c r="AQ36" s="507">
        <f t="shared" si="13"/>
        <v>1.7756570871989594</v>
      </c>
      <c r="AR36" s="507">
        <f>+'[6]02CH'!D33</f>
        <v>2028.9</v>
      </c>
      <c r="AS36" s="507">
        <f t="shared" si="14"/>
        <v>2.0568125923279643</v>
      </c>
      <c r="AT36" s="531">
        <f t="shared" ref="AT36:AT43" si="18">D36</f>
        <v>2028.9</v>
      </c>
      <c r="AU36" s="532">
        <f t="shared" si="4"/>
        <v>3.0999999999721695E-2</v>
      </c>
      <c r="AV36" s="515">
        <f t="shared" si="2"/>
        <v>2028.9309999999998</v>
      </c>
      <c r="AW36" s="507">
        <f t="shared" si="15"/>
        <v>2.0568440188104726</v>
      </c>
      <c r="AX36" s="507">
        <f t="shared" si="3"/>
        <v>277.37099999999987</v>
      </c>
      <c r="AY36" s="507">
        <f t="shared" si="16"/>
        <v>3.0999999999721695E-2</v>
      </c>
      <c r="AZ36" s="512">
        <f t="shared" si="17"/>
        <v>3.0999999999721695E-2</v>
      </c>
      <c r="BE36" s="535"/>
    </row>
    <row r="37" spans="1:57" s="518" customFormat="1" ht="15.75">
      <c r="A37" s="513" t="s">
        <v>193</v>
      </c>
      <c r="B37" s="411" t="s">
        <v>123</v>
      </c>
      <c r="C37" s="533" t="s">
        <v>45</v>
      </c>
      <c r="D37" s="506">
        <v>172.2</v>
      </c>
      <c r="E37" s="501">
        <v>-24.129999999999939</v>
      </c>
      <c r="F37" s="515">
        <v>148.07000000000005</v>
      </c>
      <c r="G37" s="516">
        <v>2.8499999999999996</v>
      </c>
      <c r="H37" s="516">
        <v>6.11</v>
      </c>
      <c r="I37" s="516">
        <v>0.2</v>
      </c>
      <c r="J37" s="516">
        <v>5.08</v>
      </c>
      <c r="K37" s="516">
        <v>15.23</v>
      </c>
      <c r="L37" s="516">
        <v>5.3999999999999995</v>
      </c>
      <c r="M37" s="516">
        <v>1.24</v>
      </c>
      <c r="N37" s="516">
        <v>2.3899999999999997</v>
      </c>
      <c r="O37" s="516">
        <v>26.79</v>
      </c>
      <c r="P37" s="516">
        <v>9.120000000000001</v>
      </c>
      <c r="Q37" s="516">
        <v>0.64999999999999991</v>
      </c>
      <c r="R37" s="516">
        <v>6.4499999999999993</v>
      </c>
      <c r="S37" s="516">
        <v>2.68</v>
      </c>
      <c r="T37" s="516">
        <v>12.15</v>
      </c>
      <c r="U37" s="516">
        <v>0.7</v>
      </c>
      <c r="V37" s="516">
        <v>2.7</v>
      </c>
      <c r="W37" s="516">
        <v>0.47</v>
      </c>
      <c r="X37" s="516">
        <v>30.349999999999998</v>
      </c>
      <c r="Y37" s="516">
        <v>10.24</v>
      </c>
      <c r="Z37" s="516">
        <v>2.9</v>
      </c>
      <c r="AA37" s="516">
        <v>4.3699999999999992</v>
      </c>
      <c r="AB37" s="516">
        <v>0</v>
      </c>
      <c r="AC37" s="474">
        <f>'[6]12ch'!BM33</f>
        <v>148.07</v>
      </c>
      <c r="AD37" s="474">
        <f t="shared" si="1"/>
        <v>0</v>
      </c>
      <c r="AE37" s="474"/>
      <c r="AF37" s="517">
        <f t="shared" si="5"/>
        <v>0.15010707306718013</v>
      </c>
      <c r="AG37" s="517"/>
      <c r="AH37" s="517"/>
      <c r="AI37" s="536" t="s">
        <v>48</v>
      </c>
      <c r="AJ37" s="534">
        <v>25.720000000000056</v>
      </c>
      <c r="AM37" s="513" t="s">
        <v>193</v>
      </c>
      <c r="AN37" s="411" t="s">
        <v>123</v>
      </c>
      <c r="AO37" s="533" t="s">
        <v>45</v>
      </c>
      <c r="AP37" s="507">
        <f>+'[6]01CH'!D34</f>
        <v>129.73999999999998</v>
      </c>
      <c r="AQ37" s="507">
        <f t="shared" si="13"/>
        <v>0.13152489808695844</v>
      </c>
      <c r="AR37" s="507">
        <f>+'[6]02CH'!D34</f>
        <v>172.2</v>
      </c>
      <c r="AS37" s="507">
        <f t="shared" si="14"/>
        <v>0.17456904154905389</v>
      </c>
      <c r="AT37" s="531">
        <f t="shared" si="18"/>
        <v>172.2</v>
      </c>
      <c r="AU37" s="532">
        <f t="shared" si="4"/>
        <v>-24.129999999999939</v>
      </c>
      <c r="AV37" s="515">
        <f t="shared" si="2"/>
        <v>148.07000000000005</v>
      </c>
      <c r="AW37" s="507">
        <f t="shared" si="15"/>
        <v>0.15010707306718013</v>
      </c>
      <c r="AX37" s="507">
        <f t="shared" si="3"/>
        <v>18.330000000000069</v>
      </c>
      <c r="AY37" s="507">
        <f t="shared" si="16"/>
        <v>-24.129999999999939</v>
      </c>
      <c r="AZ37" s="512">
        <f t="shared" si="17"/>
        <v>-24.129999999999939</v>
      </c>
      <c r="BE37" s="535"/>
    </row>
    <row r="38" spans="1:57" s="518" customFormat="1" ht="15.75">
      <c r="A38" s="513" t="s">
        <v>193</v>
      </c>
      <c r="B38" s="411" t="s">
        <v>127</v>
      </c>
      <c r="C38" s="533" t="s">
        <v>48</v>
      </c>
      <c r="D38" s="506">
        <v>5.0599999999999996</v>
      </c>
      <c r="E38" s="501">
        <v>17.657000000000004</v>
      </c>
      <c r="F38" s="515">
        <v>22.717000000000002</v>
      </c>
      <c r="G38" s="516">
        <v>0.59000000000000008</v>
      </c>
      <c r="H38" s="516">
        <v>0.36</v>
      </c>
      <c r="I38" s="516">
        <v>1.1000000000000001</v>
      </c>
      <c r="J38" s="516">
        <v>1.1399999999999999</v>
      </c>
      <c r="K38" s="516">
        <v>2.16</v>
      </c>
      <c r="L38" s="516">
        <v>0.81</v>
      </c>
      <c r="M38" s="516">
        <v>0.86</v>
      </c>
      <c r="N38" s="516">
        <v>1.27</v>
      </c>
      <c r="O38" s="516">
        <v>1.06</v>
      </c>
      <c r="P38" s="516">
        <v>1.96</v>
      </c>
      <c r="Q38" s="516">
        <v>0.69000000000000017</v>
      </c>
      <c r="R38" s="516">
        <v>1.23</v>
      </c>
      <c r="S38" s="516">
        <v>1.4</v>
      </c>
      <c r="T38" s="516">
        <v>0.82000000000000006</v>
      </c>
      <c r="U38" s="516">
        <v>1.35</v>
      </c>
      <c r="V38" s="516">
        <v>1.4769999999999999</v>
      </c>
      <c r="W38" s="516">
        <v>0.47000000000000003</v>
      </c>
      <c r="X38" s="516">
        <v>1.28</v>
      </c>
      <c r="Y38" s="516">
        <v>1.1300000000000001</v>
      </c>
      <c r="Z38" s="516">
        <v>0.80999999999999994</v>
      </c>
      <c r="AA38" s="516">
        <v>0.75000000000000011</v>
      </c>
      <c r="AB38" s="516">
        <v>0</v>
      </c>
      <c r="AC38" s="474">
        <f>'[6]12ch'!BM34</f>
        <v>22.717000000000002</v>
      </c>
      <c r="AD38" s="474">
        <f t="shared" si="1"/>
        <v>0</v>
      </c>
      <c r="AE38" s="474"/>
      <c r="AF38" s="517">
        <f t="shared" si="5"/>
        <v>2.3029529133971299E-2</v>
      </c>
      <c r="AG38" s="517"/>
      <c r="AH38" s="517"/>
      <c r="AI38" s="517" t="s">
        <v>49</v>
      </c>
      <c r="AJ38" s="534">
        <v>13.161945000000001</v>
      </c>
      <c r="AM38" s="513" t="s">
        <v>193</v>
      </c>
      <c r="AN38" s="411" t="s">
        <v>127</v>
      </c>
      <c r="AO38" s="533" t="s">
        <v>48</v>
      </c>
      <c r="AP38" s="507">
        <f>+'[6]01CH'!D35</f>
        <v>14.56</v>
      </c>
      <c r="AQ38" s="507">
        <f t="shared" si="13"/>
        <v>1.4760309204147646E-2</v>
      </c>
      <c r="AR38" s="507">
        <f>+'[6]02CH'!D35</f>
        <v>21.64</v>
      </c>
      <c r="AS38" s="507">
        <f t="shared" si="14"/>
        <v>2.1937712306164498E-2</v>
      </c>
      <c r="AT38" s="531">
        <f t="shared" si="18"/>
        <v>5.0599999999999996</v>
      </c>
      <c r="AU38" s="532">
        <f t="shared" si="4"/>
        <v>17.657000000000004</v>
      </c>
      <c r="AV38" s="515">
        <f t="shared" si="2"/>
        <v>22.717000000000002</v>
      </c>
      <c r="AW38" s="507">
        <f t="shared" si="15"/>
        <v>2.3029529133971299E-2</v>
      </c>
      <c r="AX38" s="507">
        <f t="shared" si="3"/>
        <v>8.1570000000000018</v>
      </c>
      <c r="AY38" s="507">
        <f t="shared" si="16"/>
        <v>1.0770000000000017</v>
      </c>
      <c r="AZ38" s="512">
        <f t="shared" si="17"/>
        <v>17.657000000000004</v>
      </c>
      <c r="BE38" s="535"/>
    </row>
    <row r="39" spans="1:57" s="518" customFormat="1" ht="15.75">
      <c r="A39" s="513" t="s">
        <v>193</v>
      </c>
      <c r="B39" s="411" t="s">
        <v>129</v>
      </c>
      <c r="C39" s="533" t="s">
        <v>49</v>
      </c>
      <c r="D39" s="506">
        <v>10.9</v>
      </c>
      <c r="E39" s="501">
        <v>-3.3800000000000008</v>
      </c>
      <c r="F39" s="515">
        <v>7.52</v>
      </c>
      <c r="G39" s="516">
        <v>2.23</v>
      </c>
      <c r="H39" s="516">
        <v>0.67</v>
      </c>
      <c r="I39" s="516">
        <v>0.16</v>
      </c>
      <c r="J39" s="516">
        <v>7.0000000000000007E-2</v>
      </c>
      <c r="K39" s="516">
        <v>0.06</v>
      </c>
      <c r="L39" s="516">
        <v>0.2</v>
      </c>
      <c r="M39" s="516">
        <v>0.12</v>
      </c>
      <c r="N39" s="516">
        <v>0.11000000000000001</v>
      </c>
      <c r="O39" s="516">
        <v>0.08</v>
      </c>
      <c r="P39" s="516">
        <v>0.4</v>
      </c>
      <c r="Q39" s="516">
        <v>0</v>
      </c>
      <c r="R39" s="516">
        <v>0.22999999999999998</v>
      </c>
      <c r="S39" s="516">
        <v>0.12</v>
      </c>
      <c r="T39" s="516">
        <v>0.72999999999999987</v>
      </c>
      <c r="U39" s="516">
        <v>0.29000000000000004</v>
      </c>
      <c r="V39" s="516">
        <v>0.75999999999999979</v>
      </c>
      <c r="W39" s="516">
        <v>0.08</v>
      </c>
      <c r="X39" s="516">
        <v>0.71</v>
      </c>
      <c r="Y39" s="516">
        <v>0.15</v>
      </c>
      <c r="Z39" s="516">
        <v>0.18</v>
      </c>
      <c r="AA39" s="516">
        <v>0.16999999999999998</v>
      </c>
      <c r="AB39" s="516">
        <v>0</v>
      </c>
      <c r="AC39" s="474">
        <f>'[6]12ch'!BM35</f>
        <v>7.5200000000000005</v>
      </c>
      <c r="AD39" s="474">
        <f t="shared" si="1"/>
        <v>0</v>
      </c>
      <c r="AE39" s="474"/>
      <c r="AF39" s="517">
        <f t="shared" si="5"/>
        <v>7.6234564021421891E-3</v>
      </c>
      <c r="AG39" s="517"/>
      <c r="AH39" s="517"/>
      <c r="AI39" s="517" t="s">
        <v>50</v>
      </c>
      <c r="AJ39" s="534">
        <v>54.339244899999997</v>
      </c>
      <c r="AM39" s="513" t="s">
        <v>193</v>
      </c>
      <c r="AN39" s="411" t="s">
        <v>129</v>
      </c>
      <c r="AO39" s="533" t="s">
        <v>49</v>
      </c>
      <c r="AP39" s="507">
        <f>+'[6]01CH'!D36</f>
        <v>8</v>
      </c>
      <c r="AQ39" s="507">
        <f t="shared" si="13"/>
        <v>8.1100600022789258E-3</v>
      </c>
      <c r="AR39" s="507">
        <f>+'[6]02CH'!D36</f>
        <v>10.9</v>
      </c>
      <c r="AS39" s="507">
        <f t="shared" si="14"/>
        <v>1.1049956753105038E-2</v>
      </c>
      <c r="AT39" s="531">
        <f t="shared" si="18"/>
        <v>10.9</v>
      </c>
      <c r="AU39" s="532">
        <f t="shared" si="4"/>
        <v>-3.3800000000000008</v>
      </c>
      <c r="AV39" s="515">
        <f t="shared" si="2"/>
        <v>7.52</v>
      </c>
      <c r="AW39" s="507">
        <f t="shared" si="15"/>
        <v>7.6234564021421891E-3</v>
      </c>
      <c r="AX39" s="507">
        <f t="shared" si="3"/>
        <v>-0.48000000000000043</v>
      </c>
      <c r="AY39" s="507">
        <f t="shared" si="16"/>
        <v>-3.3800000000000008</v>
      </c>
      <c r="AZ39" s="512">
        <f t="shared" si="17"/>
        <v>-3.3800000000000008</v>
      </c>
      <c r="BE39" s="535"/>
    </row>
    <row r="40" spans="1:57" s="518" customFormat="1" ht="15.75">
      <c r="A40" s="513" t="s">
        <v>193</v>
      </c>
      <c r="B40" s="411" t="s">
        <v>220</v>
      </c>
      <c r="C40" s="533" t="s">
        <v>50</v>
      </c>
      <c r="D40" s="506">
        <v>82.6</v>
      </c>
      <c r="E40" s="501">
        <v>2.8399999999999892</v>
      </c>
      <c r="F40" s="515">
        <v>85.439999999999984</v>
      </c>
      <c r="G40" s="516">
        <v>14.01</v>
      </c>
      <c r="H40" s="516">
        <v>11.969999999999999</v>
      </c>
      <c r="I40" s="516">
        <v>2.48</v>
      </c>
      <c r="J40" s="516">
        <v>1.1300000000000001</v>
      </c>
      <c r="K40" s="516">
        <v>4.49</v>
      </c>
      <c r="L40" s="516">
        <v>2.04</v>
      </c>
      <c r="M40" s="516">
        <v>2.98</v>
      </c>
      <c r="N40" s="516">
        <v>2.4000000000000004</v>
      </c>
      <c r="O40" s="516">
        <v>4.2299999999999995</v>
      </c>
      <c r="P40" s="516">
        <v>4.1500000000000004</v>
      </c>
      <c r="Q40" s="516">
        <v>3.7800000000000002</v>
      </c>
      <c r="R40" s="516">
        <v>2.83</v>
      </c>
      <c r="S40" s="516">
        <v>2.5500000000000003</v>
      </c>
      <c r="T40" s="516">
        <v>3.21</v>
      </c>
      <c r="U40" s="516">
        <v>3.4699999999999998</v>
      </c>
      <c r="V40" s="516">
        <v>4.75</v>
      </c>
      <c r="W40" s="516">
        <v>1.32</v>
      </c>
      <c r="X40" s="516">
        <v>4.5299999999999994</v>
      </c>
      <c r="Y40" s="516">
        <v>5.48</v>
      </c>
      <c r="Z40" s="516">
        <v>1.36</v>
      </c>
      <c r="AA40" s="516">
        <v>2.2800000000000002</v>
      </c>
      <c r="AB40" s="516">
        <v>0</v>
      </c>
      <c r="AC40" s="474">
        <f>'[6]12ch'!BM36</f>
        <v>85.440000000000012</v>
      </c>
      <c r="AD40" s="474">
        <f t="shared" si="1"/>
        <v>0</v>
      </c>
      <c r="AE40" s="474"/>
      <c r="AF40" s="517">
        <f t="shared" si="5"/>
        <v>8.6615440824338918E-2</v>
      </c>
      <c r="AG40" s="517"/>
      <c r="AH40" s="517"/>
      <c r="AI40" s="517" t="s">
        <v>51</v>
      </c>
      <c r="AJ40" s="534">
        <v>85.240000000000009</v>
      </c>
      <c r="AM40" s="513" t="s">
        <v>193</v>
      </c>
      <c r="AN40" s="411" t="s">
        <v>220</v>
      </c>
      <c r="AO40" s="533" t="s">
        <v>50</v>
      </c>
      <c r="AP40" s="507">
        <f>+'[6]01CH'!D37</f>
        <v>60.670000000000009</v>
      </c>
      <c r="AQ40" s="507">
        <f t="shared" si="13"/>
        <v>6.1504667542282808E-2</v>
      </c>
      <c r="AR40" s="507">
        <f>+'[6]02CH'!D37</f>
        <v>82.6</v>
      </c>
      <c r="AS40" s="507">
        <f t="shared" si="14"/>
        <v>8.3736369523529919E-2</v>
      </c>
      <c r="AT40" s="531">
        <f t="shared" si="18"/>
        <v>82.6</v>
      </c>
      <c r="AU40" s="532">
        <f t="shared" si="4"/>
        <v>2.8399999999999892</v>
      </c>
      <c r="AV40" s="515">
        <f t="shared" si="2"/>
        <v>85.439999999999984</v>
      </c>
      <c r="AW40" s="507">
        <f t="shared" si="15"/>
        <v>8.6615440824338918E-2</v>
      </c>
      <c r="AX40" s="507">
        <f t="shared" si="3"/>
        <v>24.769999999999975</v>
      </c>
      <c r="AY40" s="507">
        <f t="shared" si="16"/>
        <v>2.8399999999999892</v>
      </c>
      <c r="AZ40" s="512">
        <f t="shared" si="17"/>
        <v>2.8399999999999892</v>
      </c>
      <c r="BE40" s="535"/>
    </row>
    <row r="41" spans="1:57" s="518" customFormat="1" ht="15.75">
      <c r="A41" s="513" t="s">
        <v>193</v>
      </c>
      <c r="B41" s="411" t="s">
        <v>2307</v>
      </c>
      <c r="C41" s="533" t="s">
        <v>51</v>
      </c>
      <c r="D41" s="506">
        <v>31.3</v>
      </c>
      <c r="E41" s="501">
        <v>4.2499999999999964</v>
      </c>
      <c r="F41" s="515">
        <v>35.549999999999997</v>
      </c>
      <c r="G41" s="516">
        <v>1.93</v>
      </c>
      <c r="H41" s="516">
        <v>1.55</v>
      </c>
      <c r="I41" s="516">
        <v>3.6399999999999997</v>
      </c>
      <c r="J41" s="516">
        <v>1.17</v>
      </c>
      <c r="K41" s="516">
        <v>2.75</v>
      </c>
      <c r="L41" s="516">
        <v>1.27</v>
      </c>
      <c r="M41" s="516">
        <v>0.63</v>
      </c>
      <c r="N41" s="516">
        <v>3.49</v>
      </c>
      <c r="O41" s="516">
        <v>2.58</v>
      </c>
      <c r="P41" s="516">
        <v>1.97</v>
      </c>
      <c r="Q41" s="516">
        <v>0</v>
      </c>
      <c r="R41" s="516">
        <v>1.04</v>
      </c>
      <c r="S41" s="516">
        <v>1.25</v>
      </c>
      <c r="T41" s="516">
        <v>3.2099999999999991</v>
      </c>
      <c r="U41" s="516">
        <v>3.23</v>
      </c>
      <c r="V41" s="516">
        <v>2.08</v>
      </c>
      <c r="W41" s="516">
        <v>0.18</v>
      </c>
      <c r="X41" s="516">
        <v>1.08</v>
      </c>
      <c r="Y41" s="516">
        <v>0.38</v>
      </c>
      <c r="Z41" s="516">
        <v>0.67999999999999994</v>
      </c>
      <c r="AA41" s="516">
        <v>1.44</v>
      </c>
      <c r="AB41" s="516">
        <v>0</v>
      </c>
      <c r="AC41" s="474">
        <f>'[6]12ch'!BM37</f>
        <v>35.459999999999994</v>
      </c>
      <c r="AD41" s="474">
        <f t="shared" si="1"/>
        <v>9.0000000000003411E-2</v>
      </c>
      <c r="AE41" s="474"/>
      <c r="AF41" s="517">
        <f t="shared" si="5"/>
        <v>3.6039079135126974E-2</v>
      </c>
      <c r="AG41" s="517"/>
      <c r="AH41" s="517"/>
      <c r="AI41" s="517" t="s">
        <v>46</v>
      </c>
      <c r="AJ41" s="534">
        <v>27.010518178593518</v>
      </c>
      <c r="AM41" s="513" t="s">
        <v>193</v>
      </c>
      <c r="AN41" s="411" t="s">
        <v>2307</v>
      </c>
      <c r="AO41" s="533" t="s">
        <v>51</v>
      </c>
      <c r="AP41" s="507">
        <f>+'[6]01CH'!D38</f>
        <v>21.15</v>
      </c>
      <c r="AQ41" s="507">
        <f t="shared" si="13"/>
        <v>2.1440971131024909E-2</v>
      </c>
      <c r="AR41" s="507">
        <f>+'[6]02CH'!D38</f>
        <v>31.3</v>
      </c>
      <c r="AS41" s="507">
        <f t="shared" si="14"/>
        <v>3.1730609758916305E-2</v>
      </c>
      <c r="AT41" s="531">
        <f t="shared" si="18"/>
        <v>31.3</v>
      </c>
      <c r="AU41" s="532">
        <f t="shared" si="4"/>
        <v>4.2499999999999964</v>
      </c>
      <c r="AV41" s="515">
        <f t="shared" si="2"/>
        <v>35.549999999999997</v>
      </c>
      <c r="AW41" s="507">
        <f t="shared" si="15"/>
        <v>3.6039079135126974E-2</v>
      </c>
      <c r="AX41" s="507">
        <f t="shared" si="3"/>
        <v>14.399999999999999</v>
      </c>
      <c r="AY41" s="507">
        <f t="shared" si="16"/>
        <v>4.2499999999999964</v>
      </c>
      <c r="AZ41" s="512">
        <f t="shared" si="17"/>
        <v>4.2499999999999964</v>
      </c>
      <c r="BE41" s="535"/>
    </row>
    <row r="42" spans="1:57" s="518" customFormat="1" ht="15.75">
      <c r="A42" s="513" t="s">
        <v>193</v>
      </c>
      <c r="B42" s="411" t="s">
        <v>134</v>
      </c>
      <c r="C42" s="533" t="s">
        <v>46</v>
      </c>
      <c r="D42" s="506">
        <v>174.9</v>
      </c>
      <c r="E42" s="501">
        <v>3.0499999999999829</v>
      </c>
      <c r="F42" s="515">
        <v>177.95</v>
      </c>
      <c r="G42" s="516">
        <v>2.4699999999999998</v>
      </c>
      <c r="H42" s="516">
        <v>31.830000000000002</v>
      </c>
      <c r="I42" s="516">
        <v>29.15</v>
      </c>
      <c r="J42" s="516">
        <v>0.67999999999999994</v>
      </c>
      <c r="K42" s="516">
        <v>9.6499999999999968</v>
      </c>
      <c r="L42" s="516">
        <v>1.6400000000000001</v>
      </c>
      <c r="M42" s="516">
        <v>11.91</v>
      </c>
      <c r="N42" s="516">
        <v>4.089999999999999</v>
      </c>
      <c r="O42" s="516">
        <v>4.45</v>
      </c>
      <c r="P42" s="516">
        <v>19.199999999999992</v>
      </c>
      <c r="Q42" s="516">
        <v>4.2399999999999993</v>
      </c>
      <c r="R42" s="516">
        <v>0.32</v>
      </c>
      <c r="S42" s="516">
        <v>9.379999999999999</v>
      </c>
      <c r="T42" s="516">
        <v>10.539999999999997</v>
      </c>
      <c r="U42" s="516">
        <v>0.39000000000000007</v>
      </c>
      <c r="V42" s="516">
        <v>0.44</v>
      </c>
      <c r="W42" s="516">
        <v>18.040000000000003</v>
      </c>
      <c r="X42" s="516">
        <v>1.66</v>
      </c>
      <c r="Y42" s="516">
        <v>0.36000000000000004</v>
      </c>
      <c r="Z42" s="516">
        <v>16.96</v>
      </c>
      <c r="AA42" s="516">
        <v>0.55000000000000004</v>
      </c>
      <c r="AB42" s="516">
        <v>0</v>
      </c>
      <c r="AC42" s="474">
        <f>'[6]12ch'!BM38</f>
        <v>177.95</v>
      </c>
      <c r="AD42" s="474">
        <f t="shared" si="1"/>
        <v>0</v>
      </c>
      <c r="AE42" s="474"/>
      <c r="AF42" s="517">
        <f t="shared" si="5"/>
        <v>0.18039814717569186</v>
      </c>
      <c r="AG42" s="517"/>
      <c r="AH42" s="517"/>
      <c r="AI42" s="517" t="s">
        <v>47</v>
      </c>
      <c r="AJ42" s="534">
        <v>15.44</v>
      </c>
      <c r="AM42" s="513" t="s">
        <v>193</v>
      </c>
      <c r="AN42" s="411" t="s">
        <v>134</v>
      </c>
      <c r="AO42" s="533" t="s">
        <v>46</v>
      </c>
      <c r="AP42" s="507">
        <f>+'[6]01CH'!D39</f>
        <v>30.37</v>
      </c>
      <c r="AQ42" s="507">
        <f t="shared" si="13"/>
        <v>3.0787815283651373E-2</v>
      </c>
      <c r="AR42" s="507">
        <f>+'[6]02CH'!D39</f>
        <v>174.9</v>
      </c>
      <c r="AS42" s="507">
        <f t="shared" si="14"/>
        <v>0.17730618679982305</v>
      </c>
      <c r="AT42" s="531">
        <f t="shared" si="18"/>
        <v>174.9</v>
      </c>
      <c r="AU42" s="532">
        <f t="shared" si="4"/>
        <v>3.0499999999999829</v>
      </c>
      <c r="AV42" s="515">
        <f t="shared" si="2"/>
        <v>177.95</v>
      </c>
      <c r="AW42" s="507">
        <f t="shared" si="15"/>
        <v>0.18039814717569186</v>
      </c>
      <c r="AX42" s="507">
        <f t="shared" si="3"/>
        <v>147.57999999999998</v>
      </c>
      <c r="AY42" s="507">
        <f t="shared" si="16"/>
        <v>3.0499999999999829</v>
      </c>
      <c r="AZ42" s="512">
        <f t="shared" si="17"/>
        <v>3.0499999999999829</v>
      </c>
      <c r="BE42" s="535"/>
    </row>
    <row r="43" spans="1:57" s="518" customFormat="1" ht="15.75">
      <c r="A43" s="513" t="s">
        <v>193</v>
      </c>
      <c r="B43" s="411" t="s">
        <v>2817</v>
      </c>
      <c r="C43" s="533" t="s">
        <v>47</v>
      </c>
      <c r="D43" s="506">
        <v>4</v>
      </c>
      <c r="E43" s="501">
        <v>-2.2099999999999995</v>
      </c>
      <c r="F43" s="515">
        <v>1.7900000000000005</v>
      </c>
      <c r="G43" s="516">
        <v>0.09</v>
      </c>
      <c r="H43" s="516">
        <v>0.1</v>
      </c>
      <c r="I43" s="516">
        <v>0.22</v>
      </c>
      <c r="J43" s="516">
        <v>0.03</v>
      </c>
      <c r="K43" s="516">
        <v>2.0000000000000004E-2</v>
      </c>
      <c r="L43" s="516">
        <v>0.02</v>
      </c>
      <c r="M43" s="516">
        <v>7.0000000000000007E-2</v>
      </c>
      <c r="N43" s="516">
        <v>0.03</v>
      </c>
      <c r="O43" s="516">
        <v>0.09</v>
      </c>
      <c r="P43" s="516">
        <v>0.13</v>
      </c>
      <c r="Q43" s="516">
        <v>0.3</v>
      </c>
      <c r="R43" s="516">
        <v>0.08</v>
      </c>
      <c r="S43" s="516">
        <v>0.14000000000000001</v>
      </c>
      <c r="T43" s="516">
        <v>9.9999999999999992E-2</v>
      </c>
      <c r="U43" s="516">
        <v>1.3877787807814457E-17</v>
      </c>
      <c r="V43" s="516">
        <v>6.9999999999999993E-2</v>
      </c>
      <c r="W43" s="516">
        <v>0.02</v>
      </c>
      <c r="X43" s="516">
        <v>0.02</v>
      </c>
      <c r="Y43" s="516">
        <v>0</v>
      </c>
      <c r="Z43" s="516">
        <v>0.03</v>
      </c>
      <c r="AA43" s="516">
        <v>0.23</v>
      </c>
      <c r="AB43" s="516">
        <v>0</v>
      </c>
      <c r="AC43" s="474">
        <f>'[6]12ch'!BM39</f>
        <v>1.79</v>
      </c>
      <c r="AD43" s="474">
        <f t="shared" si="1"/>
        <v>0</v>
      </c>
      <c r="AE43" s="474"/>
      <c r="AF43" s="517">
        <f t="shared" si="5"/>
        <v>1.8146259255099101E-3</v>
      </c>
      <c r="AG43" s="517"/>
      <c r="AH43" s="517"/>
      <c r="AI43" s="517" t="s">
        <v>38</v>
      </c>
      <c r="AJ43" s="534">
        <v>2.4139900000000001</v>
      </c>
      <c r="AM43" s="513" t="s">
        <v>193</v>
      </c>
      <c r="AN43" s="411" t="s">
        <v>2817</v>
      </c>
      <c r="AO43" s="533" t="s">
        <v>47</v>
      </c>
      <c r="AP43" s="507">
        <f>+'[6]01CH'!D40</f>
        <v>1.4400000000000002</v>
      </c>
      <c r="AQ43" s="507">
        <f t="shared" si="13"/>
        <v>1.4598108004102068E-3</v>
      </c>
      <c r="AR43" s="507">
        <f>+'[6]02CH'!D40</f>
        <v>4.04</v>
      </c>
      <c r="AS43" s="507">
        <f t="shared" si="14"/>
        <v>4.0955803011508583E-3</v>
      </c>
      <c r="AT43" s="531">
        <f t="shared" si="18"/>
        <v>4</v>
      </c>
      <c r="AU43" s="532">
        <f t="shared" si="4"/>
        <v>-2.2099999999999995</v>
      </c>
      <c r="AV43" s="515">
        <f t="shared" si="2"/>
        <v>1.7900000000000005</v>
      </c>
      <c r="AW43" s="507">
        <f t="shared" si="15"/>
        <v>1.8146259255099101E-3</v>
      </c>
      <c r="AX43" s="507">
        <f t="shared" si="3"/>
        <v>0.35000000000000031</v>
      </c>
      <c r="AY43" s="507">
        <f t="shared" si="16"/>
        <v>-2.2499999999999996</v>
      </c>
      <c r="AZ43" s="512">
        <f t="shared" si="17"/>
        <v>-2.2099999999999995</v>
      </c>
      <c r="BE43" s="535"/>
    </row>
    <row r="44" spans="1:57" s="518" customFormat="1" ht="15.75">
      <c r="A44" s="513" t="s">
        <v>193</v>
      </c>
      <c r="B44" s="411" t="s">
        <v>2761</v>
      </c>
      <c r="C44" s="533" t="s">
        <v>2762</v>
      </c>
      <c r="D44" s="506"/>
      <c r="E44" s="501">
        <v>0</v>
      </c>
      <c r="F44" s="515">
        <v>0</v>
      </c>
      <c r="G44" s="516">
        <v>0</v>
      </c>
      <c r="H44" s="516">
        <v>0</v>
      </c>
      <c r="I44" s="516">
        <v>0</v>
      </c>
      <c r="J44" s="516">
        <v>0</v>
      </c>
      <c r="K44" s="516">
        <v>0</v>
      </c>
      <c r="L44" s="516">
        <v>0</v>
      </c>
      <c r="M44" s="516">
        <v>0</v>
      </c>
      <c r="N44" s="516">
        <v>0</v>
      </c>
      <c r="O44" s="516">
        <v>0</v>
      </c>
      <c r="P44" s="516">
        <v>0</v>
      </c>
      <c r="Q44" s="516">
        <v>0</v>
      </c>
      <c r="R44" s="516">
        <v>0</v>
      </c>
      <c r="S44" s="516">
        <v>0</v>
      </c>
      <c r="T44" s="516">
        <v>0</v>
      </c>
      <c r="U44" s="516">
        <v>0</v>
      </c>
      <c r="V44" s="516">
        <v>0</v>
      </c>
      <c r="W44" s="516">
        <v>0</v>
      </c>
      <c r="X44" s="516">
        <v>0</v>
      </c>
      <c r="Y44" s="516">
        <v>0</v>
      </c>
      <c r="Z44" s="516">
        <v>0</v>
      </c>
      <c r="AA44" s="516">
        <v>0</v>
      </c>
      <c r="AB44" s="516">
        <v>0</v>
      </c>
      <c r="AC44" s="474">
        <f>'[6]12ch'!BM40</f>
        <v>0</v>
      </c>
      <c r="AD44" s="474">
        <f t="shared" si="1"/>
        <v>0</v>
      </c>
      <c r="AE44" s="474"/>
      <c r="AF44" s="517">
        <f t="shared" si="5"/>
        <v>0</v>
      </c>
      <c r="AG44" s="517"/>
      <c r="AH44" s="517"/>
      <c r="AI44" s="517" t="s">
        <v>40</v>
      </c>
      <c r="AJ44" s="537">
        <v>64.675810000000013</v>
      </c>
      <c r="AM44" s="513" t="s">
        <v>193</v>
      </c>
      <c r="AN44" s="411" t="s">
        <v>2761</v>
      </c>
      <c r="AO44" s="533" t="s">
        <v>2762</v>
      </c>
      <c r="AP44" s="507">
        <f>+'[6]01CH'!D41</f>
        <v>0</v>
      </c>
      <c r="AQ44" s="507">
        <f t="shared" si="13"/>
        <v>0</v>
      </c>
      <c r="AR44" s="507">
        <f>+'[6]02CH'!D41</f>
        <v>4.0399971008300781</v>
      </c>
      <c r="AS44" s="507">
        <f t="shared" si="14"/>
        <v>4.0955773620956048E-3</v>
      </c>
      <c r="AT44" s="531"/>
      <c r="AU44" s="532">
        <f t="shared" si="4"/>
        <v>0</v>
      </c>
      <c r="AV44" s="515">
        <f t="shared" si="2"/>
        <v>0</v>
      </c>
      <c r="AW44" s="507">
        <f t="shared" si="15"/>
        <v>0</v>
      </c>
      <c r="AX44" s="507">
        <f t="shared" si="3"/>
        <v>0</v>
      </c>
      <c r="AY44" s="507">
        <f t="shared" si="16"/>
        <v>-4.0399971008300781</v>
      </c>
      <c r="AZ44" s="512">
        <f t="shared" si="17"/>
        <v>0</v>
      </c>
      <c r="BE44" s="535"/>
    </row>
    <row r="45" spans="1:57" s="518" customFormat="1" ht="31.5">
      <c r="A45" s="513" t="s">
        <v>193</v>
      </c>
      <c r="B45" s="411" t="s">
        <v>2763</v>
      </c>
      <c r="C45" s="533" t="s">
        <v>2764</v>
      </c>
      <c r="D45" s="506">
        <v>459.2</v>
      </c>
      <c r="E45" s="501">
        <v>-6.8000000000000114</v>
      </c>
      <c r="F45" s="515">
        <v>452.4</v>
      </c>
      <c r="G45" s="516">
        <v>0</v>
      </c>
      <c r="H45" s="516">
        <v>1</v>
      </c>
      <c r="I45" s="516">
        <v>0</v>
      </c>
      <c r="J45" s="516">
        <v>0</v>
      </c>
      <c r="K45" s="516">
        <v>0</v>
      </c>
      <c r="L45" s="516">
        <v>9.6999999999999993</v>
      </c>
      <c r="M45" s="516">
        <v>0</v>
      </c>
      <c r="N45" s="516">
        <v>47.36</v>
      </c>
      <c r="O45" s="516">
        <v>0.28000000000000003</v>
      </c>
      <c r="P45" s="516">
        <v>0</v>
      </c>
      <c r="Q45" s="516">
        <v>373.90000000000003</v>
      </c>
      <c r="R45" s="516">
        <v>0</v>
      </c>
      <c r="S45" s="516">
        <v>0</v>
      </c>
      <c r="T45" s="516">
        <v>0</v>
      </c>
      <c r="U45" s="516">
        <v>12.25</v>
      </c>
      <c r="V45" s="516">
        <v>0</v>
      </c>
      <c r="W45" s="516">
        <v>4.6399999999999997</v>
      </c>
      <c r="X45" s="516">
        <v>0</v>
      </c>
      <c r="Y45" s="516">
        <v>1.07</v>
      </c>
      <c r="Z45" s="516">
        <v>0.82000000000000006</v>
      </c>
      <c r="AA45" s="516">
        <v>1.3800000000000001</v>
      </c>
      <c r="AB45" s="516">
        <v>0</v>
      </c>
      <c r="AC45" s="474">
        <f>'[6]12ch'!BM41</f>
        <v>452.4</v>
      </c>
      <c r="AD45" s="474">
        <f t="shared" si="1"/>
        <v>0</v>
      </c>
      <c r="AE45" s="474"/>
      <c r="AF45" s="517">
        <f t="shared" si="5"/>
        <v>0.45862389312887319</v>
      </c>
      <c r="AG45" s="517"/>
      <c r="AH45" s="517"/>
      <c r="AI45" s="517" t="s">
        <v>52</v>
      </c>
      <c r="AJ45" s="534">
        <v>2.1800000000000002</v>
      </c>
      <c r="AM45" s="513" t="s">
        <v>193</v>
      </c>
      <c r="AN45" s="411" t="s">
        <v>2763</v>
      </c>
      <c r="AO45" s="533" t="s">
        <v>2764</v>
      </c>
      <c r="AP45" s="507">
        <f>+'[6]01CH'!D42</f>
        <v>1.1699999999999995</v>
      </c>
      <c r="AQ45" s="507">
        <f t="shared" si="13"/>
        <v>1.1860962753332924E-3</v>
      </c>
      <c r="AR45" s="507">
        <f>+'[6]02CH'!D42</f>
        <v>459.21</v>
      </c>
      <c r="AS45" s="507">
        <f t="shared" si="14"/>
        <v>0.46552758170581326</v>
      </c>
      <c r="AT45" s="531">
        <f t="shared" ref="AT45:AT59" si="19">D45</f>
        <v>459.2</v>
      </c>
      <c r="AU45" s="532">
        <f t="shared" si="4"/>
        <v>-6.8000000000000114</v>
      </c>
      <c r="AV45" s="515">
        <f t="shared" si="2"/>
        <v>452.4</v>
      </c>
      <c r="AW45" s="507">
        <f t="shared" si="15"/>
        <v>0.45862389312887319</v>
      </c>
      <c r="AX45" s="507">
        <f t="shared" si="3"/>
        <v>451.22999999999996</v>
      </c>
      <c r="AY45" s="507">
        <f t="shared" si="16"/>
        <v>-6.8100000000000023</v>
      </c>
      <c r="AZ45" s="512">
        <f t="shared" si="17"/>
        <v>-6.8000000000000114</v>
      </c>
      <c r="BE45" s="535"/>
    </row>
    <row r="46" spans="1:57" s="518" customFormat="1" ht="15.75">
      <c r="A46" s="513" t="s">
        <v>193</v>
      </c>
      <c r="B46" s="411" t="s">
        <v>80</v>
      </c>
      <c r="C46" s="533" t="s">
        <v>37</v>
      </c>
      <c r="D46" s="524">
        <v>535</v>
      </c>
      <c r="E46" s="501">
        <v>-5.8500000000000227</v>
      </c>
      <c r="F46" s="515">
        <v>529.15</v>
      </c>
      <c r="G46" s="516">
        <v>11.6</v>
      </c>
      <c r="H46" s="516">
        <v>71.960000000000008</v>
      </c>
      <c r="I46" s="516">
        <v>0</v>
      </c>
      <c r="J46" s="516">
        <v>0</v>
      </c>
      <c r="K46" s="516">
        <v>82.710000000000008</v>
      </c>
      <c r="L46" s="516">
        <v>10.01</v>
      </c>
      <c r="M46" s="516">
        <v>0.2</v>
      </c>
      <c r="N46" s="516">
        <v>0</v>
      </c>
      <c r="O46" s="516">
        <v>0</v>
      </c>
      <c r="P46" s="516">
        <v>13.26</v>
      </c>
      <c r="Q46" s="516">
        <v>0</v>
      </c>
      <c r="R46" s="516">
        <v>0</v>
      </c>
      <c r="S46" s="516">
        <v>0.36</v>
      </c>
      <c r="T46" s="516">
        <v>308.31</v>
      </c>
      <c r="U46" s="516">
        <v>2.23</v>
      </c>
      <c r="V46" s="516">
        <v>0</v>
      </c>
      <c r="W46" s="516">
        <v>0.5</v>
      </c>
      <c r="X46" s="516">
        <v>26.73</v>
      </c>
      <c r="Y46" s="516">
        <v>0</v>
      </c>
      <c r="Z46" s="516">
        <v>0</v>
      </c>
      <c r="AA46" s="516">
        <v>1.28</v>
      </c>
      <c r="AB46" s="516">
        <v>0</v>
      </c>
      <c r="AC46" s="474">
        <f>'[6]12ch'!BM42</f>
        <v>529.15000000000009</v>
      </c>
      <c r="AD46" s="474">
        <f t="shared" si="1"/>
        <v>0</v>
      </c>
      <c r="AE46" s="474"/>
      <c r="AF46" s="517">
        <f t="shared" si="5"/>
        <v>0.53642978127573671</v>
      </c>
      <c r="AG46" s="517"/>
      <c r="AH46" s="517"/>
      <c r="AI46" s="517" t="s">
        <v>53</v>
      </c>
      <c r="AJ46" s="534">
        <v>0.25</v>
      </c>
      <c r="AM46" s="513" t="s">
        <v>193</v>
      </c>
      <c r="AN46" s="411" t="s">
        <v>80</v>
      </c>
      <c r="AO46" s="533" t="s">
        <v>37</v>
      </c>
      <c r="AP46" s="507">
        <f>+'[6]01CH'!D43</f>
        <v>500.91000000000008</v>
      </c>
      <c r="AQ46" s="507">
        <f t="shared" si="13"/>
        <v>0.50780126946769222</v>
      </c>
      <c r="AR46" s="507">
        <f>+'[6]02CH'!D43</f>
        <v>526.1</v>
      </c>
      <c r="AS46" s="507">
        <f t="shared" si="14"/>
        <v>0.53333782089986792</v>
      </c>
      <c r="AT46" s="531">
        <f t="shared" si="19"/>
        <v>535</v>
      </c>
      <c r="AU46" s="532">
        <f t="shared" si="4"/>
        <v>-5.8500000000000227</v>
      </c>
      <c r="AV46" s="515">
        <f t="shared" si="2"/>
        <v>529.15</v>
      </c>
      <c r="AW46" s="507">
        <f t="shared" si="15"/>
        <v>0.53642978127573671</v>
      </c>
      <c r="AX46" s="507">
        <f t="shared" si="3"/>
        <v>28.239999999999895</v>
      </c>
      <c r="AY46" s="507">
        <f t="shared" si="16"/>
        <v>3.0499999999999545</v>
      </c>
      <c r="AZ46" s="512">
        <f t="shared" si="17"/>
        <v>-5.8500000000000227</v>
      </c>
      <c r="BE46" s="535"/>
    </row>
    <row r="47" spans="1:57" s="518" customFormat="1" ht="15.75">
      <c r="A47" s="513" t="s">
        <v>193</v>
      </c>
      <c r="B47" s="411" t="s">
        <v>111</v>
      </c>
      <c r="C47" s="533" t="s">
        <v>38</v>
      </c>
      <c r="D47" s="506">
        <v>1.4</v>
      </c>
      <c r="E47" s="501">
        <v>-2.0000000000000018E-2</v>
      </c>
      <c r="F47" s="515">
        <v>1.38</v>
      </c>
      <c r="G47" s="516">
        <v>0.88</v>
      </c>
      <c r="H47" s="516">
        <v>0</v>
      </c>
      <c r="I47" s="516">
        <v>0</v>
      </c>
      <c r="J47" s="516">
        <v>0</v>
      </c>
      <c r="K47" s="516">
        <v>0</v>
      </c>
      <c r="L47" s="516">
        <v>0</v>
      </c>
      <c r="M47" s="516">
        <v>0</v>
      </c>
      <c r="N47" s="516">
        <v>0</v>
      </c>
      <c r="O47" s="516">
        <v>0</v>
      </c>
      <c r="P47" s="516">
        <v>0</v>
      </c>
      <c r="Q47" s="516">
        <v>0</v>
      </c>
      <c r="R47" s="516">
        <v>0</v>
      </c>
      <c r="S47" s="516">
        <v>0</v>
      </c>
      <c r="T47" s="516">
        <v>0</v>
      </c>
      <c r="U47" s="516">
        <v>0</v>
      </c>
      <c r="V47" s="516">
        <v>0</v>
      </c>
      <c r="W47" s="516">
        <v>0</v>
      </c>
      <c r="X47" s="516">
        <v>0.5</v>
      </c>
      <c r="Y47" s="516">
        <v>0</v>
      </c>
      <c r="Z47" s="516">
        <v>0</v>
      </c>
      <c r="AA47" s="516">
        <v>0</v>
      </c>
      <c r="AB47" s="516">
        <v>0</v>
      </c>
      <c r="AC47" s="474">
        <f>'[6]12ch'!BM43</f>
        <v>1.38</v>
      </c>
      <c r="AD47" s="474">
        <f t="shared" si="1"/>
        <v>0</v>
      </c>
      <c r="AE47" s="474"/>
      <c r="AF47" s="517">
        <f t="shared" si="5"/>
        <v>1.3989853503931144E-3</v>
      </c>
      <c r="AG47" s="517"/>
      <c r="AH47" s="517"/>
      <c r="AI47" s="517" t="s">
        <v>54</v>
      </c>
      <c r="AJ47" s="534">
        <v>4.8296999999999999</v>
      </c>
      <c r="AM47" s="513" t="s">
        <v>193</v>
      </c>
      <c r="AN47" s="411" t="s">
        <v>111</v>
      </c>
      <c r="AO47" s="533" t="s">
        <v>38</v>
      </c>
      <c r="AP47" s="507">
        <f>+'[6]01CH'!D44</f>
        <v>1.38</v>
      </c>
      <c r="AQ47" s="507">
        <f t="shared" si="13"/>
        <v>1.3989853503931144E-3</v>
      </c>
      <c r="AR47" s="507">
        <f>+'[6]02CH'!D44</f>
        <v>1.38</v>
      </c>
      <c r="AS47" s="507">
        <f t="shared" si="14"/>
        <v>1.3989853503931149E-3</v>
      </c>
      <c r="AT47" s="531">
        <f t="shared" si="19"/>
        <v>1.4</v>
      </c>
      <c r="AU47" s="532">
        <f t="shared" si="4"/>
        <v>-2.0000000000000018E-2</v>
      </c>
      <c r="AV47" s="515">
        <f t="shared" si="2"/>
        <v>1.38</v>
      </c>
      <c r="AW47" s="507">
        <f t="shared" si="15"/>
        <v>1.3989853503931144E-3</v>
      </c>
      <c r="AX47" s="507">
        <f t="shared" si="3"/>
        <v>0</v>
      </c>
      <c r="AY47" s="507">
        <f t="shared" si="16"/>
        <v>0</v>
      </c>
      <c r="AZ47" s="512">
        <f t="shared" si="17"/>
        <v>-2.0000000000000018E-2</v>
      </c>
      <c r="BE47" s="535"/>
    </row>
    <row r="48" spans="1:57" s="518" customFormat="1" ht="31.5">
      <c r="A48" s="513" t="s">
        <v>193</v>
      </c>
      <c r="B48" s="411" t="s">
        <v>2818</v>
      </c>
      <c r="C48" s="533" t="s">
        <v>40</v>
      </c>
      <c r="D48" s="506">
        <v>116.3</v>
      </c>
      <c r="E48" s="501">
        <v>6.0499999999999972</v>
      </c>
      <c r="F48" s="515">
        <v>122.35</v>
      </c>
      <c r="G48" s="516">
        <v>15.58</v>
      </c>
      <c r="H48" s="516">
        <v>3.14</v>
      </c>
      <c r="I48" s="516">
        <v>0</v>
      </c>
      <c r="J48" s="516">
        <v>5.3900000000000006</v>
      </c>
      <c r="K48" s="516">
        <v>2.63</v>
      </c>
      <c r="L48" s="516">
        <v>3.46</v>
      </c>
      <c r="M48" s="516">
        <v>0.73</v>
      </c>
      <c r="N48" s="516">
        <v>8.31</v>
      </c>
      <c r="O48" s="516">
        <v>15.360000000000001</v>
      </c>
      <c r="P48" s="516">
        <v>0.39</v>
      </c>
      <c r="Q48" s="516">
        <v>0</v>
      </c>
      <c r="R48" s="516">
        <v>1.77</v>
      </c>
      <c r="S48" s="516">
        <v>18.190000000000001</v>
      </c>
      <c r="T48" s="516">
        <v>6.24</v>
      </c>
      <c r="U48" s="516">
        <v>1.06</v>
      </c>
      <c r="V48" s="516">
        <v>7.63</v>
      </c>
      <c r="W48" s="516">
        <v>12.56</v>
      </c>
      <c r="X48" s="516">
        <v>11.18</v>
      </c>
      <c r="Y48" s="516">
        <v>5.82</v>
      </c>
      <c r="Z48" s="516">
        <v>0.7</v>
      </c>
      <c r="AA48" s="516">
        <v>2.21</v>
      </c>
      <c r="AB48" s="516">
        <v>0</v>
      </c>
      <c r="AC48" s="474">
        <f>'[6]12ch'!BM44</f>
        <v>122.53999999999999</v>
      </c>
      <c r="AD48" s="474">
        <f t="shared" si="1"/>
        <v>-0.18999999999999773</v>
      </c>
      <c r="AE48" s="474"/>
      <c r="AF48" s="517">
        <f t="shared" si="5"/>
        <v>0.12403323015985331</v>
      </c>
      <c r="AG48" s="517"/>
      <c r="AH48" s="517"/>
      <c r="AI48" s="517" t="s">
        <v>138</v>
      </c>
      <c r="AJ48" s="534">
        <v>3.24</v>
      </c>
      <c r="AM48" s="513" t="s">
        <v>193</v>
      </c>
      <c r="AN48" s="411" t="s">
        <v>2818</v>
      </c>
      <c r="AO48" s="533" t="s">
        <v>40</v>
      </c>
      <c r="AP48" s="507">
        <f>+'[6]01CH'!D45</f>
        <v>105.94</v>
      </c>
      <c r="AQ48" s="507">
        <f t="shared" si="13"/>
        <v>0.10739746958017868</v>
      </c>
      <c r="AR48" s="507">
        <f>+'[6]02CH'!D45</f>
        <v>116.3</v>
      </c>
      <c r="AS48" s="507">
        <f t="shared" si="14"/>
        <v>0.1178999972831299</v>
      </c>
      <c r="AT48" s="531">
        <f t="shared" si="19"/>
        <v>116.3</v>
      </c>
      <c r="AU48" s="532">
        <f t="shared" si="4"/>
        <v>6.0499999999999972</v>
      </c>
      <c r="AV48" s="515">
        <f t="shared" si="2"/>
        <v>122.35</v>
      </c>
      <c r="AW48" s="507">
        <f t="shared" si="15"/>
        <v>0.12403323015985331</v>
      </c>
      <c r="AX48" s="507">
        <f t="shared" si="3"/>
        <v>16.409999999999997</v>
      </c>
      <c r="AY48" s="507">
        <f t="shared" si="16"/>
        <v>6.0499999999999972</v>
      </c>
      <c r="AZ48" s="512">
        <f t="shared" si="17"/>
        <v>6.0499999999999972</v>
      </c>
      <c r="BE48" s="535"/>
    </row>
    <row r="49" spans="1:57" s="518" customFormat="1" ht="15.75">
      <c r="A49" s="513" t="s">
        <v>193</v>
      </c>
      <c r="B49" s="411" t="s">
        <v>2819</v>
      </c>
      <c r="C49" s="533" t="s">
        <v>52</v>
      </c>
      <c r="D49" s="506"/>
      <c r="E49" s="501">
        <v>0</v>
      </c>
      <c r="F49" s="515">
        <v>0</v>
      </c>
      <c r="G49" s="516">
        <v>0</v>
      </c>
      <c r="H49" s="516">
        <v>0</v>
      </c>
      <c r="I49" s="516">
        <v>0</v>
      </c>
      <c r="J49" s="516">
        <v>0</v>
      </c>
      <c r="K49" s="516">
        <v>0</v>
      </c>
      <c r="L49" s="516">
        <v>0</v>
      </c>
      <c r="M49" s="516">
        <v>0</v>
      </c>
      <c r="N49" s="516">
        <v>0</v>
      </c>
      <c r="O49" s="516">
        <v>0</v>
      </c>
      <c r="P49" s="516">
        <v>0</v>
      </c>
      <c r="Q49" s="516">
        <v>0</v>
      </c>
      <c r="R49" s="516">
        <v>0</v>
      </c>
      <c r="S49" s="516">
        <v>0</v>
      </c>
      <c r="T49" s="516">
        <v>0</v>
      </c>
      <c r="U49" s="516">
        <v>0</v>
      </c>
      <c r="V49" s="516">
        <v>0</v>
      </c>
      <c r="W49" s="516">
        <v>0</v>
      </c>
      <c r="X49" s="516">
        <v>0</v>
      </c>
      <c r="Y49" s="516">
        <v>0</v>
      </c>
      <c r="Z49" s="516">
        <v>0</v>
      </c>
      <c r="AA49" s="516">
        <v>0</v>
      </c>
      <c r="AB49" s="516">
        <v>0</v>
      </c>
      <c r="AC49" s="474">
        <f>'[6]12ch'!BM45</f>
        <v>0</v>
      </c>
      <c r="AD49" s="474">
        <f t="shared" si="1"/>
        <v>0</v>
      </c>
      <c r="AE49" s="474"/>
      <c r="AF49" s="517">
        <f t="shared" si="5"/>
        <v>0</v>
      </c>
      <c r="AG49" s="517"/>
      <c r="AH49" s="517"/>
      <c r="AI49" s="517" t="s">
        <v>137</v>
      </c>
      <c r="AJ49" s="537">
        <v>0</v>
      </c>
      <c r="AM49" s="513" t="s">
        <v>193</v>
      </c>
      <c r="AN49" s="411" t="s">
        <v>2819</v>
      </c>
      <c r="AO49" s="533" t="s">
        <v>52</v>
      </c>
      <c r="AP49" s="507">
        <f>+'[6]01CH'!D46</f>
        <v>0</v>
      </c>
      <c r="AQ49" s="507">
        <f t="shared" si="13"/>
        <v>0</v>
      </c>
      <c r="AR49" s="507">
        <f>+'[6]02CH'!D46</f>
        <v>1.5</v>
      </c>
      <c r="AS49" s="507">
        <f t="shared" si="14"/>
        <v>1.5206362504272988E-3</v>
      </c>
      <c r="AT49" s="531">
        <f t="shared" si="19"/>
        <v>0</v>
      </c>
      <c r="AU49" s="532">
        <f t="shared" si="4"/>
        <v>0</v>
      </c>
      <c r="AV49" s="515">
        <f t="shared" si="2"/>
        <v>0</v>
      </c>
      <c r="AW49" s="507">
        <f t="shared" si="15"/>
        <v>0</v>
      </c>
      <c r="AX49" s="507">
        <f t="shared" si="3"/>
        <v>0</v>
      </c>
      <c r="AY49" s="507">
        <f t="shared" si="16"/>
        <v>-1.5</v>
      </c>
      <c r="AZ49" s="512">
        <f t="shared" si="17"/>
        <v>0</v>
      </c>
      <c r="BE49" s="535"/>
    </row>
    <row r="50" spans="1:57" s="518" customFormat="1" ht="15.75">
      <c r="A50" s="513" t="s">
        <v>193</v>
      </c>
      <c r="B50" s="411" t="s">
        <v>128</v>
      </c>
      <c r="C50" s="533" t="s">
        <v>53</v>
      </c>
      <c r="D50" s="506"/>
      <c r="E50" s="501">
        <v>3.3</v>
      </c>
      <c r="F50" s="515">
        <v>3.3</v>
      </c>
      <c r="G50" s="516">
        <v>0</v>
      </c>
      <c r="H50" s="516">
        <v>0</v>
      </c>
      <c r="I50" s="516">
        <v>0</v>
      </c>
      <c r="J50" s="516">
        <v>0</v>
      </c>
      <c r="K50" s="516">
        <v>0</v>
      </c>
      <c r="L50" s="516">
        <v>3.3</v>
      </c>
      <c r="M50" s="516">
        <v>0</v>
      </c>
      <c r="N50" s="516">
        <v>0</v>
      </c>
      <c r="O50" s="516">
        <v>0</v>
      </c>
      <c r="P50" s="516">
        <v>0</v>
      </c>
      <c r="Q50" s="516">
        <v>0</v>
      </c>
      <c r="R50" s="516">
        <v>0</v>
      </c>
      <c r="S50" s="516">
        <v>0</v>
      </c>
      <c r="T50" s="516">
        <v>0</v>
      </c>
      <c r="U50" s="516">
        <v>0</v>
      </c>
      <c r="V50" s="516">
        <v>0</v>
      </c>
      <c r="W50" s="516">
        <v>0</v>
      </c>
      <c r="X50" s="516">
        <v>0</v>
      </c>
      <c r="Y50" s="516">
        <v>0</v>
      </c>
      <c r="Z50" s="516">
        <v>0</v>
      </c>
      <c r="AA50" s="516">
        <v>0</v>
      </c>
      <c r="AB50" s="516">
        <v>0</v>
      </c>
      <c r="AC50" s="474">
        <f>'[6]12ch'!BM46</f>
        <v>3.3</v>
      </c>
      <c r="AD50" s="474">
        <f t="shared" si="1"/>
        <v>0</v>
      </c>
      <c r="AE50" s="474"/>
      <c r="AF50" s="517">
        <f t="shared" si="5"/>
        <v>3.3453997509400564E-3</v>
      </c>
      <c r="AG50" s="517"/>
      <c r="AH50" s="517"/>
      <c r="AI50" s="517" t="s">
        <v>2762</v>
      </c>
      <c r="AJ50" s="537">
        <v>0</v>
      </c>
      <c r="AM50" s="513" t="s">
        <v>193</v>
      </c>
      <c r="AN50" s="411" t="s">
        <v>128</v>
      </c>
      <c r="AO50" s="533" t="s">
        <v>53</v>
      </c>
      <c r="AP50" s="507">
        <f>+'[6]01CH'!D47</f>
        <v>0</v>
      </c>
      <c r="AQ50" s="507">
        <f t="shared" si="13"/>
        <v>0</v>
      </c>
      <c r="AR50" s="507">
        <f>+'[6]02CH'!D47</f>
        <v>3.3</v>
      </c>
      <c r="AS50" s="507">
        <f t="shared" si="14"/>
        <v>3.3453997509400573E-3</v>
      </c>
      <c r="AT50" s="531">
        <f t="shared" si="19"/>
        <v>0</v>
      </c>
      <c r="AU50" s="532">
        <f t="shared" si="4"/>
        <v>3.3</v>
      </c>
      <c r="AV50" s="515">
        <f t="shared" si="2"/>
        <v>3.3</v>
      </c>
      <c r="AW50" s="507">
        <f t="shared" si="15"/>
        <v>3.3453997509400564E-3</v>
      </c>
      <c r="AX50" s="507">
        <f t="shared" si="3"/>
        <v>3.3</v>
      </c>
      <c r="AY50" s="507">
        <f t="shared" si="16"/>
        <v>0</v>
      </c>
      <c r="AZ50" s="512"/>
      <c r="BE50" s="535"/>
    </row>
    <row r="51" spans="1:57" s="518" customFormat="1" ht="15.75">
      <c r="A51" s="513" t="s">
        <v>193</v>
      </c>
      <c r="B51" s="411" t="s">
        <v>124</v>
      </c>
      <c r="C51" s="533" t="s">
        <v>54</v>
      </c>
      <c r="D51" s="506"/>
      <c r="E51" s="501">
        <v>14.340000000000002</v>
      </c>
      <c r="F51" s="515">
        <v>14.340000000000002</v>
      </c>
      <c r="G51" s="516">
        <v>3.8000000000000003</v>
      </c>
      <c r="H51" s="516">
        <v>3.5400000000000005</v>
      </c>
      <c r="I51" s="516">
        <v>0.6</v>
      </c>
      <c r="J51" s="516">
        <v>0</v>
      </c>
      <c r="K51" s="516">
        <v>3.7199999999999998</v>
      </c>
      <c r="L51" s="516">
        <v>0</v>
      </c>
      <c r="M51" s="516">
        <v>0.25</v>
      </c>
      <c r="N51" s="516">
        <v>0</v>
      </c>
      <c r="O51" s="516">
        <v>0.96999999999999986</v>
      </c>
      <c r="P51" s="516">
        <v>0</v>
      </c>
      <c r="Q51" s="516">
        <v>0.55999999999999994</v>
      </c>
      <c r="R51" s="516">
        <v>0</v>
      </c>
      <c r="S51" s="516">
        <v>0</v>
      </c>
      <c r="T51" s="516">
        <v>0</v>
      </c>
      <c r="U51" s="516">
        <v>0.4</v>
      </c>
      <c r="V51" s="516">
        <v>0</v>
      </c>
      <c r="W51" s="516">
        <v>0</v>
      </c>
      <c r="X51" s="516">
        <v>0</v>
      </c>
      <c r="Y51" s="516">
        <v>0</v>
      </c>
      <c r="Z51" s="516">
        <v>0</v>
      </c>
      <c r="AA51" s="516">
        <v>0.5</v>
      </c>
      <c r="AB51" s="516">
        <v>0</v>
      </c>
      <c r="AC51" s="474">
        <f>'[6]12ch'!BM47</f>
        <v>14.340000000000003</v>
      </c>
      <c r="AD51" s="474">
        <f t="shared" si="1"/>
        <v>0</v>
      </c>
      <c r="AE51" s="474"/>
      <c r="AF51" s="517">
        <f t="shared" si="5"/>
        <v>1.4537282554084976E-2</v>
      </c>
      <c r="AG51" s="517"/>
      <c r="AH51" s="517"/>
      <c r="AI51" s="517" t="s">
        <v>2764</v>
      </c>
      <c r="AJ51" s="537">
        <v>1.65</v>
      </c>
      <c r="AM51" s="513" t="s">
        <v>193</v>
      </c>
      <c r="AN51" s="411" t="s">
        <v>124</v>
      </c>
      <c r="AO51" s="533" t="s">
        <v>54</v>
      </c>
      <c r="AP51" s="507">
        <f>+'[6]01CH'!D48</f>
        <v>2.2700000000000005</v>
      </c>
      <c r="AQ51" s="507">
        <f t="shared" si="13"/>
        <v>2.3012295256466457E-3</v>
      </c>
      <c r="AR51" s="507">
        <f>+'[6]02CH'!D48</f>
        <v>8.8000000000000007</v>
      </c>
      <c r="AS51" s="507">
        <f t="shared" si="14"/>
        <v>8.9210660025068212E-3</v>
      </c>
      <c r="AT51" s="531">
        <f t="shared" si="19"/>
        <v>0</v>
      </c>
      <c r="AU51" s="532">
        <f t="shared" si="4"/>
        <v>14.340000000000002</v>
      </c>
      <c r="AV51" s="515">
        <f t="shared" si="2"/>
        <v>14.340000000000002</v>
      </c>
      <c r="AW51" s="507">
        <f t="shared" si="15"/>
        <v>1.4537282554084976E-2</v>
      </c>
      <c r="AX51" s="507">
        <f t="shared" si="3"/>
        <v>12.07</v>
      </c>
      <c r="AY51" s="507">
        <f t="shared" si="16"/>
        <v>5.5400000000000009</v>
      </c>
      <c r="AZ51" s="512"/>
      <c r="BE51" s="535"/>
    </row>
    <row r="52" spans="1:57" s="448" customFormat="1" ht="15.75">
      <c r="A52" s="503" t="s">
        <v>71</v>
      </c>
      <c r="B52" s="538" t="s">
        <v>2770</v>
      </c>
      <c r="C52" s="527" t="s">
        <v>2771</v>
      </c>
      <c r="D52" s="506"/>
      <c r="E52" s="501">
        <v>3.2600000000000002</v>
      </c>
      <c r="F52" s="507">
        <v>3.2600000000000002</v>
      </c>
      <c r="G52" s="508">
        <v>0.15</v>
      </c>
      <c r="H52" s="508">
        <v>0.29000000000000004</v>
      </c>
      <c r="I52" s="508">
        <v>0</v>
      </c>
      <c r="J52" s="508">
        <v>0.02</v>
      </c>
      <c r="K52" s="508">
        <v>0.5</v>
      </c>
      <c r="L52" s="508">
        <v>0</v>
      </c>
      <c r="M52" s="508">
        <v>0</v>
      </c>
      <c r="N52" s="508">
        <v>0.01</v>
      </c>
      <c r="O52" s="508">
        <v>0</v>
      </c>
      <c r="P52" s="508">
        <v>0</v>
      </c>
      <c r="Q52" s="508">
        <v>0</v>
      </c>
      <c r="R52" s="508">
        <v>0.02</v>
      </c>
      <c r="S52" s="508">
        <v>0</v>
      </c>
      <c r="T52" s="508">
        <v>0</v>
      </c>
      <c r="U52" s="508">
        <v>0</v>
      </c>
      <c r="V52" s="508">
        <v>1.63</v>
      </c>
      <c r="W52" s="508">
        <v>0</v>
      </c>
      <c r="X52" s="508">
        <v>0</v>
      </c>
      <c r="Y52" s="508">
        <v>0</v>
      </c>
      <c r="Z52" s="508">
        <v>0.5</v>
      </c>
      <c r="AA52" s="508">
        <v>0.14000000000000001</v>
      </c>
      <c r="AB52" s="508">
        <v>0</v>
      </c>
      <c r="AC52" s="474">
        <f>'[6]12ch'!BM48</f>
        <v>3.26</v>
      </c>
      <c r="AD52" s="474">
        <f t="shared" si="1"/>
        <v>0</v>
      </c>
      <c r="AE52" s="474"/>
      <c r="AF52" s="509">
        <f t="shared" si="5"/>
        <v>3.3048494509286628E-3</v>
      </c>
      <c r="AG52" s="509"/>
      <c r="AH52" s="509"/>
      <c r="AI52" s="509" t="s">
        <v>37</v>
      </c>
      <c r="AJ52" s="528">
        <v>41.536000000000001</v>
      </c>
      <c r="AM52" s="503" t="s">
        <v>71</v>
      </c>
      <c r="AN52" s="538" t="s">
        <v>2770</v>
      </c>
      <c r="AO52" s="527" t="s">
        <v>2771</v>
      </c>
      <c r="AP52" s="507">
        <f>+'[6]01CH'!D49</f>
        <v>0.33</v>
      </c>
      <c r="AQ52" s="507">
        <f t="shared" si="13"/>
        <v>3.3453997509400572E-4</v>
      </c>
      <c r="AR52" s="507">
        <f>+'[6]02CH'!D49</f>
        <v>8.7999954223632813</v>
      </c>
      <c r="AS52" s="507">
        <f t="shared" si="14"/>
        <v>8.9210613618932628E-3</v>
      </c>
      <c r="AT52" s="531">
        <f t="shared" si="19"/>
        <v>0</v>
      </c>
      <c r="AU52" s="532">
        <f t="shared" si="4"/>
        <v>3.2600000000000002</v>
      </c>
      <c r="AV52" s="507">
        <f t="shared" si="2"/>
        <v>3.2600000000000002</v>
      </c>
      <c r="AW52" s="507">
        <f t="shared" si="15"/>
        <v>3.3048494509286628E-3</v>
      </c>
      <c r="AX52" s="507">
        <f t="shared" si="3"/>
        <v>2.93</v>
      </c>
      <c r="AY52" s="507">
        <f t="shared" si="16"/>
        <v>-5.5399954223632815</v>
      </c>
      <c r="AZ52" s="512"/>
      <c r="BD52" s="518"/>
      <c r="BE52" s="535"/>
    </row>
    <row r="53" spans="1:57" s="448" customFormat="1" ht="15.75">
      <c r="A53" s="503" t="s">
        <v>74</v>
      </c>
      <c r="B53" s="538" t="s">
        <v>2772</v>
      </c>
      <c r="C53" s="527" t="s">
        <v>2773</v>
      </c>
      <c r="D53" s="506"/>
      <c r="E53" s="501">
        <v>18.350000000000001</v>
      </c>
      <c r="F53" s="507">
        <v>18.350000000000001</v>
      </c>
      <c r="G53" s="508">
        <v>8.15</v>
      </c>
      <c r="H53" s="508">
        <v>0</v>
      </c>
      <c r="I53" s="508">
        <v>0</v>
      </c>
      <c r="J53" s="508">
        <v>0</v>
      </c>
      <c r="K53" s="508">
        <v>0</v>
      </c>
      <c r="L53" s="508">
        <v>0</v>
      </c>
      <c r="M53" s="508">
        <v>0</v>
      </c>
      <c r="N53" s="508">
        <v>0</v>
      </c>
      <c r="O53" s="508">
        <v>0</v>
      </c>
      <c r="P53" s="508">
        <v>0</v>
      </c>
      <c r="Q53" s="508">
        <v>0</v>
      </c>
      <c r="R53" s="508">
        <v>0</v>
      </c>
      <c r="S53" s="508">
        <v>0</v>
      </c>
      <c r="T53" s="508">
        <v>0</v>
      </c>
      <c r="U53" s="508">
        <v>5.1099999999999994</v>
      </c>
      <c r="V53" s="508">
        <v>0</v>
      </c>
      <c r="W53" s="508">
        <v>0</v>
      </c>
      <c r="X53" s="508">
        <v>0</v>
      </c>
      <c r="Y53" s="508">
        <v>5.09</v>
      </c>
      <c r="Z53" s="508">
        <v>0</v>
      </c>
      <c r="AA53" s="508">
        <v>0</v>
      </c>
      <c r="AB53" s="508">
        <v>0</v>
      </c>
      <c r="AC53" s="474">
        <f>'[6]12ch'!BM49</f>
        <v>16.2</v>
      </c>
      <c r="AD53" s="474">
        <f t="shared" si="1"/>
        <v>2.1500000000000021</v>
      </c>
      <c r="AE53" s="474"/>
      <c r="AF53" s="509">
        <f t="shared" si="5"/>
        <v>1.8602450130227287E-2</v>
      </c>
      <c r="AG53" s="509"/>
      <c r="AH53" s="509"/>
      <c r="AI53" s="509" t="s">
        <v>2771</v>
      </c>
      <c r="AJ53" s="528">
        <v>0</v>
      </c>
      <c r="AM53" s="503" t="s">
        <v>74</v>
      </c>
      <c r="AN53" s="538" t="s">
        <v>2772</v>
      </c>
      <c r="AO53" s="527" t="s">
        <v>2773</v>
      </c>
      <c r="AP53" s="507">
        <f>+'[6]01CH'!D50</f>
        <v>0</v>
      </c>
      <c r="AQ53" s="507">
        <f t="shared" si="13"/>
        <v>0</v>
      </c>
      <c r="AR53" s="507">
        <f>+'[6]02CH'!D50</f>
        <v>8.7999954223632813</v>
      </c>
      <c r="AS53" s="507">
        <f t="shared" si="14"/>
        <v>8.9210613618932628E-3</v>
      </c>
      <c r="AT53" s="531">
        <f t="shared" si="19"/>
        <v>0</v>
      </c>
      <c r="AU53" s="532">
        <f t="shared" si="4"/>
        <v>18.350000000000001</v>
      </c>
      <c r="AV53" s="507">
        <f t="shared" si="2"/>
        <v>18.350000000000001</v>
      </c>
      <c r="AW53" s="507">
        <f t="shared" si="15"/>
        <v>1.8602450130227287E-2</v>
      </c>
      <c r="AX53" s="507">
        <f t="shared" si="3"/>
        <v>18.350000000000001</v>
      </c>
      <c r="AY53" s="507">
        <f t="shared" si="16"/>
        <v>9.5500045776367202</v>
      </c>
      <c r="AZ53" s="512"/>
      <c r="BD53" s="518"/>
      <c r="BE53" s="535"/>
    </row>
    <row r="54" spans="1:57" s="448" customFormat="1" ht="15.75">
      <c r="A54" s="503" t="s">
        <v>75</v>
      </c>
      <c r="B54" s="538" t="s">
        <v>1251</v>
      </c>
      <c r="C54" s="527" t="s">
        <v>113</v>
      </c>
      <c r="D54" s="506"/>
      <c r="E54" s="501">
        <v>15.845000000000002</v>
      </c>
      <c r="F54" s="507">
        <v>15.845000000000002</v>
      </c>
      <c r="G54" s="508">
        <v>6.47</v>
      </c>
      <c r="H54" s="508">
        <v>0</v>
      </c>
      <c r="I54" s="508">
        <v>0</v>
      </c>
      <c r="J54" s="508">
        <v>0.12</v>
      </c>
      <c r="K54" s="508">
        <v>0</v>
      </c>
      <c r="L54" s="508">
        <v>0</v>
      </c>
      <c r="M54" s="508">
        <v>0</v>
      </c>
      <c r="N54" s="508">
        <v>5.4050000000000002</v>
      </c>
      <c r="O54" s="508">
        <v>0.06</v>
      </c>
      <c r="P54" s="508">
        <v>0</v>
      </c>
      <c r="Q54" s="508">
        <v>0.51</v>
      </c>
      <c r="R54" s="508">
        <v>0</v>
      </c>
      <c r="S54" s="508">
        <v>0</v>
      </c>
      <c r="T54" s="508">
        <v>0</v>
      </c>
      <c r="U54" s="508">
        <v>0</v>
      </c>
      <c r="V54" s="508">
        <v>0</v>
      </c>
      <c r="W54" s="508">
        <v>0</v>
      </c>
      <c r="X54" s="508">
        <v>1.32</v>
      </c>
      <c r="Y54" s="508">
        <v>0</v>
      </c>
      <c r="Z54" s="508">
        <v>0</v>
      </c>
      <c r="AA54" s="508">
        <v>1.96</v>
      </c>
      <c r="AB54" s="508">
        <v>0</v>
      </c>
      <c r="AC54" s="474">
        <f>'[6]12ch'!BM50</f>
        <v>15.845000000000001</v>
      </c>
      <c r="AD54" s="474">
        <f t="shared" si="1"/>
        <v>0</v>
      </c>
      <c r="AE54" s="474"/>
      <c r="AF54" s="509">
        <f t="shared" si="5"/>
        <v>1.6062987592013703E-2</v>
      </c>
      <c r="AG54" s="509"/>
      <c r="AH54" s="509"/>
      <c r="AI54" s="509" t="s">
        <v>2773</v>
      </c>
      <c r="AJ54" s="528">
        <v>0</v>
      </c>
      <c r="AM54" s="503" t="s">
        <v>75</v>
      </c>
      <c r="AN54" s="538" t="s">
        <v>1251</v>
      </c>
      <c r="AO54" s="527" t="s">
        <v>113</v>
      </c>
      <c r="AP54" s="507">
        <f>+'[6]01CH'!D51</f>
        <v>2.08</v>
      </c>
      <c r="AQ54" s="507">
        <f t="shared" si="13"/>
        <v>2.1086156005925205E-3</v>
      </c>
      <c r="AR54" s="507">
        <f>+'[6]02CH'!D52</f>
        <v>8.86</v>
      </c>
      <c r="AS54" s="507">
        <f t="shared" si="14"/>
        <v>8.9818914525239112E-3</v>
      </c>
      <c r="AT54" s="531">
        <f t="shared" si="19"/>
        <v>0</v>
      </c>
      <c r="AU54" s="532">
        <f t="shared" si="4"/>
        <v>15.845000000000002</v>
      </c>
      <c r="AV54" s="507">
        <f t="shared" si="2"/>
        <v>15.845000000000002</v>
      </c>
      <c r="AW54" s="507">
        <f t="shared" si="15"/>
        <v>1.6062987592013703E-2</v>
      </c>
      <c r="AX54" s="507">
        <f t="shared" si="3"/>
        <v>13.765000000000002</v>
      </c>
      <c r="AY54" s="507">
        <f t="shared" si="16"/>
        <v>6.985000000000003</v>
      </c>
      <c r="AZ54" s="512"/>
      <c r="BD54" s="518"/>
      <c r="BE54" s="535"/>
    </row>
    <row r="55" spans="1:57" s="448" customFormat="1" ht="15.75">
      <c r="A55" s="503" t="s">
        <v>76</v>
      </c>
      <c r="B55" s="538" t="s">
        <v>2775</v>
      </c>
      <c r="C55" s="527" t="s">
        <v>59</v>
      </c>
      <c r="D55" s="506">
        <v>1011.8</v>
      </c>
      <c r="E55" s="501">
        <v>6.3843200000000024</v>
      </c>
      <c r="F55" s="507">
        <v>1018.18432</v>
      </c>
      <c r="G55" s="508">
        <v>0.1</v>
      </c>
      <c r="H55" s="508">
        <v>0</v>
      </c>
      <c r="I55" s="508">
        <v>21.07</v>
      </c>
      <c r="J55" s="508">
        <v>51.18</v>
      </c>
      <c r="K55" s="508">
        <v>104.75</v>
      </c>
      <c r="L55" s="508">
        <v>98.22</v>
      </c>
      <c r="M55" s="508">
        <v>56.83</v>
      </c>
      <c r="N55" s="508">
        <v>80.144319999999993</v>
      </c>
      <c r="O55" s="508">
        <v>66.83</v>
      </c>
      <c r="P55" s="508">
        <v>41.61</v>
      </c>
      <c r="Q55" s="508">
        <v>7.81</v>
      </c>
      <c r="R55" s="508">
        <v>62.35</v>
      </c>
      <c r="S55" s="508">
        <v>38.32</v>
      </c>
      <c r="T55" s="508">
        <v>37.61</v>
      </c>
      <c r="U55" s="508">
        <v>28.26</v>
      </c>
      <c r="V55" s="508">
        <v>95.61</v>
      </c>
      <c r="W55" s="508">
        <v>14.350000000000001</v>
      </c>
      <c r="X55" s="508">
        <v>88.42</v>
      </c>
      <c r="Y55" s="508">
        <v>48.93</v>
      </c>
      <c r="Z55" s="508">
        <v>23.57</v>
      </c>
      <c r="AA55" s="508">
        <v>52.22</v>
      </c>
      <c r="AB55" s="508">
        <v>0</v>
      </c>
      <c r="AC55" s="474">
        <f>'[6]12ch'!BM51</f>
        <v>1018.3143199999998</v>
      </c>
      <c r="AD55" s="474">
        <f t="shared" si="1"/>
        <v>-0.12999999999988177</v>
      </c>
      <c r="AE55" s="474"/>
      <c r="AF55" s="509">
        <f t="shared" si="5"/>
        <v>1.0321919910724457</v>
      </c>
      <c r="AG55" s="509"/>
      <c r="AH55" s="509"/>
      <c r="AI55" s="509" t="s">
        <v>113</v>
      </c>
      <c r="AJ55" s="510">
        <v>41.76</v>
      </c>
      <c r="AM55" s="503" t="s">
        <v>76</v>
      </c>
      <c r="AN55" s="538" t="s">
        <v>2775</v>
      </c>
      <c r="AO55" s="527" t="s">
        <v>59</v>
      </c>
      <c r="AP55" s="507">
        <f>+'[6]01CH'!D52</f>
        <v>955.12999999999988</v>
      </c>
      <c r="AQ55" s="507">
        <f t="shared" si="13"/>
        <v>0.96827020124708363</v>
      </c>
      <c r="AR55" s="507">
        <f>+'[6]02CH'!D53</f>
        <v>1011.8</v>
      </c>
      <c r="AS55" s="507">
        <f t="shared" si="14"/>
        <v>1.0257198387882271</v>
      </c>
      <c r="AT55" s="531">
        <f t="shared" si="19"/>
        <v>1011.8</v>
      </c>
      <c r="AU55" s="532">
        <f t="shared" si="4"/>
        <v>6.3843200000000024</v>
      </c>
      <c r="AV55" s="507">
        <f t="shared" si="2"/>
        <v>1018.18432</v>
      </c>
      <c r="AW55" s="507">
        <f t="shared" si="15"/>
        <v>1.0321919910724457</v>
      </c>
      <c r="AX55" s="507">
        <f t="shared" si="3"/>
        <v>63.054320000000075</v>
      </c>
      <c r="AY55" s="507">
        <f t="shared" si="16"/>
        <v>6.3843200000000024</v>
      </c>
      <c r="AZ55" s="512">
        <f t="shared" si="17"/>
        <v>6.3843200000000024</v>
      </c>
      <c r="BD55" s="518"/>
      <c r="BE55" s="535"/>
    </row>
    <row r="56" spans="1:57" s="448" customFormat="1" ht="15.75">
      <c r="A56" s="503" t="s">
        <v>82</v>
      </c>
      <c r="B56" s="538" t="s">
        <v>108</v>
      </c>
      <c r="C56" s="527" t="s">
        <v>57</v>
      </c>
      <c r="D56" s="506">
        <v>217</v>
      </c>
      <c r="E56" s="501">
        <v>0</v>
      </c>
      <c r="F56" s="507">
        <v>217</v>
      </c>
      <c r="G56" s="508">
        <v>134</v>
      </c>
      <c r="H56" s="508">
        <v>83</v>
      </c>
      <c r="I56" s="508">
        <v>0</v>
      </c>
      <c r="J56" s="508">
        <v>0</v>
      </c>
      <c r="K56" s="508">
        <v>0</v>
      </c>
      <c r="L56" s="508">
        <v>0</v>
      </c>
      <c r="M56" s="508">
        <v>0</v>
      </c>
      <c r="N56" s="508">
        <v>0</v>
      </c>
      <c r="O56" s="508">
        <v>0</v>
      </c>
      <c r="P56" s="508">
        <v>0</v>
      </c>
      <c r="Q56" s="508">
        <v>0</v>
      </c>
      <c r="R56" s="508">
        <v>0</v>
      </c>
      <c r="S56" s="508">
        <v>0</v>
      </c>
      <c r="T56" s="508">
        <v>0</v>
      </c>
      <c r="U56" s="508">
        <v>0</v>
      </c>
      <c r="V56" s="508">
        <v>0</v>
      </c>
      <c r="W56" s="508">
        <v>0</v>
      </c>
      <c r="X56" s="508">
        <v>0</v>
      </c>
      <c r="Y56" s="508">
        <v>0</v>
      </c>
      <c r="Z56" s="508">
        <v>0</v>
      </c>
      <c r="AA56" s="508">
        <v>0</v>
      </c>
      <c r="AB56" s="508">
        <v>0</v>
      </c>
      <c r="AC56" s="474">
        <f>'[6]12ch'!BM52</f>
        <v>217.04</v>
      </c>
      <c r="AD56" s="474">
        <f t="shared" si="1"/>
        <v>-3.9999999999992042E-2</v>
      </c>
      <c r="AE56" s="474"/>
      <c r="AF56" s="509">
        <f t="shared" si="5"/>
        <v>0.21998537756181585</v>
      </c>
      <c r="AG56" s="509"/>
      <c r="AH56" s="509"/>
      <c r="AI56" s="509" t="s">
        <v>59</v>
      </c>
      <c r="AJ56" s="510">
        <v>937.56259999999861</v>
      </c>
      <c r="AM56" s="503" t="s">
        <v>82</v>
      </c>
      <c r="AN56" s="538" t="s">
        <v>108</v>
      </c>
      <c r="AO56" s="527" t="s">
        <v>57</v>
      </c>
      <c r="AP56" s="507">
        <f>+'[6]01CH'!D53</f>
        <v>170.34</v>
      </c>
      <c r="AQ56" s="507">
        <f t="shared" si="13"/>
        <v>0.17268345259852405</v>
      </c>
      <c r="AR56" s="507">
        <f>+'[6]02CH'!D54</f>
        <v>217</v>
      </c>
      <c r="AS56" s="507">
        <f t="shared" si="14"/>
        <v>0.21998537756181591</v>
      </c>
      <c r="AT56" s="531">
        <f t="shared" si="19"/>
        <v>217</v>
      </c>
      <c r="AU56" s="532">
        <f t="shared" si="4"/>
        <v>0</v>
      </c>
      <c r="AV56" s="507">
        <f t="shared" si="2"/>
        <v>217</v>
      </c>
      <c r="AW56" s="507">
        <f t="shared" si="15"/>
        <v>0.21998537756181585</v>
      </c>
      <c r="AX56" s="507">
        <f t="shared" si="3"/>
        <v>46.66</v>
      </c>
      <c r="AY56" s="507">
        <f t="shared" si="16"/>
        <v>0</v>
      </c>
      <c r="AZ56" s="512">
        <f t="shared" si="17"/>
        <v>0</v>
      </c>
      <c r="BD56" s="518"/>
      <c r="BE56" s="535"/>
    </row>
    <row r="57" spans="1:57" s="448" customFormat="1" ht="15.75">
      <c r="A57" s="503" t="s">
        <v>83</v>
      </c>
      <c r="B57" s="538" t="s">
        <v>95</v>
      </c>
      <c r="C57" s="527" t="s">
        <v>24</v>
      </c>
      <c r="D57" s="506">
        <v>22.8</v>
      </c>
      <c r="E57" s="501">
        <v>1.6700000000000053</v>
      </c>
      <c r="F57" s="507">
        <v>24.470000000000006</v>
      </c>
      <c r="G57" s="508">
        <v>7.09</v>
      </c>
      <c r="H57" s="508">
        <v>2.2599999999999998</v>
      </c>
      <c r="I57" s="508">
        <v>0.35</v>
      </c>
      <c r="J57" s="508">
        <v>0.33999999999999997</v>
      </c>
      <c r="K57" s="508">
        <v>1.85</v>
      </c>
      <c r="L57" s="508">
        <v>0.96000000000000008</v>
      </c>
      <c r="M57" s="508">
        <v>0.3</v>
      </c>
      <c r="N57" s="508">
        <v>0.47000000000000008</v>
      </c>
      <c r="O57" s="508">
        <v>0.23</v>
      </c>
      <c r="P57" s="508">
        <v>0.6</v>
      </c>
      <c r="Q57" s="508">
        <v>3.93</v>
      </c>
      <c r="R57" s="508">
        <v>1.1000000000000001</v>
      </c>
      <c r="S57" s="508">
        <v>0.49</v>
      </c>
      <c r="T57" s="508">
        <v>0.55000000000000004</v>
      </c>
      <c r="U57" s="508">
        <v>0.32999999999999996</v>
      </c>
      <c r="V57" s="508">
        <v>0.66999999999999993</v>
      </c>
      <c r="W57" s="508">
        <v>0.37</v>
      </c>
      <c r="X57" s="508">
        <v>0.28000000000000003</v>
      </c>
      <c r="Y57" s="508">
        <v>0.59000000000000008</v>
      </c>
      <c r="Z57" s="508">
        <v>0.36000000000000004</v>
      </c>
      <c r="AA57" s="508">
        <v>1.35</v>
      </c>
      <c r="AB57" s="508">
        <v>0</v>
      </c>
      <c r="AC57" s="474">
        <f>'[6]12ch'!BM53</f>
        <v>24.520000000000003</v>
      </c>
      <c r="AD57" s="474">
        <f t="shared" si="1"/>
        <v>-4.9999999999997158E-2</v>
      </c>
      <c r="AE57" s="474"/>
      <c r="AF57" s="509">
        <f t="shared" si="5"/>
        <v>2.4806646031970667E-2</v>
      </c>
      <c r="AG57" s="509"/>
      <c r="AH57" s="509">
        <f>D57-'[6]01CH'!D54</f>
        <v>7.3599999999999977</v>
      </c>
      <c r="AI57" s="509" t="s">
        <v>57</v>
      </c>
      <c r="AJ57" s="510">
        <v>163.46351054999997</v>
      </c>
      <c r="AM57" s="503" t="s">
        <v>83</v>
      </c>
      <c r="AN57" s="538" t="s">
        <v>95</v>
      </c>
      <c r="AO57" s="527" t="s">
        <v>24</v>
      </c>
      <c r="AP57" s="507">
        <f>+'[6]01CH'!D54</f>
        <v>15.440000000000003</v>
      </c>
      <c r="AQ57" s="507">
        <f t="shared" si="13"/>
        <v>1.5652415804398329E-2</v>
      </c>
      <c r="AR57" s="507">
        <f>+'[6]02CH'!D55</f>
        <v>24.39</v>
      </c>
      <c r="AS57" s="507">
        <f t="shared" si="14"/>
        <v>2.4725545431947878E-2</v>
      </c>
      <c r="AT57" s="531">
        <f t="shared" si="19"/>
        <v>22.8</v>
      </c>
      <c r="AU57" s="532">
        <f t="shared" si="4"/>
        <v>1.6700000000000053</v>
      </c>
      <c r="AV57" s="507">
        <f t="shared" si="2"/>
        <v>24.470000000000006</v>
      </c>
      <c r="AW57" s="507">
        <f t="shared" si="15"/>
        <v>2.4806646031970667E-2</v>
      </c>
      <c r="AX57" s="507">
        <f t="shared" si="3"/>
        <v>9.0300000000000029</v>
      </c>
      <c r="AY57" s="507">
        <f t="shared" si="16"/>
        <v>8.00000000000054E-2</v>
      </c>
      <c r="AZ57" s="512">
        <f t="shared" si="17"/>
        <v>1.6700000000000053</v>
      </c>
      <c r="BD57" s="518"/>
      <c r="BE57" s="535"/>
    </row>
    <row r="58" spans="1:57" s="448" customFormat="1" ht="15.75">
      <c r="A58" s="503" t="s">
        <v>84</v>
      </c>
      <c r="B58" s="538" t="s">
        <v>2775</v>
      </c>
      <c r="C58" s="527" t="s">
        <v>2776</v>
      </c>
      <c r="D58" s="506"/>
      <c r="E58" s="501">
        <v>0.2</v>
      </c>
      <c r="F58" s="507">
        <v>0.2</v>
      </c>
      <c r="G58" s="508">
        <v>0</v>
      </c>
      <c r="H58" s="508">
        <v>0</v>
      </c>
      <c r="I58" s="508">
        <v>0</v>
      </c>
      <c r="J58" s="508">
        <v>0</v>
      </c>
      <c r="K58" s="508">
        <v>0</v>
      </c>
      <c r="L58" s="508">
        <v>0</v>
      </c>
      <c r="M58" s="508">
        <v>0</v>
      </c>
      <c r="N58" s="508">
        <v>0</v>
      </c>
      <c r="O58" s="508">
        <v>0</v>
      </c>
      <c r="P58" s="508">
        <v>0</v>
      </c>
      <c r="Q58" s="508">
        <v>0.2</v>
      </c>
      <c r="R58" s="508">
        <v>0</v>
      </c>
      <c r="S58" s="508">
        <v>0</v>
      </c>
      <c r="T58" s="508">
        <v>0</v>
      </c>
      <c r="U58" s="508">
        <v>0</v>
      </c>
      <c r="V58" s="508">
        <v>0</v>
      </c>
      <c r="W58" s="508">
        <v>0</v>
      </c>
      <c r="X58" s="508">
        <v>0</v>
      </c>
      <c r="Y58" s="508">
        <v>0</v>
      </c>
      <c r="Z58" s="508">
        <v>0</v>
      </c>
      <c r="AA58" s="508">
        <v>0</v>
      </c>
      <c r="AB58" s="508">
        <v>0</v>
      </c>
      <c r="AC58" s="474">
        <f>'[6]12ch'!BM54</f>
        <v>0.2</v>
      </c>
      <c r="AD58" s="474">
        <f t="shared" si="1"/>
        <v>0</v>
      </c>
      <c r="AE58" s="474"/>
      <c r="AF58" s="509">
        <f t="shared" si="5"/>
        <v>2.0275150005697316E-4</v>
      </c>
      <c r="AG58" s="509"/>
      <c r="AH58" s="509"/>
      <c r="AI58" s="509" t="s">
        <v>24</v>
      </c>
      <c r="AJ58" s="528">
        <v>53.44</v>
      </c>
      <c r="AM58" s="503" t="s">
        <v>84</v>
      </c>
      <c r="AN58" s="538" t="s">
        <v>2775</v>
      </c>
      <c r="AO58" s="527" t="s">
        <v>2776</v>
      </c>
      <c r="AP58" s="507">
        <f>+'[6]01CH'!D55</f>
        <v>0.18</v>
      </c>
      <c r="AQ58" s="507">
        <f t="shared" si="13"/>
        <v>1.8247635005127583E-4</v>
      </c>
      <c r="AR58" s="507">
        <f>+'[6]02CH'!D51</f>
        <v>8.7999954223632813</v>
      </c>
      <c r="AS58" s="507">
        <f t="shared" si="14"/>
        <v>8.9210613618932628E-3</v>
      </c>
      <c r="AT58" s="531">
        <f t="shared" si="19"/>
        <v>0</v>
      </c>
      <c r="AU58" s="532">
        <f t="shared" si="4"/>
        <v>0.2</v>
      </c>
      <c r="AV58" s="507">
        <f t="shared" si="2"/>
        <v>0.2</v>
      </c>
      <c r="AW58" s="507">
        <f t="shared" si="15"/>
        <v>2.0275150005697316E-4</v>
      </c>
      <c r="AX58" s="507">
        <f t="shared" si="3"/>
        <v>2.0000000000000018E-2</v>
      </c>
      <c r="AY58" s="507">
        <f t="shared" si="16"/>
        <v>-8.599995422363282</v>
      </c>
      <c r="AZ58" s="512"/>
      <c r="BD58" s="518"/>
      <c r="BE58" s="535"/>
    </row>
    <row r="59" spans="1:57" s="448" customFormat="1" ht="15.75">
      <c r="A59" s="503" t="s">
        <v>100</v>
      </c>
      <c r="B59" s="538" t="s">
        <v>109</v>
      </c>
      <c r="C59" s="527" t="s">
        <v>110</v>
      </c>
      <c r="D59" s="506"/>
      <c r="E59" s="501">
        <v>0</v>
      </c>
      <c r="F59" s="507">
        <v>0</v>
      </c>
      <c r="G59" s="508">
        <v>0</v>
      </c>
      <c r="H59" s="508">
        <v>0</v>
      </c>
      <c r="I59" s="508">
        <v>0</v>
      </c>
      <c r="J59" s="508">
        <v>0</v>
      </c>
      <c r="K59" s="508">
        <v>0</v>
      </c>
      <c r="L59" s="508">
        <v>0</v>
      </c>
      <c r="M59" s="508">
        <v>0</v>
      </c>
      <c r="N59" s="508">
        <v>0</v>
      </c>
      <c r="O59" s="508">
        <v>0</v>
      </c>
      <c r="P59" s="508">
        <v>0</v>
      </c>
      <c r="Q59" s="508">
        <v>0</v>
      </c>
      <c r="R59" s="508">
        <v>0</v>
      </c>
      <c r="S59" s="508">
        <v>0</v>
      </c>
      <c r="T59" s="508">
        <v>0</v>
      </c>
      <c r="U59" s="508">
        <v>0</v>
      </c>
      <c r="V59" s="508">
        <v>0</v>
      </c>
      <c r="W59" s="508">
        <v>0</v>
      </c>
      <c r="X59" s="508">
        <v>0</v>
      </c>
      <c r="Y59" s="508">
        <v>0</v>
      </c>
      <c r="Z59" s="508">
        <v>0</v>
      </c>
      <c r="AA59" s="508">
        <v>0</v>
      </c>
      <c r="AB59" s="508">
        <v>0</v>
      </c>
      <c r="AC59" s="474">
        <f>'[6]12ch'!BM55</f>
        <v>0</v>
      </c>
      <c r="AD59" s="474">
        <f t="shared" si="1"/>
        <v>0</v>
      </c>
      <c r="AE59" s="474"/>
      <c r="AF59" s="509">
        <f t="shared" si="5"/>
        <v>0</v>
      </c>
      <c r="AG59" s="509"/>
      <c r="AH59" s="509"/>
      <c r="AI59" s="509" t="s">
        <v>2776</v>
      </c>
      <c r="AJ59" s="528">
        <v>0</v>
      </c>
      <c r="AM59" s="503" t="s">
        <v>100</v>
      </c>
      <c r="AN59" s="538" t="s">
        <v>109</v>
      </c>
      <c r="AO59" s="527" t="s">
        <v>110</v>
      </c>
      <c r="AP59" s="507">
        <f>+'[6]01CH'!D56</f>
        <v>0</v>
      </c>
      <c r="AQ59" s="507">
        <f t="shared" si="13"/>
        <v>0</v>
      </c>
      <c r="AR59" s="507">
        <f>+'[6]02CH'!D56</f>
        <v>24.389999389648438</v>
      </c>
      <c r="AS59" s="507">
        <f t="shared" si="14"/>
        <v>2.4725544813199406E-2</v>
      </c>
      <c r="AT59" s="531">
        <f t="shared" si="19"/>
        <v>0</v>
      </c>
      <c r="AU59" s="532">
        <f t="shared" si="4"/>
        <v>0</v>
      </c>
      <c r="AV59" s="507">
        <f t="shared" si="2"/>
        <v>0</v>
      </c>
      <c r="AW59" s="507">
        <f t="shared" si="15"/>
        <v>0</v>
      </c>
      <c r="AX59" s="507">
        <f t="shared" si="3"/>
        <v>0</v>
      </c>
      <c r="AY59" s="507">
        <f t="shared" si="16"/>
        <v>-24.389999389648438</v>
      </c>
      <c r="AZ59" s="512"/>
      <c r="BD59" s="518"/>
      <c r="BE59" s="535"/>
    </row>
    <row r="60" spans="1:57" s="448" customFormat="1" ht="15.75">
      <c r="A60" s="503" t="s">
        <v>101</v>
      </c>
      <c r="B60" s="538" t="s">
        <v>133</v>
      </c>
      <c r="C60" s="527" t="s">
        <v>137</v>
      </c>
      <c r="D60" s="506"/>
      <c r="E60" s="501">
        <v>0.02</v>
      </c>
      <c r="F60" s="507">
        <v>0.02</v>
      </c>
      <c r="G60" s="508">
        <v>0</v>
      </c>
      <c r="H60" s="508">
        <v>0</v>
      </c>
      <c r="I60" s="508">
        <v>0</v>
      </c>
      <c r="J60" s="508">
        <v>0</v>
      </c>
      <c r="K60" s="508">
        <v>0.02</v>
      </c>
      <c r="L60" s="508">
        <v>0</v>
      </c>
      <c r="M60" s="508">
        <v>0</v>
      </c>
      <c r="N60" s="508">
        <v>0</v>
      </c>
      <c r="O60" s="508">
        <v>0</v>
      </c>
      <c r="P60" s="508">
        <v>0</v>
      </c>
      <c r="Q60" s="508">
        <v>0</v>
      </c>
      <c r="R60" s="508">
        <v>0</v>
      </c>
      <c r="S60" s="508">
        <v>0</v>
      </c>
      <c r="T60" s="508">
        <v>0</v>
      </c>
      <c r="U60" s="508">
        <v>0</v>
      </c>
      <c r="V60" s="508">
        <v>0</v>
      </c>
      <c r="W60" s="508">
        <v>0</v>
      </c>
      <c r="X60" s="508">
        <v>0</v>
      </c>
      <c r="Y60" s="508">
        <v>0</v>
      </c>
      <c r="Z60" s="508">
        <v>0</v>
      </c>
      <c r="AA60" s="508">
        <v>0</v>
      </c>
      <c r="AB60" s="508">
        <v>0</v>
      </c>
      <c r="AC60" s="474">
        <f>'[6]12ch'!BM56</f>
        <v>0.02</v>
      </c>
      <c r="AD60" s="474">
        <f t="shared" si="1"/>
        <v>0</v>
      </c>
      <c r="AE60" s="474"/>
      <c r="AF60" s="509"/>
      <c r="AG60" s="509"/>
      <c r="AH60" s="509"/>
      <c r="AI60" s="509"/>
      <c r="AJ60" s="528"/>
      <c r="AM60" s="503"/>
      <c r="AN60" s="538" t="s">
        <v>133</v>
      </c>
      <c r="AO60" s="527" t="s">
        <v>137</v>
      </c>
      <c r="AP60" s="507">
        <f>+'[6]01CH'!D57</f>
        <v>0</v>
      </c>
      <c r="AQ60" s="507">
        <f t="shared" si="13"/>
        <v>0</v>
      </c>
      <c r="AR60" s="507">
        <f>+'[6]02CH'!D57</f>
        <v>0.02</v>
      </c>
      <c r="AS60" s="507">
        <f t="shared" si="14"/>
        <v>2.0275150005697318E-5</v>
      </c>
      <c r="AT60" s="531"/>
      <c r="AU60" s="532"/>
      <c r="AV60" s="507"/>
      <c r="AW60" s="507">
        <f t="shared" si="15"/>
        <v>0</v>
      </c>
      <c r="AX60" s="507">
        <f t="shared" si="3"/>
        <v>0</v>
      </c>
      <c r="AY60" s="507">
        <f t="shared" si="16"/>
        <v>-0.02</v>
      </c>
      <c r="AZ60" s="512"/>
      <c r="BD60" s="518"/>
      <c r="BE60" s="535"/>
    </row>
    <row r="61" spans="1:57" s="448" customFormat="1" ht="15.75">
      <c r="A61" s="503" t="s">
        <v>102</v>
      </c>
      <c r="B61" s="538" t="s">
        <v>136</v>
      </c>
      <c r="C61" s="527" t="s">
        <v>138</v>
      </c>
      <c r="D61" s="506"/>
      <c r="E61" s="501">
        <v>0</v>
      </c>
      <c r="F61" s="507">
        <v>0</v>
      </c>
      <c r="G61" s="508">
        <v>0</v>
      </c>
      <c r="H61" s="508">
        <v>0</v>
      </c>
      <c r="I61" s="508">
        <v>0</v>
      </c>
      <c r="J61" s="508">
        <v>0</v>
      </c>
      <c r="K61" s="508">
        <v>0</v>
      </c>
      <c r="L61" s="508">
        <v>0</v>
      </c>
      <c r="M61" s="508">
        <v>0</v>
      </c>
      <c r="N61" s="508">
        <v>0</v>
      </c>
      <c r="O61" s="508">
        <v>0</v>
      </c>
      <c r="P61" s="508">
        <v>0</v>
      </c>
      <c r="Q61" s="508">
        <v>0</v>
      </c>
      <c r="R61" s="508">
        <v>0</v>
      </c>
      <c r="S61" s="508">
        <v>0</v>
      </c>
      <c r="T61" s="508">
        <v>0</v>
      </c>
      <c r="U61" s="508">
        <v>0</v>
      </c>
      <c r="V61" s="508">
        <v>0</v>
      </c>
      <c r="W61" s="508">
        <v>0</v>
      </c>
      <c r="X61" s="508">
        <v>0</v>
      </c>
      <c r="Y61" s="508">
        <v>0</v>
      </c>
      <c r="Z61" s="508">
        <v>0</v>
      </c>
      <c r="AA61" s="508">
        <v>0</v>
      </c>
      <c r="AB61" s="508">
        <v>0</v>
      </c>
      <c r="AC61" s="474">
        <f>'[6]12ch'!BM57</f>
        <v>0</v>
      </c>
      <c r="AD61" s="474">
        <f t="shared" si="1"/>
        <v>0</v>
      </c>
      <c r="AE61" s="474"/>
      <c r="AF61" s="509"/>
      <c r="AG61" s="509"/>
      <c r="AH61" s="509"/>
      <c r="AI61" s="509"/>
      <c r="AJ61" s="528"/>
      <c r="AM61" s="503"/>
      <c r="AN61" s="538" t="s">
        <v>136</v>
      </c>
      <c r="AO61" s="527" t="s">
        <v>138</v>
      </c>
      <c r="AP61" s="507">
        <f>+'[6]01CH'!D58</f>
        <v>0</v>
      </c>
      <c r="AQ61" s="507">
        <f t="shared" si="13"/>
        <v>0</v>
      </c>
      <c r="AR61" s="507">
        <f>+'[6]02CH'!D58</f>
        <v>1.9999995827674866E-2</v>
      </c>
      <c r="AS61" s="507">
        <f t="shared" si="14"/>
        <v>2.0275145775971418E-5</v>
      </c>
      <c r="AT61" s="531"/>
      <c r="AU61" s="532"/>
      <c r="AV61" s="507"/>
      <c r="AW61" s="507">
        <f t="shared" si="15"/>
        <v>0</v>
      </c>
      <c r="AX61" s="507">
        <f t="shared" si="3"/>
        <v>0</v>
      </c>
      <c r="AY61" s="507">
        <f t="shared" si="16"/>
        <v>-1.9999995827674866E-2</v>
      </c>
      <c r="AZ61" s="512"/>
      <c r="BD61" s="518"/>
      <c r="BE61" s="535"/>
    </row>
    <row r="62" spans="1:57" s="448" customFormat="1" ht="15.75">
      <c r="A62" s="503" t="s">
        <v>103</v>
      </c>
      <c r="B62" s="538" t="s">
        <v>114</v>
      </c>
      <c r="C62" s="527" t="s">
        <v>39</v>
      </c>
      <c r="D62" s="506"/>
      <c r="E62" s="501">
        <v>23.840000000000003</v>
      </c>
      <c r="F62" s="507">
        <v>23.840000000000003</v>
      </c>
      <c r="G62" s="508">
        <v>2.4650000000000003</v>
      </c>
      <c r="H62" s="508">
        <v>0.15</v>
      </c>
      <c r="I62" s="508">
        <v>0</v>
      </c>
      <c r="J62" s="508">
        <v>1.4499999999999997</v>
      </c>
      <c r="K62" s="508">
        <v>0.5</v>
      </c>
      <c r="L62" s="508">
        <v>0.64999999999999991</v>
      </c>
      <c r="M62" s="508">
        <v>0</v>
      </c>
      <c r="N62" s="508">
        <v>2.99</v>
      </c>
      <c r="O62" s="508">
        <v>2.83</v>
      </c>
      <c r="P62" s="508">
        <v>0.05</v>
      </c>
      <c r="Q62" s="508">
        <v>0.22</v>
      </c>
      <c r="R62" s="508">
        <v>0.21</v>
      </c>
      <c r="S62" s="508">
        <v>0</v>
      </c>
      <c r="T62" s="508">
        <v>0.17</v>
      </c>
      <c r="U62" s="508">
        <v>0.89</v>
      </c>
      <c r="V62" s="508">
        <v>3.8850000000000002</v>
      </c>
      <c r="W62" s="508">
        <v>0.04</v>
      </c>
      <c r="X62" s="508">
        <v>5.5</v>
      </c>
      <c r="Y62" s="508">
        <v>0.27</v>
      </c>
      <c r="Z62" s="508">
        <v>0.03</v>
      </c>
      <c r="AA62" s="508">
        <v>1.54</v>
      </c>
      <c r="AB62" s="508">
        <v>0</v>
      </c>
      <c r="AC62" s="474">
        <f>'[6]12ch'!BM58</f>
        <v>23.880000000000003</v>
      </c>
      <c r="AD62" s="474">
        <f t="shared" si="1"/>
        <v>-3.9999999999999147E-2</v>
      </c>
      <c r="AE62" s="474"/>
      <c r="AF62" s="509">
        <f t="shared" si="5"/>
        <v>2.4167978806791203E-2</v>
      </c>
      <c r="AG62" s="509"/>
      <c r="AH62" s="509"/>
      <c r="AI62" s="509" t="s">
        <v>110</v>
      </c>
      <c r="AJ62" s="528">
        <v>0</v>
      </c>
      <c r="AM62" s="503" t="s">
        <v>101</v>
      </c>
      <c r="AN62" s="538" t="s">
        <v>114</v>
      </c>
      <c r="AO62" s="527" t="s">
        <v>39</v>
      </c>
      <c r="AP62" s="507">
        <f>+'[6]01CH'!D59</f>
        <v>23.46</v>
      </c>
      <c r="AQ62" s="507">
        <f t="shared" si="13"/>
        <v>2.378275095668295E-2</v>
      </c>
      <c r="AR62" s="507">
        <f>+'[6]02CH'!D59</f>
        <v>22.57</v>
      </c>
      <c r="AS62" s="507">
        <f t="shared" si="14"/>
        <v>2.2880506781429423E-2</v>
      </c>
      <c r="AT62" s="531">
        <f t="shared" ref="AT62:AV66" si="20">D62</f>
        <v>0</v>
      </c>
      <c r="AU62" s="532">
        <f t="shared" si="20"/>
        <v>23.840000000000003</v>
      </c>
      <c r="AV62" s="507">
        <f t="shared" si="20"/>
        <v>23.840000000000003</v>
      </c>
      <c r="AW62" s="507">
        <f t="shared" si="15"/>
        <v>2.4167978806791203E-2</v>
      </c>
      <c r="AX62" s="507">
        <f t="shared" si="3"/>
        <v>0.38000000000000256</v>
      </c>
      <c r="AY62" s="507">
        <f t="shared" si="16"/>
        <v>1.2700000000000031</v>
      </c>
      <c r="AZ62" s="512"/>
      <c r="BD62" s="518"/>
      <c r="BE62" s="535"/>
    </row>
    <row r="63" spans="1:57" s="448" customFormat="1" ht="15.75">
      <c r="A63" s="503" t="s">
        <v>104</v>
      </c>
      <c r="B63" s="538" t="s">
        <v>115</v>
      </c>
      <c r="C63" s="527" t="s">
        <v>42</v>
      </c>
      <c r="D63" s="506"/>
      <c r="E63" s="501">
        <v>1385.5900000000001</v>
      </c>
      <c r="F63" s="507">
        <v>1385.5900000000001</v>
      </c>
      <c r="G63" s="508">
        <v>67.959999999999994</v>
      </c>
      <c r="H63" s="508">
        <v>80.34</v>
      </c>
      <c r="I63" s="508">
        <v>29.28</v>
      </c>
      <c r="J63" s="508">
        <v>35.17</v>
      </c>
      <c r="K63" s="508">
        <v>147.16</v>
      </c>
      <c r="L63" s="508">
        <v>26.11</v>
      </c>
      <c r="M63" s="508">
        <v>67.11</v>
      </c>
      <c r="N63" s="508">
        <v>72.69</v>
      </c>
      <c r="O63" s="508">
        <v>75.960000000000008</v>
      </c>
      <c r="P63" s="508">
        <v>85.98</v>
      </c>
      <c r="Q63" s="508">
        <v>1.7200000000000024</v>
      </c>
      <c r="R63" s="508">
        <v>22.849999999999998</v>
      </c>
      <c r="S63" s="508">
        <v>51.5</v>
      </c>
      <c r="T63" s="508">
        <v>91.08</v>
      </c>
      <c r="U63" s="508">
        <v>73.47</v>
      </c>
      <c r="V63" s="508">
        <v>75.42</v>
      </c>
      <c r="W63" s="508">
        <v>43.449999999999996</v>
      </c>
      <c r="X63" s="508">
        <v>112.89999999999999</v>
      </c>
      <c r="Y63" s="508">
        <v>129.93</v>
      </c>
      <c r="Z63" s="508">
        <v>69.61</v>
      </c>
      <c r="AA63" s="508">
        <v>25.9</v>
      </c>
      <c r="AB63" s="508">
        <v>0</v>
      </c>
      <c r="AC63" s="474">
        <f>'[6]12ch'!BM59</f>
        <v>1385.3799999999999</v>
      </c>
      <c r="AD63" s="474">
        <f t="shared" si="1"/>
        <v>0.21000000000026375</v>
      </c>
      <c r="AE63" s="474"/>
      <c r="AF63" s="509">
        <f t="shared" si="5"/>
        <v>1.4046522548197073</v>
      </c>
      <c r="AG63" s="509"/>
      <c r="AH63" s="509"/>
      <c r="AI63" s="509" t="s">
        <v>39</v>
      </c>
      <c r="AJ63" s="528">
        <v>16.295000000000002</v>
      </c>
      <c r="AM63" s="503" t="s">
        <v>102</v>
      </c>
      <c r="AN63" s="538" t="s">
        <v>115</v>
      </c>
      <c r="AO63" s="527" t="s">
        <v>42</v>
      </c>
      <c r="AP63" s="507">
        <f>+'[6]01CH'!D60</f>
        <v>1376.1999999999998</v>
      </c>
      <c r="AQ63" s="507">
        <f t="shared" si="13"/>
        <v>1.3951330718920321</v>
      </c>
      <c r="AR63" s="507">
        <f>+'[6]02CH'!D60</f>
        <v>1362.82</v>
      </c>
      <c r="AS63" s="507">
        <f t="shared" si="14"/>
        <v>1.381568996538221</v>
      </c>
      <c r="AT63" s="531">
        <f t="shared" si="20"/>
        <v>0</v>
      </c>
      <c r="AU63" s="532">
        <f t="shared" si="20"/>
        <v>1385.5900000000001</v>
      </c>
      <c r="AV63" s="507">
        <f t="shared" si="20"/>
        <v>1385.5900000000001</v>
      </c>
      <c r="AW63" s="507">
        <f t="shared" si="15"/>
        <v>1.4046522548197073</v>
      </c>
      <c r="AX63" s="507">
        <f t="shared" si="3"/>
        <v>9.3900000000003274</v>
      </c>
      <c r="AY63" s="507">
        <f t="shared" si="16"/>
        <v>22.770000000000209</v>
      </c>
      <c r="AZ63" s="512"/>
      <c r="BD63" s="518"/>
      <c r="BE63" s="535"/>
    </row>
    <row r="64" spans="1:57" s="448" customFormat="1" ht="15.75">
      <c r="A64" s="503" t="s">
        <v>2820</v>
      </c>
      <c r="B64" s="538" t="s">
        <v>77</v>
      </c>
      <c r="C64" s="527" t="s">
        <v>41</v>
      </c>
      <c r="D64" s="506"/>
      <c r="E64" s="501">
        <v>967.91999999999985</v>
      </c>
      <c r="F64" s="507">
        <v>967.91999999999985</v>
      </c>
      <c r="G64" s="508">
        <v>10.63</v>
      </c>
      <c r="H64" s="508">
        <v>0.05</v>
      </c>
      <c r="I64" s="508">
        <v>0</v>
      </c>
      <c r="J64" s="508">
        <v>0.75</v>
      </c>
      <c r="K64" s="508">
        <v>26.47</v>
      </c>
      <c r="L64" s="508">
        <v>4.8899999999999997</v>
      </c>
      <c r="M64" s="508">
        <v>0</v>
      </c>
      <c r="N64" s="508">
        <v>1.1599999999999999</v>
      </c>
      <c r="O64" s="508">
        <v>154.16999999999999</v>
      </c>
      <c r="P64" s="508">
        <v>75.819999999999993</v>
      </c>
      <c r="Q64" s="508">
        <v>1.75</v>
      </c>
      <c r="R64" s="508">
        <v>0.01</v>
      </c>
      <c r="S64" s="508">
        <v>0</v>
      </c>
      <c r="T64" s="508">
        <v>130.25</v>
      </c>
      <c r="U64" s="508">
        <v>0</v>
      </c>
      <c r="V64" s="508">
        <v>0.01</v>
      </c>
      <c r="W64" s="508">
        <v>526.92999999999995</v>
      </c>
      <c r="X64" s="508">
        <v>24.65</v>
      </c>
      <c r="Y64" s="508">
        <v>0.02</v>
      </c>
      <c r="Z64" s="508">
        <v>0</v>
      </c>
      <c r="AA64" s="508">
        <v>10.36</v>
      </c>
      <c r="AB64" s="508">
        <v>0</v>
      </c>
      <c r="AC64" s="474">
        <f>'[6]12ch'!BM60</f>
        <v>967.91999999999985</v>
      </c>
      <c r="AD64" s="474">
        <f t="shared" si="1"/>
        <v>0</v>
      </c>
      <c r="AE64" s="474"/>
      <c r="AF64" s="509">
        <f t="shared" si="5"/>
        <v>0.98123615967572708</v>
      </c>
      <c r="AG64" s="509"/>
      <c r="AH64" s="509"/>
      <c r="AI64" s="509" t="s">
        <v>42</v>
      </c>
      <c r="AJ64" s="528">
        <v>599.545885</v>
      </c>
      <c r="AK64" s="522">
        <f>AJ64-F63</f>
        <v>-786.04411500000015</v>
      </c>
      <c r="AM64" s="503" t="s">
        <v>103</v>
      </c>
      <c r="AN64" s="538" t="s">
        <v>77</v>
      </c>
      <c r="AO64" s="527" t="s">
        <v>41</v>
      </c>
      <c r="AP64" s="507">
        <f>+'[6]01CH'!D61</f>
        <v>965.68999999999983</v>
      </c>
      <c r="AQ64" s="507">
        <f t="shared" si="13"/>
        <v>0.97897548045009186</v>
      </c>
      <c r="AR64" s="507">
        <f>+'[6]02CH'!D61</f>
        <v>965.81</v>
      </c>
      <c r="AS64" s="507">
        <f t="shared" si="14"/>
        <v>0.97909713135012622</v>
      </c>
      <c r="AT64" s="531">
        <f t="shared" si="20"/>
        <v>0</v>
      </c>
      <c r="AU64" s="532">
        <f t="shared" si="20"/>
        <v>967.91999999999985</v>
      </c>
      <c r="AV64" s="507">
        <f t="shared" si="20"/>
        <v>967.91999999999985</v>
      </c>
      <c r="AW64" s="507">
        <f t="shared" si="15"/>
        <v>0.98123615967572708</v>
      </c>
      <c r="AX64" s="507">
        <f t="shared" si="3"/>
        <v>2.2300000000000182</v>
      </c>
      <c r="AY64" s="507">
        <f t="shared" si="16"/>
        <v>2.1099999999999</v>
      </c>
      <c r="AZ64" s="512"/>
      <c r="BD64" s="518"/>
      <c r="BE64" s="535"/>
    </row>
    <row r="65" spans="1:57" s="448" customFormat="1" ht="15.75">
      <c r="A65" s="503" t="s">
        <v>105</v>
      </c>
      <c r="B65" s="538" t="s">
        <v>116</v>
      </c>
      <c r="C65" s="527" t="s">
        <v>55</v>
      </c>
      <c r="D65" s="506"/>
      <c r="E65" s="501">
        <v>13.999999999999998</v>
      </c>
      <c r="F65" s="507">
        <v>13.999999999999998</v>
      </c>
      <c r="G65" s="508">
        <v>1</v>
      </c>
      <c r="H65" s="508">
        <v>0.5</v>
      </c>
      <c r="I65" s="508">
        <v>0</v>
      </c>
      <c r="J65" s="508">
        <v>0</v>
      </c>
      <c r="K65" s="508">
        <v>0</v>
      </c>
      <c r="L65" s="508">
        <v>0.5</v>
      </c>
      <c r="M65" s="508">
        <v>0.5</v>
      </c>
      <c r="N65" s="508">
        <v>3.01</v>
      </c>
      <c r="O65" s="508">
        <v>2</v>
      </c>
      <c r="P65" s="508">
        <v>0</v>
      </c>
      <c r="Q65" s="508">
        <v>0.5</v>
      </c>
      <c r="R65" s="508">
        <v>0.52</v>
      </c>
      <c r="S65" s="508">
        <v>0.94</v>
      </c>
      <c r="T65" s="508">
        <v>0.5</v>
      </c>
      <c r="U65" s="508">
        <v>1</v>
      </c>
      <c r="V65" s="508">
        <v>0.44</v>
      </c>
      <c r="W65" s="508">
        <v>0</v>
      </c>
      <c r="X65" s="508">
        <v>0</v>
      </c>
      <c r="Y65" s="508">
        <v>0.4</v>
      </c>
      <c r="Z65" s="508">
        <v>1.43</v>
      </c>
      <c r="AA65" s="508">
        <v>0.76</v>
      </c>
      <c r="AB65" s="508">
        <v>0</v>
      </c>
      <c r="AC65" s="474">
        <f>'[6]12ch'!BM61</f>
        <v>16.240000000000002</v>
      </c>
      <c r="AD65" s="474">
        <f t="shared" si="1"/>
        <v>-2.2400000000000038</v>
      </c>
      <c r="AE65" s="474"/>
      <c r="AF65" s="509">
        <f t="shared" si="5"/>
        <v>1.4192605003988118E-2</v>
      </c>
      <c r="AG65" s="509"/>
      <c r="AH65" s="509"/>
      <c r="AI65" s="509" t="s">
        <v>41</v>
      </c>
      <c r="AJ65" s="528">
        <v>17.21</v>
      </c>
      <c r="AK65" s="522">
        <f>AJ65-F64</f>
        <v>-950.70999999999981</v>
      </c>
      <c r="AM65" s="503" t="s">
        <v>104</v>
      </c>
      <c r="AN65" s="538" t="s">
        <v>116</v>
      </c>
      <c r="AO65" s="527" t="s">
        <v>55</v>
      </c>
      <c r="AP65" s="507">
        <f>+'[6]01CH'!D62</f>
        <v>1.51</v>
      </c>
      <c r="AQ65" s="507">
        <f t="shared" si="13"/>
        <v>1.5307738254301472E-3</v>
      </c>
      <c r="AR65" s="507">
        <f>+'[6]02CH'!D62</f>
        <v>17.73</v>
      </c>
      <c r="AS65" s="507">
        <f t="shared" si="14"/>
        <v>1.7973920480050674E-2</v>
      </c>
      <c r="AT65" s="531">
        <f t="shared" si="20"/>
        <v>0</v>
      </c>
      <c r="AU65" s="532">
        <f t="shared" si="20"/>
        <v>13.999999999999998</v>
      </c>
      <c r="AV65" s="507">
        <f t="shared" si="20"/>
        <v>13.999999999999998</v>
      </c>
      <c r="AW65" s="507">
        <f t="shared" si="15"/>
        <v>1.4192605003988118E-2</v>
      </c>
      <c r="AX65" s="507">
        <f t="shared" si="3"/>
        <v>12.489999999999998</v>
      </c>
      <c r="AY65" s="507">
        <f t="shared" si="16"/>
        <v>-3.7300000000000022</v>
      </c>
      <c r="AZ65" s="512"/>
      <c r="BD65" s="518"/>
      <c r="BE65" s="535"/>
    </row>
    <row r="66" spans="1:57" s="495" customFormat="1" ht="15.75">
      <c r="A66" s="461">
        <v>3</v>
      </c>
      <c r="B66" s="489" t="s">
        <v>56</v>
      </c>
      <c r="C66" s="461" t="s">
        <v>81</v>
      </c>
      <c r="D66" s="470">
        <v>1372.3</v>
      </c>
      <c r="E66" s="491">
        <v>0</v>
      </c>
      <c r="F66" s="478">
        <v>1372.3</v>
      </c>
      <c r="G66" s="492">
        <v>28.07</v>
      </c>
      <c r="H66" s="492">
        <v>8.86</v>
      </c>
      <c r="I66" s="492">
        <v>44.26</v>
      </c>
      <c r="J66" s="492">
        <v>11.29</v>
      </c>
      <c r="K66" s="492">
        <v>89.59</v>
      </c>
      <c r="L66" s="492">
        <v>23.89</v>
      </c>
      <c r="M66" s="492">
        <v>97.610000000000014</v>
      </c>
      <c r="N66" s="492">
        <v>69.540000000000006</v>
      </c>
      <c r="O66" s="492">
        <v>63.5</v>
      </c>
      <c r="P66" s="492">
        <v>129.69999999999999</v>
      </c>
      <c r="Q66" s="492">
        <v>14.870000000000001</v>
      </c>
      <c r="R66" s="492">
        <v>183.77</v>
      </c>
      <c r="S66" s="492">
        <v>32.200000000000003</v>
      </c>
      <c r="T66" s="492">
        <v>133.26000000000002</v>
      </c>
      <c r="U66" s="492">
        <v>67.33</v>
      </c>
      <c r="V66" s="492">
        <v>84.12</v>
      </c>
      <c r="W66" s="492">
        <v>21.78</v>
      </c>
      <c r="X66" s="492">
        <v>66.03</v>
      </c>
      <c r="Y66" s="492">
        <v>122.77</v>
      </c>
      <c r="Z66" s="492">
        <v>53.81</v>
      </c>
      <c r="AA66" s="492">
        <v>26.05</v>
      </c>
      <c r="AB66" s="492">
        <v>0</v>
      </c>
      <c r="AC66" s="474">
        <f>'[6]12ch'!BM62</f>
        <v>1372.2</v>
      </c>
      <c r="AD66" s="474">
        <f t="shared" si="1"/>
        <v>9.9999999999909051E-2</v>
      </c>
      <c r="AE66" s="474"/>
      <c r="AF66" s="493">
        <f t="shared" si="5"/>
        <v>1.3911794176409211</v>
      </c>
      <c r="AG66" s="493"/>
      <c r="AH66" s="493"/>
      <c r="AI66" s="493" t="s">
        <v>55</v>
      </c>
      <c r="AJ66" s="494">
        <v>0.49</v>
      </c>
      <c r="AK66" s="539">
        <f>AJ66-F65</f>
        <v>-13.509999999999998</v>
      </c>
      <c r="AM66" s="461">
        <v>3</v>
      </c>
      <c r="AN66" s="489" t="s">
        <v>56</v>
      </c>
      <c r="AO66" s="461" t="s">
        <v>81</v>
      </c>
      <c r="AP66" s="478">
        <f>+'[6]01CH'!D63</f>
        <v>1509.92</v>
      </c>
      <c r="AQ66" s="478">
        <f>+AP66/$AP$9*100</f>
        <v>1.5306927248301245</v>
      </c>
      <c r="AR66" s="478">
        <f>+'[6]02CH'!D63</f>
        <v>1354.3</v>
      </c>
      <c r="AS66" s="478">
        <f>+AR66/$AR$9*100</f>
        <v>1.3729317826357939</v>
      </c>
      <c r="AT66" s="496">
        <f t="shared" si="20"/>
        <v>1372.3</v>
      </c>
      <c r="AU66" s="497">
        <f t="shared" si="20"/>
        <v>0</v>
      </c>
      <c r="AV66" s="478">
        <f t="shared" si="20"/>
        <v>1372.3</v>
      </c>
      <c r="AW66" s="472">
        <f>+AV66/$AV$9*100</f>
        <v>1.3911794176409211</v>
      </c>
      <c r="AX66" s="478">
        <f>AV66-AP66</f>
        <v>-137.62000000000012</v>
      </c>
      <c r="AY66" s="478">
        <f>+AV66-AR66</f>
        <v>18</v>
      </c>
      <c r="AZ66" s="497">
        <f>+AV66-AT66</f>
        <v>0</v>
      </c>
      <c r="BD66" s="518"/>
      <c r="BE66" s="535"/>
    </row>
    <row r="67" spans="1:57" s="448" customFormat="1" ht="15.75">
      <c r="A67" s="461" t="s">
        <v>79</v>
      </c>
      <c r="B67" s="489" t="s">
        <v>2852</v>
      </c>
      <c r="C67" s="490"/>
      <c r="D67" s="540"/>
      <c r="E67" s="501">
        <v>0</v>
      </c>
      <c r="F67" s="478"/>
      <c r="G67" s="508"/>
      <c r="H67" s="508"/>
      <c r="I67" s="508"/>
      <c r="J67" s="508"/>
      <c r="K67" s="508"/>
      <c r="L67" s="508"/>
      <c r="M67" s="508"/>
      <c r="N67" s="508"/>
      <c r="O67" s="508"/>
      <c r="P67" s="508"/>
      <c r="Q67" s="508"/>
      <c r="R67" s="508"/>
      <c r="S67" s="508"/>
      <c r="T67" s="508"/>
      <c r="U67" s="508"/>
      <c r="V67" s="508"/>
      <c r="W67" s="508"/>
      <c r="X67" s="508"/>
      <c r="Y67" s="508"/>
      <c r="Z67" s="508"/>
      <c r="AA67" s="508"/>
      <c r="AB67" s="508"/>
      <c r="AC67" s="474">
        <f>'[6]12ch'!BM63</f>
        <v>0</v>
      </c>
      <c r="AD67" s="474">
        <f t="shared" si="1"/>
        <v>0</v>
      </c>
      <c r="AE67" s="474"/>
      <c r="AF67" s="453"/>
      <c r="AG67" s="453"/>
      <c r="AH67" s="453"/>
      <c r="AI67" s="453" t="s">
        <v>81</v>
      </c>
      <c r="AJ67" s="478">
        <v>679.80359980000003</v>
      </c>
      <c r="AL67" s="444"/>
      <c r="AM67" s="444"/>
      <c r="AN67" s="444"/>
      <c r="AO67" s="444"/>
      <c r="AP67" s="444"/>
      <c r="AQ67" s="444"/>
      <c r="AR67" s="444"/>
      <c r="AS67" s="444"/>
      <c r="AT67" s="446"/>
      <c r="AU67" s="444"/>
      <c r="AV67" s="444"/>
      <c r="AW67" s="444"/>
      <c r="AX67" s="444"/>
      <c r="AY67" s="444"/>
      <c r="AZ67" s="444"/>
      <c r="BA67" s="444"/>
    </row>
    <row r="68" spans="1:57" s="550" customFormat="1" ht="15.75">
      <c r="A68" s="541">
        <v>1</v>
      </c>
      <c r="B68" s="542" t="s">
        <v>117</v>
      </c>
      <c r="C68" s="541" t="s">
        <v>118</v>
      </c>
      <c r="D68" s="543"/>
      <c r="E68" s="544">
        <v>0</v>
      </c>
      <c r="F68" s="545">
        <v>0</v>
      </c>
      <c r="G68" s="546"/>
      <c r="H68" s="546"/>
      <c r="I68" s="546"/>
      <c r="J68" s="546"/>
      <c r="K68" s="546"/>
      <c r="L68" s="546"/>
      <c r="M68" s="546"/>
      <c r="N68" s="546"/>
      <c r="O68" s="546"/>
      <c r="P68" s="546"/>
      <c r="Q68" s="546"/>
      <c r="R68" s="546"/>
      <c r="S68" s="546"/>
      <c r="T68" s="546"/>
      <c r="U68" s="546"/>
      <c r="V68" s="546"/>
      <c r="W68" s="546"/>
      <c r="X68" s="546"/>
      <c r="Y68" s="546"/>
      <c r="Z68" s="546"/>
      <c r="AA68" s="546"/>
      <c r="AB68" s="546"/>
      <c r="AC68" s="547">
        <f>'[6]12ch'!BM64</f>
        <v>0</v>
      </c>
      <c r="AD68" s="547">
        <f t="shared" si="1"/>
        <v>0</v>
      </c>
      <c r="AE68" s="547"/>
      <c r="AF68" s="548"/>
      <c r="AG68" s="548"/>
      <c r="AH68" s="548"/>
      <c r="AI68" s="548"/>
      <c r="AJ68" s="549"/>
      <c r="AL68" s="551"/>
      <c r="AM68" s="551"/>
      <c r="AN68" s="551"/>
      <c r="AO68" s="551"/>
      <c r="AP68" s="551"/>
      <c r="AQ68" s="551"/>
      <c r="AR68" s="551"/>
      <c r="AS68" s="551"/>
      <c r="AT68" s="552"/>
      <c r="AU68" s="551"/>
      <c r="AV68" s="551"/>
      <c r="AW68" s="551"/>
      <c r="AX68" s="551"/>
      <c r="AY68" s="551"/>
      <c r="AZ68" s="551"/>
      <c r="BA68" s="551"/>
    </row>
    <row r="69" spans="1:57" s="550" customFormat="1" ht="15.75">
      <c r="A69" s="541">
        <v>2</v>
      </c>
      <c r="B69" s="542" t="s">
        <v>119</v>
      </c>
      <c r="C69" s="541" t="s">
        <v>120</v>
      </c>
      <c r="D69" s="553">
        <v>7950</v>
      </c>
      <c r="E69" s="544">
        <v>-0.56999999999970896</v>
      </c>
      <c r="F69" s="545">
        <v>7949.43</v>
      </c>
      <c r="G69" s="546"/>
      <c r="H69" s="546"/>
      <c r="I69" s="546"/>
      <c r="J69" s="546"/>
      <c r="K69" s="546"/>
      <c r="L69" s="546"/>
      <c r="M69" s="546"/>
      <c r="N69" s="546"/>
      <c r="O69" s="546"/>
      <c r="P69" s="546"/>
      <c r="Q69" s="546"/>
      <c r="R69" s="546"/>
      <c r="S69" s="546"/>
      <c r="T69" s="546"/>
      <c r="U69" s="546"/>
      <c r="V69" s="546"/>
      <c r="W69" s="546"/>
      <c r="X69" s="546"/>
      <c r="Y69" s="546">
        <v>5323.0000000000009</v>
      </c>
      <c r="Z69" s="546"/>
      <c r="AA69" s="546">
        <v>2626.43</v>
      </c>
      <c r="AB69" s="546"/>
      <c r="AC69" s="547">
        <f>'[6]12ch'!BM65</f>
        <v>0</v>
      </c>
      <c r="AD69" s="547">
        <f t="shared" si="1"/>
        <v>7949.43</v>
      </c>
      <c r="AE69" s="547"/>
      <c r="AF69" s="548"/>
      <c r="AG69" s="548"/>
      <c r="AH69" s="548"/>
      <c r="AI69" s="548"/>
      <c r="AJ69" s="549"/>
      <c r="AL69" s="551"/>
      <c r="AM69" s="551"/>
      <c r="AN69" s="551"/>
      <c r="AO69" s="551"/>
      <c r="AP69" s="551"/>
      <c r="AQ69" s="551"/>
      <c r="AR69" s="551"/>
      <c r="AS69" s="551"/>
      <c r="AT69" s="552"/>
      <c r="AU69" s="551"/>
      <c r="AV69" s="551"/>
      <c r="AW69" s="551"/>
      <c r="AX69" s="551"/>
      <c r="AY69" s="551"/>
      <c r="AZ69" s="551"/>
      <c r="BA69" s="551"/>
    </row>
    <row r="70" spans="1:57" s="550" customFormat="1" ht="15.75">
      <c r="A70" s="541">
        <v>3</v>
      </c>
      <c r="B70" s="542" t="s">
        <v>2853</v>
      </c>
      <c r="C70" s="541" t="s">
        <v>121</v>
      </c>
      <c r="D70" s="553">
        <v>2922.8</v>
      </c>
      <c r="E70" s="544">
        <v>-2.0000000000436557E-2</v>
      </c>
      <c r="F70" s="545">
        <v>2922.7799999999997</v>
      </c>
      <c r="G70" s="546">
        <v>1776.6899999999998</v>
      </c>
      <c r="H70" s="546">
        <v>1146.0899999999999</v>
      </c>
      <c r="I70" s="546"/>
      <c r="J70" s="546"/>
      <c r="K70" s="546"/>
      <c r="L70" s="546"/>
      <c r="M70" s="546"/>
      <c r="N70" s="546"/>
      <c r="O70" s="546"/>
      <c r="P70" s="546"/>
      <c r="Q70" s="546"/>
      <c r="R70" s="546"/>
      <c r="S70" s="546"/>
      <c r="T70" s="546"/>
      <c r="U70" s="546"/>
      <c r="V70" s="546"/>
      <c r="W70" s="546"/>
      <c r="X70" s="546"/>
      <c r="Y70" s="546"/>
      <c r="Z70" s="546"/>
      <c r="AA70" s="546"/>
      <c r="AB70" s="546">
        <v>0</v>
      </c>
      <c r="AC70" s="547">
        <f>'[6]12ch'!BM66</f>
        <v>0</v>
      </c>
      <c r="AD70" s="547"/>
      <c r="AE70" s="547"/>
      <c r="AF70" s="548"/>
      <c r="AG70" s="548"/>
      <c r="AH70" s="548"/>
      <c r="AI70" s="548"/>
      <c r="AJ70" s="549"/>
      <c r="AL70" s="551"/>
      <c r="AM70" s="551"/>
      <c r="AN70" s="551"/>
      <c r="AO70" s="551"/>
      <c r="AP70" s="551"/>
      <c r="AQ70" s="551"/>
      <c r="AR70" s="551"/>
      <c r="AS70" s="551"/>
      <c r="AT70" s="552"/>
      <c r="AU70" s="551"/>
      <c r="AV70" s="551"/>
      <c r="AW70" s="551"/>
      <c r="AX70" s="551"/>
      <c r="AY70" s="551"/>
      <c r="AZ70" s="551"/>
      <c r="BA70" s="551"/>
    </row>
    <row r="71" spans="1:57" s="550" customFormat="1" ht="47.25">
      <c r="A71" s="541">
        <v>4</v>
      </c>
      <c r="B71" s="542" t="s">
        <v>219</v>
      </c>
      <c r="C71" s="541" t="s">
        <v>180</v>
      </c>
      <c r="D71" s="553">
        <v>4486</v>
      </c>
      <c r="E71" s="544">
        <v>3.5906277999856684E-2</v>
      </c>
      <c r="F71" s="545">
        <v>4486.0359062779999</v>
      </c>
      <c r="G71" s="546">
        <v>78.03433600000001</v>
      </c>
      <c r="H71" s="546">
        <v>109.87337399999998</v>
      </c>
      <c r="I71" s="546">
        <v>95.773089999999996</v>
      </c>
      <c r="J71" s="546">
        <v>104.14982000000001</v>
      </c>
      <c r="K71" s="546">
        <v>390.78886399999999</v>
      </c>
      <c r="L71" s="546">
        <v>168.863044</v>
      </c>
      <c r="M71" s="546">
        <v>128.87833600000002</v>
      </c>
      <c r="N71" s="546">
        <v>239.845272878</v>
      </c>
      <c r="O71" s="546">
        <v>295.78145400000005</v>
      </c>
      <c r="P71" s="546">
        <v>195.9789174</v>
      </c>
      <c r="Q71" s="546">
        <v>99.586632000000009</v>
      </c>
      <c r="R71" s="546">
        <v>337.15</v>
      </c>
      <c r="S71" s="546">
        <v>150.83466600000003</v>
      </c>
      <c r="T71" s="546">
        <v>246.23809399999999</v>
      </c>
      <c r="U71" s="546">
        <v>133.71537800000002</v>
      </c>
      <c r="V71" s="546">
        <v>444.35486600000002</v>
      </c>
      <c r="W71" s="546">
        <v>33.570236000000001</v>
      </c>
      <c r="X71" s="546">
        <v>501.425792</v>
      </c>
      <c r="Y71" s="546">
        <v>463.329364</v>
      </c>
      <c r="Z71" s="546">
        <v>70.548944000000006</v>
      </c>
      <c r="AA71" s="546">
        <v>197.31542600000006</v>
      </c>
      <c r="AB71" s="546">
        <v>0</v>
      </c>
      <c r="AC71" s="547">
        <f>'[6]12ch'!BM67</f>
        <v>0</v>
      </c>
      <c r="AD71" s="547"/>
      <c r="AE71" s="547"/>
      <c r="AF71" s="548"/>
      <c r="AG71" s="548"/>
      <c r="AH71" s="548"/>
      <c r="AI71" s="548"/>
      <c r="AJ71" s="549"/>
      <c r="AL71" s="551"/>
      <c r="AM71" s="551"/>
      <c r="AN71" s="551"/>
      <c r="AO71" s="551"/>
      <c r="AP71" s="551"/>
      <c r="AQ71" s="551"/>
      <c r="AR71" s="551"/>
      <c r="AS71" s="551"/>
      <c r="AT71" s="552"/>
      <c r="AU71" s="551"/>
      <c r="AV71" s="551"/>
      <c r="AW71" s="551"/>
      <c r="AX71" s="551"/>
      <c r="AY71" s="551"/>
      <c r="AZ71" s="551"/>
      <c r="BA71" s="551"/>
    </row>
    <row r="72" spans="1:57" s="550" customFormat="1" ht="31.5">
      <c r="A72" s="541">
        <v>5</v>
      </c>
      <c r="B72" s="542" t="s">
        <v>209</v>
      </c>
      <c r="C72" s="541" t="s">
        <v>181</v>
      </c>
      <c r="D72" s="553">
        <v>73734.399999999994</v>
      </c>
      <c r="E72" s="544">
        <v>-12.495899999979883</v>
      </c>
      <c r="F72" s="545">
        <v>73721.904100000014</v>
      </c>
      <c r="G72" s="546">
        <v>1044.8150000000001</v>
      </c>
      <c r="H72" s="546">
        <v>389.18</v>
      </c>
      <c r="I72" s="546">
        <v>7585.65</v>
      </c>
      <c r="J72" s="546">
        <v>441.28</v>
      </c>
      <c r="K72" s="546">
        <v>5202.5099999999993</v>
      </c>
      <c r="L72" s="546">
        <v>1230.02</v>
      </c>
      <c r="M72" s="546">
        <v>8159.9600000000009</v>
      </c>
      <c r="N72" s="546">
        <v>2088.5290999999997</v>
      </c>
      <c r="O72" s="546">
        <v>1313.8300000000002</v>
      </c>
      <c r="P72" s="546">
        <v>6189.35</v>
      </c>
      <c r="Q72" s="546">
        <v>4884.4399999999996</v>
      </c>
      <c r="R72" s="546">
        <v>3815.5299999999997</v>
      </c>
      <c r="S72" s="546">
        <v>5466.6600000000008</v>
      </c>
      <c r="T72" s="546">
        <v>4652.0200000000004</v>
      </c>
      <c r="U72" s="546">
        <v>4231.49</v>
      </c>
      <c r="V72" s="546">
        <v>2918.76</v>
      </c>
      <c r="W72" s="546">
        <v>3946.1400000000003</v>
      </c>
      <c r="X72" s="546">
        <v>603.4</v>
      </c>
      <c r="Y72" s="546">
        <v>3870.48</v>
      </c>
      <c r="Z72" s="546">
        <v>3979.92</v>
      </c>
      <c r="AA72" s="546">
        <v>1707.94</v>
      </c>
      <c r="AB72" s="546"/>
      <c r="AC72" s="547">
        <f>'[6]12ch'!BM68</f>
        <v>0</v>
      </c>
      <c r="AD72" s="547"/>
      <c r="AE72" s="547"/>
      <c r="AF72" s="548"/>
      <c r="AG72" s="548"/>
      <c r="AH72" s="548"/>
      <c r="AI72" s="548"/>
      <c r="AJ72" s="549"/>
      <c r="AL72" s="551"/>
      <c r="AM72" s="551"/>
      <c r="AN72" s="551"/>
      <c r="AO72" s="551"/>
      <c r="AP72" s="551"/>
      <c r="AQ72" s="551"/>
      <c r="AR72" s="551"/>
      <c r="AS72" s="551"/>
      <c r="AT72" s="552"/>
      <c r="AU72" s="551"/>
      <c r="AV72" s="551"/>
      <c r="AW72" s="551"/>
      <c r="AX72" s="551"/>
      <c r="AY72" s="551"/>
      <c r="AZ72" s="551"/>
      <c r="BA72" s="551"/>
    </row>
    <row r="73" spans="1:57" s="550" customFormat="1" ht="15.75">
      <c r="A73" s="541">
        <v>6</v>
      </c>
      <c r="B73" s="542" t="s">
        <v>87</v>
      </c>
      <c r="C73" s="541" t="s">
        <v>140</v>
      </c>
      <c r="D73" s="553">
        <v>2449.9</v>
      </c>
      <c r="E73" s="544">
        <v>9.9999999997635314E-3</v>
      </c>
      <c r="F73" s="545">
        <v>2449.91</v>
      </c>
      <c r="G73" s="546"/>
      <c r="H73" s="546">
        <v>180.83</v>
      </c>
      <c r="I73" s="546"/>
      <c r="J73" s="546"/>
      <c r="K73" s="546"/>
      <c r="L73" s="546">
        <v>37.840000000000003</v>
      </c>
      <c r="M73" s="546"/>
      <c r="N73" s="546">
        <v>45.480000000000004</v>
      </c>
      <c r="O73" s="546">
        <v>263.40999999999985</v>
      </c>
      <c r="P73" s="546"/>
      <c r="Q73" s="546">
        <v>363.4</v>
      </c>
      <c r="R73" s="546"/>
      <c r="S73" s="546"/>
      <c r="T73" s="546">
        <v>388.7</v>
      </c>
      <c r="U73" s="546"/>
      <c r="V73" s="546"/>
      <c r="W73" s="546">
        <v>1170.25</v>
      </c>
      <c r="X73" s="546"/>
      <c r="Y73" s="546"/>
      <c r="Z73" s="546"/>
      <c r="AA73" s="546"/>
      <c r="AB73" s="546"/>
      <c r="AC73" s="547">
        <f>'[6]12ch'!BM69</f>
        <v>0</v>
      </c>
      <c r="AD73" s="547"/>
      <c r="AE73" s="547"/>
      <c r="AF73" s="548"/>
      <c r="AG73" s="548"/>
      <c r="AH73" s="548"/>
      <c r="AI73" s="548"/>
      <c r="AJ73" s="549"/>
      <c r="AL73" s="551"/>
      <c r="AM73" s="551"/>
      <c r="AN73" s="551"/>
      <c r="AO73" s="551"/>
      <c r="AP73" s="551"/>
      <c r="AQ73" s="551"/>
      <c r="AR73" s="551"/>
      <c r="AS73" s="551"/>
      <c r="AT73" s="552"/>
      <c r="AU73" s="551"/>
      <c r="AV73" s="551"/>
      <c r="AW73" s="551"/>
      <c r="AX73" s="551"/>
      <c r="AY73" s="551"/>
      <c r="AZ73" s="551"/>
      <c r="BA73" s="551"/>
    </row>
    <row r="74" spans="1:57" s="550" customFormat="1" ht="31.5">
      <c r="A74" s="541">
        <v>7</v>
      </c>
      <c r="B74" s="542" t="s">
        <v>178</v>
      </c>
      <c r="C74" s="541" t="s">
        <v>182</v>
      </c>
      <c r="D74" s="553">
        <v>2211.8000000000002</v>
      </c>
      <c r="E74" s="544">
        <v>-3.6000000000003638</v>
      </c>
      <c r="F74" s="545">
        <v>2208.1999999999998</v>
      </c>
      <c r="G74" s="546">
        <v>0</v>
      </c>
      <c r="H74" s="546">
        <v>0</v>
      </c>
      <c r="I74" s="546">
        <v>0</v>
      </c>
      <c r="J74" s="546">
        <v>0</v>
      </c>
      <c r="K74" s="546">
        <v>0</v>
      </c>
      <c r="L74" s="546">
        <v>0</v>
      </c>
      <c r="M74" s="546">
        <v>0</v>
      </c>
      <c r="N74" s="546">
        <v>0</v>
      </c>
      <c r="O74" s="546">
        <v>0</v>
      </c>
      <c r="P74" s="546">
        <v>0</v>
      </c>
      <c r="Q74" s="546">
        <v>2208.1999999999998</v>
      </c>
      <c r="R74" s="546">
        <v>0</v>
      </c>
      <c r="S74" s="546">
        <v>0</v>
      </c>
      <c r="T74" s="546">
        <v>0</v>
      </c>
      <c r="U74" s="546">
        <v>0</v>
      </c>
      <c r="V74" s="546">
        <v>0</v>
      </c>
      <c r="W74" s="546">
        <v>0</v>
      </c>
      <c r="X74" s="546">
        <v>0</v>
      </c>
      <c r="Y74" s="546">
        <v>0</v>
      </c>
      <c r="Z74" s="546">
        <v>0</v>
      </c>
      <c r="AA74" s="546">
        <v>0</v>
      </c>
      <c r="AB74" s="546">
        <v>0</v>
      </c>
      <c r="AC74" s="547">
        <f>'[6]12ch'!BM70</f>
        <v>0</v>
      </c>
      <c r="AD74" s="547"/>
      <c r="AE74" s="547"/>
      <c r="AF74" s="548"/>
      <c r="AG74" s="548"/>
      <c r="AH74" s="548"/>
      <c r="AI74" s="548"/>
      <c r="AJ74" s="549"/>
      <c r="AL74" s="551"/>
      <c r="AM74" s="551"/>
      <c r="AN74" s="551"/>
      <c r="AO74" s="551"/>
      <c r="AP74" s="551"/>
      <c r="AQ74" s="551"/>
      <c r="AR74" s="551"/>
      <c r="AS74" s="551"/>
      <c r="AT74" s="552"/>
      <c r="AU74" s="551"/>
      <c r="AV74" s="551"/>
      <c r="AW74" s="551"/>
      <c r="AX74" s="551"/>
      <c r="AY74" s="551"/>
      <c r="AZ74" s="551"/>
      <c r="BA74" s="551"/>
    </row>
    <row r="75" spans="1:57" s="550" customFormat="1" ht="31.5">
      <c r="A75" s="541">
        <v>8</v>
      </c>
      <c r="B75" s="542" t="s">
        <v>210</v>
      </c>
      <c r="C75" s="541" t="s">
        <v>183</v>
      </c>
      <c r="D75" s="553">
        <v>125.3</v>
      </c>
      <c r="E75" s="544">
        <v>4.9999999999997158E-2</v>
      </c>
      <c r="F75" s="545">
        <v>125.35</v>
      </c>
      <c r="G75" s="546">
        <v>0</v>
      </c>
      <c r="H75" s="546">
        <v>0</v>
      </c>
      <c r="I75" s="546">
        <v>0</v>
      </c>
      <c r="J75" s="546">
        <v>0</v>
      </c>
      <c r="K75" s="546">
        <v>117</v>
      </c>
      <c r="L75" s="546">
        <v>8.35</v>
      </c>
      <c r="M75" s="546">
        <v>0</v>
      </c>
      <c r="N75" s="546">
        <v>0</v>
      </c>
      <c r="O75" s="546">
        <v>0</v>
      </c>
      <c r="P75" s="546">
        <v>0</v>
      </c>
      <c r="Q75" s="546">
        <v>0</v>
      </c>
      <c r="R75" s="546">
        <v>0</v>
      </c>
      <c r="S75" s="546">
        <v>0</v>
      </c>
      <c r="T75" s="546">
        <v>0</v>
      </c>
      <c r="U75" s="546">
        <v>0</v>
      </c>
      <c r="V75" s="546">
        <v>0</v>
      </c>
      <c r="W75" s="546">
        <v>0</v>
      </c>
      <c r="X75" s="546">
        <v>0</v>
      </c>
      <c r="Y75" s="546">
        <v>0</v>
      </c>
      <c r="Z75" s="546">
        <v>0</v>
      </c>
      <c r="AA75" s="546">
        <v>0</v>
      </c>
      <c r="AB75" s="546">
        <v>0</v>
      </c>
      <c r="AC75" s="547">
        <f>'[6]12ch'!BM71</f>
        <v>0</v>
      </c>
      <c r="AD75" s="547"/>
      <c r="AE75" s="547"/>
      <c r="AF75" s="548"/>
      <c r="AG75" s="548"/>
      <c r="AH75" s="548"/>
      <c r="AI75" s="548"/>
      <c r="AJ75" s="549"/>
      <c r="AL75" s="551"/>
      <c r="AM75" s="551"/>
      <c r="AN75" s="551"/>
      <c r="AO75" s="551"/>
      <c r="AP75" s="551"/>
      <c r="AQ75" s="551"/>
      <c r="AR75" s="551"/>
      <c r="AS75" s="551"/>
      <c r="AT75" s="552"/>
      <c r="AU75" s="551"/>
      <c r="AV75" s="551"/>
      <c r="AW75" s="551"/>
      <c r="AX75" s="551"/>
      <c r="AY75" s="551"/>
      <c r="AZ75" s="551"/>
      <c r="BA75" s="551"/>
    </row>
    <row r="76" spans="1:57" s="550" customFormat="1" ht="38.25" customHeight="1">
      <c r="A76" s="541">
        <v>9</v>
      </c>
      <c r="B76" s="542" t="s">
        <v>211</v>
      </c>
      <c r="C76" s="541" t="s">
        <v>184</v>
      </c>
      <c r="D76" s="553">
        <v>107.3</v>
      </c>
      <c r="E76" s="544">
        <v>-4.0000000000006253E-2</v>
      </c>
      <c r="F76" s="545">
        <v>107.25999999999999</v>
      </c>
      <c r="G76" s="546">
        <v>12.27</v>
      </c>
      <c r="H76" s="546">
        <v>15.2</v>
      </c>
      <c r="I76" s="546"/>
      <c r="J76" s="546">
        <v>8.1999999999999993</v>
      </c>
      <c r="K76" s="546"/>
      <c r="L76" s="546"/>
      <c r="M76" s="546"/>
      <c r="N76" s="546">
        <v>69.319999999999993</v>
      </c>
      <c r="O76" s="546"/>
      <c r="P76" s="546"/>
      <c r="Q76" s="546">
        <v>2.27</v>
      </c>
      <c r="R76" s="546"/>
      <c r="S76" s="546"/>
      <c r="T76" s="546"/>
      <c r="U76" s="546"/>
      <c r="V76" s="546"/>
      <c r="W76" s="546"/>
      <c r="X76" s="546"/>
      <c r="Y76" s="546"/>
      <c r="Z76" s="546"/>
      <c r="AA76" s="546"/>
      <c r="AB76" s="546"/>
      <c r="AC76" s="547">
        <f>'[6]12ch'!BM72</f>
        <v>0</v>
      </c>
      <c r="AD76" s="547"/>
      <c r="AE76" s="547"/>
      <c r="AF76" s="548"/>
      <c r="AG76" s="548"/>
      <c r="AH76" s="548"/>
      <c r="AI76" s="548"/>
      <c r="AJ76" s="549"/>
      <c r="AL76" s="551"/>
      <c r="AM76" s="551"/>
      <c r="AN76" s="551"/>
      <c r="AO76" s="551"/>
      <c r="AP76" s="551"/>
      <c r="AQ76" s="551"/>
      <c r="AR76" s="551"/>
      <c r="AS76" s="551"/>
      <c r="AT76" s="552"/>
      <c r="AU76" s="551"/>
      <c r="AV76" s="551"/>
      <c r="AW76" s="551"/>
      <c r="AX76" s="551"/>
      <c r="AY76" s="551"/>
      <c r="AZ76" s="551"/>
      <c r="BA76" s="551"/>
    </row>
    <row r="77" spans="1:57" s="550" customFormat="1" ht="15.75">
      <c r="A77" s="541">
        <v>10</v>
      </c>
      <c r="B77" s="554" t="s">
        <v>179</v>
      </c>
      <c r="C77" s="541" t="s">
        <v>185</v>
      </c>
      <c r="D77" s="553">
        <v>63.2</v>
      </c>
      <c r="E77" s="544">
        <v>8.86</v>
      </c>
      <c r="F77" s="545">
        <v>72.06</v>
      </c>
      <c r="G77" s="546">
        <v>4.4400000000000004</v>
      </c>
      <c r="H77" s="546">
        <v>6.0200000000000005</v>
      </c>
      <c r="I77" s="546">
        <v>0</v>
      </c>
      <c r="J77" s="546">
        <v>1.32</v>
      </c>
      <c r="K77" s="546">
        <v>1.56</v>
      </c>
      <c r="L77" s="546">
        <v>0.69000000000000006</v>
      </c>
      <c r="M77" s="546">
        <v>0</v>
      </c>
      <c r="N77" s="546">
        <v>11.649999999999999</v>
      </c>
      <c r="O77" s="546">
        <v>5.5100000000000007</v>
      </c>
      <c r="P77" s="546">
        <v>3.2</v>
      </c>
      <c r="Q77" s="546">
        <v>2.2100000000000009</v>
      </c>
      <c r="R77" s="546">
        <v>0.62</v>
      </c>
      <c r="S77" s="546">
        <v>3.07</v>
      </c>
      <c r="T77" s="546">
        <v>10.07</v>
      </c>
      <c r="U77" s="546">
        <v>6.9999999999999993E-2</v>
      </c>
      <c r="V77" s="546">
        <v>1.6600000000000001</v>
      </c>
      <c r="W77" s="546">
        <v>0.35</v>
      </c>
      <c r="X77" s="546">
        <v>3.5099999999999993</v>
      </c>
      <c r="Y77" s="546">
        <v>0.19</v>
      </c>
      <c r="Z77" s="546">
        <v>0.33</v>
      </c>
      <c r="AA77" s="546">
        <v>15.590000000000002</v>
      </c>
      <c r="AB77" s="546">
        <v>0</v>
      </c>
      <c r="AC77" s="547">
        <f>'[6]12ch'!BM73</f>
        <v>0</v>
      </c>
      <c r="AD77" s="547"/>
      <c r="AE77" s="547"/>
      <c r="AF77" s="548"/>
      <c r="AG77" s="548"/>
      <c r="AH77" s="548"/>
      <c r="AI77" s="548"/>
      <c r="AJ77" s="549"/>
      <c r="AL77" s="551"/>
      <c r="AM77" s="551"/>
      <c r="AN77" s="551"/>
      <c r="AO77" s="551"/>
      <c r="AP77" s="551"/>
      <c r="AQ77" s="551"/>
      <c r="AR77" s="551"/>
      <c r="AS77" s="551"/>
      <c r="AT77" s="552"/>
      <c r="AU77" s="551"/>
      <c r="AV77" s="551"/>
      <c r="AW77" s="551"/>
      <c r="AX77" s="551"/>
      <c r="AY77" s="551"/>
      <c r="AZ77" s="551"/>
      <c r="BA77" s="551"/>
    </row>
    <row r="78" spans="1:57" s="550" customFormat="1" ht="15.75">
      <c r="A78" s="541">
        <v>11</v>
      </c>
      <c r="B78" s="542" t="s">
        <v>212</v>
      </c>
      <c r="C78" s="541" t="s">
        <v>2854</v>
      </c>
      <c r="D78" s="553"/>
      <c r="E78" s="544">
        <v>0</v>
      </c>
      <c r="F78" s="545">
        <v>0</v>
      </c>
      <c r="G78" s="546"/>
      <c r="H78" s="546"/>
      <c r="I78" s="546"/>
      <c r="J78" s="546"/>
      <c r="K78" s="546"/>
      <c r="L78" s="546"/>
      <c r="M78" s="546"/>
      <c r="N78" s="546"/>
      <c r="O78" s="546"/>
      <c r="P78" s="546"/>
      <c r="Q78" s="546"/>
      <c r="R78" s="546"/>
      <c r="S78" s="546"/>
      <c r="T78" s="546"/>
      <c r="U78" s="546"/>
      <c r="V78" s="546"/>
      <c r="W78" s="546"/>
      <c r="X78" s="546"/>
      <c r="Y78" s="546"/>
      <c r="Z78" s="546"/>
      <c r="AA78" s="546"/>
      <c r="AB78" s="546"/>
      <c r="AC78" s="547">
        <f>'[6]12ch'!BM74</f>
        <v>0</v>
      </c>
      <c r="AD78" s="547"/>
      <c r="AE78" s="547"/>
      <c r="AF78" s="548"/>
      <c r="AG78" s="548"/>
      <c r="AH78" s="548"/>
      <c r="AI78" s="548"/>
      <c r="AJ78" s="549"/>
      <c r="AL78" s="551"/>
      <c r="AM78" s="551"/>
      <c r="AN78" s="551"/>
      <c r="AO78" s="551"/>
      <c r="AP78" s="551"/>
      <c r="AQ78" s="551"/>
      <c r="AR78" s="551"/>
      <c r="AS78" s="551"/>
      <c r="AT78" s="552"/>
      <c r="AU78" s="551"/>
      <c r="AV78" s="551"/>
      <c r="AW78" s="551"/>
      <c r="AX78" s="551"/>
      <c r="AY78" s="551"/>
      <c r="AZ78" s="551"/>
      <c r="BA78" s="551"/>
    </row>
    <row r="79" spans="1:57" s="550" customFormat="1" ht="15.75">
      <c r="A79" s="541">
        <v>12</v>
      </c>
      <c r="B79" s="542" t="s">
        <v>186</v>
      </c>
      <c r="C79" s="541" t="s">
        <v>199</v>
      </c>
      <c r="D79" s="553">
        <v>1649.1</v>
      </c>
      <c r="E79" s="544">
        <v>1.999999999998181E-2</v>
      </c>
      <c r="F79" s="545">
        <v>1649.12</v>
      </c>
      <c r="G79" s="546"/>
      <c r="H79" s="546"/>
      <c r="I79" s="546">
        <v>51.86</v>
      </c>
      <c r="J79" s="546">
        <v>90.56</v>
      </c>
      <c r="K79" s="546">
        <v>139.35999999999999</v>
      </c>
      <c r="L79" s="546">
        <v>136.25999999999996</v>
      </c>
      <c r="M79" s="546">
        <v>83.490000000000009</v>
      </c>
      <c r="N79" s="546">
        <v>115.28</v>
      </c>
      <c r="O79" s="546">
        <v>99.01</v>
      </c>
      <c r="P79" s="546">
        <v>72.13000000000001</v>
      </c>
      <c r="Q79" s="546">
        <v>33.83</v>
      </c>
      <c r="R79" s="546">
        <v>93.35</v>
      </c>
      <c r="S79" s="546">
        <v>68.850000000000009</v>
      </c>
      <c r="T79" s="546">
        <v>69.290000000000006</v>
      </c>
      <c r="U79" s="546">
        <v>71.760000000000005</v>
      </c>
      <c r="V79" s="546">
        <v>132.37</v>
      </c>
      <c r="W79" s="546">
        <v>43.620000000000005</v>
      </c>
      <c r="X79" s="546">
        <v>126.03</v>
      </c>
      <c r="Y79" s="546">
        <v>80.41</v>
      </c>
      <c r="Z79" s="546">
        <v>56.600000000000009</v>
      </c>
      <c r="AA79" s="546">
        <v>85.06</v>
      </c>
      <c r="AB79" s="546"/>
      <c r="AC79" s="547">
        <f>'[6]12ch'!BM75</f>
        <v>0</v>
      </c>
      <c r="AD79" s="547"/>
      <c r="AE79" s="547"/>
      <c r="AF79" s="548"/>
      <c r="AG79" s="548"/>
      <c r="AH79" s="548"/>
      <c r="AI79" s="548"/>
      <c r="AJ79" s="549"/>
      <c r="AL79" s="551"/>
      <c r="AM79" s="551"/>
      <c r="AN79" s="551"/>
      <c r="AO79" s="551"/>
      <c r="AP79" s="551"/>
      <c r="AQ79" s="551"/>
      <c r="AR79" s="551"/>
      <c r="AS79" s="551"/>
      <c r="AT79" s="552"/>
      <c r="AU79" s="551"/>
      <c r="AV79" s="551"/>
      <c r="AW79" s="551"/>
      <c r="AX79" s="551"/>
      <c r="AY79" s="551"/>
      <c r="AZ79" s="551"/>
      <c r="BA79" s="551"/>
    </row>
    <row r="80" spans="1:57" s="550" customFormat="1" ht="31.5">
      <c r="A80" s="541">
        <v>13</v>
      </c>
      <c r="B80" s="542" t="s">
        <v>213</v>
      </c>
      <c r="C80" s="541" t="s">
        <v>215</v>
      </c>
      <c r="D80" s="545"/>
      <c r="E80" s="555">
        <v>0</v>
      </c>
      <c r="F80" s="545">
        <v>0</v>
      </c>
      <c r="G80" s="546"/>
      <c r="H80" s="546"/>
      <c r="I80" s="546"/>
      <c r="J80" s="546"/>
      <c r="K80" s="546"/>
      <c r="L80" s="546"/>
      <c r="M80" s="546"/>
      <c r="N80" s="546"/>
      <c r="O80" s="546"/>
      <c r="P80" s="546"/>
      <c r="Q80" s="546"/>
      <c r="R80" s="546"/>
      <c r="S80" s="546"/>
      <c r="T80" s="546"/>
      <c r="U80" s="546"/>
      <c r="V80" s="546"/>
      <c r="W80" s="546"/>
      <c r="X80" s="546"/>
      <c r="Y80" s="546"/>
      <c r="Z80" s="546"/>
      <c r="AA80" s="546"/>
      <c r="AB80" s="546"/>
      <c r="AC80" s="547">
        <f>'[6]12ch'!BM76</f>
        <v>0</v>
      </c>
      <c r="AD80" s="547"/>
      <c r="AE80" s="547"/>
      <c r="AF80" s="548"/>
      <c r="AG80" s="548"/>
      <c r="AH80" s="548"/>
      <c r="AI80" s="548"/>
      <c r="AJ80" s="549"/>
      <c r="AL80" s="551"/>
      <c r="AM80" s="551"/>
      <c r="AN80" s="551"/>
      <c r="AO80" s="551"/>
      <c r="AP80" s="551"/>
      <c r="AQ80" s="551"/>
      <c r="AR80" s="551"/>
      <c r="AS80" s="551"/>
      <c r="AT80" s="552"/>
      <c r="AU80" s="551"/>
      <c r="AV80" s="551"/>
      <c r="AW80" s="551"/>
      <c r="AX80" s="551"/>
      <c r="AY80" s="551"/>
      <c r="AZ80" s="551"/>
      <c r="BA80" s="551"/>
    </row>
    <row r="81" spans="2:53" s="448" customFormat="1" ht="15.75">
      <c r="B81" s="1537" t="s">
        <v>2855</v>
      </c>
      <c r="C81" s="1537"/>
      <c r="D81" s="1537"/>
      <c r="E81" s="1537"/>
      <c r="F81" s="1537"/>
      <c r="G81" s="1537"/>
      <c r="H81" s="450"/>
      <c r="I81" s="450"/>
      <c r="J81" s="450"/>
      <c r="K81" s="450"/>
      <c r="L81" s="450"/>
      <c r="M81" s="450"/>
      <c r="N81" s="450"/>
      <c r="O81" s="450"/>
      <c r="P81" s="450"/>
      <c r="Q81" s="450"/>
      <c r="R81" s="450"/>
      <c r="S81" s="450"/>
      <c r="T81" s="450"/>
      <c r="U81" s="450"/>
      <c r="V81" s="450"/>
      <c r="W81" s="450"/>
      <c r="X81" s="450"/>
      <c r="Y81" s="450"/>
      <c r="Z81" s="450"/>
      <c r="AA81" s="450"/>
      <c r="AB81" s="450"/>
      <c r="AC81" s="474">
        <f>'[6]12ch'!BM77</f>
        <v>0</v>
      </c>
      <c r="AD81" s="474"/>
      <c r="AE81" s="474"/>
      <c r="AF81" s="453"/>
      <c r="AG81" s="453"/>
      <c r="AH81" s="453"/>
      <c r="AI81" s="453"/>
      <c r="AL81" s="444"/>
      <c r="AM81" s="444"/>
      <c r="AN81" s="444"/>
      <c r="AO81" s="444"/>
      <c r="AP81" s="444"/>
      <c r="AQ81" s="444"/>
      <c r="AR81" s="444"/>
      <c r="AS81" s="444"/>
      <c r="AT81" s="446"/>
      <c r="AU81" s="444"/>
      <c r="AV81" s="444"/>
      <c r="AW81" s="444"/>
      <c r="AX81" s="444"/>
      <c r="AY81" s="444"/>
      <c r="AZ81" s="444"/>
      <c r="BA81" s="444"/>
    </row>
    <row r="84" spans="2:53">
      <c r="G84" s="444">
        <v>1027.6399999999999</v>
      </c>
      <c r="H84" s="556">
        <v>1267.7299999999998</v>
      </c>
      <c r="I84" s="556">
        <v>836.5300000000002</v>
      </c>
      <c r="J84" s="556">
        <v>2182.85</v>
      </c>
      <c r="K84" s="556">
        <v>1983.6699999999998</v>
      </c>
      <c r="L84" s="556">
        <v>1299.6099999999999</v>
      </c>
      <c r="M84" s="556">
        <v>1051.51</v>
      </c>
      <c r="N84" s="556">
        <v>3618.2599999999998</v>
      </c>
      <c r="O84" s="556">
        <v>1531.6000000000001</v>
      </c>
      <c r="P84" s="556">
        <v>898.52999999999986</v>
      </c>
      <c r="Q84" s="556">
        <v>977.32999999999993</v>
      </c>
      <c r="R84" s="556">
        <v>527.4</v>
      </c>
      <c r="S84" s="556">
        <v>1006.12</v>
      </c>
      <c r="T84" s="556">
        <v>3195.8500000000004</v>
      </c>
      <c r="U84" s="556">
        <v>1092.1200000000001</v>
      </c>
      <c r="V84" s="556">
        <v>1110.99</v>
      </c>
      <c r="W84" s="556">
        <v>2500.0899999999997</v>
      </c>
      <c r="X84" s="556">
        <v>4520.9399999999987</v>
      </c>
      <c r="Y84" s="556">
        <v>2820.23</v>
      </c>
      <c r="Z84" s="556">
        <v>701.5100000000001</v>
      </c>
      <c r="AA84" s="556"/>
      <c r="AB84" s="556"/>
      <c r="AC84" s="556"/>
      <c r="AD84" s="556"/>
      <c r="AE84" s="556"/>
    </row>
    <row r="85" spans="2:53">
      <c r="H85" s="556"/>
      <c r="I85" s="556"/>
      <c r="J85" s="556"/>
      <c r="K85" s="556"/>
      <c r="L85" s="556"/>
      <c r="M85" s="556"/>
      <c r="N85" s="556"/>
      <c r="O85" s="556"/>
      <c r="P85" s="556"/>
      <c r="Q85" s="556"/>
      <c r="R85" s="556"/>
      <c r="S85" s="556"/>
      <c r="T85" s="556"/>
      <c r="U85" s="556"/>
      <c r="V85" s="556"/>
      <c r="W85" s="556"/>
      <c r="X85" s="556"/>
      <c r="Y85" s="556"/>
      <c r="Z85" s="556"/>
      <c r="AA85" s="556"/>
      <c r="AB85" s="556"/>
      <c r="AC85" s="556"/>
      <c r="AD85" s="556"/>
      <c r="AE85" s="556"/>
    </row>
    <row r="86" spans="2:53">
      <c r="G86" s="557"/>
      <c r="H86" s="557"/>
      <c r="I86" s="557"/>
      <c r="J86" s="557"/>
      <c r="K86" s="557"/>
      <c r="L86" s="557"/>
      <c r="M86" s="557"/>
      <c r="N86" s="557"/>
      <c r="O86" s="557"/>
      <c r="P86" s="557"/>
      <c r="Q86" s="557"/>
      <c r="R86" s="557"/>
      <c r="S86" s="557"/>
      <c r="T86" s="557"/>
      <c r="U86" s="557"/>
      <c r="V86" s="557"/>
      <c r="W86" s="557"/>
      <c r="X86" s="557"/>
      <c r="Y86" s="557"/>
      <c r="Z86" s="557"/>
      <c r="AA86" s="557"/>
      <c r="AB86" s="557"/>
      <c r="AC86" s="557"/>
      <c r="AD86" s="557"/>
      <c r="AE86" s="557"/>
    </row>
    <row r="87" spans="2:53">
      <c r="G87" s="447">
        <f>+G84-G9</f>
        <v>-749.05</v>
      </c>
      <c r="H87" s="447">
        <f t="shared" ref="H87:Z87" si="21">+H84-H9</f>
        <v>121.63999999999987</v>
      </c>
      <c r="I87" s="447">
        <f t="shared" si="21"/>
        <v>-9032.5799999999981</v>
      </c>
      <c r="J87" s="447">
        <f t="shared" si="21"/>
        <v>1210.6300000000001</v>
      </c>
      <c r="K87" s="447">
        <f t="shared" si="21"/>
        <v>-5374.8499999999995</v>
      </c>
      <c r="L87" s="447">
        <f t="shared" si="21"/>
        <v>-810.29000000000019</v>
      </c>
      <c r="M87" s="447">
        <f t="shared" si="21"/>
        <v>-8052.4700000000012</v>
      </c>
      <c r="N87" s="447">
        <f t="shared" si="21"/>
        <v>562.4699999999998</v>
      </c>
      <c r="O87" s="447">
        <f t="shared" si="21"/>
        <v>-1203.2700000000002</v>
      </c>
      <c r="P87" s="447">
        <f t="shared" si="21"/>
        <v>-6546.8600000000006</v>
      </c>
      <c r="Q87" s="447">
        <f t="shared" si="21"/>
        <v>-4678.0399999999991</v>
      </c>
      <c r="R87" s="447">
        <f t="shared" si="21"/>
        <v>-4698.63</v>
      </c>
      <c r="S87" s="447">
        <f t="shared" si="21"/>
        <v>-5175.4900000000016</v>
      </c>
      <c r="T87" s="447">
        <f t="shared" si="21"/>
        <v>-3269.87</v>
      </c>
      <c r="U87" s="447">
        <f t="shared" si="21"/>
        <v>-3784.96</v>
      </c>
      <c r="V87" s="447">
        <f t="shared" si="21"/>
        <v>-3619.8899999999994</v>
      </c>
      <c r="W87" s="447">
        <f t="shared" si="21"/>
        <v>-2379.02</v>
      </c>
      <c r="X87" s="447">
        <f t="shared" si="21"/>
        <v>2035.1299999999992</v>
      </c>
      <c r="Y87" s="447">
        <f t="shared" si="21"/>
        <v>-2502.7700000000009</v>
      </c>
      <c r="Z87" s="447">
        <f t="shared" si="21"/>
        <v>-3917.8100000000004</v>
      </c>
    </row>
    <row r="89" spans="2:53">
      <c r="G89" s="556"/>
      <c r="H89" s="556"/>
      <c r="I89" s="556"/>
      <c r="J89" s="556"/>
      <c r="K89" s="556"/>
      <c r="L89" s="556"/>
      <c r="M89" s="556"/>
      <c r="N89" s="556"/>
      <c r="O89" s="556"/>
      <c r="P89" s="556"/>
      <c r="Q89" s="556"/>
      <c r="R89" s="556"/>
      <c r="S89" s="556"/>
      <c r="T89" s="556"/>
      <c r="U89" s="556"/>
      <c r="V89" s="556"/>
      <c r="W89" s="556"/>
      <c r="X89" s="556"/>
      <c r="Y89" s="556"/>
      <c r="Z89" s="556"/>
      <c r="AA89" s="556"/>
      <c r="AB89" s="556"/>
      <c r="AC89" s="556"/>
      <c r="AD89" s="556"/>
      <c r="AE89" s="556"/>
    </row>
    <row r="92" spans="2:53">
      <c r="I92" s="558"/>
      <c r="J92" s="558"/>
      <c r="K92" s="556"/>
      <c r="L92" s="556"/>
      <c r="M92" s="556"/>
      <c r="N92" s="556"/>
      <c r="O92" s="556"/>
      <c r="P92" s="556"/>
      <c r="Q92" s="556"/>
      <c r="R92" s="558"/>
      <c r="S92" s="558"/>
      <c r="T92" s="556"/>
      <c r="U92" s="556"/>
      <c r="V92" s="556"/>
      <c r="W92" s="556"/>
      <c r="X92" s="556"/>
      <c r="Y92" s="556"/>
      <c r="Z92" s="556"/>
      <c r="AA92" s="556"/>
      <c r="AB92" s="556"/>
      <c r="AC92" s="556"/>
      <c r="AD92" s="556"/>
      <c r="AE92" s="556"/>
    </row>
  </sheetData>
  <mergeCells count="20">
    <mergeCell ref="AU6:AU7"/>
    <mergeCell ref="AV6:AW6"/>
    <mergeCell ref="AX6:AZ6"/>
    <mergeCell ref="B81:G81"/>
    <mergeCell ref="AM6:AM7"/>
    <mergeCell ref="AN6:AN7"/>
    <mergeCell ref="AO6:AO7"/>
    <mergeCell ref="AP6:AQ6"/>
    <mergeCell ref="AR6:AS6"/>
    <mergeCell ref="AT6:AT7"/>
    <mergeCell ref="A3:B3"/>
    <mergeCell ref="A4:AB4"/>
    <mergeCell ref="O5:AB5"/>
    <mergeCell ref="A6:A7"/>
    <mergeCell ref="B6:B7"/>
    <mergeCell ref="C6:C7"/>
    <mergeCell ref="D6:D7"/>
    <mergeCell ref="E6:E7"/>
    <mergeCell ref="F6:F7"/>
    <mergeCell ref="G6:AA6"/>
  </mergeCells>
  <conditionalFormatting sqref="A4:A12 B6:F6 AF6:AL10 B7:C7 F7:AB7 B8:AE8 B9:C12 F11:F19 AF11:AI33 AK11:AL33 E11:E80 A13:C19 A20 AK35:AL59 AM36:AM59 AK64:AL66 AK67:AK80 BB67:JM81 B81 AF81:AK81 F64 G64:G66 F66 F67:G68 A66:C67 A21:C32 A33 A34:C35 G10:G19 F20:G23 F24:F33 G24:G61 F35:F61 AM64 AP9:AU26 AT27:AU59 AP27:AS65 AF34 BA4:JM36 AF35:AI59 A36:A59 BA37:BC59 BF37:JM59 BD37:BE66 A64:A65 BA64:BC66 BF64:JM66 AF64:AI80 H35:Z35 AB71 AB75 E9:F10 F69:F80 AF4:AX5 AN8:AX8">
    <cfRule type="cellIs" dxfId="272" priority="110" stopIfTrue="1" operator="equal">
      <formula>0</formula>
    </cfRule>
  </conditionalFormatting>
  <conditionalFormatting sqref="A4:A12 B6:F6 AF6:AL10 B7:C7 F7:AB7 B8:AE8 B9:C12 F11:F19 AF11:AI33 AK11:AL33 E11:E80 A13:C19 A20 AK35:AL59 AM36:AM59 AK64:AL66 AK67:AK80 BB67:JM81 B81 AF81:AK81">
    <cfRule type="cellIs" dxfId="271" priority="109" stopIfTrue="1" operator="equal">
      <formula>0</formula>
    </cfRule>
  </conditionalFormatting>
  <conditionalFormatting sqref="A60:A63 AF60:AI63 AK60:AM63 AT60:AV63 BA60:BC63 BF60:JM63">
    <cfRule type="cellIs" dxfId="270" priority="55" stopIfTrue="1" operator="equal">
      <formula>0</formula>
    </cfRule>
    <cfRule type="cellIs" dxfId="269" priority="56" stopIfTrue="1" operator="equal">
      <formula>0</formula>
    </cfRule>
  </conditionalFormatting>
  <conditionalFormatting sqref="A21:C35">
    <cfRule type="cellIs" dxfId="268" priority="103" stopIfTrue="1" operator="equal">
      <formula>0</formula>
    </cfRule>
  </conditionalFormatting>
  <conditionalFormatting sqref="A66:C76 A77 A78:C80">
    <cfRule type="cellIs" dxfId="267" priority="105" stopIfTrue="1" operator="equal">
      <formula>0</formula>
    </cfRule>
  </conditionalFormatting>
  <conditionalFormatting sqref="B36:C51">
    <cfRule type="cellIs" dxfId="266" priority="26" stopIfTrue="1" operator="equal">
      <formula>0</formula>
    </cfRule>
  </conditionalFormatting>
  <conditionalFormatting sqref="C77">
    <cfRule type="cellIs" dxfId="265" priority="104" stopIfTrue="1" operator="equal">
      <formula>0</formula>
    </cfRule>
  </conditionalFormatting>
  <conditionalFormatting sqref="D9:D10 D21:D23 D25 D67:D79">
    <cfRule type="cellIs" dxfId="264" priority="46" stopIfTrue="1" operator="equal">
      <formula>0</formula>
    </cfRule>
  </conditionalFormatting>
  <conditionalFormatting sqref="D9:D23">
    <cfRule type="cellIs" dxfId="263" priority="45" stopIfTrue="1" operator="equal">
      <formula>0</formula>
    </cfRule>
  </conditionalFormatting>
  <conditionalFormatting sqref="D11:D20">
    <cfRule type="cellIs" dxfId="262" priority="43" stopIfTrue="1" operator="equal">
      <formula>0</formula>
    </cfRule>
    <cfRule type="cellIs" dxfId="261" priority="44" stopIfTrue="1" operator="equal">
      <formula>0</formula>
    </cfRule>
  </conditionalFormatting>
  <conditionalFormatting sqref="D24">
    <cfRule type="cellIs" dxfId="260" priority="27" stopIfTrue="1" operator="equal">
      <formula>0</formula>
    </cfRule>
    <cfRule type="cellIs" dxfId="259" priority="28" stopIfTrue="1" operator="equal">
      <formula>0</formula>
    </cfRule>
    <cfRule type="cellIs" dxfId="258" priority="29" stopIfTrue="1" operator="equal">
      <formula>0</formula>
    </cfRule>
  </conditionalFormatting>
  <conditionalFormatting sqref="D25:D33 D66:D79">
    <cfRule type="cellIs" dxfId="257" priority="40" stopIfTrue="1" operator="equal">
      <formula>0</formula>
    </cfRule>
  </conditionalFormatting>
  <conditionalFormatting sqref="D26:D59">
    <cfRule type="cellIs" dxfId="256" priority="35" stopIfTrue="1" operator="equal">
      <formula>0</formula>
    </cfRule>
  </conditionalFormatting>
  <conditionalFormatting sqref="D34">
    <cfRule type="cellIs" dxfId="255" priority="33" stopIfTrue="1" operator="equal">
      <formula>0</formula>
    </cfRule>
    <cfRule type="cellIs" dxfId="254" priority="34" stopIfTrue="1" operator="equal">
      <formula>0</formula>
    </cfRule>
  </conditionalFormatting>
  <conditionalFormatting sqref="D35:D59 D64">
    <cfRule type="cellIs" dxfId="253" priority="42" stopIfTrue="1" operator="equal">
      <formula>0</formula>
    </cfRule>
  </conditionalFormatting>
  <conditionalFormatting sqref="D60:D63">
    <cfRule type="cellIs" dxfId="252" priority="30" stopIfTrue="1" operator="equal">
      <formula>0</formula>
    </cfRule>
    <cfRule type="cellIs" dxfId="251" priority="31" stopIfTrue="1" operator="equal">
      <formula>0</formula>
    </cfRule>
    <cfRule type="cellIs" dxfId="250" priority="32" stopIfTrue="1" operator="equal">
      <formula>0</formula>
    </cfRule>
  </conditionalFormatting>
  <conditionalFormatting sqref="D64 D35:D59">
    <cfRule type="cellIs" dxfId="249" priority="41" stopIfTrue="1" operator="equal">
      <formula>0</formula>
    </cfRule>
  </conditionalFormatting>
  <conditionalFormatting sqref="D64:D66">
    <cfRule type="cellIs" dxfId="248" priority="38" stopIfTrue="1" operator="equal">
      <formula>0</formula>
    </cfRule>
  </conditionalFormatting>
  <conditionalFormatting sqref="D65">
    <cfRule type="cellIs" dxfId="247" priority="36" stopIfTrue="1" operator="equal">
      <formula>0</formula>
    </cfRule>
    <cfRule type="cellIs" dxfId="246" priority="37" stopIfTrue="1" operator="equal">
      <formula>0</formula>
    </cfRule>
  </conditionalFormatting>
  <conditionalFormatting sqref="D66 D26:D33">
    <cfRule type="cellIs" dxfId="245" priority="39" stopIfTrue="1" operator="equal">
      <formula>0</formula>
    </cfRule>
  </conditionalFormatting>
  <conditionalFormatting sqref="D80">
    <cfRule type="cellIs" dxfId="244" priority="91" stopIfTrue="1" operator="equal">
      <formula>0</formula>
    </cfRule>
    <cfRule type="cellIs" dxfId="243" priority="92" stopIfTrue="1" operator="equal">
      <formula>0</formula>
    </cfRule>
  </conditionalFormatting>
  <conditionalFormatting sqref="D9:F10 D21:D23 D25 D67:D80">
    <cfRule type="cellIs" dxfId="242" priority="47" stopIfTrue="1" operator="equal">
      <formula>0</formula>
    </cfRule>
  </conditionalFormatting>
  <conditionalFormatting sqref="F34">
    <cfRule type="cellIs" dxfId="241" priority="99" stopIfTrue="1" operator="equal">
      <formula>0</formula>
    </cfRule>
    <cfRule type="cellIs" dxfId="240" priority="100" stopIfTrue="1" operator="equal">
      <formula>0</formula>
    </cfRule>
  </conditionalFormatting>
  <conditionalFormatting sqref="F65">
    <cfRule type="cellIs" dxfId="239" priority="106" stopIfTrue="1" operator="equal">
      <formula>0</formula>
    </cfRule>
    <cfRule type="cellIs" dxfId="238" priority="107" stopIfTrue="1" operator="equal">
      <formula>0</formula>
    </cfRule>
  </conditionalFormatting>
  <conditionalFormatting sqref="F20:G61">
    <cfRule type="cellIs" dxfId="237" priority="101" stopIfTrue="1" operator="equal">
      <formula>0</formula>
    </cfRule>
  </conditionalFormatting>
  <conditionalFormatting sqref="F64:G68">
    <cfRule type="cellIs" dxfId="236" priority="108" stopIfTrue="1" operator="equal">
      <formula>0</formula>
    </cfRule>
  </conditionalFormatting>
  <conditionalFormatting sqref="F69:G80 H71:AA72 H75:AA75">
    <cfRule type="cellIs" dxfId="235" priority="25" stopIfTrue="1" operator="equal">
      <formula>0</formula>
    </cfRule>
  </conditionalFormatting>
  <conditionalFormatting sqref="F62:AB63">
    <cfRule type="cellIs" dxfId="234" priority="48" stopIfTrue="1" operator="equal">
      <formula>0</formula>
    </cfRule>
    <cfRule type="cellIs" dxfId="233" priority="49" stopIfTrue="1" operator="equal">
      <formula>0</formula>
    </cfRule>
  </conditionalFormatting>
  <conditionalFormatting sqref="G9:G19">
    <cfRule type="cellIs" dxfId="232" priority="102" stopIfTrue="1" operator="equal">
      <formula>0</formula>
    </cfRule>
  </conditionalFormatting>
  <conditionalFormatting sqref="G69:G80 H71:AA72 H75:AA75">
    <cfRule type="cellIs" dxfId="231" priority="24" stopIfTrue="1" operator="equal">
      <formula>0</formula>
    </cfRule>
  </conditionalFormatting>
  <conditionalFormatting sqref="G69:AA80">
    <cfRule type="cellIs" dxfId="230" priority="23" stopIfTrue="1" operator="equal">
      <formula>0</formula>
    </cfRule>
  </conditionalFormatting>
  <conditionalFormatting sqref="H73:AA74 H76:AB81 H69:AB70">
    <cfRule type="cellIs" dxfId="229" priority="22" stopIfTrue="1" operator="equal">
      <formula>0</formula>
    </cfRule>
  </conditionalFormatting>
  <conditionalFormatting sqref="H73:AA74 H76:AB81">
    <cfRule type="cellIs" dxfId="228" priority="21" stopIfTrue="1" operator="equal">
      <formula>0</formula>
    </cfRule>
  </conditionalFormatting>
  <conditionalFormatting sqref="H10:AB34 AA35:AB35 AB72:AB74 H36:AB61 H64:AB68">
    <cfRule type="cellIs" dxfId="227" priority="53" stopIfTrue="1" operator="equal">
      <formula>0</formula>
    </cfRule>
  </conditionalFormatting>
  <conditionalFormatting sqref="H10:AB34 AA35:AB35 AB72:AB74">
    <cfRule type="cellIs" dxfId="226" priority="52" stopIfTrue="1" operator="equal">
      <formula>0</formula>
    </cfRule>
  </conditionalFormatting>
  <conditionalFormatting sqref="H10:AB61 H64:AB68 AB69:AB80">
    <cfRule type="cellIs" dxfId="225" priority="54" stopIfTrue="1" operator="equal">
      <formula>0</formula>
    </cfRule>
  </conditionalFormatting>
  <conditionalFormatting sqref="H36:AB68">
    <cfRule type="cellIs" dxfId="224" priority="50" stopIfTrue="1" operator="equal">
      <formula>0</formula>
    </cfRule>
  </conditionalFormatting>
  <conditionalFormatting sqref="H69:AB70">
    <cfRule type="cellIs" dxfId="223" priority="20" stopIfTrue="1" operator="equal">
      <formula>0</formula>
    </cfRule>
  </conditionalFormatting>
  <conditionalFormatting sqref="H9:AE9 AC10:AE81">
    <cfRule type="cellIs" dxfId="222" priority="51" stopIfTrue="1" operator="equal">
      <formula>0</formula>
    </cfRule>
  </conditionalFormatting>
  <conditionalFormatting sqref="AF34:AJ34">
    <cfRule type="cellIs" dxfId="221" priority="60" stopIfTrue="1" operator="equal">
      <formula>0</formula>
    </cfRule>
  </conditionalFormatting>
  <conditionalFormatting sqref="AF4:AX5 A4:A12 BA4:JM36 B6:F6 AF6:AL10 B7:C7 F7:AB7 B8:AE8 AN8:AX8 E9:F10 B9:C12 AP9:AU26 G10:G19 F11:F19 AF11:AI33 AK11:AL33 E11:E80 A13:C19 A20 F20:G23 A21:C32 F24:F33 G24:G61 AT27:AU59 AP27:AS65 A33 AF34 A34:C35 H35:Z35 AF35:AI59 AK35:AL59 F35:F61 A36:A59 AM36:AM59 BA37:BC59 BF37:JM59 BD37:BE66 F64 AM64 A64:A65 G64:G66 AK64:AL66 BA64:BC66 BF64:JM66 AF64:AI80 F66 A66:C67 F67:G68 AK67:AK80 BB67:JM81 F69:F80 AB71 AB75 B81 AF81:AK81 AH34:AI34 H81:AB81">
    <cfRule type="cellIs" dxfId="220" priority="111" stopIfTrue="1" operator="equal">
      <formula>0</formula>
    </cfRule>
  </conditionalFormatting>
  <conditionalFormatting sqref="AF4:AZ5 AN8:AZ8">
    <cfRule type="cellIs" dxfId="219" priority="8" stopIfTrue="1" operator="equal">
      <formula>0</formula>
    </cfRule>
  </conditionalFormatting>
  <conditionalFormatting sqref="AG34">
    <cfRule type="cellIs" dxfId="218" priority="58" stopIfTrue="1" operator="equal">
      <formula>0</formula>
    </cfRule>
    <cfRule type="cellIs" dxfId="217" priority="59" stopIfTrue="1" operator="equal">
      <formula>0</formula>
    </cfRule>
  </conditionalFormatting>
  <conditionalFormatting sqref="AH34:AJ34">
    <cfRule type="cellIs" dxfId="216" priority="93" stopIfTrue="1" operator="equal">
      <formula>0</formula>
    </cfRule>
  </conditionalFormatting>
  <conditionalFormatting sqref="AJ11 AJ13:AJ19 AJ21:AJ32 AJ35 AJ66:AJ67">
    <cfRule type="cellIs" dxfId="215" priority="98" stopIfTrue="1" operator="equal">
      <formula>0</formula>
    </cfRule>
  </conditionalFormatting>
  <conditionalFormatting sqref="AJ11 AJ13:AJ19 AJ66:AJ67 AJ21:AJ32 AJ35">
    <cfRule type="cellIs" dxfId="214" priority="97" stopIfTrue="1" operator="equal">
      <formula>0</formula>
    </cfRule>
  </conditionalFormatting>
  <conditionalFormatting sqref="AJ11 AJ13:AJ19">
    <cfRule type="cellIs" dxfId="213" priority="96" stopIfTrue="1" operator="equal">
      <formula>0</formula>
    </cfRule>
  </conditionalFormatting>
  <conditionalFormatting sqref="AJ21:AJ51">
    <cfRule type="cellIs" dxfId="212" priority="94" stopIfTrue="1" operator="equal">
      <formula>0</formula>
    </cfRule>
  </conditionalFormatting>
  <conditionalFormatting sqref="AJ66:AJ80">
    <cfRule type="cellIs" dxfId="211" priority="95" stopIfTrue="1" operator="equal">
      <formula>0</formula>
    </cfRule>
  </conditionalFormatting>
  <conditionalFormatting sqref="AM6:AM12 AN7:AO7 AN9:AO12 AM13:AO19 AM20 AM21:AO32 AM33 AM34:AO35 AM66:AO66 AN6:AP6 AR6">
    <cfRule type="cellIs" dxfId="210" priority="89" stopIfTrue="1" operator="equal">
      <formula>0</formula>
    </cfRule>
  </conditionalFormatting>
  <conditionalFormatting sqref="AM6:AM12 AN7:AO7 AN9:AO12 AM13:AO19 AM20">
    <cfRule type="cellIs" dxfId="209" priority="88" stopIfTrue="1" operator="equal">
      <formula>0</formula>
    </cfRule>
  </conditionalFormatting>
  <conditionalFormatting sqref="AM64:AM65">
    <cfRule type="cellIs" dxfId="208" priority="86" stopIfTrue="1" operator="equal">
      <formula>0</formula>
    </cfRule>
  </conditionalFormatting>
  <conditionalFormatting sqref="AM65">
    <cfRule type="cellIs" dxfId="207" priority="84" stopIfTrue="1" operator="equal">
      <formula>0</formula>
    </cfRule>
    <cfRule type="cellIs" dxfId="206" priority="85" stopIfTrue="1" operator="equal">
      <formula>0</formula>
    </cfRule>
  </conditionalFormatting>
  <conditionalFormatting sqref="AM21:AO35">
    <cfRule type="cellIs" dxfId="205" priority="83" stopIfTrue="1" operator="equal">
      <formula>0</formula>
    </cfRule>
  </conditionalFormatting>
  <conditionalFormatting sqref="AM66:AP66">
    <cfRule type="cellIs" dxfId="204" priority="70" stopIfTrue="1" operator="equal">
      <formula>0</formula>
    </cfRule>
  </conditionalFormatting>
  <conditionalFormatting sqref="AN36:AO51">
    <cfRule type="cellIs" dxfId="203" priority="87" stopIfTrue="1" operator="equal">
      <formula>0</formula>
    </cfRule>
  </conditionalFormatting>
  <conditionalFormatting sqref="AN6:AP6 AR6 AM6:AM12 AN7:AO7 AN9:AO12 AM13:AO19 AM20 AM21:AO32 AM33 AM34:AO35 AM66:AO66">
    <cfRule type="cellIs" dxfId="202" priority="90" stopIfTrue="1" operator="equal">
      <formula>0</formula>
    </cfRule>
  </conditionalFormatting>
  <conditionalFormatting sqref="AP66">
    <cfRule type="cellIs" dxfId="201" priority="69" stopIfTrue="1" operator="equal">
      <formula>0</formula>
    </cfRule>
  </conditionalFormatting>
  <conditionalFormatting sqref="AP66:AQ66">
    <cfRule type="cellIs" dxfId="200" priority="19" stopIfTrue="1" operator="equal">
      <formula>0</formula>
    </cfRule>
  </conditionalFormatting>
  <conditionalFormatting sqref="AQ66">
    <cfRule type="cellIs" dxfId="199" priority="18" stopIfTrue="1" operator="equal">
      <formula>0</formula>
    </cfRule>
  </conditionalFormatting>
  <conditionalFormatting sqref="AQ66:AR66">
    <cfRule type="cellIs" dxfId="198" priority="17" stopIfTrue="1" operator="equal">
      <formula>0</formula>
    </cfRule>
  </conditionalFormatting>
  <conditionalFormatting sqref="AR66">
    <cfRule type="cellIs" dxfId="197" priority="16" stopIfTrue="1" operator="equal">
      <formula>0</formula>
    </cfRule>
  </conditionalFormatting>
  <conditionalFormatting sqref="AR66:AS66">
    <cfRule type="cellIs" dxfId="196" priority="15" stopIfTrue="1" operator="equal">
      <formula>0</formula>
    </cfRule>
  </conditionalFormatting>
  <conditionalFormatting sqref="AS66">
    <cfRule type="cellIs" dxfId="195" priority="13" stopIfTrue="1" operator="equal">
      <formula>0</formula>
    </cfRule>
    <cfRule type="cellIs" dxfId="194" priority="14" stopIfTrue="1" operator="equal">
      <formula>0</formula>
    </cfRule>
  </conditionalFormatting>
  <conditionalFormatting sqref="AT66">
    <cfRule type="cellIs" dxfId="193" priority="64" stopIfTrue="1" operator="equal">
      <formula>0</formula>
    </cfRule>
    <cfRule type="cellIs" dxfId="192" priority="65" stopIfTrue="1" operator="equal">
      <formula>0</formula>
    </cfRule>
  </conditionalFormatting>
  <conditionalFormatting sqref="AT6:AU6">
    <cfRule type="cellIs" dxfId="191" priority="66" stopIfTrue="1" operator="equal">
      <formula>0</formula>
    </cfRule>
    <cfRule type="cellIs" dxfId="190" priority="67" stopIfTrue="1" operator="equal">
      <formula>0</formula>
    </cfRule>
  </conditionalFormatting>
  <conditionalFormatting sqref="AT6:AV6 AN6:AP6 AR6">
    <cfRule type="cellIs" dxfId="189" priority="68" stopIfTrue="1" operator="equal">
      <formula>0</formula>
    </cfRule>
  </conditionalFormatting>
  <conditionalFormatting sqref="AT27:AV59 AP9:AZ9 AP10:AX26 AP27:AS65">
    <cfRule type="cellIs" dxfId="188" priority="73" stopIfTrue="1" operator="equal">
      <formula>0</formula>
    </cfRule>
  </conditionalFormatting>
  <conditionalFormatting sqref="AT64:AV65">
    <cfRule type="cellIs" dxfId="187" priority="74" stopIfTrue="1" operator="equal">
      <formula>0</formula>
    </cfRule>
    <cfRule type="cellIs" dxfId="186" priority="75" stopIfTrue="1" operator="equal">
      <formula>0</formula>
    </cfRule>
  </conditionalFormatting>
  <conditionalFormatting sqref="AT66:AX66">
    <cfRule type="cellIs" dxfId="185" priority="63" stopIfTrue="1" operator="equal">
      <formula>0</formula>
    </cfRule>
  </conditionalFormatting>
  <conditionalFormatting sqref="AU66">
    <cfRule type="cellIs" dxfId="184" priority="61" stopIfTrue="1" operator="equal">
      <formula>0</formula>
    </cfRule>
    <cfRule type="cellIs" dxfId="183" priority="62" stopIfTrue="1" operator="equal">
      <formula>0</formula>
    </cfRule>
  </conditionalFormatting>
  <conditionalFormatting sqref="AV6">
    <cfRule type="cellIs" dxfId="182" priority="81" stopIfTrue="1" operator="equal">
      <formula>0</formula>
    </cfRule>
    <cfRule type="cellIs" dxfId="181" priority="82" stopIfTrue="1" operator="equal">
      <formula>0</formula>
    </cfRule>
  </conditionalFormatting>
  <conditionalFormatting sqref="AV34:AV59">
    <cfRule type="cellIs" dxfId="180" priority="71" stopIfTrue="1" operator="equal">
      <formula>0</formula>
    </cfRule>
    <cfRule type="cellIs" dxfId="179" priority="72" stopIfTrue="1" operator="equal">
      <formula>0</formula>
    </cfRule>
  </conditionalFormatting>
  <conditionalFormatting sqref="AV9:AZ9 AV10:AX26 AV27:AV33 AW27:AX66 AV66">
    <cfRule type="cellIs" dxfId="178" priority="76" stopIfTrue="1" operator="equal">
      <formula>0</formula>
    </cfRule>
    <cfRule type="cellIs" dxfId="177" priority="77" stopIfTrue="1" operator="equal">
      <formula>0</formula>
    </cfRule>
  </conditionalFormatting>
  <conditionalFormatting sqref="AW27:AX66">
    <cfRule type="cellIs" dxfId="176" priority="3" stopIfTrue="1" operator="equal">
      <formula>0</formula>
    </cfRule>
  </conditionalFormatting>
  <conditionalFormatting sqref="AX6">
    <cfRule type="cellIs" dxfId="175" priority="78" stopIfTrue="1" operator="equal">
      <formula>0</formula>
    </cfRule>
    <cfRule type="cellIs" dxfId="174" priority="79" stopIfTrue="1" operator="equal">
      <formula>0</formula>
    </cfRule>
    <cfRule type="cellIs" dxfId="173" priority="80" stopIfTrue="1" operator="equal">
      <formula>0</formula>
    </cfRule>
  </conditionalFormatting>
  <conditionalFormatting sqref="AY4:AY5 AY8">
    <cfRule type="cellIs" dxfId="172" priority="6" stopIfTrue="1" operator="equal">
      <formula>0</formula>
    </cfRule>
    <cfRule type="cellIs" dxfId="171" priority="7" stopIfTrue="1" operator="equal">
      <formula>0</formula>
    </cfRule>
  </conditionalFormatting>
  <conditionalFormatting sqref="AY10:AY66">
    <cfRule type="cellIs" dxfId="170" priority="2" stopIfTrue="1" operator="equal">
      <formula>0</formula>
    </cfRule>
    <cfRule type="cellIs" dxfId="169" priority="4" stopIfTrue="1" operator="equal">
      <formula>0</formula>
    </cfRule>
  </conditionalFormatting>
  <conditionalFormatting sqref="AY10:AZ66">
    <cfRule type="cellIs" dxfId="168" priority="5" stopIfTrue="1" operator="equal">
      <formula>0</formula>
    </cfRule>
  </conditionalFormatting>
  <conditionalFormatting sqref="AZ4:AZ5 AZ8">
    <cfRule type="cellIs" dxfId="167" priority="11" stopIfTrue="1" operator="equal">
      <formula>0</formula>
    </cfRule>
    <cfRule type="cellIs" dxfId="166" priority="12" stopIfTrue="1" operator="equal">
      <formula>0</formula>
    </cfRule>
  </conditionalFormatting>
  <conditionalFormatting sqref="AZ10:AZ66">
    <cfRule type="cellIs" dxfId="165" priority="9" stopIfTrue="1" operator="equal">
      <formula>0</formula>
    </cfRule>
    <cfRule type="cellIs" dxfId="164" priority="10" stopIfTrue="1" operator="equal">
      <formula>0</formula>
    </cfRule>
  </conditionalFormatting>
  <conditionalFormatting sqref="AZ66">
    <cfRule type="cellIs" dxfId="163" priority="1" stopIfTrue="1" operator="equal">
      <formula>0</formula>
    </cfRule>
  </conditionalFormatting>
  <conditionalFormatting sqref="BA4:JM66 AF35:AI80 A36:A65 AK60:AM63 AT60:AV65 F62:G63">
    <cfRule type="cellIs" dxfId="162" priority="57" stopIfTrue="1" operator="equal">
      <formula>0</formula>
    </cfRule>
  </conditionalFormatting>
  <pageMargins left="1.17" right="0.37" top="0.62" bottom="0.2" header="0.3" footer="0.42"/>
  <pageSetup paperSize="8" scale="6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I57"/>
  <sheetViews>
    <sheetView showZeros="0" zoomScale="85" zoomScaleNormal="85" workbookViewId="0">
      <pane xSplit="4" ySplit="6" topLeftCell="E7" activePane="bottomRight" state="frozen"/>
      <selection activeCell="L28" sqref="L28"/>
      <selection pane="topRight" activeCell="L28" sqref="L28"/>
      <selection pane="bottomLeft" activeCell="L28" sqref="L28"/>
      <selection pane="bottomRight" activeCell="D7" sqref="D7:Y34"/>
    </sheetView>
  </sheetViews>
  <sheetFormatPr defaultColWidth="8.375" defaultRowHeight="15"/>
  <cols>
    <col min="1" max="1" width="6.125" style="374" customWidth="1"/>
    <col min="2" max="2" width="40.875" style="374" customWidth="1"/>
    <col min="3" max="3" width="12.625" style="374" customWidth="1"/>
    <col min="4" max="4" width="8.625" style="374" customWidth="1"/>
    <col min="5" max="6" width="7.375" style="374" customWidth="1"/>
    <col min="7" max="7" width="7.375" style="374" bestFit="1" customWidth="1"/>
    <col min="8" max="8" width="7.375" style="374" customWidth="1"/>
    <col min="9" max="9" width="8.125" style="374" customWidth="1"/>
    <col min="10" max="10" width="7.375" style="374" customWidth="1"/>
    <col min="11" max="11" width="7.875" style="374" customWidth="1"/>
    <col min="12" max="12" width="7.375" style="374" customWidth="1"/>
    <col min="13" max="13" width="7.625" style="374" customWidth="1"/>
    <col min="14" max="14" width="6.875" style="374" customWidth="1"/>
    <col min="15" max="15" width="7.625" style="374" customWidth="1"/>
    <col min="16" max="16" width="7.375" style="374" customWidth="1"/>
    <col min="17" max="17" width="7.625" style="374" customWidth="1"/>
    <col min="18" max="25" width="7.375" style="374" customWidth="1"/>
    <col min="26" max="26" width="7.625" style="374" hidden="1" customWidth="1"/>
    <col min="27" max="32" width="8.375" style="374"/>
    <col min="33" max="33" width="10" style="374" bestFit="1" customWidth="1"/>
    <col min="34" max="34" width="10.625" style="374" customWidth="1"/>
    <col min="35" max="35" width="12.5" style="375" customWidth="1"/>
    <col min="36" max="16384" width="8.375" style="374"/>
  </cols>
  <sheetData>
    <row r="1" spans="1:35" s="559" customFormat="1" ht="18.75">
      <c r="A1" s="1539" t="s">
        <v>252</v>
      </c>
      <c r="B1" s="1539"/>
      <c r="C1" s="1539"/>
      <c r="D1" s="1539"/>
      <c r="F1" s="560"/>
      <c r="G1" s="560"/>
      <c r="H1" s="560"/>
      <c r="I1" s="560"/>
      <c r="J1" s="560"/>
      <c r="K1" s="560"/>
      <c r="L1" s="560"/>
      <c r="M1" s="561"/>
      <c r="N1" s="561"/>
      <c r="O1" s="561"/>
      <c r="P1" s="561"/>
      <c r="Q1" s="561"/>
      <c r="R1" s="561"/>
      <c r="S1" s="561"/>
      <c r="T1" s="561"/>
      <c r="U1" s="561"/>
      <c r="V1" s="561"/>
      <c r="W1" s="561"/>
      <c r="X1" s="561"/>
      <c r="Y1" s="561"/>
      <c r="Z1" s="560"/>
      <c r="AI1" s="562"/>
    </row>
    <row r="2" spans="1:35" s="559" customFormat="1" ht="18.75">
      <c r="A2" s="1540" t="s">
        <v>2824</v>
      </c>
      <c r="B2" s="1540"/>
      <c r="C2" s="1540"/>
      <c r="D2" s="1540"/>
      <c r="E2" s="1540"/>
      <c r="F2" s="1540"/>
      <c r="G2" s="1540"/>
      <c r="H2" s="1540"/>
      <c r="I2" s="1540"/>
      <c r="J2" s="1540"/>
      <c r="K2" s="1540"/>
      <c r="L2" s="1540"/>
      <c r="M2" s="1540"/>
      <c r="N2" s="1540"/>
      <c r="O2" s="1540"/>
      <c r="P2" s="1540"/>
      <c r="Q2" s="1540"/>
      <c r="R2" s="1540"/>
      <c r="S2" s="1540"/>
      <c r="T2" s="1540"/>
      <c r="U2" s="1540"/>
      <c r="V2" s="1540"/>
      <c r="W2" s="1540"/>
      <c r="X2" s="1540"/>
      <c r="Y2" s="1540"/>
      <c r="Z2" s="1540"/>
      <c r="AI2" s="562"/>
    </row>
    <row r="3" spans="1:35" s="559" customFormat="1" ht="18.75">
      <c r="A3" s="563"/>
      <c r="B3" s="563"/>
      <c r="C3" s="563"/>
      <c r="D3" s="563"/>
      <c r="E3" s="563"/>
      <c r="F3" s="564"/>
      <c r="G3" s="564"/>
      <c r="H3" s="564"/>
      <c r="I3" s="564"/>
      <c r="J3" s="564"/>
      <c r="K3" s="564"/>
      <c r="L3" s="564"/>
      <c r="M3" s="1541" t="s">
        <v>0</v>
      </c>
      <c r="N3" s="1541"/>
      <c r="O3" s="1541"/>
      <c r="P3" s="1541"/>
      <c r="Q3" s="1541"/>
      <c r="R3" s="1541"/>
      <c r="S3" s="1541"/>
      <c r="T3" s="1541"/>
      <c r="U3" s="1541"/>
      <c r="V3" s="1541"/>
      <c r="W3" s="1541"/>
      <c r="X3" s="1541"/>
      <c r="Y3" s="1541"/>
      <c r="Z3" s="1541"/>
      <c r="AI3" s="562"/>
    </row>
    <row r="4" spans="1:35" s="565" customFormat="1" ht="15.75">
      <c r="A4" s="1542" t="s">
        <v>170</v>
      </c>
      <c r="B4" s="1542" t="s">
        <v>175</v>
      </c>
      <c r="C4" s="1542" t="s">
        <v>172</v>
      </c>
      <c r="D4" s="1531" t="s">
        <v>146</v>
      </c>
      <c r="E4" s="1532" t="s">
        <v>2787</v>
      </c>
      <c r="F4" s="1532"/>
      <c r="G4" s="1532"/>
      <c r="H4" s="1532"/>
      <c r="I4" s="1532"/>
      <c r="J4" s="1532"/>
      <c r="K4" s="1532"/>
      <c r="L4" s="1532"/>
      <c r="M4" s="1532"/>
      <c r="N4" s="1532"/>
      <c r="O4" s="1532"/>
      <c r="P4" s="1532"/>
      <c r="Q4" s="1532"/>
      <c r="R4" s="1532"/>
      <c r="S4" s="1532"/>
      <c r="T4" s="1532"/>
      <c r="U4" s="1532"/>
      <c r="V4" s="1532"/>
      <c r="W4" s="1532"/>
      <c r="X4" s="1532"/>
      <c r="Y4" s="1532"/>
      <c r="Z4" s="1532"/>
      <c r="AI4" s="566"/>
    </row>
    <row r="5" spans="1:35" s="565" customFormat="1" ht="47.25">
      <c r="A5" s="1526"/>
      <c r="B5" s="1526"/>
      <c r="C5" s="1526"/>
      <c r="D5" s="1531"/>
      <c r="E5" s="463" t="str">
        <f>'[6]01CH'!F5</f>
        <v>Thị trấn Lộc Bình</v>
      </c>
      <c r="F5" s="463" t="str">
        <f>'[6]01CH'!G5</f>
        <v>Thị trấn Na Dương</v>
      </c>
      <c r="G5" s="463" t="str">
        <f>'[6]01CH'!H5</f>
        <v>Xã Ái Quốc</v>
      </c>
      <c r="H5" s="463" t="str">
        <f>'[6]01CH'!I5</f>
        <v>Xã Đồng Bục</v>
      </c>
      <c r="I5" s="463" t="str">
        <f>'[6]01CH'!J5</f>
        <v>Xã Đông Quan</v>
      </c>
      <c r="J5" s="463" t="str">
        <f>'[6]01CH'!K5</f>
        <v>Xã Hữu Khánh</v>
      </c>
      <c r="K5" s="463" t="str">
        <f>'[6]01CH'!L5</f>
        <v>Xã Hữu Lân</v>
      </c>
      <c r="L5" s="463" t="str">
        <f>'[6]01CH'!M5</f>
        <v>Xã Khánh Xuân</v>
      </c>
      <c r="M5" s="463" t="str">
        <f>'[6]01CH'!N5</f>
        <v>Xã Khuất Xá</v>
      </c>
      <c r="N5" s="463" t="str">
        <f>'[6]01CH'!O5</f>
        <v>Xã Lợi Bác</v>
      </c>
      <c r="O5" s="463" t="str">
        <f>'[6]01CH'!P5</f>
        <v>Xã Mẫu Sơn</v>
      </c>
      <c r="P5" s="463" t="str">
        <f>'[6]01CH'!Q5</f>
        <v>Xã Minh Hiệp</v>
      </c>
      <c r="Q5" s="463" t="str">
        <f>'[6]01CH'!R5</f>
        <v>Xã Nam Quan</v>
      </c>
      <c r="R5" s="463" t="str">
        <f>'[6]01CH'!S5</f>
        <v>Xã Sàn Viên</v>
      </c>
      <c r="S5" s="463" t="str">
        <f>'[6]01CH'!T5</f>
        <v>Xã Tam Gia</v>
      </c>
      <c r="T5" s="463" t="str">
        <f>'[6]01CH'!U5</f>
        <v>Xã Thống Nhất</v>
      </c>
      <c r="U5" s="463" t="str">
        <f>'[6]01CH'!V5</f>
        <v>Xã Tĩnh Bắc</v>
      </c>
      <c r="V5" s="463" t="str">
        <f>'[6]01CH'!W5</f>
        <v>Xã Tú Đoạn</v>
      </c>
      <c r="W5" s="463" t="str">
        <f>'[6]01CH'!X5</f>
        <v>Xã Tú Mịch</v>
      </c>
      <c r="X5" s="463" t="str">
        <f>'[6]01CH'!Y5</f>
        <v>Xã Xuân Dương</v>
      </c>
      <c r="Y5" s="463" t="str">
        <f>'[6]01CH'!Z5</f>
        <v>Xã Yên Khoái</v>
      </c>
      <c r="Z5" s="463">
        <f>'[6]01CH'!AA5</f>
        <v>0</v>
      </c>
      <c r="AA5" s="567"/>
      <c r="AG5" s="568"/>
      <c r="AH5" s="568"/>
      <c r="AI5" s="569"/>
    </row>
    <row r="6" spans="1:35" s="571" customFormat="1" ht="25.5">
      <c r="A6" s="464">
        <v>-1</v>
      </c>
      <c r="B6" s="464">
        <v>-2</v>
      </c>
      <c r="C6" s="464">
        <v>-3</v>
      </c>
      <c r="D6" s="464" t="s">
        <v>2856</v>
      </c>
      <c r="E6" s="464">
        <v>-5</v>
      </c>
      <c r="F6" s="570">
        <v>-6</v>
      </c>
      <c r="G6" s="464">
        <v>-7</v>
      </c>
      <c r="H6" s="570">
        <v>-8</v>
      </c>
      <c r="I6" s="464">
        <v>-9</v>
      </c>
      <c r="J6" s="570">
        <v>-10</v>
      </c>
      <c r="K6" s="464">
        <v>-11</v>
      </c>
      <c r="L6" s="570">
        <v>-12</v>
      </c>
      <c r="M6" s="464">
        <v>-13</v>
      </c>
      <c r="N6" s="570">
        <v>-14</v>
      </c>
      <c r="O6" s="464">
        <v>-15</v>
      </c>
      <c r="P6" s="570">
        <v>-16</v>
      </c>
      <c r="Q6" s="464">
        <v>-17</v>
      </c>
      <c r="R6" s="570">
        <v>-18</v>
      </c>
      <c r="S6" s="464">
        <v>-19</v>
      </c>
      <c r="T6" s="570">
        <v>-20</v>
      </c>
      <c r="U6" s="464">
        <v>-21</v>
      </c>
      <c r="V6" s="570">
        <v>-22</v>
      </c>
      <c r="W6" s="464">
        <v>-23</v>
      </c>
      <c r="X6" s="570">
        <v>-24</v>
      </c>
      <c r="Y6" s="464">
        <v>-25</v>
      </c>
      <c r="Z6" s="570">
        <v>-26</v>
      </c>
      <c r="AI6" s="572"/>
    </row>
    <row r="7" spans="1:35" s="575" customFormat="1" ht="34.5" customHeight="1">
      <c r="A7" s="459">
        <v>1</v>
      </c>
      <c r="B7" s="489" t="s">
        <v>2857</v>
      </c>
      <c r="C7" s="490" t="s">
        <v>149</v>
      </c>
      <c r="D7" s="478">
        <v>1732.0173199999999</v>
      </c>
      <c r="E7" s="573">
        <v>123.80499999999999</v>
      </c>
      <c r="F7" s="573">
        <v>65.91</v>
      </c>
      <c r="G7" s="573">
        <v>34.1</v>
      </c>
      <c r="H7" s="573">
        <v>22.22</v>
      </c>
      <c r="I7" s="573">
        <v>229.32</v>
      </c>
      <c r="J7" s="573">
        <v>102.69</v>
      </c>
      <c r="K7" s="573">
        <v>23.220000000000002</v>
      </c>
      <c r="L7" s="573">
        <v>135.82932</v>
      </c>
      <c r="M7" s="573">
        <v>41.04</v>
      </c>
      <c r="N7" s="573">
        <v>57.900999999999996</v>
      </c>
      <c r="O7" s="573">
        <v>367.5</v>
      </c>
      <c r="P7" s="573">
        <v>27.410000000000004</v>
      </c>
      <c r="Q7" s="573">
        <v>27.529999999999998</v>
      </c>
      <c r="R7" s="573">
        <v>131.97999999999999</v>
      </c>
      <c r="S7" s="573">
        <v>20.329999999999998</v>
      </c>
      <c r="T7" s="573">
        <v>27.461999999999996</v>
      </c>
      <c r="U7" s="573">
        <v>24.29</v>
      </c>
      <c r="V7" s="573">
        <v>143.24</v>
      </c>
      <c r="W7" s="573">
        <v>20.73</v>
      </c>
      <c r="X7" s="573">
        <v>28.39</v>
      </c>
      <c r="Y7" s="573">
        <v>77.12</v>
      </c>
      <c r="Z7" s="573">
        <f t="shared" ref="Z7" si="0">SUM(Z9,Z11:Z15,Z17:Z19)</f>
        <v>0</v>
      </c>
      <c r="AA7" s="574"/>
      <c r="AG7" s="574"/>
      <c r="AH7" s="576"/>
      <c r="AI7" s="577"/>
    </row>
    <row r="8" spans="1:35" s="575" customFormat="1" ht="23.25" customHeight="1">
      <c r="A8" s="459"/>
      <c r="B8" s="499" t="s">
        <v>190</v>
      </c>
      <c r="C8" s="490"/>
      <c r="D8" s="478"/>
      <c r="E8" s="573"/>
      <c r="F8" s="573"/>
      <c r="G8" s="573"/>
      <c r="H8" s="573"/>
      <c r="I8" s="573"/>
      <c r="J8" s="573"/>
      <c r="K8" s="573"/>
      <c r="L8" s="573"/>
      <c r="M8" s="573"/>
      <c r="N8" s="573"/>
      <c r="O8" s="573"/>
      <c r="P8" s="573"/>
      <c r="Q8" s="573"/>
      <c r="R8" s="573"/>
      <c r="S8" s="573"/>
      <c r="T8" s="573"/>
      <c r="U8" s="573"/>
      <c r="V8" s="573"/>
      <c r="W8" s="573"/>
      <c r="X8" s="573"/>
      <c r="Y8" s="573"/>
      <c r="Z8" s="573"/>
      <c r="AA8" s="574"/>
      <c r="AG8" s="574"/>
      <c r="AI8" s="577"/>
    </row>
    <row r="9" spans="1:35" s="580" customFormat="1" ht="23.25" customHeight="1">
      <c r="A9" s="503" t="s">
        <v>6</v>
      </c>
      <c r="B9" s="504" t="s">
        <v>2811</v>
      </c>
      <c r="C9" s="505" t="s">
        <v>150</v>
      </c>
      <c r="D9" s="507">
        <v>259.00824999999998</v>
      </c>
      <c r="E9" s="578">
        <v>31.349999999999998</v>
      </c>
      <c r="F9" s="578">
        <v>14.53</v>
      </c>
      <c r="G9" s="578">
        <v>0.9</v>
      </c>
      <c r="H9" s="578">
        <v>6.33</v>
      </c>
      <c r="I9" s="578">
        <v>34.03</v>
      </c>
      <c r="J9" s="578">
        <v>9.08</v>
      </c>
      <c r="K9" s="578">
        <v>1.6</v>
      </c>
      <c r="L9" s="578">
        <v>27.033250000000002</v>
      </c>
      <c r="M9" s="578">
        <v>5.92</v>
      </c>
      <c r="N9" s="578">
        <v>4.7500000000000009</v>
      </c>
      <c r="O9" s="578">
        <v>12.329999999999998</v>
      </c>
      <c r="P9" s="578">
        <v>1.0899999999999999</v>
      </c>
      <c r="Q9" s="578">
        <v>1.99</v>
      </c>
      <c r="R9" s="578">
        <v>39.480000000000004</v>
      </c>
      <c r="S9" s="578">
        <v>0.15</v>
      </c>
      <c r="T9" s="578">
        <v>4.3249999999999993</v>
      </c>
      <c r="U9" s="578">
        <v>0.33</v>
      </c>
      <c r="V9" s="578">
        <v>53.25</v>
      </c>
      <c r="W9" s="578">
        <v>2.5499999999999998</v>
      </c>
      <c r="X9" s="578">
        <v>1.87</v>
      </c>
      <c r="Y9" s="578">
        <v>6.12</v>
      </c>
      <c r="Z9" s="578">
        <f>[6]X22!$U$69</f>
        <v>0</v>
      </c>
      <c r="AA9" s="579"/>
      <c r="AG9" s="581"/>
      <c r="AH9" s="579"/>
      <c r="AI9" s="581"/>
    </row>
    <row r="10" spans="1:35" s="585" customFormat="1" ht="23.25" customHeight="1">
      <c r="A10" s="513" t="s">
        <v>193</v>
      </c>
      <c r="B10" s="499" t="s">
        <v>2746</v>
      </c>
      <c r="C10" s="582" t="s">
        <v>152</v>
      </c>
      <c r="D10" s="515">
        <v>151.61499999999998</v>
      </c>
      <c r="E10" s="583">
        <v>15.23</v>
      </c>
      <c r="F10" s="583">
        <v>5.01</v>
      </c>
      <c r="G10" s="583">
        <v>0.62</v>
      </c>
      <c r="H10" s="583">
        <v>4.71</v>
      </c>
      <c r="I10" s="583">
        <v>16.649999999999999</v>
      </c>
      <c r="J10" s="583">
        <v>3.75</v>
      </c>
      <c r="K10" s="583">
        <v>0.51</v>
      </c>
      <c r="L10" s="583">
        <v>18.220000000000002</v>
      </c>
      <c r="M10" s="583">
        <v>3.39</v>
      </c>
      <c r="N10" s="583">
        <v>1.52</v>
      </c>
      <c r="O10" s="583">
        <v>1.69</v>
      </c>
      <c r="P10" s="583">
        <v>0.21999999999999997</v>
      </c>
      <c r="Q10" s="583">
        <v>1.6199999999999999</v>
      </c>
      <c r="R10" s="583">
        <v>31.380000000000003</v>
      </c>
      <c r="S10" s="583">
        <v>0.15</v>
      </c>
      <c r="T10" s="583">
        <v>3.3449999999999998</v>
      </c>
      <c r="U10" s="583">
        <v>0</v>
      </c>
      <c r="V10" s="583">
        <v>38.35</v>
      </c>
      <c r="W10" s="583">
        <v>1.98</v>
      </c>
      <c r="X10" s="583">
        <v>1.07</v>
      </c>
      <c r="Y10" s="583">
        <v>2.1999999999999997</v>
      </c>
      <c r="Z10" s="583">
        <f>[6]X22!$U$70</f>
        <v>0</v>
      </c>
      <c r="AA10" s="584"/>
      <c r="AG10" s="586"/>
      <c r="AH10" s="579"/>
      <c r="AI10" s="577"/>
    </row>
    <row r="11" spans="1:35" s="518" customFormat="1" ht="23.25" customHeight="1">
      <c r="A11" s="503" t="s">
        <v>9</v>
      </c>
      <c r="B11" s="504" t="s">
        <v>88</v>
      </c>
      <c r="C11" s="505" t="s">
        <v>153</v>
      </c>
      <c r="D11" s="507">
        <v>234.1653</v>
      </c>
      <c r="E11" s="587">
        <v>40.39</v>
      </c>
      <c r="F11" s="587">
        <v>7.83</v>
      </c>
      <c r="G11" s="587">
        <v>5.7299999999999986</v>
      </c>
      <c r="H11" s="587">
        <v>2.1800000000000002</v>
      </c>
      <c r="I11" s="587">
        <v>27.299999999999997</v>
      </c>
      <c r="J11" s="587">
        <v>10.039999999999999</v>
      </c>
      <c r="K11" s="587">
        <v>2.0600000000000005</v>
      </c>
      <c r="L11" s="587">
        <v>24.238299999999999</v>
      </c>
      <c r="M11" s="587">
        <v>2.96</v>
      </c>
      <c r="N11" s="587">
        <v>8.2399999999999984</v>
      </c>
      <c r="O11" s="587">
        <v>28.25</v>
      </c>
      <c r="P11" s="587">
        <v>2.6500000000000004</v>
      </c>
      <c r="Q11" s="587">
        <v>2.4700000000000002</v>
      </c>
      <c r="R11" s="587">
        <v>31.319999999999997</v>
      </c>
      <c r="S11" s="587">
        <v>0.2</v>
      </c>
      <c r="T11" s="587">
        <v>7.2770000000000001</v>
      </c>
      <c r="U11" s="587">
        <v>1.3299999999999998</v>
      </c>
      <c r="V11" s="587">
        <v>18.770000000000003</v>
      </c>
      <c r="W11" s="587">
        <v>1.33</v>
      </c>
      <c r="X11" s="587">
        <v>3.6500000000000004</v>
      </c>
      <c r="Y11" s="587">
        <v>5.95</v>
      </c>
      <c r="Z11" s="587">
        <f>[6]X22!$U$73</f>
        <v>0</v>
      </c>
      <c r="AA11" s="588"/>
      <c r="AG11" s="589"/>
      <c r="AH11" s="579"/>
      <c r="AI11" s="577"/>
    </row>
    <row r="12" spans="1:35" s="580" customFormat="1" ht="23.25" customHeight="1">
      <c r="A12" s="503" t="s">
        <v>11</v>
      </c>
      <c r="B12" s="504" t="s">
        <v>60</v>
      </c>
      <c r="C12" s="505" t="s">
        <v>154</v>
      </c>
      <c r="D12" s="507">
        <v>173.76786999999996</v>
      </c>
      <c r="E12" s="587">
        <v>9.8299999999999983</v>
      </c>
      <c r="F12" s="587">
        <v>7.169999999999999</v>
      </c>
      <c r="G12" s="587">
        <v>4.0000000000000009</v>
      </c>
      <c r="H12" s="587">
        <v>2.0700000000000003</v>
      </c>
      <c r="I12" s="587">
        <v>14.52</v>
      </c>
      <c r="J12" s="587">
        <v>5.34</v>
      </c>
      <c r="K12" s="587">
        <v>1.9400000000000002</v>
      </c>
      <c r="L12" s="587">
        <v>9.0968699999999991</v>
      </c>
      <c r="M12" s="587">
        <v>2.5600000000000005</v>
      </c>
      <c r="N12" s="587">
        <v>11.140999999999998</v>
      </c>
      <c r="O12" s="587">
        <v>62.76</v>
      </c>
      <c r="P12" s="587">
        <v>0.9</v>
      </c>
      <c r="Q12" s="587">
        <v>0.48</v>
      </c>
      <c r="R12" s="587">
        <v>18.350000000000001</v>
      </c>
      <c r="S12" s="587">
        <v>0.12</v>
      </c>
      <c r="T12" s="587">
        <v>3.2000000000000006</v>
      </c>
      <c r="U12" s="587">
        <v>0.71000000000000008</v>
      </c>
      <c r="V12" s="587">
        <v>14.340000000000002</v>
      </c>
      <c r="W12" s="587">
        <v>0.79</v>
      </c>
      <c r="X12" s="587">
        <v>1.6400000000000001</v>
      </c>
      <c r="Y12" s="587">
        <v>2.81</v>
      </c>
      <c r="Z12" s="587">
        <f>[6]X22!$U$74</f>
        <v>0</v>
      </c>
      <c r="AA12" s="579"/>
      <c r="AG12" s="581"/>
      <c r="AH12" s="579"/>
      <c r="AI12" s="577"/>
    </row>
    <row r="13" spans="1:35" s="580" customFormat="1" ht="23.25" customHeight="1">
      <c r="A13" s="503" t="s">
        <v>13</v>
      </c>
      <c r="B13" s="504" t="s">
        <v>61</v>
      </c>
      <c r="C13" s="505" t="s">
        <v>155</v>
      </c>
      <c r="D13" s="507">
        <v>243.04999999999998</v>
      </c>
      <c r="E13" s="587">
        <v>0</v>
      </c>
      <c r="F13" s="587">
        <v>0</v>
      </c>
      <c r="G13" s="587">
        <v>5.2799999999999994</v>
      </c>
      <c r="H13" s="587">
        <v>0</v>
      </c>
      <c r="I13" s="587">
        <v>0</v>
      </c>
      <c r="J13" s="587">
        <v>0</v>
      </c>
      <c r="K13" s="587">
        <v>5.1899999999999995</v>
      </c>
      <c r="L13" s="587">
        <v>0</v>
      </c>
      <c r="M13" s="587">
        <v>0</v>
      </c>
      <c r="N13" s="587">
        <v>4.54</v>
      </c>
      <c r="O13" s="587">
        <v>217.73999999999998</v>
      </c>
      <c r="P13" s="587">
        <v>0</v>
      </c>
      <c r="Q13" s="587">
        <v>0.91</v>
      </c>
      <c r="R13" s="587">
        <v>0.84000000000000008</v>
      </c>
      <c r="S13" s="587">
        <v>1.6800000000000002</v>
      </c>
      <c r="T13" s="587">
        <v>0</v>
      </c>
      <c r="U13" s="587">
        <v>0</v>
      </c>
      <c r="V13" s="587">
        <v>0</v>
      </c>
      <c r="W13" s="587">
        <v>0.3</v>
      </c>
      <c r="X13" s="587">
        <v>6.5699999999999994</v>
      </c>
      <c r="Y13" s="587">
        <v>0</v>
      </c>
      <c r="Z13" s="587">
        <f>[6]X22!$U$75</f>
        <v>0</v>
      </c>
      <c r="AG13" s="581"/>
      <c r="AH13" s="579"/>
      <c r="AI13" s="577"/>
    </row>
    <row r="14" spans="1:35" s="580" customFormat="1" ht="23.25" customHeight="1">
      <c r="A14" s="503" t="s">
        <v>15</v>
      </c>
      <c r="B14" s="504" t="s">
        <v>62</v>
      </c>
      <c r="C14" s="505" t="s">
        <v>156</v>
      </c>
      <c r="D14" s="507">
        <v>3.6</v>
      </c>
      <c r="E14" s="587">
        <v>0</v>
      </c>
      <c r="F14" s="587">
        <v>0</v>
      </c>
      <c r="G14" s="587">
        <v>0</v>
      </c>
      <c r="H14" s="587">
        <v>0</v>
      </c>
      <c r="I14" s="587">
        <v>0</v>
      </c>
      <c r="J14" s="587">
        <v>0</v>
      </c>
      <c r="K14" s="587">
        <v>0</v>
      </c>
      <c r="L14" s="587">
        <v>0</v>
      </c>
      <c r="M14" s="587">
        <v>0</v>
      </c>
      <c r="N14" s="587">
        <v>0</v>
      </c>
      <c r="O14" s="587">
        <v>3.6</v>
      </c>
      <c r="P14" s="587">
        <v>0</v>
      </c>
      <c r="Q14" s="587">
        <v>0</v>
      </c>
      <c r="R14" s="587">
        <v>0</v>
      </c>
      <c r="S14" s="587">
        <v>0</v>
      </c>
      <c r="T14" s="587">
        <v>0</v>
      </c>
      <c r="U14" s="587">
        <v>0</v>
      </c>
      <c r="V14" s="587">
        <v>0</v>
      </c>
      <c r="W14" s="587">
        <v>0</v>
      </c>
      <c r="X14" s="587">
        <v>0</v>
      </c>
      <c r="Y14" s="587">
        <v>0</v>
      </c>
      <c r="Z14" s="587">
        <f>[6]X22!$U$76</f>
        <v>0</v>
      </c>
      <c r="AG14" s="581"/>
      <c r="AH14" s="579"/>
      <c r="AI14" s="577"/>
    </row>
    <row r="15" spans="1:35" s="580" customFormat="1" ht="23.25" customHeight="1">
      <c r="A15" s="503" t="s">
        <v>64</v>
      </c>
      <c r="B15" s="504" t="s">
        <v>63</v>
      </c>
      <c r="C15" s="505" t="s">
        <v>157</v>
      </c>
      <c r="D15" s="507">
        <v>800.76589999999976</v>
      </c>
      <c r="E15" s="587">
        <v>39.954999999999998</v>
      </c>
      <c r="F15" s="587">
        <v>35.57</v>
      </c>
      <c r="G15" s="587">
        <v>18.170000000000002</v>
      </c>
      <c r="H15" s="587">
        <v>10.89</v>
      </c>
      <c r="I15" s="587">
        <v>150.75</v>
      </c>
      <c r="J15" s="587">
        <v>77.31</v>
      </c>
      <c r="K15" s="587">
        <v>11.63</v>
      </c>
      <c r="L15" s="587">
        <v>74.370899999999992</v>
      </c>
      <c r="M15" s="587">
        <v>29.14</v>
      </c>
      <c r="N15" s="587">
        <v>28.95</v>
      </c>
      <c r="O15" s="587">
        <v>42.56</v>
      </c>
      <c r="P15" s="587">
        <v>22.700000000000003</v>
      </c>
      <c r="Q15" s="587">
        <v>21.13</v>
      </c>
      <c r="R15" s="587">
        <v>39.069999999999993</v>
      </c>
      <c r="S15" s="587">
        <v>18.18</v>
      </c>
      <c r="T15" s="587">
        <v>12.169999999999996</v>
      </c>
      <c r="U15" s="587">
        <v>21.9</v>
      </c>
      <c r="V15" s="587">
        <v>55.129999999999995</v>
      </c>
      <c r="W15" s="587">
        <v>15.24</v>
      </c>
      <c r="X15" s="587">
        <v>14.030000000000001</v>
      </c>
      <c r="Y15" s="587">
        <v>61.920000000000009</v>
      </c>
      <c r="Z15" s="587">
        <f>[6]X22!$U$77</f>
        <v>0</v>
      </c>
      <c r="AG15" s="581"/>
      <c r="AH15" s="579"/>
      <c r="AI15" s="577"/>
    </row>
    <row r="16" spans="1:35" s="585" customFormat="1" ht="33.75" customHeight="1">
      <c r="A16" s="513" t="s">
        <v>193</v>
      </c>
      <c r="B16" s="499" t="s">
        <v>198</v>
      </c>
      <c r="C16" s="582" t="s">
        <v>197</v>
      </c>
      <c r="D16" s="515">
        <v>17.650000000000002</v>
      </c>
      <c r="E16" s="590">
        <v>0</v>
      </c>
      <c r="F16" s="590">
        <v>0</v>
      </c>
      <c r="G16" s="590">
        <v>1.96</v>
      </c>
      <c r="H16" s="590">
        <v>0</v>
      </c>
      <c r="I16" s="590">
        <v>0</v>
      </c>
      <c r="J16" s="590">
        <v>0</v>
      </c>
      <c r="K16" s="590">
        <v>0.56999999999999995</v>
      </c>
      <c r="L16" s="590">
        <v>0</v>
      </c>
      <c r="M16" s="590">
        <v>0</v>
      </c>
      <c r="N16" s="590">
        <v>2.0499999999999998</v>
      </c>
      <c r="O16" s="590">
        <v>2.99</v>
      </c>
      <c r="P16" s="590">
        <v>0</v>
      </c>
      <c r="Q16" s="590">
        <v>0</v>
      </c>
      <c r="R16" s="590">
        <v>4.2300000000000004</v>
      </c>
      <c r="S16" s="590">
        <v>3.16</v>
      </c>
      <c r="T16" s="590">
        <v>0</v>
      </c>
      <c r="U16" s="590">
        <v>2.12</v>
      </c>
      <c r="V16" s="590">
        <v>0</v>
      </c>
      <c r="W16" s="590">
        <v>0</v>
      </c>
      <c r="X16" s="590">
        <v>0.56999999999999995</v>
      </c>
      <c r="Y16" s="590">
        <v>0</v>
      </c>
      <c r="Z16" s="590">
        <f>[6]X22!$U$78</f>
        <v>0</v>
      </c>
      <c r="AG16" s="586"/>
      <c r="AH16" s="579"/>
      <c r="AI16" s="577"/>
    </row>
    <row r="17" spans="1:35" s="580" customFormat="1" ht="23.25" customHeight="1">
      <c r="A17" s="503" t="s">
        <v>73</v>
      </c>
      <c r="B17" s="504" t="s">
        <v>72</v>
      </c>
      <c r="C17" s="505" t="s">
        <v>158</v>
      </c>
      <c r="D17" s="507">
        <v>17.66</v>
      </c>
      <c r="E17" s="587">
        <v>2.2800000000000002</v>
      </c>
      <c r="F17" s="587">
        <v>0.81</v>
      </c>
      <c r="G17" s="587">
        <v>0.02</v>
      </c>
      <c r="H17" s="587">
        <v>0.75</v>
      </c>
      <c r="I17" s="587">
        <v>2.72</v>
      </c>
      <c r="J17" s="587">
        <v>0.91999999999999993</v>
      </c>
      <c r="K17" s="587">
        <v>0.79999999999999982</v>
      </c>
      <c r="L17" s="587">
        <v>1.0900000000000001</v>
      </c>
      <c r="M17" s="587">
        <v>0.45999999999999996</v>
      </c>
      <c r="N17" s="587">
        <v>0.28000000000000003</v>
      </c>
      <c r="O17" s="587">
        <v>0.26</v>
      </c>
      <c r="P17" s="587">
        <v>7.0000000000000007E-2</v>
      </c>
      <c r="Q17" s="587">
        <v>0.55000000000000004</v>
      </c>
      <c r="R17" s="587">
        <v>2.92</v>
      </c>
      <c r="S17" s="587">
        <v>0</v>
      </c>
      <c r="T17" s="587">
        <v>0.49</v>
      </c>
      <c r="U17" s="587">
        <v>0.02</v>
      </c>
      <c r="V17" s="587">
        <v>1.75</v>
      </c>
      <c r="W17" s="587">
        <v>0.52</v>
      </c>
      <c r="X17" s="587">
        <v>0.63</v>
      </c>
      <c r="Y17" s="587">
        <v>0.32</v>
      </c>
      <c r="Z17" s="587">
        <f>[6]X22!$U$81</f>
        <v>0</v>
      </c>
      <c r="AG17" s="581"/>
      <c r="AH17" s="579"/>
      <c r="AI17" s="577"/>
    </row>
    <row r="18" spans="1:35" s="580" customFormat="1" ht="23.25" customHeight="1">
      <c r="A18" s="503" t="s">
        <v>86</v>
      </c>
      <c r="B18" s="504" t="s">
        <v>2749</v>
      </c>
      <c r="C18" s="505" t="s">
        <v>2753</v>
      </c>
      <c r="D18" s="507">
        <v>0</v>
      </c>
      <c r="E18" s="587">
        <v>0</v>
      </c>
      <c r="F18" s="587">
        <v>0</v>
      </c>
      <c r="G18" s="587">
        <v>0</v>
      </c>
      <c r="H18" s="587">
        <v>0</v>
      </c>
      <c r="I18" s="587">
        <v>0</v>
      </c>
      <c r="J18" s="587">
        <v>0</v>
      </c>
      <c r="K18" s="587">
        <v>0</v>
      </c>
      <c r="L18" s="587">
        <v>0</v>
      </c>
      <c r="M18" s="587">
        <v>0</v>
      </c>
      <c r="N18" s="587">
        <v>0</v>
      </c>
      <c r="O18" s="587">
        <v>0</v>
      </c>
      <c r="P18" s="587">
        <v>0</v>
      </c>
      <c r="Q18" s="587">
        <v>0</v>
      </c>
      <c r="R18" s="587">
        <v>0</v>
      </c>
      <c r="S18" s="587">
        <v>0</v>
      </c>
      <c r="T18" s="587">
        <v>0</v>
      </c>
      <c r="U18" s="587">
        <v>0</v>
      </c>
      <c r="V18" s="587">
        <v>0</v>
      </c>
      <c r="W18" s="587">
        <v>0</v>
      </c>
      <c r="X18" s="587">
        <v>0</v>
      </c>
      <c r="Y18" s="587">
        <v>0</v>
      </c>
      <c r="Z18" s="587">
        <f>[6]X22!$U$82</f>
        <v>0</v>
      </c>
      <c r="AG18" s="581"/>
      <c r="AH18" s="579"/>
      <c r="AI18" s="577"/>
    </row>
    <row r="19" spans="1:35" s="580" customFormat="1" ht="23.25" customHeight="1">
      <c r="A19" s="503" t="s">
        <v>2756</v>
      </c>
      <c r="B19" s="504" t="s">
        <v>89</v>
      </c>
      <c r="C19" s="505" t="s">
        <v>159</v>
      </c>
      <c r="D19" s="507">
        <v>0</v>
      </c>
      <c r="E19" s="587">
        <v>0</v>
      </c>
      <c r="F19" s="587">
        <v>0</v>
      </c>
      <c r="G19" s="587">
        <v>0</v>
      </c>
      <c r="H19" s="587">
        <v>0</v>
      </c>
      <c r="I19" s="587">
        <v>0</v>
      </c>
      <c r="J19" s="587">
        <v>0</v>
      </c>
      <c r="K19" s="587">
        <v>0</v>
      </c>
      <c r="L19" s="587">
        <v>0</v>
      </c>
      <c r="M19" s="587">
        <v>0</v>
      </c>
      <c r="N19" s="587">
        <v>0</v>
      </c>
      <c r="O19" s="587">
        <v>0</v>
      </c>
      <c r="P19" s="587">
        <v>0</v>
      </c>
      <c r="Q19" s="587">
        <v>0</v>
      </c>
      <c r="R19" s="587">
        <v>0</v>
      </c>
      <c r="S19" s="587">
        <v>0</v>
      </c>
      <c r="T19" s="587">
        <v>0</v>
      </c>
      <c r="U19" s="587">
        <v>0</v>
      </c>
      <c r="V19" s="587">
        <v>0</v>
      </c>
      <c r="W19" s="587">
        <v>0</v>
      </c>
      <c r="X19" s="587">
        <v>0</v>
      </c>
      <c r="Y19" s="587">
        <v>0</v>
      </c>
      <c r="Z19" s="587">
        <f>[6]X22!$U$83</f>
        <v>0</v>
      </c>
      <c r="AA19" s="579"/>
      <c r="AG19" s="581"/>
      <c r="AH19" s="579"/>
      <c r="AI19" s="577"/>
    </row>
    <row r="20" spans="1:35" s="593" customFormat="1" ht="36" customHeight="1">
      <c r="A20" s="591" t="s">
        <v>2858</v>
      </c>
      <c r="B20" s="489" t="s">
        <v>2859</v>
      </c>
      <c r="C20" s="490"/>
      <c r="D20" s="478">
        <v>1436.8200000000002</v>
      </c>
      <c r="E20" s="592">
        <v>3.88</v>
      </c>
      <c r="F20" s="592">
        <v>1.81</v>
      </c>
      <c r="G20" s="592">
        <v>117.62</v>
      </c>
      <c r="H20" s="592">
        <v>3.3</v>
      </c>
      <c r="I20" s="592">
        <v>77.170000000000016</v>
      </c>
      <c r="J20" s="592">
        <v>12.47</v>
      </c>
      <c r="K20" s="592">
        <v>89.51</v>
      </c>
      <c r="L20" s="592">
        <v>66.88</v>
      </c>
      <c r="M20" s="592">
        <v>73.53</v>
      </c>
      <c r="N20" s="592">
        <v>65.92</v>
      </c>
      <c r="O20" s="592">
        <v>33.630000000000003</v>
      </c>
      <c r="P20" s="592">
        <v>55.59</v>
      </c>
      <c r="Q20" s="592">
        <v>140.60999999999999</v>
      </c>
      <c r="R20" s="592">
        <v>70.650000000000006</v>
      </c>
      <c r="S20" s="592">
        <v>8.49</v>
      </c>
      <c r="T20" s="592">
        <v>98.329999999999984</v>
      </c>
      <c r="U20" s="592">
        <v>61.98</v>
      </c>
      <c r="V20" s="592">
        <v>67.52</v>
      </c>
      <c r="W20" s="592">
        <v>250.58999999999997</v>
      </c>
      <c r="X20" s="592">
        <v>0.73</v>
      </c>
      <c r="Y20" s="592">
        <v>136.61000000000001</v>
      </c>
      <c r="Z20" s="592">
        <f t="shared" ref="Z20" si="1">SUM(Z22:Z32)</f>
        <v>0</v>
      </c>
      <c r="AG20" s="594"/>
      <c r="AH20" s="595"/>
      <c r="AI20" s="577"/>
    </row>
    <row r="21" spans="1:35" s="599" customFormat="1" ht="19.5">
      <c r="A21" s="596"/>
      <c r="B21" s="499" t="s">
        <v>190</v>
      </c>
      <c r="C21" s="597"/>
      <c r="D21" s="598"/>
      <c r="E21" s="365"/>
      <c r="F21" s="365"/>
      <c r="G21" s="365"/>
      <c r="H21" s="365"/>
      <c r="I21" s="365"/>
      <c r="J21" s="365"/>
      <c r="K21" s="365"/>
      <c r="L21" s="365"/>
      <c r="M21" s="365"/>
      <c r="N21" s="365"/>
      <c r="O21" s="365"/>
      <c r="P21" s="365"/>
      <c r="Q21" s="365"/>
      <c r="R21" s="365"/>
      <c r="S21" s="365"/>
      <c r="T21" s="365"/>
      <c r="U21" s="365"/>
      <c r="V21" s="365"/>
      <c r="W21" s="365"/>
      <c r="X21" s="365"/>
      <c r="Y21" s="365"/>
      <c r="Z21" s="365"/>
      <c r="AG21" s="600"/>
      <c r="AI21" s="577"/>
    </row>
    <row r="22" spans="1:35" s="559" customFormat="1" ht="33" customHeight="1">
      <c r="A22" s="601" t="s">
        <v>23</v>
      </c>
      <c r="B22" s="504" t="s">
        <v>160</v>
      </c>
      <c r="C22" s="505" t="s">
        <v>161</v>
      </c>
      <c r="D22" s="507">
        <v>3.4</v>
      </c>
      <c r="E22" s="578">
        <v>0.52</v>
      </c>
      <c r="F22" s="578">
        <v>0.37</v>
      </c>
      <c r="G22" s="578">
        <v>0.35</v>
      </c>
      <c r="H22" s="578">
        <v>0</v>
      </c>
      <c r="I22" s="578">
        <v>0.11</v>
      </c>
      <c r="J22" s="578">
        <v>0.1</v>
      </c>
      <c r="K22" s="578">
        <v>0</v>
      </c>
      <c r="L22" s="578">
        <v>0.49</v>
      </c>
      <c r="M22" s="578">
        <v>0</v>
      </c>
      <c r="N22" s="578">
        <v>0</v>
      </c>
      <c r="O22" s="578">
        <v>0</v>
      </c>
      <c r="P22" s="578">
        <v>0</v>
      </c>
      <c r="Q22" s="578">
        <v>0</v>
      </c>
      <c r="R22" s="578">
        <v>0.44</v>
      </c>
      <c r="S22" s="578">
        <v>0</v>
      </c>
      <c r="T22" s="578">
        <v>0.22</v>
      </c>
      <c r="U22" s="578">
        <v>0.09</v>
      </c>
      <c r="V22" s="578">
        <v>0.55000000000000004</v>
      </c>
      <c r="W22" s="578">
        <v>0.11</v>
      </c>
      <c r="X22" s="578">
        <v>0</v>
      </c>
      <c r="Y22" s="578">
        <v>0.05</v>
      </c>
      <c r="Z22" s="578">
        <f>[6]X22!$K$69</f>
        <v>0</v>
      </c>
      <c r="AG22" s="602"/>
      <c r="AH22" s="603"/>
      <c r="AI22" s="577"/>
    </row>
    <row r="23" spans="1:35" s="559" customFormat="1" ht="33" customHeight="1">
      <c r="A23" s="601" t="s">
        <v>25</v>
      </c>
      <c r="B23" s="530" t="s">
        <v>169</v>
      </c>
      <c r="C23" s="604" t="s">
        <v>162</v>
      </c>
      <c r="D23" s="605">
        <v>1</v>
      </c>
      <c r="E23" s="578">
        <v>0</v>
      </c>
      <c r="F23" s="578">
        <v>0</v>
      </c>
      <c r="G23" s="578">
        <v>0</v>
      </c>
      <c r="H23" s="578">
        <v>0</v>
      </c>
      <c r="I23" s="578">
        <v>0.03</v>
      </c>
      <c r="J23" s="578">
        <v>0</v>
      </c>
      <c r="K23" s="578">
        <v>0</v>
      </c>
      <c r="L23" s="578">
        <v>0</v>
      </c>
      <c r="M23" s="578">
        <v>0</v>
      </c>
      <c r="N23" s="578">
        <v>0</v>
      </c>
      <c r="O23" s="578">
        <v>0</v>
      </c>
      <c r="P23" s="578">
        <v>0</v>
      </c>
      <c r="Q23" s="578">
        <v>0.97</v>
      </c>
      <c r="R23" s="578">
        <v>0</v>
      </c>
      <c r="S23" s="578">
        <v>0</v>
      </c>
      <c r="T23" s="578">
        <v>0</v>
      </c>
      <c r="U23" s="578">
        <v>0</v>
      </c>
      <c r="V23" s="578">
        <v>0</v>
      </c>
      <c r="W23" s="578">
        <v>0</v>
      </c>
      <c r="X23" s="578">
        <v>0</v>
      </c>
      <c r="Y23" s="578">
        <v>0</v>
      </c>
      <c r="Z23" s="578">
        <f>[6]X22!$L$69+[6]X22!$M$69+[6]X22!$N$69</f>
        <v>0</v>
      </c>
      <c r="AG23" s="602"/>
      <c r="AI23" s="577"/>
    </row>
    <row r="24" spans="1:35" s="559" customFormat="1" ht="33" customHeight="1">
      <c r="A24" s="601" t="s">
        <v>27</v>
      </c>
      <c r="B24" s="504" t="s">
        <v>163</v>
      </c>
      <c r="C24" s="505" t="s">
        <v>164</v>
      </c>
      <c r="D24" s="507">
        <v>1.1599999999999999</v>
      </c>
      <c r="E24" s="578">
        <v>0.19</v>
      </c>
      <c r="F24" s="578">
        <v>0</v>
      </c>
      <c r="G24" s="578">
        <v>0.28999999999999998</v>
      </c>
      <c r="H24" s="578">
        <v>0</v>
      </c>
      <c r="I24" s="578">
        <v>0.43</v>
      </c>
      <c r="J24" s="578">
        <v>0</v>
      </c>
      <c r="K24" s="578">
        <v>0</v>
      </c>
      <c r="L24" s="578">
        <v>0</v>
      </c>
      <c r="M24" s="578">
        <v>0</v>
      </c>
      <c r="N24" s="578">
        <v>0</v>
      </c>
      <c r="O24" s="578">
        <v>0</v>
      </c>
      <c r="P24" s="578">
        <v>0.08</v>
      </c>
      <c r="Q24" s="578">
        <v>0.05</v>
      </c>
      <c r="R24" s="578">
        <v>0</v>
      </c>
      <c r="S24" s="578">
        <v>0.1</v>
      </c>
      <c r="T24" s="578">
        <v>0.02</v>
      </c>
      <c r="U24" s="578">
        <v>0</v>
      </c>
      <c r="V24" s="578">
        <v>0</v>
      </c>
      <c r="W24" s="578">
        <v>0</v>
      </c>
      <c r="X24" s="578">
        <v>0</v>
      </c>
      <c r="Y24" s="578">
        <v>0</v>
      </c>
      <c r="Z24" s="578">
        <f>[6]X22!$R$69</f>
        <v>0</v>
      </c>
      <c r="AG24" s="602"/>
      <c r="AI24" s="577"/>
    </row>
    <row r="25" spans="1:35" s="559" customFormat="1" ht="31.7" customHeight="1">
      <c r="A25" s="601" t="s">
        <v>29</v>
      </c>
      <c r="B25" s="504" t="s">
        <v>2860</v>
      </c>
      <c r="C25" s="505" t="s">
        <v>2754</v>
      </c>
      <c r="D25" s="507">
        <v>0</v>
      </c>
      <c r="E25" s="578">
        <v>0</v>
      </c>
      <c r="F25" s="578">
        <v>0</v>
      </c>
      <c r="G25" s="578">
        <v>0</v>
      </c>
      <c r="H25" s="578">
        <v>0</v>
      </c>
      <c r="I25" s="578">
        <v>0</v>
      </c>
      <c r="J25" s="578">
        <v>0</v>
      </c>
      <c r="K25" s="578">
        <v>0</v>
      </c>
      <c r="L25" s="578">
        <v>0</v>
      </c>
      <c r="M25" s="578">
        <v>0</v>
      </c>
      <c r="N25" s="578">
        <v>0</v>
      </c>
      <c r="O25" s="578">
        <v>0</v>
      </c>
      <c r="P25" s="578">
        <v>0</v>
      </c>
      <c r="Q25" s="578">
        <v>0</v>
      </c>
      <c r="R25" s="578">
        <v>0</v>
      </c>
      <c r="S25" s="578">
        <v>0</v>
      </c>
      <c r="T25" s="578">
        <v>0</v>
      </c>
      <c r="U25" s="578">
        <v>0</v>
      </c>
      <c r="V25" s="578">
        <v>0</v>
      </c>
      <c r="W25" s="578">
        <v>0</v>
      </c>
      <c r="X25" s="578">
        <v>0</v>
      </c>
      <c r="Y25" s="578">
        <v>0</v>
      </c>
      <c r="Z25" s="578">
        <f>[6]X22!$S$69</f>
        <v>0</v>
      </c>
      <c r="AG25" s="602"/>
      <c r="AI25" s="577"/>
    </row>
    <row r="26" spans="1:35" s="559" customFormat="1" ht="31.7" hidden="1" customHeight="1">
      <c r="A26" s="601" t="s">
        <v>29</v>
      </c>
      <c r="B26" s="504" t="s">
        <v>2861</v>
      </c>
      <c r="C26" s="505" t="s">
        <v>2862</v>
      </c>
      <c r="D26" s="507">
        <v>11.040000000000001</v>
      </c>
      <c r="E26" s="578">
        <v>0</v>
      </c>
      <c r="F26" s="578">
        <v>0.94</v>
      </c>
      <c r="G26" s="578">
        <v>2.2999999999999998</v>
      </c>
      <c r="H26" s="578">
        <v>1.06</v>
      </c>
      <c r="I26" s="578">
        <v>0.72</v>
      </c>
      <c r="J26" s="578">
        <v>1.01</v>
      </c>
      <c r="K26" s="578">
        <v>0.1</v>
      </c>
      <c r="L26" s="578">
        <v>0.2</v>
      </c>
      <c r="M26" s="578">
        <v>0</v>
      </c>
      <c r="N26" s="578">
        <v>0</v>
      </c>
      <c r="O26" s="578">
        <v>0</v>
      </c>
      <c r="P26" s="578">
        <v>0</v>
      </c>
      <c r="Q26" s="578">
        <v>0.4</v>
      </c>
      <c r="R26" s="578">
        <v>0</v>
      </c>
      <c r="S26" s="578">
        <v>1.8199999999999998</v>
      </c>
      <c r="T26" s="578">
        <v>0</v>
      </c>
      <c r="U26" s="578">
        <v>0.67</v>
      </c>
      <c r="V26" s="578">
        <v>0.14000000000000001</v>
      </c>
      <c r="W26" s="578">
        <v>0</v>
      </c>
      <c r="X26" s="578">
        <v>0.3</v>
      </c>
      <c r="Y26" s="578">
        <v>1.3800000000000001</v>
      </c>
      <c r="Z26" s="578">
        <f>[6]X22!$S$69</f>
        <v>0</v>
      </c>
      <c r="AG26" s="602"/>
      <c r="AI26" s="577"/>
    </row>
    <row r="27" spans="1:35" s="559" customFormat="1" ht="31.7" hidden="1" customHeight="1">
      <c r="A27" s="601" t="s">
        <v>29</v>
      </c>
      <c r="B27" s="504" t="s">
        <v>2863</v>
      </c>
      <c r="C27" s="505" t="s">
        <v>2864</v>
      </c>
      <c r="D27" s="507">
        <v>14.209999999999999</v>
      </c>
      <c r="E27" s="578">
        <v>0.28000000000000003</v>
      </c>
      <c r="F27" s="578">
        <v>0</v>
      </c>
      <c r="G27" s="578">
        <v>0</v>
      </c>
      <c r="H27" s="578">
        <v>0.09</v>
      </c>
      <c r="I27" s="578">
        <v>0.64</v>
      </c>
      <c r="J27" s="578">
        <v>0</v>
      </c>
      <c r="K27" s="578">
        <v>0</v>
      </c>
      <c r="L27" s="578">
        <v>0.16</v>
      </c>
      <c r="M27" s="578">
        <v>0.15</v>
      </c>
      <c r="N27" s="578">
        <v>0.33999999999999997</v>
      </c>
      <c r="O27" s="578">
        <v>0</v>
      </c>
      <c r="P27" s="578">
        <v>0</v>
      </c>
      <c r="Q27" s="578">
        <v>0</v>
      </c>
      <c r="R27" s="578">
        <v>0.26</v>
      </c>
      <c r="S27" s="578">
        <v>0.22</v>
      </c>
      <c r="T27" s="578">
        <v>1.81</v>
      </c>
      <c r="U27" s="578">
        <v>0</v>
      </c>
      <c r="V27" s="578">
        <v>0.56000000000000005</v>
      </c>
      <c r="W27" s="578">
        <v>1.77</v>
      </c>
      <c r="X27" s="578">
        <v>0.43000000000000005</v>
      </c>
      <c r="Y27" s="578">
        <v>7.5</v>
      </c>
      <c r="Z27" s="578">
        <f>[6]X22!$S$69</f>
        <v>0</v>
      </c>
      <c r="AG27" s="602"/>
      <c r="AI27" s="577"/>
    </row>
    <row r="28" spans="1:35" s="559" customFormat="1" ht="31.5" customHeight="1">
      <c r="A28" s="601" t="s">
        <v>31</v>
      </c>
      <c r="B28" s="504" t="s">
        <v>165</v>
      </c>
      <c r="C28" s="505" t="s">
        <v>166</v>
      </c>
      <c r="D28" s="507">
        <v>2.6399999999999997</v>
      </c>
      <c r="E28" s="578">
        <v>0.5</v>
      </c>
      <c r="F28" s="578">
        <v>0.03</v>
      </c>
      <c r="G28" s="578">
        <v>0.19</v>
      </c>
      <c r="H28" s="578">
        <v>0</v>
      </c>
      <c r="I28" s="578">
        <v>0</v>
      </c>
      <c r="J28" s="578">
        <v>0.5</v>
      </c>
      <c r="K28" s="578">
        <v>0</v>
      </c>
      <c r="L28" s="578">
        <v>0</v>
      </c>
      <c r="M28" s="578">
        <v>0</v>
      </c>
      <c r="N28" s="578">
        <v>0</v>
      </c>
      <c r="O28" s="578">
        <v>0</v>
      </c>
      <c r="P28" s="578">
        <v>0.5</v>
      </c>
      <c r="Q28" s="578">
        <v>0.5</v>
      </c>
      <c r="R28" s="578">
        <v>0</v>
      </c>
      <c r="S28" s="578">
        <v>0.4</v>
      </c>
      <c r="T28" s="578">
        <v>0.02</v>
      </c>
      <c r="U28" s="578">
        <v>0</v>
      </c>
      <c r="V28" s="578">
        <v>0</v>
      </c>
      <c r="W28" s="578">
        <v>0</v>
      </c>
      <c r="X28" s="578">
        <v>0</v>
      </c>
      <c r="Y28" s="578">
        <v>0</v>
      </c>
      <c r="Z28" s="578">
        <f>[6]X22!$R$73</f>
        <v>0</v>
      </c>
      <c r="AG28" s="602"/>
      <c r="AI28" s="577"/>
    </row>
    <row r="29" spans="1:35" s="559" customFormat="1" ht="33" customHeight="1">
      <c r="A29" s="601" t="s">
        <v>33</v>
      </c>
      <c r="B29" s="504" t="s">
        <v>2865</v>
      </c>
      <c r="C29" s="505" t="s">
        <v>2755</v>
      </c>
      <c r="D29" s="507">
        <v>0</v>
      </c>
      <c r="E29" s="578">
        <v>0</v>
      </c>
      <c r="F29" s="578">
        <v>0</v>
      </c>
      <c r="G29" s="578">
        <v>0</v>
      </c>
      <c r="H29" s="578">
        <v>0</v>
      </c>
      <c r="I29" s="578">
        <v>0</v>
      </c>
      <c r="J29" s="578">
        <v>0</v>
      </c>
      <c r="K29" s="578">
        <v>0</v>
      </c>
      <c r="L29" s="578">
        <v>0</v>
      </c>
      <c r="M29" s="578">
        <v>0</v>
      </c>
      <c r="N29" s="578">
        <v>0</v>
      </c>
      <c r="O29" s="578">
        <v>0</v>
      </c>
      <c r="P29" s="578">
        <v>0</v>
      </c>
      <c r="Q29" s="578">
        <v>0</v>
      </c>
      <c r="R29" s="578">
        <v>0</v>
      </c>
      <c r="S29" s="578">
        <v>0</v>
      </c>
      <c r="T29" s="578">
        <v>0</v>
      </c>
      <c r="U29" s="578">
        <v>0</v>
      </c>
      <c r="V29" s="578">
        <v>0</v>
      </c>
      <c r="W29" s="578">
        <v>0</v>
      </c>
      <c r="X29" s="578">
        <v>0</v>
      </c>
      <c r="Y29" s="578">
        <v>0</v>
      </c>
      <c r="Z29" s="578">
        <f>[6]X22!$S$73</f>
        <v>0</v>
      </c>
      <c r="AG29" s="602"/>
      <c r="AI29" s="577"/>
    </row>
    <row r="30" spans="1:35" s="559" customFormat="1" ht="39" customHeight="1">
      <c r="A30" s="601" t="s">
        <v>68</v>
      </c>
      <c r="B30" s="504" t="s">
        <v>2866</v>
      </c>
      <c r="C30" s="505" t="s">
        <v>2867</v>
      </c>
      <c r="D30" s="507">
        <v>0</v>
      </c>
      <c r="E30" s="606">
        <v>0</v>
      </c>
      <c r="F30" s="606">
        <v>0</v>
      </c>
      <c r="G30" s="606">
        <v>0</v>
      </c>
      <c r="H30" s="606">
        <v>0</v>
      </c>
      <c r="I30" s="606">
        <v>0</v>
      </c>
      <c r="J30" s="606">
        <v>0</v>
      </c>
      <c r="K30" s="606">
        <v>0</v>
      </c>
      <c r="L30" s="606">
        <v>0</v>
      </c>
      <c r="M30" s="606">
        <v>0</v>
      </c>
      <c r="N30" s="606">
        <v>0</v>
      </c>
      <c r="O30" s="606">
        <v>0</v>
      </c>
      <c r="P30" s="606">
        <v>0</v>
      </c>
      <c r="Q30" s="606">
        <v>0</v>
      </c>
      <c r="R30" s="606">
        <v>0</v>
      </c>
      <c r="S30" s="606">
        <v>0</v>
      </c>
      <c r="T30" s="606">
        <v>0</v>
      </c>
      <c r="U30" s="606">
        <v>0</v>
      </c>
      <c r="V30" s="606">
        <v>0</v>
      </c>
      <c r="W30" s="606">
        <v>0</v>
      </c>
      <c r="X30" s="606">
        <v>0</v>
      </c>
      <c r="Y30" s="606">
        <v>0</v>
      </c>
      <c r="Z30" s="606">
        <f>[6]X22!$F$75+[6]X22!$J$75+[6]X22!$K$75+[6]X22!$R$75+[6]X22!$S$75+[6]X22!$T$75</f>
        <v>0</v>
      </c>
      <c r="AG30" s="602"/>
      <c r="AI30" s="577"/>
    </row>
    <row r="31" spans="1:35" s="559" customFormat="1" ht="34.5" customHeight="1">
      <c r="A31" s="601" t="s">
        <v>69</v>
      </c>
      <c r="B31" s="504" t="s">
        <v>2868</v>
      </c>
      <c r="C31" s="505" t="s">
        <v>2869</v>
      </c>
      <c r="D31" s="507">
        <v>0</v>
      </c>
      <c r="E31" s="606">
        <v>0</v>
      </c>
      <c r="F31" s="606">
        <v>0</v>
      </c>
      <c r="G31" s="606">
        <v>0</v>
      </c>
      <c r="H31" s="606">
        <v>0</v>
      </c>
      <c r="I31" s="606">
        <v>0</v>
      </c>
      <c r="J31" s="606">
        <v>0</v>
      </c>
      <c r="K31" s="606">
        <v>0</v>
      </c>
      <c r="L31" s="606">
        <v>0</v>
      </c>
      <c r="M31" s="606">
        <v>0</v>
      </c>
      <c r="N31" s="606">
        <v>0</v>
      </c>
      <c r="O31" s="606">
        <v>0</v>
      </c>
      <c r="P31" s="606">
        <v>0</v>
      </c>
      <c r="Q31" s="606">
        <v>0</v>
      </c>
      <c r="R31" s="606">
        <v>0</v>
      </c>
      <c r="S31" s="606">
        <v>0</v>
      </c>
      <c r="T31" s="606">
        <v>0</v>
      </c>
      <c r="U31" s="606">
        <v>0</v>
      </c>
      <c r="V31" s="606">
        <v>0</v>
      </c>
      <c r="W31" s="606">
        <v>0</v>
      </c>
      <c r="X31" s="606">
        <v>0</v>
      </c>
      <c r="Y31" s="606">
        <v>0</v>
      </c>
      <c r="Z31" s="606">
        <f>[6]X22!$F$76+[6]X22!$J$76+[6]X22!$K$76+[6]X22!$R$76+[6]X22!$S$76+[6]X22!$T$76</f>
        <v>0</v>
      </c>
      <c r="AI31" s="577"/>
    </row>
    <row r="32" spans="1:35" s="559" customFormat="1" ht="38.25" customHeight="1">
      <c r="A32" s="601" t="s">
        <v>70</v>
      </c>
      <c r="B32" s="504" t="s">
        <v>2870</v>
      </c>
      <c r="C32" s="505" t="s">
        <v>2871</v>
      </c>
      <c r="D32" s="507">
        <v>1403.3700000000003</v>
      </c>
      <c r="E32" s="606">
        <v>2.3899999999999997</v>
      </c>
      <c r="F32" s="606">
        <v>0.47000000000000003</v>
      </c>
      <c r="G32" s="606">
        <v>114.49000000000001</v>
      </c>
      <c r="H32" s="606">
        <v>2.15</v>
      </c>
      <c r="I32" s="606">
        <v>75.240000000000009</v>
      </c>
      <c r="J32" s="606">
        <v>10.860000000000001</v>
      </c>
      <c r="K32" s="606">
        <v>89.410000000000011</v>
      </c>
      <c r="L32" s="606">
        <v>66.03</v>
      </c>
      <c r="M32" s="606">
        <v>73.38</v>
      </c>
      <c r="N32" s="606">
        <v>65.58</v>
      </c>
      <c r="O32" s="606">
        <v>33.630000000000003</v>
      </c>
      <c r="P32" s="606">
        <v>55.010000000000005</v>
      </c>
      <c r="Q32" s="606">
        <v>138.69</v>
      </c>
      <c r="R32" s="606">
        <v>69.95</v>
      </c>
      <c r="S32" s="606">
        <v>5.95</v>
      </c>
      <c r="T32" s="606">
        <v>96.259999999999991</v>
      </c>
      <c r="U32" s="606">
        <v>61.22</v>
      </c>
      <c r="V32" s="606">
        <v>66.27</v>
      </c>
      <c r="W32" s="606">
        <v>248.70999999999998</v>
      </c>
      <c r="X32" s="606">
        <v>0</v>
      </c>
      <c r="Y32" s="606">
        <v>127.68</v>
      </c>
      <c r="Z32" s="606">
        <f>[6]X22!$F$77+[6]X22!$J$77+[6]X22!$K$77+[6]X22!$R$77+[6]X22!$S$77+[6]X22!$T$77</f>
        <v>0</v>
      </c>
      <c r="AI32" s="577"/>
    </row>
    <row r="33" spans="1:35" s="609" customFormat="1" ht="34.5" customHeight="1">
      <c r="A33" s="607" t="s">
        <v>193</v>
      </c>
      <c r="B33" s="499" t="s">
        <v>2813</v>
      </c>
      <c r="C33" s="582" t="s">
        <v>2872</v>
      </c>
      <c r="D33" s="515"/>
      <c r="E33" s="608">
        <v>0</v>
      </c>
      <c r="F33" s="608">
        <v>0</v>
      </c>
      <c r="G33" s="608">
        <v>0</v>
      </c>
      <c r="H33" s="608">
        <v>0</v>
      </c>
      <c r="I33" s="608">
        <v>0</v>
      </c>
      <c r="J33" s="608">
        <v>0</v>
      </c>
      <c r="K33" s="608">
        <v>0</v>
      </c>
      <c r="L33" s="608">
        <v>0</v>
      </c>
      <c r="M33" s="608">
        <v>0</v>
      </c>
      <c r="N33" s="608">
        <v>0</v>
      </c>
      <c r="O33" s="608">
        <v>0</v>
      </c>
      <c r="P33" s="608">
        <v>0</v>
      </c>
      <c r="Q33" s="608">
        <v>0</v>
      </c>
      <c r="R33" s="608">
        <v>0</v>
      </c>
      <c r="S33" s="608">
        <v>0</v>
      </c>
      <c r="T33" s="608">
        <v>0</v>
      </c>
      <c r="U33" s="608">
        <v>0</v>
      </c>
      <c r="V33" s="608">
        <v>0</v>
      </c>
      <c r="W33" s="608">
        <v>0</v>
      </c>
      <c r="X33" s="608">
        <v>0</v>
      </c>
      <c r="Y33" s="608">
        <v>0</v>
      </c>
      <c r="Z33" s="608">
        <f>[6]X22!$F$78+[6]X22!$J$78+[6]X22!$K$78+[6]X22!$R$78+[6]X22!$S$78+[6]X22!$T$78</f>
        <v>0</v>
      </c>
      <c r="AI33" s="577"/>
    </row>
    <row r="34" spans="1:35" s="559" customFormat="1" ht="30.75" customHeight="1">
      <c r="A34" s="591" t="s">
        <v>2873</v>
      </c>
      <c r="B34" s="489" t="s">
        <v>2874</v>
      </c>
      <c r="C34" s="490" t="s">
        <v>168</v>
      </c>
      <c r="D34" s="478">
        <v>9.0800000000000018</v>
      </c>
      <c r="E34" s="610">
        <v>4.47</v>
      </c>
      <c r="F34" s="610">
        <v>0.24000000000000002</v>
      </c>
      <c r="G34" s="610">
        <v>0.23</v>
      </c>
      <c r="H34" s="610">
        <v>0.32</v>
      </c>
      <c r="I34" s="610">
        <v>1.07</v>
      </c>
      <c r="J34" s="610">
        <v>0</v>
      </c>
      <c r="K34" s="610">
        <v>0</v>
      </c>
      <c r="L34" s="610">
        <v>1.6600000000000001</v>
      </c>
      <c r="M34" s="610">
        <v>0</v>
      </c>
      <c r="N34" s="610">
        <v>0</v>
      </c>
      <c r="O34" s="610">
        <v>0</v>
      </c>
      <c r="P34" s="610">
        <v>0</v>
      </c>
      <c r="Q34" s="610">
        <v>0</v>
      </c>
      <c r="R34" s="610">
        <v>0</v>
      </c>
      <c r="S34" s="610">
        <v>0</v>
      </c>
      <c r="T34" s="610">
        <v>0.37</v>
      </c>
      <c r="U34" s="610">
        <v>0</v>
      </c>
      <c r="V34" s="610">
        <v>0</v>
      </c>
      <c r="W34" s="610">
        <v>0</v>
      </c>
      <c r="X34" s="610">
        <v>0</v>
      </c>
      <c r="Y34" s="610">
        <v>0.72</v>
      </c>
      <c r="Z34" s="610">
        <f>SUM([6]X22!$AX$85:$AY$93)+SUM([6]X22!$AX$115:$AY$123)</f>
        <v>0</v>
      </c>
      <c r="AG34" s="611"/>
      <c r="AH34" s="603"/>
      <c r="AI34" s="577"/>
    </row>
    <row r="35" spans="1:35" ht="15.75">
      <c r="A35" s="612" t="s">
        <v>2875</v>
      </c>
      <c r="B35" s="612"/>
      <c r="C35" s="612"/>
      <c r="D35" s="612"/>
      <c r="E35" s="612"/>
      <c r="F35" s="612"/>
      <c r="G35" s="612"/>
    </row>
    <row r="36" spans="1:35" ht="15.75">
      <c r="A36" s="613"/>
      <c r="B36" s="614" t="s">
        <v>2876</v>
      </c>
      <c r="C36" s="613"/>
      <c r="D36" s="613"/>
      <c r="E36" s="615"/>
      <c r="F36" s="613"/>
      <c r="G36" s="613"/>
    </row>
    <row r="43" spans="1:35">
      <c r="B43" s="374" t="s">
        <v>2761</v>
      </c>
    </row>
    <row r="44" spans="1:35">
      <c r="B44" s="374" t="s">
        <v>2763</v>
      </c>
    </row>
    <row r="51" spans="2:2">
      <c r="B51" s="374" t="s">
        <v>2770</v>
      </c>
    </row>
    <row r="55" spans="2:2">
      <c r="B55" s="374" t="s">
        <v>2772</v>
      </c>
    </row>
    <row r="57" spans="2:2">
      <c r="B57" s="374" t="s">
        <v>2775</v>
      </c>
    </row>
  </sheetData>
  <mergeCells count="8">
    <mergeCell ref="A1:D1"/>
    <mergeCell ref="A2:Z2"/>
    <mergeCell ref="M3:Z3"/>
    <mergeCell ref="A4:A5"/>
    <mergeCell ref="B4:B5"/>
    <mergeCell ref="C4:C5"/>
    <mergeCell ref="D4:D5"/>
    <mergeCell ref="E4:Z4"/>
  </mergeCells>
  <conditionalFormatting sqref="A34">
    <cfRule type="cellIs" dxfId="161" priority="7" stopIfTrue="1" operator="equal">
      <formula>0</formula>
    </cfRule>
    <cfRule type="cellIs" dxfId="160" priority="8" stopIfTrue="1" operator="equal">
      <formula>0</formula>
    </cfRule>
  </conditionalFormatting>
  <conditionalFormatting sqref="A7:B8">
    <cfRule type="cellIs" dxfId="159" priority="15" stopIfTrue="1" operator="equal">
      <formula>0</formula>
    </cfRule>
  </conditionalFormatting>
  <conditionalFormatting sqref="A20:B20">
    <cfRule type="cellIs" dxfId="158" priority="18" stopIfTrue="1" operator="equal">
      <formula>0</formula>
    </cfRule>
  </conditionalFormatting>
  <conditionalFormatting sqref="A33:B33">
    <cfRule type="cellIs" dxfId="157" priority="12" stopIfTrue="1" operator="equal">
      <formula>0</formula>
    </cfRule>
  </conditionalFormatting>
  <conditionalFormatting sqref="A34:B34">
    <cfRule type="cellIs" dxfId="156" priority="6" stopIfTrue="1" operator="equal">
      <formula>0</formula>
    </cfRule>
  </conditionalFormatting>
  <conditionalFormatting sqref="B7">
    <cfRule type="cellIs" dxfId="155" priority="13" stopIfTrue="1" operator="equal">
      <formula>0</formula>
    </cfRule>
    <cfRule type="cellIs" dxfId="154" priority="14" stopIfTrue="1" operator="equal">
      <formula>0</formula>
    </cfRule>
  </conditionalFormatting>
  <conditionalFormatting sqref="B8">
    <cfRule type="cellIs" dxfId="153" priority="19" stopIfTrue="1" operator="equal">
      <formula>0</formula>
    </cfRule>
    <cfRule type="cellIs" dxfId="152" priority="20" stopIfTrue="1" operator="equal">
      <formula>0</formula>
    </cfRule>
  </conditionalFormatting>
  <conditionalFormatting sqref="B20">
    <cfRule type="cellIs" dxfId="151" priority="16" stopIfTrue="1" operator="equal">
      <formula>0</formula>
    </cfRule>
    <cfRule type="cellIs" dxfId="150" priority="17" stopIfTrue="1" operator="equal">
      <formula>0</formula>
    </cfRule>
  </conditionalFormatting>
  <conditionalFormatting sqref="B33">
    <cfRule type="cellIs" dxfId="149" priority="11" stopIfTrue="1" operator="equal">
      <formula>0</formula>
    </cfRule>
  </conditionalFormatting>
  <conditionalFormatting sqref="B33:C33">
    <cfRule type="cellIs" dxfId="148" priority="10" stopIfTrue="1" operator="equal">
      <formula>0</formula>
    </cfRule>
  </conditionalFormatting>
  <conditionalFormatting sqref="B34:C34">
    <cfRule type="cellIs" dxfId="147" priority="3" stopIfTrue="1" operator="equal">
      <formula>0</formula>
    </cfRule>
    <cfRule type="cellIs" dxfId="146" priority="4" stopIfTrue="1" operator="equal">
      <formula>0</formula>
    </cfRule>
  </conditionalFormatting>
  <conditionalFormatting sqref="C33">
    <cfRule type="cellIs" dxfId="145" priority="9" stopIfTrue="1" operator="equal">
      <formula>0</formula>
    </cfRule>
  </conditionalFormatting>
  <conditionalFormatting sqref="C33:C34">
    <cfRule type="cellIs" dxfId="144" priority="5" stopIfTrue="1" operator="equal">
      <formula>0</formula>
    </cfRule>
  </conditionalFormatting>
  <conditionalFormatting sqref="C7:D8 A9:D19 C20:D20 A21:D32 D33:D34 E1:Z1 A1:A2 E3:Y3 A3:D6">
    <cfRule type="cellIs" dxfId="143" priority="25" stopIfTrue="1" operator="equal">
      <formula>0</formula>
    </cfRule>
  </conditionalFormatting>
  <conditionalFormatting sqref="D7:D34">
    <cfRule type="cellIs" dxfId="142" priority="24" stopIfTrue="1" operator="equal">
      <formula>0</formula>
    </cfRule>
  </conditionalFormatting>
  <conditionalFormatting sqref="E1:Z1 A1:A2 E3:Y3 A3:D6 C7:D8 A9:D19 C20:D20 A21:D32 D33:D34 A20 A7:A8 A33 E5:Z6">
    <cfRule type="cellIs" dxfId="141" priority="26" stopIfTrue="1" operator="equal">
      <formula>0</formula>
    </cfRule>
  </conditionalFormatting>
  <conditionalFormatting sqref="E5:Z29">
    <cfRule type="cellIs" dxfId="140" priority="1" stopIfTrue="1" operator="equal">
      <formula>0</formula>
    </cfRule>
  </conditionalFormatting>
  <conditionalFormatting sqref="E34:Z34">
    <cfRule type="cellIs" dxfId="139" priority="2" stopIfTrue="1" operator="equal">
      <formula>0</formula>
    </cfRule>
  </conditionalFormatting>
  <conditionalFormatting sqref="E1:IY1 A1:A20 E3:Y3 B3:D6 E5:Z6 C7:D20 B9:B19 A21:D32 A33 D33:D34">
    <cfRule type="cellIs" dxfId="138" priority="27" stopIfTrue="1" operator="equal">
      <formula>0</formula>
    </cfRule>
  </conditionalFormatting>
  <conditionalFormatting sqref="J3:Y6 B4:E4 Z4:Z6">
    <cfRule type="cellIs" dxfId="137" priority="28" stopIfTrue="1" operator="equal">
      <formula>0</formula>
    </cfRule>
  </conditionalFormatting>
  <conditionalFormatting sqref="AA1:IY34">
    <cfRule type="cellIs" dxfId="136" priority="21" stopIfTrue="1" operator="equal">
      <formula>0</formula>
    </cfRule>
    <cfRule type="cellIs" dxfId="135" priority="22" stopIfTrue="1" operator="equal">
      <formula>0</formula>
    </cfRule>
    <cfRule type="cellIs" dxfId="134" priority="23" stopIfTrue="1" operator="equal">
      <formula>0</formula>
    </cfRule>
  </conditionalFormatting>
  <printOptions horizontalCentered="1"/>
  <pageMargins left="0.35" right="0.35" top="1" bottom="0.5" header="0.3" footer="0.3"/>
  <pageSetup paperSize="9" scale="7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25"/>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D69"/>
  <sheetViews>
    <sheetView showZeros="0" view="pageBreakPreview" zoomScale="85" zoomScaleNormal="100" zoomScaleSheetLayoutView="85" workbookViewId="0">
      <pane xSplit="4" ySplit="6" topLeftCell="E62" activePane="bottomRight" state="frozen"/>
      <selection activeCell="B34" sqref="B34:Z34"/>
      <selection pane="topRight" activeCell="B34" sqref="B34:Z34"/>
      <selection pane="bottomLeft" activeCell="B34" sqref="B34:Z34"/>
      <selection pane="bottomRight" activeCell="Z64" sqref="Z64"/>
    </sheetView>
  </sheetViews>
  <sheetFormatPr defaultColWidth="9" defaultRowHeight="15"/>
  <cols>
    <col min="1" max="1" width="4" style="756" bestFit="1" customWidth="1"/>
    <col min="2" max="2" width="27.5" style="756" customWidth="1"/>
    <col min="3" max="3" width="5.375" style="756" customWidth="1"/>
    <col min="4" max="4" width="8.125" style="756" customWidth="1"/>
    <col min="5" max="5" width="8.375" style="756" customWidth="1"/>
    <col min="6" max="6" width="7.5" style="756" customWidth="1"/>
    <col min="7" max="7" width="7.125" style="756" bestFit="1" customWidth="1"/>
    <col min="8" max="8" width="8" style="756" hidden="1" customWidth="1"/>
    <col min="9" max="9" width="4.875" style="756" hidden="1" customWidth="1"/>
    <col min="10" max="10" width="6.875" style="756" customWidth="1"/>
    <col min="11" max="11" width="7.125" style="756" bestFit="1" customWidth="1"/>
    <col min="12" max="13" width="7.625" style="756" customWidth="1"/>
    <col min="14" max="14" width="8" style="756" customWidth="1"/>
    <col min="15" max="15" width="7.375" style="756" customWidth="1"/>
    <col min="16" max="16" width="8" style="756" hidden="1" customWidth="1"/>
    <col min="17" max="17" width="5.375" style="756" hidden="1" customWidth="1"/>
    <col min="18" max="18" width="5.625" style="756" bestFit="1" customWidth="1"/>
    <col min="19" max="19" width="4.625" style="756" customWidth="1"/>
    <col min="20" max="20" width="5.625" style="756" bestFit="1" customWidth="1"/>
    <col min="21" max="21" width="7.125" style="758" bestFit="1" customWidth="1"/>
    <col min="22" max="22" width="6.625" style="756" customWidth="1"/>
    <col min="23" max="23" width="4.625" style="756" bestFit="1" customWidth="1"/>
    <col min="24" max="24" width="5.875" style="756" bestFit="1" customWidth="1"/>
    <col min="25" max="25" width="5.625" style="756" bestFit="1" customWidth="1"/>
    <col min="26" max="26" width="5.625" style="756" customWidth="1"/>
    <col min="27" max="27" width="6" style="756" customWidth="1"/>
    <col min="28" max="28" width="7.125" style="756" customWidth="1"/>
    <col min="29" max="29" width="7.125" style="756" bestFit="1" customWidth="1"/>
    <col min="30" max="30" width="6.625" style="756" bestFit="1" customWidth="1"/>
    <col min="31" max="32" width="5.625" style="756" customWidth="1"/>
    <col min="33" max="33" width="5.125" style="756" customWidth="1"/>
    <col min="34" max="34" width="5" style="756" bestFit="1" customWidth="1"/>
    <col min="35" max="35" width="5.625" style="756" customWidth="1"/>
    <col min="36" max="36" width="5.125" style="756" bestFit="1" customWidth="1"/>
    <col min="37" max="37" width="5.875" style="756" customWidth="1"/>
    <col min="38" max="39" width="5.625" style="756" customWidth="1"/>
    <col min="40" max="40" width="6.125" style="756" customWidth="1"/>
    <col min="41" max="42" width="5.875" style="756" customWidth="1"/>
    <col min="43" max="43" width="5.875" style="756" bestFit="1" customWidth="1"/>
    <col min="44" max="44" width="4.5" style="756" customWidth="1"/>
    <col min="45" max="45" width="4.625" style="756" customWidth="1"/>
    <col min="46" max="46" width="4.625" style="756" bestFit="1" customWidth="1"/>
    <col min="47" max="48" width="4.625" style="756" customWidth="1"/>
    <col min="49" max="49" width="7" style="756" customWidth="1"/>
    <col min="50" max="50" width="5.5" style="756" customWidth="1"/>
    <col min="51" max="51" width="5.625" style="756" bestFit="1" customWidth="1"/>
    <col min="52" max="52" width="4.625" style="756" hidden="1" customWidth="1"/>
    <col min="53" max="53" width="4.125" style="756" hidden="1" customWidth="1"/>
    <col min="54" max="54" width="4.625" style="756" hidden="1" customWidth="1"/>
    <col min="55" max="55" width="4.875" style="756" customWidth="1"/>
    <col min="56" max="56" width="7.875" style="756" customWidth="1"/>
    <col min="57" max="57" width="6.625" style="756" bestFit="1" customWidth="1"/>
    <col min="58" max="58" width="4.625" style="756" customWidth="1"/>
    <col min="59" max="59" width="7.375" style="756" customWidth="1"/>
    <col min="60" max="60" width="7.125" style="756" bestFit="1" customWidth="1"/>
    <col min="61" max="61" width="8" style="756" hidden="1" customWidth="1"/>
    <col min="62" max="62" width="8.625" style="759" customWidth="1"/>
    <col min="63" max="63" width="9" style="756" customWidth="1"/>
    <col min="64" max="16384" width="9" style="756"/>
  </cols>
  <sheetData>
    <row r="1" spans="1:62" s="739" customFormat="1" ht="21" customHeight="1">
      <c r="A1" s="1546" t="s">
        <v>244</v>
      </c>
      <c r="B1" s="1546"/>
      <c r="C1" s="736"/>
      <c r="D1" s="736"/>
      <c r="E1" s="736"/>
      <c r="F1" s="736"/>
      <c r="G1" s="736"/>
      <c r="H1" s="736"/>
      <c r="I1" s="736"/>
      <c r="J1" s="736"/>
      <c r="K1" s="736"/>
      <c r="L1" s="736"/>
      <c r="M1" s="736"/>
      <c r="N1" s="736"/>
      <c r="O1" s="736"/>
      <c r="P1" s="736"/>
      <c r="Q1" s="736"/>
      <c r="R1" s="736"/>
      <c r="S1" s="736"/>
      <c r="T1" s="736"/>
      <c r="U1" s="736"/>
      <c r="V1" s="736"/>
      <c r="W1" s="736"/>
      <c r="X1" s="736"/>
      <c r="Y1" s="736"/>
      <c r="Z1" s="736"/>
      <c r="AA1" s="736"/>
      <c r="AB1" s="736"/>
      <c r="AC1" s="736"/>
      <c r="AD1" s="736"/>
      <c r="AE1" s="736"/>
      <c r="AF1" s="736"/>
      <c r="AG1" s="736"/>
      <c r="AH1" s="736"/>
      <c r="AI1" s="736"/>
      <c r="AJ1" s="736"/>
      <c r="AK1" s="736"/>
      <c r="AL1" s="736"/>
      <c r="AM1" s="737"/>
      <c r="AN1" s="737"/>
      <c r="AO1" s="737"/>
      <c r="AP1" s="737"/>
      <c r="AQ1" s="737"/>
      <c r="AR1" s="737"/>
      <c r="AS1" s="737"/>
      <c r="AT1" s="737"/>
      <c r="AU1" s="737"/>
      <c r="AV1" s="737"/>
      <c r="AW1" s="737"/>
      <c r="AX1" s="737"/>
      <c r="AY1" s="737"/>
      <c r="AZ1" s="737"/>
      <c r="BA1" s="736"/>
      <c r="BB1" s="737"/>
      <c r="BC1" s="737"/>
      <c r="BD1" s="737"/>
      <c r="BE1" s="737"/>
      <c r="BF1" s="737"/>
      <c r="BG1" s="737"/>
      <c r="BH1" s="737"/>
      <c r="BI1" s="737"/>
      <c r="BJ1" s="738"/>
    </row>
    <row r="2" spans="1:62" s="740" customFormat="1" ht="20.100000000000001" customHeight="1">
      <c r="A2" s="1547" t="s">
        <v>2827</v>
      </c>
      <c r="B2" s="1547"/>
      <c r="C2" s="1547"/>
      <c r="D2" s="1547"/>
      <c r="E2" s="1547"/>
      <c r="F2" s="1547"/>
      <c r="G2" s="1547"/>
      <c r="H2" s="1547"/>
      <c r="I2" s="1547"/>
      <c r="J2" s="1547"/>
      <c r="K2" s="1547"/>
      <c r="L2" s="1547"/>
      <c r="M2" s="1547"/>
      <c r="N2" s="1547"/>
      <c r="O2" s="1547"/>
      <c r="P2" s="1547"/>
      <c r="Q2" s="1547"/>
      <c r="R2" s="1547"/>
      <c r="S2" s="1547"/>
      <c r="T2" s="1547"/>
      <c r="U2" s="1547"/>
      <c r="V2" s="1547"/>
      <c r="W2" s="1547"/>
      <c r="X2" s="1547"/>
      <c r="Y2" s="1547"/>
      <c r="Z2" s="1547"/>
      <c r="AA2" s="1547"/>
      <c r="AB2" s="1547"/>
      <c r="AC2" s="1547"/>
      <c r="AD2" s="1547"/>
      <c r="AE2" s="1547"/>
      <c r="AF2" s="1547"/>
      <c r="AG2" s="1547"/>
      <c r="AH2" s="1547"/>
      <c r="AI2" s="1547"/>
      <c r="AJ2" s="1547"/>
      <c r="AK2" s="1547"/>
      <c r="AL2" s="1547"/>
      <c r="AM2" s="1547"/>
      <c r="AN2" s="1547"/>
      <c r="AO2" s="1547"/>
      <c r="AP2" s="1547"/>
      <c r="AQ2" s="1547"/>
      <c r="AR2" s="1547"/>
      <c r="AS2" s="1547"/>
      <c r="AT2" s="1547"/>
      <c r="AU2" s="1547"/>
      <c r="AV2" s="1547"/>
      <c r="AW2" s="1547"/>
      <c r="AX2" s="1547"/>
      <c r="AY2" s="1547"/>
      <c r="AZ2" s="1547"/>
      <c r="BA2" s="1547"/>
      <c r="BB2" s="1547"/>
      <c r="BC2" s="1547"/>
      <c r="BD2" s="1547"/>
      <c r="BE2" s="1547"/>
      <c r="BF2" s="1547"/>
      <c r="BG2" s="1547"/>
      <c r="BH2" s="1547"/>
      <c r="BI2" s="1547"/>
      <c r="BJ2" s="1547"/>
    </row>
    <row r="3" spans="1:62" s="740" customFormat="1" ht="21" hidden="1" customHeight="1">
      <c r="A3" s="1547"/>
      <c r="B3" s="1547"/>
      <c r="C3" s="1547"/>
      <c r="D3" s="1547"/>
      <c r="E3" s="1547"/>
      <c r="F3" s="1547"/>
      <c r="G3" s="1547"/>
      <c r="H3" s="1547"/>
      <c r="I3" s="1547"/>
      <c r="J3" s="1547"/>
      <c r="K3" s="1547"/>
      <c r="L3" s="1547"/>
      <c r="M3" s="1547"/>
      <c r="N3" s="1547"/>
      <c r="O3" s="1547"/>
      <c r="P3" s="1547"/>
      <c r="Q3" s="1547"/>
      <c r="R3" s="1547"/>
      <c r="S3" s="1547"/>
      <c r="T3" s="1547"/>
      <c r="U3" s="1547"/>
      <c r="V3" s="1547"/>
      <c r="W3" s="1547"/>
      <c r="X3" s="1547"/>
      <c r="Y3" s="1547"/>
      <c r="Z3" s="1547"/>
      <c r="AA3" s="1547"/>
      <c r="AB3" s="1547"/>
      <c r="AC3" s="1547"/>
      <c r="AD3" s="1547"/>
      <c r="AE3" s="1547"/>
      <c r="AF3" s="1547"/>
      <c r="AG3" s="1547"/>
      <c r="AH3" s="1547"/>
      <c r="AI3" s="1547"/>
      <c r="AJ3" s="1547"/>
      <c r="AK3" s="1547"/>
      <c r="AL3" s="1547"/>
      <c r="AM3" s="1547"/>
      <c r="AN3" s="1547"/>
      <c r="AO3" s="1547"/>
      <c r="AP3" s="1547"/>
      <c r="AQ3" s="1547"/>
      <c r="AR3" s="1547"/>
      <c r="AS3" s="1547"/>
      <c r="AT3" s="1547"/>
      <c r="AU3" s="1547"/>
      <c r="AV3" s="1547"/>
      <c r="AW3" s="1547"/>
      <c r="AX3" s="1547"/>
      <c r="AY3" s="1547"/>
      <c r="AZ3" s="1547"/>
      <c r="BA3" s="1547"/>
      <c r="BB3" s="1547"/>
      <c r="BC3" s="1547"/>
      <c r="BD3" s="1547"/>
      <c r="BE3" s="1547"/>
      <c r="BF3" s="1547"/>
      <c r="BG3" s="1547"/>
      <c r="BH3" s="1547"/>
      <c r="BI3" s="1547"/>
      <c r="BJ3" s="1547"/>
    </row>
    <row r="4" spans="1:62" s="739" customFormat="1" ht="17.25" customHeight="1">
      <c r="B4" s="741"/>
      <c r="C4" s="741"/>
      <c r="D4" s="741"/>
      <c r="E4" s="741"/>
      <c r="F4" s="741"/>
      <c r="G4" s="741"/>
      <c r="H4" s="741"/>
      <c r="I4" s="741"/>
      <c r="J4" s="741"/>
      <c r="K4" s="741"/>
      <c r="L4" s="741"/>
      <c r="M4" s="741"/>
      <c r="N4" s="741"/>
      <c r="O4" s="741"/>
      <c r="P4" s="741"/>
      <c r="Q4" s="741"/>
      <c r="R4" s="741"/>
      <c r="S4" s="741"/>
      <c r="T4" s="741"/>
      <c r="U4" s="741"/>
      <c r="V4" s="741"/>
      <c r="W4" s="741"/>
      <c r="X4" s="741"/>
      <c r="Y4" s="741"/>
      <c r="Z4" s="741"/>
      <c r="AA4" s="741"/>
      <c r="AB4" s="741"/>
      <c r="AC4" s="741"/>
      <c r="AD4" s="741"/>
      <c r="AE4" s="741"/>
      <c r="AF4" s="741"/>
      <c r="AG4" s="741"/>
      <c r="AH4" s="741"/>
      <c r="AI4" s="741"/>
      <c r="AJ4" s="741"/>
      <c r="AK4" s="741"/>
      <c r="AL4" s="741"/>
      <c r="AM4" s="741"/>
      <c r="AN4" s="741"/>
      <c r="AO4" s="741"/>
      <c r="AP4" s="741"/>
      <c r="AQ4" s="741"/>
      <c r="AR4" s="741"/>
      <c r="AS4" s="741"/>
      <c r="AT4" s="741"/>
      <c r="AU4" s="741"/>
      <c r="AV4" s="741"/>
      <c r="AW4" s="741"/>
      <c r="AX4" s="741"/>
      <c r="AY4" s="741"/>
      <c r="AZ4" s="741"/>
      <c r="BA4" s="741"/>
      <c r="BB4" s="741"/>
      <c r="BC4" s="741"/>
      <c r="BD4" s="741"/>
      <c r="BE4" s="741"/>
      <c r="BF4" s="741"/>
      <c r="BG4" s="741"/>
      <c r="BH4" s="1548" t="s">
        <v>0</v>
      </c>
      <c r="BI4" s="1548"/>
      <c r="BJ4" s="1548"/>
    </row>
    <row r="5" spans="1:62" s="743" customFormat="1" ht="23.25" customHeight="1">
      <c r="A5" s="1549" t="s">
        <v>1</v>
      </c>
      <c r="B5" s="1551" t="s">
        <v>175</v>
      </c>
      <c r="C5" s="1551" t="s">
        <v>172</v>
      </c>
      <c r="D5" s="1552" t="s">
        <v>216</v>
      </c>
      <c r="E5" s="1553" t="s">
        <v>245</v>
      </c>
      <c r="F5" s="1554"/>
      <c r="G5" s="1554"/>
      <c r="H5" s="1554"/>
      <c r="I5" s="1554"/>
      <c r="J5" s="1554"/>
      <c r="K5" s="1554"/>
      <c r="L5" s="1554"/>
      <c r="M5" s="1554"/>
      <c r="N5" s="1554"/>
      <c r="O5" s="1554"/>
      <c r="P5" s="1554"/>
      <c r="Q5" s="1554"/>
      <c r="R5" s="1554"/>
      <c r="S5" s="1554"/>
      <c r="T5" s="1554"/>
      <c r="U5" s="1554"/>
      <c r="V5" s="1554"/>
      <c r="W5" s="1554"/>
      <c r="X5" s="1554"/>
      <c r="Y5" s="1554"/>
      <c r="Z5" s="1554"/>
      <c r="AA5" s="1554"/>
      <c r="AB5" s="1554"/>
      <c r="AC5" s="1554"/>
      <c r="AD5" s="1554"/>
      <c r="AE5" s="1554"/>
      <c r="AF5" s="1554"/>
      <c r="AG5" s="1554"/>
      <c r="AH5" s="1554"/>
      <c r="AI5" s="1554"/>
      <c r="AJ5" s="1554"/>
      <c r="AK5" s="1554"/>
      <c r="AL5" s="1554"/>
      <c r="AM5" s="1554"/>
      <c r="AN5" s="1554"/>
      <c r="AO5" s="1554"/>
      <c r="AP5" s="1554"/>
      <c r="AQ5" s="1554"/>
      <c r="AR5" s="1554"/>
      <c r="AS5" s="1554"/>
      <c r="AT5" s="1554"/>
      <c r="AU5" s="1554"/>
      <c r="AV5" s="1554"/>
      <c r="AW5" s="1554"/>
      <c r="AX5" s="1554"/>
      <c r="AY5" s="1554"/>
      <c r="AZ5" s="1554"/>
      <c r="BA5" s="1554"/>
      <c r="BB5" s="1554"/>
      <c r="BC5" s="1554"/>
      <c r="BD5" s="1554"/>
      <c r="BE5" s="1554"/>
      <c r="BF5" s="1554"/>
      <c r="BG5" s="1554"/>
      <c r="BH5" s="1555"/>
      <c r="BI5" s="1556" t="s">
        <v>144</v>
      </c>
      <c r="BJ5" s="1543" t="s">
        <v>246</v>
      </c>
    </row>
    <row r="6" spans="1:62" s="745" customFormat="1" ht="36" customHeight="1">
      <c r="A6" s="1550"/>
      <c r="B6" s="1551"/>
      <c r="C6" s="1551"/>
      <c r="D6" s="1552"/>
      <c r="E6" s="294" t="s">
        <v>4</v>
      </c>
      <c r="F6" s="313" t="s">
        <v>5</v>
      </c>
      <c r="G6" s="313" t="s">
        <v>7</v>
      </c>
      <c r="H6" s="313" t="s">
        <v>8</v>
      </c>
      <c r="I6" s="313" t="s">
        <v>10</v>
      </c>
      <c r="J6" s="313" t="s">
        <v>12</v>
      </c>
      <c r="K6" s="313" t="s">
        <v>14</v>
      </c>
      <c r="L6" s="313" t="s">
        <v>16</v>
      </c>
      <c r="M6" s="313" t="s">
        <v>17</v>
      </c>
      <c r="N6" s="313" t="s">
        <v>18</v>
      </c>
      <c r="O6" s="313" t="s">
        <v>187</v>
      </c>
      <c r="P6" s="313" t="s">
        <v>188</v>
      </c>
      <c r="Q6" s="313" t="s">
        <v>189</v>
      </c>
      <c r="R6" s="313" t="s">
        <v>19</v>
      </c>
      <c r="S6" s="744" t="s">
        <v>2752</v>
      </c>
      <c r="T6" s="313" t="s">
        <v>20</v>
      </c>
      <c r="U6" s="294" t="s">
        <v>22</v>
      </c>
      <c r="V6" s="313" t="s">
        <v>26</v>
      </c>
      <c r="W6" s="313" t="s">
        <v>28</v>
      </c>
      <c r="X6" s="313" t="s">
        <v>91</v>
      </c>
      <c r="Y6" s="313" t="s">
        <v>93</v>
      </c>
      <c r="Z6" s="313" t="s">
        <v>32</v>
      </c>
      <c r="AA6" s="313" t="s">
        <v>35</v>
      </c>
      <c r="AB6" s="313" t="s">
        <v>43</v>
      </c>
      <c r="AC6" s="313" t="s">
        <v>44</v>
      </c>
      <c r="AD6" s="313" t="s">
        <v>45</v>
      </c>
      <c r="AE6" s="744" t="s">
        <v>2771</v>
      </c>
      <c r="AF6" s="744" t="s">
        <v>2773</v>
      </c>
      <c r="AG6" s="313" t="s">
        <v>48</v>
      </c>
      <c r="AH6" s="313" t="s">
        <v>49</v>
      </c>
      <c r="AI6" s="313" t="s">
        <v>50</v>
      </c>
      <c r="AJ6" s="313" t="s">
        <v>51</v>
      </c>
      <c r="AK6" s="313" t="s">
        <v>46</v>
      </c>
      <c r="AL6" s="313" t="s">
        <v>47</v>
      </c>
      <c r="AM6" s="744" t="s">
        <v>2762</v>
      </c>
      <c r="AN6" s="744" t="s">
        <v>2764</v>
      </c>
      <c r="AO6" s="313" t="s">
        <v>37</v>
      </c>
      <c r="AP6" s="313" t="s">
        <v>38</v>
      </c>
      <c r="AQ6" s="313" t="s">
        <v>40</v>
      </c>
      <c r="AR6" s="313" t="s">
        <v>52</v>
      </c>
      <c r="AS6" s="313" t="s">
        <v>53</v>
      </c>
      <c r="AT6" s="313" t="s">
        <v>54</v>
      </c>
      <c r="AU6" s="744" t="s">
        <v>2776</v>
      </c>
      <c r="AV6" s="313" t="s">
        <v>113</v>
      </c>
      <c r="AW6" s="313" t="s">
        <v>59</v>
      </c>
      <c r="AX6" s="313" t="s">
        <v>57</v>
      </c>
      <c r="AY6" s="313" t="s">
        <v>24</v>
      </c>
      <c r="AZ6" s="313" t="s">
        <v>110</v>
      </c>
      <c r="BA6" s="313" t="s">
        <v>137</v>
      </c>
      <c r="BB6" s="313" t="s">
        <v>138</v>
      </c>
      <c r="BC6" s="313" t="s">
        <v>39</v>
      </c>
      <c r="BD6" s="313" t="s">
        <v>42</v>
      </c>
      <c r="BE6" s="313" t="s">
        <v>41</v>
      </c>
      <c r="BF6" s="313" t="s">
        <v>55</v>
      </c>
      <c r="BG6" s="313" t="s">
        <v>81</v>
      </c>
      <c r="BH6" s="294" t="s">
        <v>143</v>
      </c>
      <c r="BI6" s="1557"/>
      <c r="BJ6" s="1544"/>
    </row>
    <row r="7" spans="1:62" s="746" customFormat="1" ht="25.5" customHeight="1">
      <c r="A7" s="294"/>
      <c r="B7" s="306" t="s">
        <v>174</v>
      </c>
      <c r="C7" s="294"/>
      <c r="D7" s="760">
        <f>'12CH_GOC'!D5</f>
        <v>98642.920000000013</v>
      </c>
      <c r="E7" s="325">
        <f>E8+E63</f>
        <v>87283.652680000014</v>
      </c>
      <c r="F7" s="325">
        <f>F9+F63</f>
        <v>5851.5017499999985</v>
      </c>
      <c r="G7" s="325">
        <f>G10+G63</f>
        <v>3201.2949999999996</v>
      </c>
      <c r="H7" s="325">
        <f t="shared" ref="H7:Q7" si="0">H8+H63</f>
        <v>100.16</v>
      </c>
      <c r="I7" s="325">
        <f t="shared" si="0"/>
        <v>0</v>
      </c>
      <c r="J7" s="325">
        <f>J13+J63</f>
        <v>4526.2847000000011</v>
      </c>
      <c r="K7" s="325">
        <f>K14+K63</f>
        <v>2566.4021300000004</v>
      </c>
      <c r="L7" s="325">
        <f>L15+L63</f>
        <v>9729.9</v>
      </c>
      <c r="M7" s="325">
        <f>M16+M63</f>
        <v>2208.1999999999998</v>
      </c>
      <c r="N7" s="325">
        <f>N17+N63</f>
        <v>61783.804100000001</v>
      </c>
      <c r="O7" s="325">
        <f>O18+O63</f>
        <v>5532.4</v>
      </c>
      <c r="P7" s="325">
        <f t="shared" si="0"/>
        <v>120.52</v>
      </c>
      <c r="Q7" s="325">
        <f t="shared" si="0"/>
        <v>0</v>
      </c>
      <c r="R7" s="325">
        <f>R21+R63</f>
        <v>275.47000000000003</v>
      </c>
      <c r="S7" s="325">
        <f>S22+S63</f>
        <v>0</v>
      </c>
      <c r="T7" s="325">
        <f>T23+T63</f>
        <v>342.09</v>
      </c>
      <c r="U7" s="325">
        <f>U63+U24</f>
        <v>9986.9673199999997</v>
      </c>
      <c r="V7" s="325">
        <f>V63+V25</f>
        <v>1852.35</v>
      </c>
      <c r="W7" s="325">
        <f>W63+W26</f>
        <v>16.05</v>
      </c>
      <c r="X7" s="325">
        <f>X63+X27</f>
        <v>125.35</v>
      </c>
      <c r="Y7" s="325">
        <f>Y63+Y28</f>
        <v>72.06</v>
      </c>
      <c r="Z7" s="325">
        <f>Z63+Z29</f>
        <v>142.84</v>
      </c>
      <c r="AA7" s="325">
        <f>AA63+AA30</f>
        <v>458.75</v>
      </c>
      <c r="AB7" s="325">
        <f>AB63+AB31</f>
        <v>3666.2629999999999</v>
      </c>
      <c r="AC7" s="325">
        <f>AC63+AC32</f>
        <v>2028.931</v>
      </c>
      <c r="AD7" s="325">
        <f>AD63+AD33</f>
        <v>148.07</v>
      </c>
      <c r="AE7" s="325">
        <f>AE63+AE34</f>
        <v>22.716999999999999</v>
      </c>
      <c r="AF7" s="325">
        <f>AF63+AF35</f>
        <v>7.52</v>
      </c>
      <c r="AG7" s="325">
        <f>AG63+AG36</f>
        <v>85.44</v>
      </c>
      <c r="AH7" s="325">
        <f>AH63+AH37</f>
        <v>35.549999999999997</v>
      </c>
      <c r="AI7" s="325">
        <f>AI63+AI38</f>
        <v>177.95</v>
      </c>
      <c r="AJ7" s="325">
        <f>AJ63+AJ39</f>
        <v>1.79</v>
      </c>
      <c r="AK7" s="325">
        <f>AK63+AK40</f>
        <v>0</v>
      </c>
      <c r="AL7" s="325">
        <f>AL63+AL41</f>
        <v>452.4</v>
      </c>
      <c r="AM7" s="325">
        <f>AM63+AM42</f>
        <v>529.15000000000009</v>
      </c>
      <c r="AN7" s="325">
        <f>AN63+AN43</f>
        <v>1.5599999999999998</v>
      </c>
      <c r="AO7" s="325">
        <f>AO63+AO44</f>
        <v>122.35</v>
      </c>
      <c r="AP7" s="325">
        <f>AP63+AP45</f>
        <v>0</v>
      </c>
      <c r="AQ7" s="325">
        <f>AQ63+AQ46</f>
        <v>3.3</v>
      </c>
      <c r="AR7" s="325">
        <f>AR63+AR47</f>
        <v>14.340000000000002</v>
      </c>
      <c r="AS7" s="325">
        <f>AS63+AS48</f>
        <v>3.26</v>
      </c>
      <c r="AT7" s="325">
        <f>AT63+AT49</f>
        <v>18.349999999999998</v>
      </c>
      <c r="AU7" s="325">
        <f>AU63+AU50</f>
        <v>13.765000000000002</v>
      </c>
      <c r="AV7" s="325">
        <f>AV63+AV51</f>
        <v>1018.18432</v>
      </c>
      <c r="AW7" s="325">
        <f>AW63+AW52</f>
        <v>50.83</v>
      </c>
      <c r="AX7" s="325">
        <f>AX63+AX53</f>
        <v>10.620000000000001</v>
      </c>
      <c r="AY7" s="325">
        <f>AY63+AY54</f>
        <v>0.2</v>
      </c>
      <c r="AZ7" s="325">
        <f t="shared" ref="AZ7:BB7" si="1">AZ63+AZ24</f>
        <v>0</v>
      </c>
      <c r="BA7" s="325">
        <f t="shared" si="1"/>
        <v>0</v>
      </c>
      <c r="BB7" s="325">
        <f t="shared" si="1"/>
        <v>0</v>
      </c>
      <c r="BC7" s="325">
        <f>BC63+BC58</f>
        <v>23.840000000000003</v>
      </c>
      <c r="BD7" s="325">
        <f>BD63+BD59</f>
        <v>1385.59</v>
      </c>
      <c r="BE7" s="325">
        <f>BE63+BE60</f>
        <v>967.91999999999973</v>
      </c>
      <c r="BF7" s="325">
        <f>BF63+BF61</f>
        <v>13.999999999999998</v>
      </c>
      <c r="BG7" s="325">
        <f>BG63+BG62</f>
        <v>1372.3000000000002</v>
      </c>
      <c r="BH7" s="325">
        <f>'12CH_GOC'!BJ5</f>
        <v>1869.8873199999989</v>
      </c>
      <c r="BI7" s="325">
        <f>'12CH_GOC'!BK5</f>
        <v>0</v>
      </c>
      <c r="BJ7" s="325">
        <f>'12CH_GOC'!BM5</f>
        <v>98642.920000000013</v>
      </c>
    </row>
    <row r="8" spans="1:62" s="746" customFormat="1" ht="25.5" customHeight="1">
      <c r="A8" s="294">
        <v>1</v>
      </c>
      <c r="B8" s="747" t="s">
        <v>3</v>
      </c>
      <c r="C8" s="294" t="s">
        <v>4</v>
      </c>
      <c r="D8" s="325">
        <f>'12CH_GOC'!D6</f>
        <v>88916.340000000011</v>
      </c>
      <c r="E8" s="760">
        <f>'12CH_GOC'!E6</f>
        <v>87184.322680000012</v>
      </c>
      <c r="F8" s="325">
        <f>'12CH_GOC'!F6</f>
        <v>50.08</v>
      </c>
      <c r="G8" s="325">
        <f>'12CH_GOC'!G6</f>
        <v>27.68</v>
      </c>
      <c r="H8" s="325">
        <f>'12CH_GOC'!H6</f>
        <v>50.08</v>
      </c>
      <c r="I8" s="325">
        <f>'12CH_GOC'!I6</f>
        <v>0</v>
      </c>
      <c r="J8" s="325">
        <f>'12CH_GOC'!J6</f>
        <v>67.33</v>
      </c>
      <c r="K8" s="325">
        <f>'12CH_GOC'!K6</f>
        <v>1071.0500000000002</v>
      </c>
      <c r="L8" s="325">
        <f>'12CH_GOC'!L6</f>
        <v>157.99999999999997</v>
      </c>
      <c r="M8" s="325">
        <f>'12CH_GOC'!M6</f>
        <v>0</v>
      </c>
      <c r="N8" s="325">
        <f>'12CH_GOC'!N6</f>
        <v>12.64</v>
      </c>
      <c r="O8" s="325">
        <f>'12CH_GOC'!O6</f>
        <v>11.65</v>
      </c>
      <c r="P8" s="325">
        <f>'12CH_GOC'!P6</f>
        <v>12.64</v>
      </c>
      <c r="Q8" s="325">
        <f>'12CH_GOC'!Q6</f>
        <v>0</v>
      </c>
      <c r="R8" s="325">
        <f>'12CH_GOC'!R6</f>
        <v>6.7899999999999991</v>
      </c>
      <c r="S8" s="325">
        <f>'12CH_GOC'!S6</f>
        <v>0</v>
      </c>
      <c r="T8" s="325">
        <f>'12CH_GOC'!T6</f>
        <v>337.07</v>
      </c>
      <c r="U8" s="325">
        <f>'12CH_GOC'!U6</f>
        <v>1732.0173200000002</v>
      </c>
      <c r="V8" s="325">
        <f>'12CH_GOC'!V6</f>
        <v>114.49</v>
      </c>
      <c r="W8" s="325">
        <f>'12CH_GOC'!W6</f>
        <v>12.14</v>
      </c>
      <c r="X8" s="325">
        <f>'12CH_GOC'!Y6</f>
        <v>112.97</v>
      </c>
      <c r="Y8" s="325">
        <f>'12CH_GOC'!Z6</f>
        <v>53.8</v>
      </c>
      <c r="Z8" s="325">
        <f>'12CH_GOC'!AA6</f>
        <v>40.249999999999993</v>
      </c>
      <c r="AA8" s="325">
        <f>'12CH_GOC'!AB6</f>
        <v>179.48</v>
      </c>
      <c r="AB8" s="325">
        <f>AB9+AB13+AB14+AB15+AB16+AB17+AB21</f>
        <v>1031.4680000000001</v>
      </c>
      <c r="AC8" s="325">
        <f>'12CH_GOC'!AE6</f>
        <v>298.68100000000004</v>
      </c>
      <c r="AD8" s="325">
        <f>'12CH_GOC'!AF6</f>
        <v>19.420000000000002</v>
      </c>
      <c r="AE8" s="325">
        <f>'12CH_GOC'!AG6</f>
        <v>5.8070000000000004</v>
      </c>
      <c r="AF8" s="325">
        <f>'12CH_GOC'!AH6</f>
        <v>0.41000000000000003</v>
      </c>
      <c r="AG8" s="325">
        <f>'12CH_GOC'!AI6</f>
        <v>19.57</v>
      </c>
      <c r="AH8" s="325">
        <f>'12CH_GOC'!AJ6</f>
        <v>13.929999999999998</v>
      </c>
      <c r="AI8" s="325">
        <f>'12CH_GOC'!AK6</f>
        <v>140.54</v>
      </c>
      <c r="AJ8" s="325">
        <f>'12CH_GOC'!AL6</f>
        <v>0.79999999999999982</v>
      </c>
      <c r="AK8" s="325">
        <f>'12CH_GOC'!AM6</f>
        <v>0</v>
      </c>
      <c r="AL8" s="325">
        <f>'12CH_GOC'!AN6</f>
        <v>405.48999999999995</v>
      </c>
      <c r="AM8" s="325">
        <f>'12CH_GOC'!AO6</f>
        <v>76.539999999999992</v>
      </c>
      <c r="AN8" s="325">
        <f>'12CH_GOC'!AP6</f>
        <v>0</v>
      </c>
      <c r="AO8" s="325">
        <f>'12CH_GOC'!AQ6</f>
        <v>20.98</v>
      </c>
      <c r="AP8" s="325">
        <f>'12CH_GOC'!AR6</f>
        <v>0</v>
      </c>
      <c r="AQ8" s="325">
        <f>'12CH_GOC'!AS6</f>
        <v>3.26</v>
      </c>
      <c r="AR8" s="325">
        <f>'12CH_GOC'!AT6</f>
        <v>9.9600000000000009</v>
      </c>
      <c r="AS8" s="325">
        <f>'12CH_GOC'!AU6</f>
        <v>2.67</v>
      </c>
      <c r="AT8" s="325">
        <f>'12CH_GOC'!AV6</f>
        <v>5.28</v>
      </c>
      <c r="AU8" s="325">
        <f>'12CH_GOC'!AW6</f>
        <v>8.1300000000000008</v>
      </c>
      <c r="AV8" s="325">
        <f>'12CH_GOC'!AX6</f>
        <v>76.839320000000001</v>
      </c>
      <c r="AW8" s="325">
        <f>'12CH_GOC'!AY6</f>
        <v>45.65</v>
      </c>
      <c r="AX8" s="325">
        <f>'12CH_GOC'!AZ6</f>
        <v>9.8000000000000007</v>
      </c>
      <c r="AY8" s="325">
        <f>'12CH_GOC'!BA6</f>
        <v>0.2</v>
      </c>
      <c r="AZ8" s="325">
        <f>'12CH_GOC'!BB6</f>
        <v>0</v>
      </c>
      <c r="BA8" s="325">
        <f>'12CH_GOC'!BC6</f>
        <v>0</v>
      </c>
      <c r="BB8" s="325">
        <f>'12CH_GOC'!BD6</f>
        <v>0</v>
      </c>
      <c r="BC8" s="325">
        <f>'12CH_GOC'!BE6</f>
        <v>1.5400000000000003</v>
      </c>
      <c r="BD8" s="325">
        <f>'12CH_GOC'!BF6</f>
        <v>42.310000000000009</v>
      </c>
      <c r="BE8" s="325">
        <f>'12CH_GOC'!BG6</f>
        <v>0.57000000000000006</v>
      </c>
      <c r="BF8" s="325">
        <f>'12CH_GOC'!BH6</f>
        <v>10.509999999999998</v>
      </c>
      <c r="BG8" s="325">
        <f>'12CH_GOC'!BI6</f>
        <v>0</v>
      </c>
      <c r="BH8" s="325">
        <f>D8-E8</f>
        <v>1732.017319999999</v>
      </c>
      <c r="BI8" s="325">
        <f>'12CH_GOC'!BK6</f>
        <v>-1632.6873199999991</v>
      </c>
      <c r="BJ8" s="326">
        <f>'12CH_GOC'!BM6</f>
        <v>87283.652680000014</v>
      </c>
    </row>
    <row r="9" spans="1:62" s="743" customFormat="1" ht="24" customHeight="1">
      <c r="A9" s="313" t="s">
        <v>6</v>
      </c>
      <c r="B9" s="748" t="s">
        <v>85</v>
      </c>
      <c r="C9" s="313" t="s">
        <v>5</v>
      </c>
      <c r="D9" s="326">
        <f>'12CH_GOC'!D7</f>
        <v>6091.2399999999989</v>
      </c>
      <c r="E9" s="326">
        <f>'12CH_GOC'!E7</f>
        <v>30.81</v>
      </c>
      <c r="F9" s="761">
        <f>'12CH_GOC'!F7</f>
        <v>5801.4217499999986</v>
      </c>
      <c r="G9" s="326">
        <f>'12CH_GOC'!G7</f>
        <v>27.68</v>
      </c>
      <c r="H9" s="326">
        <f>'12CH_GOC'!H7</f>
        <v>0</v>
      </c>
      <c r="I9" s="326">
        <f>'12CH_GOC'!I7</f>
        <v>0</v>
      </c>
      <c r="J9" s="326">
        <f>'12CH_GOC'!J7</f>
        <v>11.04</v>
      </c>
      <c r="K9" s="326">
        <f>'12CH_GOC'!K7</f>
        <v>3.4000000000000004</v>
      </c>
      <c r="L9" s="326">
        <f>'12CH_GOC'!L7</f>
        <v>0</v>
      </c>
      <c r="M9" s="326">
        <f>'12CH_GOC'!M7</f>
        <v>0</v>
      </c>
      <c r="N9" s="326">
        <f>'12CH_GOC'!N7</f>
        <v>1</v>
      </c>
      <c r="O9" s="326">
        <f>'12CH_GOC'!O7</f>
        <v>0</v>
      </c>
      <c r="P9" s="326">
        <f>'12CH_GOC'!P7</f>
        <v>1</v>
      </c>
      <c r="Q9" s="326">
        <f>'12CH_GOC'!Q7</f>
        <v>0</v>
      </c>
      <c r="R9" s="326">
        <f>'12CH_GOC'!R7</f>
        <v>1.1600000000000001</v>
      </c>
      <c r="S9" s="326">
        <f>'12CH_GOC'!S7</f>
        <v>0</v>
      </c>
      <c r="T9" s="326">
        <f>'12CH_GOC'!T7</f>
        <v>14.21</v>
      </c>
      <c r="U9" s="326">
        <f>'12CH_GOC'!U7</f>
        <v>259.00824999999998</v>
      </c>
      <c r="V9" s="326">
        <f>'12CH_GOC'!V7</f>
        <v>1.1599999999999999</v>
      </c>
      <c r="W9" s="326">
        <f>'12CH_GOC'!W7</f>
        <v>0.32</v>
      </c>
      <c r="X9" s="326">
        <f>'12CH_GOC'!Y7</f>
        <v>17.419999999999998</v>
      </c>
      <c r="Y9" s="326">
        <f>'12CH_GOC'!Z7</f>
        <v>4.79</v>
      </c>
      <c r="Z9" s="326">
        <f>'12CH_GOC'!AA7</f>
        <v>5.25</v>
      </c>
      <c r="AA9" s="326">
        <f>'12CH_GOC'!AB7</f>
        <v>57.86</v>
      </c>
      <c r="AB9" s="326">
        <f t="shared" ref="AB9:AB20" si="2">SUM(AC9:AU9)</f>
        <v>116.27000000000001</v>
      </c>
      <c r="AC9" s="326">
        <f>'12CH_GOC'!AE7</f>
        <v>48.79</v>
      </c>
      <c r="AD9" s="326">
        <f>'12CH_GOC'!AF7</f>
        <v>8.25</v>
      </c>
      <c r="AE9" s="326">
        <f>'12CH_GOC'!AG7</f>
        <v>0.59</v>
      </c>
      <c r="AF9" s="326">
        <f>'12CH_GOC'!AH7</f>
        <v>0.09</v>
      </c>
      <c r="AG9" s="326">
        <f>'12CH_GOC'!AI7</f>
        <v>4.7700000000000005</v>
      </c>
      <c r="AH9" s="326">
        <f>'12CH_GOC'!AJ7</f>
        <v>1.1000000000000001</v>
      </c>
      <c r="AI9" s="326">
        <f>'12CH_GOC'!AK7</f>
        <v>5.2</v>
      </c>
      <c r="AJ9" s="326">
        <f>'12CH_GOC'!AL7</f>
        <v>0</v>
      </c>
      <c r="AK9" s="326">
        <f>'12CH_GOC'!AM7</f>
        <v>0</v>
      </c>
      <c r="AL9" s="326">
        <f>'12CH_GOC'!AN7</f>
        <v>22.14</v>
      </c>
      <c r="AM9" s="326">
        <f>'12CH_GOC'!AO7</f>
        <v>18.690000000000001</v>
      </c>
      <c r="AN9" s="326">
        <f>'12CH_GOC'!AP7</f>
        <v>0</v>
      </c>
      <c r="AO9" s="326">
        <f>'12CH_GOC'!AQ7</f>
        <v>0.04</v>
      </c>
      <c r="AP9" s="326">
        <f>'12CH_GOC'!AR7</f>
        <v>0</v>
      </c>
      <c r="AQ9" s="326">
        <f>'12CH_GOC'!AS7</f>
        <v>0</v>
      </c>
      <c r="AR9" s="326">
        <f>'12CH_GOC'!AT7</f>
        <v>3.51</v>
      </c>
      <c r="AS9" s="326">
        <f>'12CH_GOC'!AU7</f>
        <v>1</v>
      </c>
      <c r="AT9" s="326">
        <f>'12CH_GOC'!AV7</f>
        <v>0</v>
      </c>
      <c r="AU9" s="326">
        <f>'12CH_GOC'!AW7</f>
        <v>2.1</v>
      </c>
      <c r="AV9" s="326">
        <f>'12CH_GOC'!AX7</f>
        <v>14.523249999999999</v>
      </c>
      <c r="AW9" s="326">
        <f>'12CH_GOC'!AY7</f>
        <v>12.48</v>
      </c>
      <c r="AX9" s="326">
        <f>'12CH_GOC'!AZ7</f>
        <v>2.2000000000000002</v>
      </c>
      <c r="AY9" s="326">
        <f>'12CH_GOC'!BA7</f>
        <v>0</v>
      </c>
      <c r="AZ9" s="326">
        <f>'12CH_GOC'!BB7</f>
        <v>0</v>
      </c>
      <c r="BA9" s="326">
        <f>'12CH_GOC'!BC7</f>
        <v>0</v>
      </c>
      <c r="BB9" s="326">
        <f>'12CH_GOC'!BD7</f>
        <v>0</v>
      </c>
      <c r="BC9" s="326">
        <f>'12CH_GOC'!BE7</f>
        <v>0.13500000000000001</v>
      </c>
      <c r="BD9" s="326">
        <f>'12CH_GOC'!BF7</f>
        <v>25.550000000000004</v>
      </c>
      <c r="BE9" s="326">
        <f>'12CH_GOC'!BG7</f>
        <v>0.37</v>
      </c>
      <c r="BF9" s="326">
        <f>'12CH_GOC'!BH7</f>
        <v>0.68</v>
      </c>
      <c r="BG9" s="326">
        <f>'12CH_GOC'!BI7</f>
        <v>0</v>
      </c>
      <c r="BH9" s="326">
        <f>D9-F9</f>
        <v>289.81825000000026</v>
      </c>
      <c r="BI9" s="326">
        <f>'12CH_GOC'!BK7</f>
        <v>-239.73824999999999</v>
      </c>
      <c r="BJ9" s="326">
        <f>'12CH_GOC'!BM7</f>
        <v>5851.5017499999985</v>
      </c>
    </row>
    <row r="10" spans="1:62" s="743" customFormat="1" ht="21" customHeight="1">
      <c r="A10" s="313"/>
      <c r="B10" s="749" t="s">
        <v>2746</v>
      </c>
      <c r="C10" s="313" t="s">
        <v>7</v>
      </c>
      <c r="D10" s="326">
        <f>'12CH_GOC'!D8</f>
        <v>3338.4599999999996</v>
      </c>
      <c r="E10" s="326">
        <f>'12CH_GOC'!E8</f>
        <v>13.23</v>
      </c>
      <c r="F10" s="326">
        <f>'12CH_GOC'!F8</f>
        <v>0</v>
      </c>
      <c r="G10" s="761">
        <f>'12CH_GOC'!G8</f>
        <v>3173.6149999999998</v>
      </c>
      <c r="H10" s="326">
        <f>'12CH_GOC'!H8</f>
        <v>0</v>
      </c>
      <c r="I10" s="326">
        <f>'12CH_GOC'!I8</f>
        <v>0</v>
      </c>
      <c r="J10" s="326">
        <f>'12CH_GOC'!J8</f>
        <v>4.5900000000000007</v>
      </c>
      <c r="K10" s="326">
        <f>'12CH_GOC'!K8</f>
        <v>1.93</v>
      </c>
      <c r="L10" s="326">
        <f>'12CH_GOC'!L8</f>
        <v>0</v>
      </c>
      <c r="M10" s="326">
        <f>'12CH_GOC'!M8</f>
        <v>0</v>
      </c>
      <c r="N10" s="326">
        <f>'12CH_GOC'!N8</f>
        <v>1</v>
      </c>
      <c r="O10" s="326">
        <f>'12CH_GOC'!O8</f>
        <v>0</v>
      </c>
      <c r="P10" s="326">
        <f>'12CH_GOC'!P8</f>
        <v>1</v>
      </c>
      <c r="Q10" s="326">
        <f>'12CH_GOC'!Q8</f>
        <v>0</v>
      </c>
      <c r="R10" s="326">
        <f>'12CH_GOC'!R8</f>
        <v>0.63</v>
      </c>
      <c r="S10" s="326">
        <f>'12CH_GOC'!S8</f>
        <v>0</v>
      </c>
      <c r="T10" s="326">
        <f>'12CH_GOC'!T8</f>
        <v>5.0799999999999992</v>
      </c>
      <c r="U10" s="326">
        <f>'12CH_GOC'!U8</f>
        <v>151.61499999999998</v>
      </c>
      <c r="V10" s="326">
        <f>'12CH_GOC'!V8</f>
        <v>0.24</v>
      </c>
      <c r="W10" s="326">
        <f>'12CH_GOC'!W8</f>
        <v>0.11</v>
      </c>
      <c r="X10" s="326">
        <f>'12CH_GOC'!Y8</f>
        <v>8.879999999999999</v>
      </c>
      <c r="Y10" s="326">
        <f>'12CH_GOC'!Z8</f>
        <v>2.04</v>
      </c>
      <c r="Z10" s="326">
        <f>'12CH_GOC'!AA8</f>
        <v>2.6</v>
      </c>
      <c r="AA10" s="326">
        <f>'12CH_GOC'!AB8</f>
        <v>45.95</v>
      </c>
      <c r="AB10" s="326">
        <f t="shared" si="2"/>
        <v>62.279999999999994</v>
      </c>
      <c r="AC10" s="326">
        <f>'12CH_GOC'!AE8</f>
        <v>23.139999999999997</v>
      </c>
      <c r="AD10" s="326">
        <f>'12CH_GOC'!AF8</f>
        <v>5.76</v>
      </c>
      <c r="AE10" s="326">
        <f>'12CH_GOC'!AG8</f>
        <v>0.01</v>
      </c>
      <c r="AF10" s="326">
        <f>'12CH_GOC'!AH8</f>
        <v>0</v>
      </c>
      <c r="AG10" s="326">
        <f>'12CH_GOC'!AI8</f>
        <v>1.53</v>
      </c>
      <c r="AH10" s="326">
        <f>'12CH_GOC'!AJ8</f>
        <v>0.35</v>
      </c>
      <c r="AI10" s="326">
        <f>'12CH_GOC'!AK8</f>
        <v>4.9800000000000004</v>
      </c>
      <c r="AJ10" s="326">
        <f>'12CH_GOC'!AL8</f>
        <v>0</v>
      </c>
      <c r="AK10" s="326">
        <f>'12CH_GOC'!AM8</f>
        <v>0</v>
      </c>
      <c r="AL10" s="326">
        <f>'12CH_GOC'!AN8</f>
        <v>11.08</v>
      </c>
      <c r="AM10" s="326">
        <f>'12CH_GOC'!AO8</f>
        <v>11.12</v>
      </c>
      <c r="AN10" s="326">
        <f>'12CH_GOC'!AP8</f>
        <v>0</v>
      </c>
      <c r="AO10" s="326">
        <f>'12CH_GOC'!AQ8</f>
        <v>0.04</v>
      </c>
      <c r="AP10" s="326">
        <f>'12CH_GOC'!AR8</f>
        <v>0</v>
      </c>
      <c r="AQ10" s="326">
        <f>'12CH_GOC'!AS8</f>
        <v>0</v>
      </c>
      <c r="AR10" s="326">
        <f>'12CH_GOC'!AT8</f>
        <v>2.87</v>
      </c>
      <c r="AS10" s="326">
        <f>'12CH_GOC'!AU8</f>
        <v>1</v>
      </c>
      <c r="AT10" s="326">
        <f>'12CH_GOC'!AV8</f>
        <v>0</v>
      </c>
      <c r="AU10" s="326">
        <f>'12CH_GOC'!AW8</f>
        <v>0.4</v>
      </c>
      <c r="AV10" s="326">
        <f>'12CH_GOC'!AX8</f>
        <v>8.33</v>
      </c>
      <c r="AW10" s="326">
        <f>'12CH_GOC'!AY8</f>
        <v>5.85</v>
      </c>
      <c r="AX10" s="326">
        <f>'12CH_GOC'!AZ8</f>
        <v>1.4600000000000002</v>
      </c>
      <c r="AY10" s="326">
        <f>'12CH_GOC'!BA8</f>
        <v>0</v>
      </c>
      <c r="AZ10" s="326">
        <f>'12CH_GOC'!BB8</f>
        <v>0</v>
      </c>
      <c r="BA10" s="326">
        <f>'12CH_GOC'!BC8</f>
        <v>0</v>
      </c>
      <c r="BB10" s="326">
        <f>'12CH_GOC'!BD8</f>
        <v>0</v>
      </c>
      <c r="BC10" s="326">
        <f>'12CH_GOC'!BE8</f>
        <v>0.13500000000000001</v>
      </c>
      <c r="BD10" s="326">
        <f>'12CH_GOC'!BF8</f>
        <v>13.500000000000002</v>
      </c>
      <c r="BE10" s="326">
        <f>'12CH_GOC'!BG8</f>
        <v>0.2</v>
      </c>
      <c r="BF10" s="326">
        <f>'12CH_GOC'!BH8</f>
        <v>0.04</v>
      </c>
      <c r="BG10" s="326">
        <f>'12CH_GOC'!BI8</f>
        <v>0</v>
      </c>
      <c r="BH10" s="326">
        <f>D10-G10</f>
        <v>164.8449999999998</v>
      </c>
      <c r="BI10" s="326">
        <f>'12CH_GOC'!BK8</f>
        <v>-137.16499999999999</v>
      </c>
      <c r="BJ10" s="326">
        <f>'12CH_GOC'!BM8</f>
        <v>3201.2949999999996</v>
      </c>
    </row>
    <row r="11" spans="1:62" s="743" customFormat="1" ht="24.95" hidden="1" customHeight="1">
      <c r="A11" s="313"/>
      <c r="B11" s="749" t="s">
        <v>141</v>
      </c>
      <c r="C11" s="313" t="s">
        <v>8</v>
      </c>
      <c r="D11" s="326"/>
      <c r="E11" s="326"/>
      <c r="F11" s="326"/>
      <c r="G11" s="326"/>
      <c r="H11" s="326"/>
      <c r="I11" s="326"/>
      <c r="J11" s="326"/>
      <c r="K11" s="326"/>
      <c r="L11" s="326"/>
      <c r="M11" s="326"/>
      <c r="N11" s="326"/>
      <c r="O11" s="326"/>
      <c r="P11" s="326"/>
      <c r="Q11" s="326"/>
      <c r="R11" s="326"/>
      <c r="S11" s="326"/>
      <c r="T11" s="326"/>
      <c r="U11" s="326"/>
      <c r="V11" s="326"/>
      <c r="W11" s="326"/>
      <c r="X11" s="326"/>
      <c r="Y11" s="326"/>
      <c r="Z11" s="326"/>
      <c r="AA11" s="326"/>
      <c r="AB11" s="326">
        <f t="shared" si="2"/>
        <v>0</v>
      </c>
      <c r="AC11" s="326"/>
      <c r="AD11" s="326"/>
      <c r="AE11" s="326"/>
      <c r="AF11" s="326"/>
      <c r="AG11" s="326"/>
      <c r="AH11" s="326"/>
      <c r="AI11" s="326"/>
      <c r="AJ11" s="326"/>
      <c r="AK11" s="326"/>
      <c r="AL11" s="326"/>
      <c r="AM11" s="326"/>
      <c r="AN11" s="326"/>
      <c r="AO11" s="326"/>
      <c r="AP11" s="326"/>
      <c r="AQ11" s="326"/>
      <c r="AR11" s="326"/>
      <c r="AS11" s="326"/>
      <c r="AT11" s="326"/>
      <c r="AU11" s="326"/>
      <c r="AV11" s="326"/>
      <c r="AW11" s="326"/>
      <c r="AX11" s="326"/>
      <c r="AY11" s="326"/>
      <c r="AZ11" s="326"/>
      <c r="BA11" s="326"/>
      <c r="BB11" s="326"/>
      <c r="BC11" s="326"/>
      <c r="BD11" s="326"/>
      <c r="BE11" s="326"/>
      <c r="BF11" s="326"/>
      <c r="BG11" s="326"/>
      <c r="BH11" s="326"/>
      <c r="BI11" s="326"/>
      <c r="BJ11" s="326">
        <f>'12CH_GOC'!BM9</f>
        <v>2650.2067500000007</v>
      </c>
    </row>
    <row r="12" spans="1:62" s="743" customFormat="1" ht="24.95" hidden="1" customHeight="1">
      <c r="A12" s="313"/>
      <c r="B12" s="749" t="s">
        <v>142</v>
      </c>
      <c r="C12" s="313" t="s">
        <v>10</v>
      </c>
      <c r="D12" s="326"/>
      <c r="E12" s="326"/>
      <c r="F12" s="326"/>
      <c r="G12" s="326"/>
      <c r="H12" s="326"/>
      <c r="I12" s="326"/>
      <c r="J12" s="326"/>
      <c r="K12" s="326"/>
      <c r="L12" s="326"/>
      <c r="M12" s="326"/>
      <c r="N12" s="326"/>
      <c r="O12" s="326"/>
      <c r="P12" s="326"/>
      <c r="Q12" s="326"/>
      <c r="R12" s="326"/>
      <c r="S12" s="326"/>
      <c r="T12" s="326"/>
      <c r="U12" s="326"/>
      <c r="V12" s="326"/>
      <c r="W12" s="326"/>
      <c r="X12" s="326"/>
      <c r="Y12" s="326"/>
      <c r="Z12" s="326"/>
      <c r="AA12" s="326"/>
      <c r="AB12" s="326">
        <f t="shared" si="2"/>
        <v>0</v>
      </c>
      <c r="AC12" s="326"/>
      <c r="AD12" s="326"/>
      <c r="AE12" s="326"/>
      <c r="AF12" s="326"/>
      <c r="AG12" s="326"/>
      <c r="AH12" s="326"/>
      <c r="AI12" s="326"/>
      <c r="AJ12" s="326"/>
      <c r="AK12" s="326"/>
      <c r="AL12" s="326"/>
      <c r="AM12" s="326"/>
      <c r="AN12" s="326"/>
      <c r="AO12" s="326"/>
      <c r="AP12" s="326"/>
      <c r="AQ12" s="326"/>
      <c r="AR12" s="326"/>
      <c r="AS12" s="326"/>
      <c r="AT12" s="326"/>
      <c r="AU12" s="326"/>
      <c r="AV12" s="326"/>
      <c r="AW12" s="326"/>
      <c r="AX12" s="326"/>
      <c r="AY12" s="326"/>
      <c r="AZ12" s="326"/>
      <c r="BA12" s="326"/>
      <c r="BB12" s="326"/>
      <c r="BC12" s="326"/>
      <c r="BD12" s="326"/>
      <c r="BE12" s="326"/>
      <c r="BF12" s="326"/>
      <c r="BG12" s="326"/>
      <c r="BH12" s="326"/>
      <c r="BI12" s="326"/>
      <c r="BJ12" s="326">
        <f>'12CH_GOC'!BM10</f>
        <v>0</v>
      </c>
    </row>
    <row r="13" spans="1:62" s="743" customFormat="1" ht="20.45" customHeight="1">
      <c r="A13" s="313" t="s">
        <v>9</v>
      </c>
      <c r="B13" s="750" t="s">
        <v>2747</v>
      </c>
      <c r="C13" s="313" t="s">
        <v>12</v>
      </c>
      <c r="D13" s="326">
        <f>'12CH_GOC'!D11</f>
        <v>4777.9400000000005</v>
      </c>
      <c r="E13" s="326">
        <f>'12CH_GOC'!E11</f>
        <v>85.17</v>
      </c>
      <c r="F13" s="326">
        <f>'12CH_GOC'!F11</f>
        <v>50.08</v>
      </c>
      <c r="G13" s="326">
        <f>'12CH_GOC'!G11</f>
        <v>0</v>
      </c>
      <c r="H13" s="326">
        <f>'12CH_GOC'!H11</f>
        <v>50.08</v>
      </c>
      <c r="I13" s="326">
        <f>'12CH_GOC'!I11</f>
        <v>0</v>
      </c>
      <c r="J13" s="761">
        <f>'12CH_GOC'!J11</f>
        <v>4458.6047000000008</v>
      </c>
      <c r="K13" s="326">
        <f>'12CH_GOC'!K11</f>
        <v>10.299999999999999</v>
      </c>
      <c r="L13" s="326">
        <f>'12CH_GOC'!L11</f>
        <v>0</v>
      </c>
      <c r="M13" s="326">
        <f>'12CH_GOC'!M11</f>
        <v>0</v>
      </c>
      <c r="N13" s="326">
        <f>'12CH_GOC'!N11</f>
        <v>11.64</v>
      </c>
      <c r="O13" s="326">
        <f>'12CH_GOC'!O11</f>
        <v>0</v>
      </c>
      <c r="P13" s="326">
        <f>'12CH_GOC'!P11</f>
        <v>11.64</v>
      </c>
      <c r="Q13" s="326">
        <f>'12CH_GOC'!Q11</f>
        <v>0</v>
      </c>
      <c r="R13" s="326">
        <f>'12CH_GOC'!R11</f>
        <v>2.6399999999999997</v>
      </c>
      <c r="S13" s="326">
        <f>'12CH_GOC'!S11</f>
        <v>0</v>
      </c>
      <c r="T13" s="326">
        <f>'12CH_GOC'!T11</f>
        <v>10.51</v>
      </c>
      <c r="U13" s="326">
        <f>'12CH_GOC'!U11</f>
        <v>234.1653</v>
      </c>
      <c r="V13" s="326">
        <f>'12CH_GOC'!V11</f>
        <v>2.31</v>
      </c>
      <c r="W13" s="326">
        <f>'12CH_GOC'!W11</f>
        <v>0.66</v>
      </c>
      <c r="X13" s="326">
        <f>'12CH_GOC'!Y11</f>
        <v>11.14</v>
      </c>
      <c r="Y13" s="326">
        <f>'12CH_GOC'!Z11</f>
        <v>5.7299999999999995</v>
      </c>
      <c r="Z13" s="326">
        <f>'12CH_GOC'!AA11</f>
        <v>7.49</v>
      </c>
      <c r="AA13" s="326">
        <f>'12CH_GOC'!AB11</f>
        <v>38.71</v>
      </c>
      <c r="AB13" s="326">
        <f t="shared" si="2"/>
        <v>119.79700000000001</v>
      </c>
      <c r="AC13" s="326">
        <f>'12CH_GOC'!AE11</f>
        <v>41.150000000000013</v>
      </c>
      <c r="AD13" s="326">
        <f>'12CH_GOC'!AF11</f>
        <v>3.0599999999999996</v>
      </c>
      <c r="AE13" s="326">
        <f>'12CH_GOC'!AG11</f>
        <v>1.8970000000000002</v>
      </c>
      <c r="AF13" s="326">
        <f>'12CH_GOC'!AH11</f>
        <v>0.05</v>
      </c>
      <c r="AG13" s="326">
        <f>'12CH_GOC'!AI11</f>
        <v>4.8900000000000006</v>
      </c>
      <c r="AH13" s="326">
        <f>'12CH_GOC'!AJ11</f>
        <v>2.19</v>
      </c>
      <c r="AI13" s="326">
        <f>'12CH_GOC'!AK11</f>
        <v>16.109999999999996</v>
      </c>
      <c r="AJ13" s="326">
        <f>'12CH_GOC'!AL11</f>
        <v>0</v>
      </c>
      <c r="AK13" s="326">
        <f>'12CH_GOC'!AM11</f>
        <v>0</v>
      </c>
      <c r="AL13" s="326">
        <f>'12CH_GOC'!AN11</f>
        <v>38.04</v>
      </c>
      <c r="AM13" s="326">
        <f>'12CH_GOC'!AO11</f>
        <v>5.48</v>
      </c>
      <c r="AN13" s="326">
        <f>'12CH_GOC'!AP11</f>
        <v>0</v>
      </c>
      <c r="AO13" s="326">
        <f>'12CH_GOC'!AQ11</f>
        <v>0.35</v>
      </c>
      <c r="AP13" s="326">
        <f>'12CH_GOC'!AR11</f>
        <v>0</v>
      </c>
      <c r="AQ13" s="326">
        <f>'12CH_GOC'!AS11</f>
        <v>0.01</v>
      </c>
      <c r="AR13" s="326">
        <f>'12CH_GOC'!AT11</f>
        <v>2.3499999999999996</v>
      </c>
      <c r="AS13" s="326">
        <f>'12CH_GOC'!AU11</f>
        <v>0.04</v>
      </c>
      <c r="AT13" s="326">
        <f>'12CH_GOC'!AV11</f>
        <v>1.9000000000000001</v>
      </c>
      <c r="AU13" s="326">
        <f>'12CH_GOC'!AW11</f>
        <v>2.2800000000000002</v>
      </c>
      <c r="AV13" s="326">
        <f>'12CH_GOC'!AX11</f>
        <v>18.718300000000003</v>
      </c>
      <c r="AW13" s="326">
        <f>'12CH_GOC'!AY11</f>
        <v>17.95</v>
      </c>
      <c r="AX13" s="326">
        <f>'12CH_GOC'!AZ11</f>
        <v>1.4500000000000002</v>
      </c>
      <c r="AY13" s="326">
        <f>'12CH_GOC'!BA11</f>
        <v>0</v>
      </c>
      <c r="AZ13" s="326">
        <f>'12CH_GOC'!BB11</f>
        <v>0</v>
      </c>
      <c r="BA13" s="326">
        <f>'12CH_GOC'!BC11</f>
        <v>0</v>
      </c>
      <c r="BB13" s="326">
        <f>'12CH_GOC'!BD11</f>
        <v>0</v>
      </c>
      <c r="BC13" s="326">
        <f>'12CH_GOC'!BE11</f>
        <v>1.05</v>
      </c>
      <c r="BD13" s="326">
        <f>'12CH_GOC'!BF11</f>
        <v>8.27</v>
      </c>
      <c r="BE13" s="326">
        <f>'12CH_GOC'!BG11</f>
        <v>0.18</v>
      </c>
      <c r="BF13" s="326">
        <f>'12CH_GOC'!BH11</f>
        <v>0.71000000000000019</v>
      </c>
      <c r="BG13" s="326">
        <f>'12CH_GOC'!BI11</f>
        <v>0</v>
      </c>
      <c r="BH13" s="326">
        <f>'12CH_GOC'!BJ11</f>
        <v>319.33530000000002</v>
      </c>
      <c r="BI13" s="326">
        <f>'12CH_GOC'!BK11</f>
        <v>-251.65530000000001</v>
      </c>
      <c r="BJ13" s="326">
        <f>'12CH_GOC'!BM11</f>
        <v>4526.2847000000002</v>
      </c>
    </row>
    <row r="14" spans="1:62" s="743" customFormat="1" ht="27.75" customHeight="1">
      <c r="A14" s="313" t="s">
        <v>11</v>
      </c>
      <c r="B14" s="748" t="s">
        <v>60</v>
      </c>
      <c r="C14" s="313" t="s">
        <v>14</v>
      </c>
      <c r="D14" s="326">
        <f>'12CH_GOC'!D12</f>
        <v>1692.25</v>
      </c>
      <c r="E14" s="326">
        <f>'12CH_GOC'!E12</f>
        <v>23.130000000000003</v>
      </c>
      <c r="F14" s="326">
        <f>'12CH_GOC'!F12</f>
        <v>0</v>
      </c>
      <c r="G14" s="326">
        <f>'12CH_GOC'!G12</f>
        <v>0</v>
      </c>
      <c r="H14" s="326">
        <f>'12CH_GOC'!H12</f>
        <v>0</v>
      </c>
      <c r="I14" s="326">
        <f>'12CH_GOC'!I12</f>
        <v>0</v>
      </c>
      <c r="J14" s="326">
        <f>'12CH_GOC'!J12</f>
        <v>10.840000000000002</v>
      </c>
      <c r="K14" s="761">
        <f>'12CH_GOC'!K12</f>
        <v>1495.35213</v>
      </c>
      <c r="L14" s="326">
        <f>'12CH_GOC'!L12</f>
        <v>0</v>
      </c>
      <c r="M14" s="326">
        <f>'12CH_GOC'!M12</f>
        <v>0</v>
      </c>
      <c r="N14" s="326">
        <f>'12CH_GOC'!N12</f>
        <v>0</v>
      </c>
      <c r="O14" s="326">
        <f>'12CH_GOC'!O12</f>
        <v>0</v>
      </c>
      <c r="P14" s="326">
        <f>'12CH_GOC'!P12</f>
        <v>0</v>
      </c>
      <c r="Q14" s="326">
        <f>'12CH_GOC'!Q12</f>
        <v>0</v>
      </c>
      <c r="R14" s="326">
        <f>'12CH_GOC'!R12</f>
        <v>1.4</v>
      </c>
      <c r="S14" s="326">
        <f>'12CH_GOC'!S12</f>
        <v>0</v>
      </c>
      <c r="T14" s="326">
        <f>'12CH_GOC'!T12</f>
        <v>10.89</v>
      </c>
      <c r="U14" s="326">
        <f>'12CH_GOC'!U12</f>
        <v>173.76786999999999</v>
      </c>
      <c r="V14" s="326">
        <f>'12CH_GOC'!V12</f>
        <v>0.75</v>
      </c>
      <c r="W14" s="326">
        <f>'12CH_GOC'!W12</f>
        <v>0.16</v>
      </c>
      <c r="X14" s="326">
        <f>'12CH_GOC'!Y12</f>
        <v>7.54</v>
      </c>
      <c r="Y14" s="326">
        <f>'12CH_GOC'!Z12</f>
        <v>6.59</v>
      </c>
      <c r="Z14" s="326">
        <f>'12CH_GOC'!AA12</f>
        <v>3.65</v>
      </c>
      <c r="AA14" s="326">
        <f>'12CH_GOC'!AB12</f>
        <v>24.28</v>
      </c>
      <c r="AB14" s="326">
        <f t="shared" si="2"/>
        <v>108.34100000000001</v>
      </c>
      <c r="AC14" s="326">
        <f>'12CH_GOC'!AE12</f>
        <v>22.511000000000003</v>
      </c>
      <c r="AD14" s="326">
        <f>'12CH_GOC'!AF12</f>
        <v>1.5400000000000003</v>
      </c>
      <c r="AE14" s="326">
        <f>'12CH_GOC'!AG12</f>
        <v>0.69000000000000006</v>
      </c>
      <c r="AF14" s="326">
        <f>'12CH_GOC'!AH12</f>
        <v>0.05</v>
      </c>
      <c r="AG14" s="326">
        <f>'12CH_GOC'!AI12</f>
        <v>2.4799999999999995</v>
      </c>
      <c r="AH14" s="326">
        <f>'12CH_GOC'!AJ12</f>
        <v>1.8999999999999997</v>
      </c>
      <c r="AI14" s="326">
        <f>'12CH_GOC'!AK12</f>
        <v>11.120000000000001</v>
      </c>
      <c r="AJ14" s="326">
        <f>'12CH_GOC'!AL12</f>
        <v>0.04</v>
      </c>
      <c r="AK14" s="326">
        <f>'12CH_GOC'!AM12</f>
        <v>0</v>
      </c>
      <c r="AL14" s="326">
        <f>'12CH_GOC'!AN12</f>
        <v>62.48</v>
      </c>
      <c r="AM14" s="326">
        <f>'12CH_GOC'!AO12</f>
        <v>2.0699999999999998</v>
      </c>
      <c r="AN14" s="326">
        <f>'12CH_GOC'!AP12</f>
        <v>0</v>
      </c>
      <c r="AO14" s="326">
        <f>'12CH_GOC'!AQ12</f>
        <v>0</v>
      </c>
      <c r="AP14" s="326">
        <f>'12CH_GOC'!AR12</f>
        <v>0</v>
      </c>
      <c r="AQ14" s="326">
        <f>'12CH_GOC'!AS12</f>
        <v>0</v>
      </c>
      <c r="AR14" s="326">
        <f>'12CH_GOC'!AT12</f>
        <v>1.1600000000000001</v>
      </c>
      <c r="AS14" s="326">
        <f>'12CH_GOC'!AU12</f>
        <v>0.61</v>
      </c>
      <c r="AT14" s="326">
        <f>'12CH_GOC'!AV12</f>
        <v>0.01</v>
      </c>
      <c r="AU14" s="326">
        <f>'12CH_GOC'!AW12</f>
        <v>1.6800000000000002</v>
      </c>
      <c r="AV14" s="326">
        <f>'12CH_GOC'!AX12</f>
        <v>13.57687</v>
      </c>
      <c r="AW14" s="326">
        <f>'12CH_GOC'!AY12</f>
        <v>5.9399999999999995</v>
      </c>
      <c r="AX14" s="326">
        <f>'12CH_GOC'!AZ12</f>
        <v>0.68</v>
      </c>
      <c r="AY14" s="326">
        <f>'12CH_GOC'!BA12</f>
        <v>0</v>
      </c>
      <c r="AZ14" s="326">
        <f>'12CH_GOC'!BB12</f>
        <v>0</v>
      </c>
      <c r="BA14" s="326">
        <f>'12CH_GOC'!BC12</f>
        <v>0</v>
      </c>
      <c r="BB14" s="326">
        <f>'12CH_GOC'!BD12</f>
        <v>0</v>
      </c>
      <c r="BC14" s="326">
        <f>'12CH_GOC'!BE12</f>
        <v>0.02</v>
      </c>
      <c r="BD14" s="326">
        <f>'12CH_GOC'!BF12</f>
        <v>2.2400000000000002</v>
      </c>
      <c r="BE14" s="326">
        <f>'12CH_GOC'!BG12</f>
        <v>0</v>
      </c>
      <c r="BF14" s="326">
        <f>'12CH_GOC'!BH12</f>
        <v>0</v>
      </c>
      <c r="BG14" s="326">
        <f>'12CH_GOC'!BI12</f>
        <v>0</v>
      </c>
      <c r="BH14" s="326">
        <f>'12CH_GOC'!BJ12</f>
        <v>196.89786999999998</v>
      </c>
      <c r="BI14" s="326">
        <f>'12CH_GOC'!BK12</f>
        <v>874.15213000000017</v>
      </c>
      <c r="BJ14" s="326">
        <f>'12CH_GOC'!BM12</f>
        <v>2566.4021300000004</v>
      </c>
    </row>
    <row r="15" spans="1:62" s="743" customFormat="1" ht="22.5" customHeight="1">
      <c r="A15" s="313" t="s">
        <v>13</v>
      </c>
      <c r="B15" s="748" t="s">
        <v>61</v>
      </c>
      <c r="C15" s="313" t="s">
        <v>16</v>
      </c>
      <c r="D15" s="326">
        <f>'12CH_GOC'!D13</f>
        <v>9814.9499999999989</v>
      </c>
      <c r="E15" s="326">
        <f>'12CH_GOC'!E13</f>
        <v>0</v>
      </c>
      <c r="F15" s="326">
        <f>'12CH_GOC'!F13</f>
        <v>0</v>
      </c>
      <c r="G15" s="326">
        <f>'12CH_GOC'!G13</f>
        <v>0</v>
      </c>
      <c r="H15" s="326">
        <f>'12CH_GOC'!H13</f>
        <v>0</v>
      </c>
      <c r="I15" s="326">
        <f>'12CH_GOC'!I13</f>
        <v>0</v>
      </c>
      <c r="J15" s="326">
        <f>'12CH_GOC'!J13</f>
        <v>0</v>
      </c>
      <c r="K15" s="326">
        <f>'12CH_GOC'!K13</f>
        <v>0</v>
      </c>
      <c r="L15" s="761">
        <f>'12CH_GOC'!L13</f>
        <v>9571.9</v>
      </c>
      <c r="M15" s="326">
        <f>'12CH_GOC'!M13</f>
        <v>0</v>
      </c>
      <c r="N15" s="326">
        <f>'12CH_GOC'!N13</f>
        <v>0</v>
      </c>
      <c r="O15" s="326">
        <f>'12CH_GOC'!O13</f>
        <v>0</v>
      </c>
      <c r="P15" s="326">
        <f>'12CH_GOC'!P13</f>
        <v>0</v>
      </c>
      <c r="Q15" s="326">
        <f>'12CH_GOC'!Q13</f>
        <v>0</v>
      </c>
      <c r="R15" s="326">
        <f>'12CH_GOC'!R13</f>
        <v>0</v>
      </c>
      <c r="S15" s="326">
        <f>'12CH_GOC'!S13</f>
        <v>0</v>
      </c>
      <c r="T15" s="326">
        <f>'12CH_GOC'!T13</f>
        <v>0</v>
      </c>
      <c r="U15" s="326">
        <f>'12CH_GOC'!U13</f>
        <v>243.04999999999998</v>
      </c>
      <c r="V15" s="326">
        <f>'12CH_GOC'!V13</f>
        <v>0</v>
      </c>
      <c r="W15" s="326">
        <f>'12CH_GOC'!W13</f>
        <v>0</v>
      </c>
      <c r="X15" s="326">
        <f>'12CH_GOC'!Y13</f>
        <v>0</v>
      </c>
      <c r="Y15" s="326">
        <f>'12CH_GOC'!Z13</f>
        <v>0.47000000000000003</v>
      </c>
      <c r="Z15" s="326">
        <f>'12CH_GOC'!AA13</f>
        <v>0</v>
      </c>
      <c r="AA15" s="326">
        <f>'12CH_GOC'!AB13</f>
        <v>0</v>
      </c>
      <c r="AB15" s="326">
        <f t="shared" si="2"/>
        <v>240.32</v>
      </c>
      <c r="AC15" s="326">
        <f>'12CH_GOC'!AE13</f>
        <v>5.12</v>
      </c>
      <c r="AD15" s="326">
        <f>'12CH_GOC'!AF13</f>
        <v>0</v>
      </c>
      <c r="AE15" s="326">
        <f>'12CH_GOC'!AG13</f>
        <v>0.1</v>
      </c>
      <c r="AF15" s="326">
        <f>'12CH_GOC'!AH13</f>
        <v>0</v>
      </c>
      <c r="AG15" s="326">
        <f>'12CH_GOC'!AI13</f>
        <v>0.4</v>
      </c>
      <c r="AH15" s="326">
        <f>'12CH_GOC'!AJ13</f>
        <v>0</v>
      </c>
      <c r="AI15" s="326">
        <f>'12CH_GOC'!AK13</f>
        <v>22.51</v>
      </c>
      <c r="AJ15" s="326">
        <f>'12CH_GOC'!AL13</f>
        <v>0.33999999999999997</v>
      </c>
      <c r="AK15" s="326">
        <f>'12CH_GOC'!AM13</f>
        <v>0</v>
      </c>
      <c r="AL15" s="326">
        <f>'12CH_GOC'!AN13</f>
        <v>211.25</v>
      </c>
      <c r="AM15" s="326">
        <f>'12CH_GOC'!AO13</f>
        <v>0</v>
      </c>
      <c r="AN15" s="326">
        <f>'12CH_GOC'!AP13</f>
        <v>0</v>
      </c>
      <c r="AO15" s="326">
        <f>'12CH_GOC'!AQ13</f>
        <v>0</v>
      </c>
      <c r="AP15" s="326">
        <f>'12CH_GOC'!AR13</f>
        <v>0</v>
      </c>
      <c r="AQ15" s="326">
        <f>'12CH_GOC'!AS13</f>
        <v>0</v>
      </c>
      <c r="AR15" s="326">
        <f>'12CH_GOC'!AT13</f>
        <v>0.6</v>
      </c>
      <c r="AS15" s="326">
        <f>'12CH_GOC'!AU13</f>
        <v>0</v>
      </c>
      <c r="AT15" s="326">
        <f>'12CH_GOC'!AV13</f>
        <v>0</v>
      </c>
      <c r="AU15" s="326">
        <f>'12CH_GOC'!AW13</f>
        <v>0</v>
      </c>
      <c r="AV15" s="326">
        <f>'12CH_GOC'!AX13</f>
        <v>0.01</v>
      </c>
      <c r="AW15" s="326">
        <f>'12CH_GOC'!AY13</f>
        <v>0</v>
      </c>
      <c r="AX15" s="326">
        <f>'12CH_GOC'!AZ13</f>
        <v>2.0499999999999998</v>
      </c>
      <c r="AY15" s="326">
        <f>'12CH_GOC'!BA13</f>
        <v>0.2</v>
      </c>
      <c r="AZ15" s="326">
        <f>'12CH_GOC'!BB13</f>
        <v>0</v>
      </c>
      <c r="BA15" s="326">
        <f>'12CH_GOC'!BC13</f>
        <v>0</v>
      </c>
      <c r="BB15" s="326">
        <f>'12CH_GOC'!BD13</f>
        <v>0</v>
      </c>
      <c r="BC15" s="326">
        <f>'12CH_GOC'!BE13</f>
        <v>0</v>
      </c>
      <c r="BD15" s="326">
        <f>'12CH_GOC'!BF13</f>
        <v>0</v>
      </c>
      <c r="BE15" s="326">
        <f>'12CH_GOC'!BG13</f>
        <v>0</v>
      </c>
      <c r="BF15" s="326">
        <f>'12CH_GOC'!BH13</f>
        <v>0</v>
      </c>
      <c r="BG15" s="326">
        <f>'12CH_GOC'!BI13</f>
        <v>0</v>
      </c>
      <c r="BH15" s="326">
        <f>'12CH_GOC'!BJ13</f>
        <v>243.04999999999998</v>
      </c>
      <c r="BI15" s="326">
        <f>'12CH_GOC'!BK13</f>
        <v>-85.050000000000011</v>
      </c>
      <c r="BJ15" s="326">
        <f>'12CH_GOC'!BM13</f>
        <v>9729.9</v>
      </c>
    </row>
    <row r="16" spans="1:62" s="743" customFormat="1" ht="22.5" customHeight="1">
      <c r="A16" s="313" t="s">
        <v>15</v>
      </c>
      <c r="B16" s="748" t="s">
        <v>62</v>
      </c>
      <c r="C16" s="313" t="s">
        <v>17</v>
      </c>
      <c r="D16" s="326">
        <f>'12CH_GOC'!D14</f>
        <v>2219</v>
      </c>
      <c r="E16" s="326">
        <f>'12CH_GOC'!E14</f>
        <v>7.2</v>
      </c>
      <c r="F16" s="326">
        <f>'12CH_GOC'!F14</f>
        <v>0</v>
      </c>
      <c r="G16" s="326">
        <f>'12CH_GOC'!G14</f>
        <v>0</v>
      </c>
      <c r="H16" s="326">
        <f>'12CH_GOC'!H14</f>
        <v>0</v>
      </c>
      <c r="I16" s="326">
        <f>'12CH_GOC'!I14</f>
        <v>0</v>
      </c>
      <c r="J16" s="326">
        <f>'12CH_GOC'!J14</f>
        <v>0</v>
      </c>
      <c r="K16" s="326">
        <f>'12CH_GOC'!K14</f>
        <v>0</v>
      </c>
      <c r="L16" s="326">
        <f>'12CH_GOC'!L14</f>
        <v>7.2</v>
      </c>
      <c r="M16" s="761">
        <f>'12CH_GOC'!M14</f>
        <v>2208.1999999999998</v>
      </c>
      <c r="N16" s="326">
        <f>'12CH_GOC'!N14</f>
        <v>0</v>
      </c>
      <c r="O16" s="326">
        <f>'12CH_GOC'!O14</f>
        <v>0</v>
      </c>
      <c r="P16" s="326">
        <f>'12CH_GOC'!P14</f>
        <v>0</v>
      </c>
      <c r="Q16" s="326">
        <f>'12CH_GOC'!Q14</f>
        <v>0</v>
      </c>
      <c r="R16" s="326">
        <f>'12CH_GOC'!R14</f>
        <v>0</v>
      </c>
      <c r="S16" s="326">
        <f>'12CH_GOC'!S14</f>
        <v>0</v>
      </c>
      <c r="T16" s="326">
        <f>'12CH_GOC'!T14</f>
        <v>0</v>
      </c>
      <c r="U16" s="326">
        <f>'12CH_GOC'!U14</f>
        <v>3.6</v>
      </c>
      <c r="V16" s="326">
        <f>'12CH_GOC'!V14</f>
        <v>0</v>
      </c>
      <c r="W16" s="326">
        <f>'12CH_GOC'!W14</f>
        <v>0</v>
      </c>
      <c r="X16" s="326">
        <f>'12CH_GOC'!Y14</f>
        <v>0</v>
      </c>
      <c r="Y16" s="326">
        <f>'12CH_GOC'!Z14</f>
        <v>0</v>
      </c>
      <c r="Z16" s="326">
        <f>'12CH_GOC'!AA14</f>
        <v>0</v>
      </c>
      <c r="AA16" s="326">
        <f>'12CH_GOC'!AB14</f>
        <v>0</v>
      </c>
      <c r="AB16" s="326">
        <f t="shared" si="2"/>
        <v>3.6</v>
      </c>
      <c r="AC16" s="326">
        <f>'12CH_GOC'!AE14</f>
        <v>3.6</v>
      </c>
      <c r="AD16" s="326">
        <f>'12CH_GOC'!AF14</f>
        <v>0</v>
      </c>
      <c r="AE16" s="326">
        <f>'12CH_GOC'!AG14</f>
        <v>0</v>
      </c>
      <c r="AF16" s="326">
        <f>'12CH_GOC'!AH14</f>
        <v>0</v>
      </c>
      <c r="AG16" s="326">
        <f>'12CH_GOC'!AI14</f>
        <v>0</v>
      </c>
      <c r="AH16" s="326">
        <f>'12CH_GOC'!AJ14</f>
        <v>0</v>
      </c>
      <c r="AI16" s="326">
        <f>'12CH_GOC'!AK14</f>
        <v>0</v>
      </c>
      <c r="AJ16" s="326">
        <f>'12CH_GOC'!AL14</f>
        <v>0</v>
      </c>
      <c r="AK16" s="326">
        <f>'12CH_GOC'!AM14</f>
        <v>0</v>
      </c>
      <c r="AL16" s="326">
        <f>'12CH_GOC'!AN14</f>
        <v>0</v>
      </c>
      <c r="AM16" s="326">
        <f>'12CH_GOC'!AO14</f>
        <v>0</v>
      </c>
      <c r="AN16" s="326">
        <f>'12CH_GOC'!AP14</f>
        <v>0</v>
      </c>
      <c r="AO16" s="326">
        <f>'12CH_GOC'!AQ14</f>
        <v>0</v>
      </c>
      <c r="AP16" s="326">
        <f>'12CH_GOC'!AR14</f>
        <v>0</v>
      </c>
      <c r="AQ16" s="326">
        <f>'12CH_GOC'!AS14</f>
        <v>0</v>
      </c>
      <c r="AR16" s="326">
        <f>'12CH_GOC'!AT14</f>
        <v>0</v>
      </c>
      <c r="AS16" s="326">
        <f>'12CH_GOC'!AU14</f>
        <v>0</v>
      </c>
      <c r="AT16" s="326">
        <f>'12CH_GOC'!AV14</f>
        <v>0</v>
      </c>
      <c r="AU16" s="326">
        <f>'12CH_GOC'!AW14</f>
        <v>0</v>
      </c>
      <c r="AV16" s="326">
        <f>'12CH_GOC'!AX14</f>
        <v>0</v>
      </c>
      <c r="AW16" s="326">
        <f>'12CH_GOC'!AY14</f>
        <v>0</v>
      </c>
      <c r="AX16" s="326">
        <f>'12CH_GOC'!AZ14</f>
        <v>0</v>
      </c>
      <c r="AY16" s="326">
        <f>'12CH_GOC'!BA14</f>
        <v>0</v>
      </c>
      <c r="AZ16" s="326">
        <f>'12CH_GOC'!BB14</f>
        <v>0</v>
      </c>
      <c r="BA16" s="326">
        <f>'12CH_GOC'!BC14</f>
        <v>0</v>
      </c>
      <c r="BB16" s="326">
        <f>'12CH_GOC'!BD14</f>
        <v>0</v>
      </c>
      <c r="BC16" s="326">
        <f>'12CH_GOC'!BE14</f>
        <v>0</v>
      </c>
      <c r="BD16" s="326">
        <f>'12CH_GOC'!BF14</f>
        <v>0</v>
      </c>
      <c r="BE16" s="326">
        <f>'12CH_GOC'!BG14</f>
        <v>0</v>
      </c>
      <c r="BF16" s="326">
        <f>'12CH_GOC'!BH14</f>
        <v>0</v>
      </c>
      <c r="BG16" s="326">
        <f>'12CH_GOC'!BI14</f>
        <v>0</v>
      </c>
      <c r="BH16" s="326">
        <f>'12CH_GOC'!BJ14</f>
        <v>10.8</v>
      </c>
      <c r="BI16" s="326">
        <f>'12CH_GOC'!BK14</f>
        <v>-10.8</v>
      </c>
      <c r="BJ16" s="326">
        <f>'12CH_GOC'!BM14</f>
        <v>2208.1999999999998</v>
      </c>
    </row>
    <row r="17" spans="1:64" s="743" customFormat="1" ht="22.5" customHeight="1">
      <c r="A17" s="313" t="s">
        <v>64</v>
      </c>
      <c r="B17" s="748" t="s">
        <v>63</v>
      </c>
      <c r="C17" s="313" t="s">
        <v>18</v>
      </c>
      <c r="D17" s="326">
        <f>'12CH_GOC'!D15</f>
        <v>64030.86</v>
      </c>
      <c r="E17" s="326">
        <f>'12CH_GOC'!E15</f>
        <v>1554.17</v>
      </c>
      <c r="F17" s="326">
        <f>'12CH_GOC'!F15</f>
        <v>0</v>
      </c>
      <c r="G17" s="326">
        <f>'12CH_GOC'!G15</f>
        <v>0</v>
      </c>
      <c r="H17" s="326">
        <f>'12CH_GOC'!H15</f>
        <v>0</v>
      </c>
      <c r="I17" s="326">
        <f>'12CH_GOC'!I15</f>
        <v>0</v>
      </c>
      <c r="J17" s="326">
        <f>'12CH_GOC'!J15</f>
        <v>44.65</v>
      </c>
      <c r="K17" s="326">
        <f>'12CH_GOC'!K15</f>
        <v>1056.6200000000001</v>
      </c>
      <c r="L17" s="326">
        <f>'12CH_GOC'!L15</f>
        <v>150.79999999999998</v>
      </c>
      <c r="M17" s="326">
        <f>'12CH_GOC'!M15</f>
        <v>0</v>
      </c>
      <c r="N17" s="761">
        <f>'12CH_GOC'!N15</f>
        <v>61675.924100000004</v>
      </c>
      <c r="O17" s="326">
        <f>'12CH_GOC'!O15</f>
        <v>11.65</v>
      </c>
      <c r="P17" s="326">
        <f>'12CH_GOC'!P15</f>
        <v>0</v>
      </c>
      <c r="Q17" s="326">
        <f>'12CH_GOC'!Q15</f>
        <v>0</v>
      </c>
      <c r="R17" s="326">
        <f>'12CH_GOC'!R15</f>
        <v>1.59</v>
      </c>
      <c r="S17" s="326">
        <f>'12CH_GOC'!S15</f>
        <v>0</v>
      </c>
      <c r="T17" s="326">
        <f>'12CH_GOC'!T15</f>
        <v>300.51</v>
      </c>
      <c r="U17" s="326">
        <f>'12CH_GOC'!U15</f>
        <v>800.76589999999999</v>
      </c>
      <c r="V17" s="326">
        <f>'12CH_GOC'!V15</f>
        <v>110.22</v>
      </c>
      <c r="W17" s="326">
        <f>'12CH_GOC'!W15</f>
        <v>10.99</v>
      </c>
      <c r="X17" s="326">
        <f>'12CH_GOC'!Y15</f>
        <v>74.94</v>
      </c>
      <c r="Y17" s="326">
        <f>'12CH_GOC'!Z15</f>
        <v>35.03</v>
      </c>
      <c r="Z17" s="326">
        <f>'12CH_GOC'!AA15</f>
        <v>23.38</v>
      </c>
      <c r="AA17" s="326">
        <f>'12CH_GOC'!AB15</f>
        <v>55.44</v>
      </c>
      <c r="AB17" s="326">
        <f t="shared" si="2"/>
        <v>439.56</v>
      </c>
      <c r="AC17" s="326">
        <f>'12CH_GOC'!AE15</f>
        <v>176.24</v>
      </c>
      <c r="AD17" s="326">
        <f>'12CH_GOC'!AF15</f>
        <v>6.3599999999999994</v>
      </c>
      <c r="AE17" s="326">
        <f>'12CH_GOC'!AG15</f>
        <v>2.38</v>
      </c>
      <c r="AF17" s="326">
        <f>'12CH_GOC'!AH15</f>
        <v>0.22</v>
      </c>
      <c r="AG17" s="326">
        <f>'12CH_GOC'!AI15</f>
        <v>6.4399999999999986</v>
      </c>
      <c r="AH17" s="326">
        <f>'12CH_GOC'!AJ15</f>
        <v>8.7099999999999991</v>
      </c>
      <c r="AI17" s="326">
        <f>'12CH_GOC'!AK15</f>
        <v>85.579999999999984</v>
      </c>
      <c r="AJ17" s="326">
        <f>'12CH_GOC'!AL15</f>
        <v>0.41999999999999993</v>
      </c>
      <c r="AK17" s="326">
        <f>'12CH_GOC'!AM15</f>
        <v>0</v>
      </c>
      <c r="AL17" s="326">
        <f>'12CH_GOC'!AN15</f>
        <v>71.070000000000007</v>
      </c>
      <c r="AM17" s="326">
        <f>'12CH_GOC'!AO15</f>
        <v>49.949999999999996</v>
      </c>
      <c r="AN17" s="326">
        <f>'12CH_GOC'!AP15</f>
        <v>0</v>
      </c>
      <c r="AO17" s="326">
        <f>'12CH_GOC'!AQ15</f>
        <v>20.59</v>
      </c>
      <c r="AP17" s="326">
        <f>'12CH_GOC'!AR15</f>
        <v>0</v>
      </c>
      <c r="AQ17" s="326">
        <f>'12CH_GOC'!AS15</f>
        <v>3.25</v>
      </c>
      <c r="AR17" s="326">
        <f>'12CH_GOC'!AT15</f>
        <v>2.04</v>
      </c>
      <c r="AS17" s="326">
        <f>'12CH_GOC'!AU15</f>
        <v>1.02</v>
      </c>
      <c r="AT17" s="326">
        <f>'12CH_GOC'!AV15</f>
        <v>3.37</v>
      </c>
      <c r="AU17" s="326">
        <f>'12CH_GOC'!AW15</f>
        <v>1.92</v>
      </c>
      <c r="AV17" s="326">
        <f>'12CH_GOC'!AX15</f>
        <v>25.120899999999999</v>
      </c>
      <c r="AW17" s="326">
        <f>'12CH_GOC'!AY15</f>
        <v>7.93</v>
      </c>
      <c r="AX17" s="326">
        <f>'12CH_GOC'!AZ15</f>
        <v>3.42</v>
      </c>
      <c r="AY17" s="326">
        <f>'12CH_GOC'!BA15</f>
        <v>0</v>
      </c>
      <c r="AZ17" s="326">
        <f>'12CH_GOC'!BB15</f>
        <v>0</v>
      </c>
      <c r="BA17" s="326">
        <f>'12CH_GOC'!BC15</f>
        <v>0</v>
      </c>
      <c r="BB17" s="326">
        <f>'12CH_GOC'!BD15</f>
        <v>0</v>
      </c>
      <c r="BC17" s="326">
        <f>'12CH_GOC'!BE15</f>
        <v>0.28500000000000003</v>
      </c>
      <c r="BD17" s="326">
        <f>'12CH_GOC'!BF15</f>
        <v>5.43</v>
      </c>
      <c r="BE17" s="326">
        <f>'12CH_GOC'!BG15</f>
        <v>0</v>
      </c>
      <c r="BF17" s="326">
        <f>'12CH_GOC'!BH15</f>
        <v>9.0199999999999978</v>
      </c>
      <c r="BG17" s="326">
        <f>'12CH_GOC'!BI15</f>
        <v>0</v>
      </c>
      <c r="BH17" s="326">
        <f>'12CH_GOC'!BJ15</f>
        <v>2354.9359000000004</v>
      </c>
      <c r="BI17" s="326">
        <f>'12CH_GOC'!BK15</f>
        <v>-2247.0559000000003</v>
      </c>
      <c r="BJ17" s="326">
        <f>'12CH_GOC'!BM15</f>
        <v>61783.804100000001</v>
      </c>
    </row>
    <row r="18" spans="1:64" s="743" customFormat="1" ht="22.5" customHeight="1">
      <c r="A18" s="313"/>
      <c r="B18" s="319" t="s">
        <v>194</v>
      </c>
      <c r="C18" s="751" t="s">
        <v>187</v>
      </c>
      <c r="D18" s="327">
        <f>'12CH_GOC'!D16</f>
        <v>5538.4</v>
      </c>
      <c r="E18" s="327">
        <f>'12CH_GOC'!E16</f>
        <v>0</v>
      </c>
      <c r="F18" s="327">
        <f>'12CH_GOC'!F16</f>
        <v>0</v>
      </c>
      <c r="G18" s="327">
        <f>'12CH_GOC'!G16</f>
        <v>0</v>
      </c>
      <c r="H18" s="327">
        <f>'12CH_GOC'!H16</f>
        <v>0</v>
      </c>
      <c r="I18" s="327">
        <f>'12CH_GOC'!I16</f>
        <v>0</v>
      </c>
      <c r="J18" s="327">
        <f>'12CH_GOC'!J16</f>
        <v>0</v>
      </c>
      <c r="K18" s="327">
        <f>'12CH_GOC'!K16</f>
        <v>0</v>
      </c>
      <c r="L18" s="327">
        <f>'12CH_GOC'!L16</f>
        <v>0</v>
      </c>
      <c r="M18" s="327">
        <f>'12CH_GOC'!M16</f>
        <v>0</v>
      </c>
      <c r="N18" s="327">
        <f>'12CH_GOC'!N16</f>
        <v>0</v>
      </c>
      <c r="O18" s="762">
        <f>'12CH_GOC'!O16</f>
        <v>5520.75</v>
      </c>
      <c r="P18" s="327">
        <f>'12CH_GOC'!P16</f>
        <v>0</v>
      </c>
      <c r="Q18" s="327">
        <f>'12CH_GOC'!Q16</f>
        <v>0</v>
      </c>
      <c r="R18" s="327">
        <f>'12CH_GOC'!R16</f>
        <v>0</v>
      </c>
      <c r="S18" s="327">
        <f>'12CH_GOC'!S16</f>
        <v>0</v>
      </c>
      <c r="T18" s="327">
        <f>'12CH_GOC'!T16</f>
        <v>0</v>
      </c>
      <c r="U18" s="327">
        <f>'12CH_GOC'!U16</f>
        <v>17.649999999999999</v>
      </c>
      <c r="V18" s="327">
        <f>'12CH_GOC'!V16</f>
        <v>2.5</v>
      </c>
      <c r="W18" s="327">
        <f>'12CH_GOC'!W16</f>
        <v>0</v>
      </c>
      <c r="X18" s="327">
        <f>'12CH_GOC'!Y16</f>
        <v>0</v>
      </c>
      <c r="Y18" s="327">
        <f>'12CH_GOC'!Z16</f>
        <v>0</v>
      </c>
      <c r="Z18" s="327">
        <f>'12CH_GOC'!AA16</f>
        <v>0</v>
      </c>
      <c r="AA18" s="327">
        <f>'12CH_GOC'!AB16</f>
        <v>0</v>
      </c>
      <c r="AB18" s="326">
        <f t="shared" si="2"/>
        <v>15.15</v>
      </c>
      <c r="AC18" s="327">
        <f>'12CH_GOC'!AE16</f>
        <v>0</v>
      </c>
      <c r="AD18" s="327">
        <f>'12CH_GOC'!AF16</f>
        <v>0</v>
      </c>
      <c r="AE18" s="327">
        <f>'12CH_GOC'!AG16</f>
        <v>0.09</v>
      </c>
      <c r="AF18" s="327">
        <f>'12CH_GOC'!AH16</f>
        <v>0</v>
      </c>
      <c r="AG18" s="327">
        <f>'12CH_GOC'!AI16</f>
        <v>0</v>
      </c>
      <c r="AH18" s="327">
        <f>'12CH_GOC'!AJ16</f>
        <v>0</v>
      </c>
      <c r="AI18" s="327">
        <f>'12CH_GOC'!AK16</f>
        <v>11.41</v>
      </c>
      <c r="AJ18" s="327">
        <f>'12CH_GOC'!AL16</f>
        <v>0</v>
      </c>
      <c r="AK18" s="327">
        <f>'12CH_GOC'!AM16</f>
        <v>0</v>
      </c>
      <c r="AL18" s="327">
        <f>'12CH_GOC'!AN16</f>
        <v>3.6500000000000004</v>
      </c>
      <c r="AM18" s="327">
        <f>'12CH_GOC'!AO16</f>
        <v>0</v>
      </c>
      <c r="AN18" s="327">
        <f>'12CH_GOC'!AP16</f>
        <v>0</v>
      </c>
      <c r="AO18" s="327">
        <f>'12CH_GOC'!AQ16</f>
        <v>0</v>
      </c>
      <c r="AP18" s="327">
        <f>'12CH_GOC'!AR16</f>
        <v>0</v>
      </c>
      <c r="AQ18" s="327">
        <f>'12CH_GOC'!AS16</f>
        <v>0</v>
      </c>
      <c r="AR18" s="327">
        <f>'12CH_GOC'!AT16</f>
        <v>0</v>
      </c>
      <c r="AS18" s="327">
        <f>'12CH_GOC'!AU16</f>
        <v>0</v>
      </c>
      <c r="AT18" s="327">
        <f>'12CH_GOC'!AV16</f>
        <v>0</v>
      </c>
      <c r="AU18" s="327">
        <f>'12CH_GOC'!AW16</f>
        <v>0</v>
      </c>
      <c r="AV18" s="327">
        <f>'12CH_GOC'!AX16</f>
        <v>0</v>
      </c>
      <c r="AW18" s="327">
        <f>'12CH_GOC'!AY16</f>
        <v>0</v>
      </c>
      <c r="AX18" s="327">
        <f>'12CH_GOC'!AZ16</f>
        <v>0</v>
      </c>
      <c r="AY18" s="327">
        <f>'12CH_GOC'!BA16</f>
        <v>0</v>
      </c>
      <c r="AZ18" s="327">
        <f>'12CH_GOC'!BB16</f>
        <v>0</v>
      </c>
      <c r="BA18" s="327">
        <f>'12CH_GOC'!BC16</f>
        <v>0</v>
      </c>
      <c r="BB18" s="327">
        <f>'12CH_GOC'!BD16</f>
        <v>0</v>
      </c>
      <c r="BC18" s="327">
        <f>'12CH_GOC'!BE16</f>
        <v>0</v>
      </c>
      <c r="BD18" s="327">
        <f>'12CH_GOC'!BF16</f>
        <v>0</v>
      </c>
      <c r="BE18" s="327">
        <f>'12CH_GOC'!BG16</f>
        <v>0</v>
      </c>
      <c r="BF18" s="327">
        <f>'12CH_GOC'!BH16</f>
        <v>0</v>
      </c>
      <c r="BG18" s="327">
        <f>'12CH_GOC'!BI16</f>
        <v>0</v>
      </c>
      <c r="BH18" s="327">
        <f>'12CH_GOC'!BJ16</f>
        <v>17.649999999999999</v>
      </c>
      <c r="BI18" s="327">
        <f>'12CH_GOC'!BK16</f>
        <v>-5.9999999999999982</v>
      </c>
      <c r="BJ18" s="326">
        <f>'12CH_GOC'!BM16</f>
        <v>5532.4</v>
      </c>
    </row>
    <row r="19" spans="1:64" s="743" customFormat="1" ht="24.95" hidden="1" customHeight="1">
      <c r="A19" s="313"/>
      <c r="B19" s="752" t="s">
        <v>195</v>
      </c>
      <c r="C19" s="753" t="s">
        <v>188</v>
      </c>
      <c r="D19" s="326"/>
      <c r="E19" s="326"/>
      <c r="F19" s="326"/>
      <c r="G19" s="326"/>
      <c r="H19" s="326"/>
      <c r="I19" s="326"/>
      <c r="J19" s="326"/>
      <c r="K19" s="326"/>
      <c r="L19" s="326"/>
      <c r="M19" s="326"/>
      <c r="N19" s="326"/>
      <c r="O19" s="326"/>
      <c r="P19" s="326"/>
      <c r="Q19" s="326"/>
      <c r="R19" s="326"/>
      <c r="S19" s="326"/>
      <c r="T19" s="326"/>
      <c r="U19" s="326"/>
      <c r="V19" s="326"/>
      <c r="W19" s="326"/>
      <c r="X19" s="326"/>
      <c r="Y19" s="326"/>
      <c r="Z19" s="326"/>
      <c r="AA19" s="326"/>
      <c r="AB19" s="326">
        <f t="shared" si="2"/>
        <v>0</v>
      </c>
      <c r="AC19" s="326"/>
      <c r="AD19" s="326"/>
      <c r="AE19" s="326"/>
      <c r="AF19" s="326"/>
      <c r="AG19" s="326"/>
      <c r="AH19" s="326"/>
      <c r="AI19" s="326"/>
      <c r="AJ19" s="326"/>
      <c r="AK19" s="326"/>
      <c r="AL19" s="326"/>
      <c r="AM19" s="326"/>
      <c r="AN19" s="326"/>
      <c r="AO19" s="326"/>
      <c r="AP19" s="326"/>
      <c r="AQ19" s="326"/>
      <c r="AR19" s="326"/>
      <c r="AS19" s="326"/>
      <c r="AT19" s="326"/>
      <c r="AU19" s="326"/>
      <c r="AV19" s="326"/>
      <c r="AW19" s="326"/>
      <c r="AX19" s="326"/>
      <c r="AY19" s="326"/>
      <c r="AZ19" s="326"/>
      <c r="BA19" s="326"/>
      <c r="BB19" s="326"/>
      <c r="BC19" s="326"/>
      <c r="BD19" s="326"/>
      <c r="BE19" s="326"/>
      <c r="BF19" s="326"/>
      <c r="BG19" s="326"/>
      <c r="BH19" s="326"/>
      <c r="BI19" s="326"/>
      <c r="BJ19" s="326">
        <f>'12CH_GOC'!BM17</f>
        <v>56251.4041</v>
      </c>
    </row>
    <row r="20" spans="1:64" s="743" customFormat="1" ht="24.95" hidden="1" customHeight="1">
      <c r="A20" s="313"/>
      <c r="B20" s="752" t="s">
        <v>196</v>
      </c>
      <c r="C20" s="753" t="s">
        <v>189</v>
      </c>
      <c r="D20" s="326"/>
      <c r="E20" s="326"/>
      <c r="F20" s="326"/>
      <c r="G20" s="326"/>
      <c r="H20" s="326"/>
      <c r="I20" s="326"/>
      <c r="J20" s="326"/>
      <c r="K20" s="326"/>
      <c r="L20" s="326"/>
      <c r="M20" s="326"/>
      <c r="N20" s="326"/>
      <c r="O20" s="326"/>
      <c r="P20" s="326"/>
      <c r="Q20" s="326"/>
      <c r="R20" s="326"/>
      <c r="S20" s="326"/>
      <c r="T20" s="326"/>
      <c r="U20" s="326"/>
      <c r="V20" s="326"/>
      <c r="W20" s="326"/>
      <c r="X20" s="326"/>
      <c r="Y20" s="326"/>
      <c r="Z20" s="326"/>
      <c r="AA20" s="326"/>
      <c r="AB20" s="326">
        <f t="shared" si="2"/>
        <v>0</v>
      </c>
      <c r="AC20" s="326"/>
      <c r="AD20" s="326"/>
      <c r="AE20" s="326"/>
      <c r="AF20" s="326"/>
      <c r="AG20" s="326"/>
      <c r="AH20" s="326"/>
      <c r="AI20" s="326"/>
      <c r="AJ20" s="326"/>
      <c r="AK20" s="326"/>
      <c r="AL20" s="326"/>
      <c r="AM20" s="326"/>
      <c r="AN20" s="326"/>
      <c r="AO20" s="326"/>
      <c r="AP20" s="326"/>
      <c r="AQ20" s="326"/>
      <c r="AR20" s="326"/>
      <c r="AS20" s="326"/>
      <c r="AT20" s="326"/>
      <c r="AU20" s="326"/>
      <c r="AV20" s="326"/>
      <c r="AW20" s="326"/>
      <c r="AX20" s="326"/>
      <c r="AY20" s="326"/>
      <c r="AZ20" s="326"/>
      <c r="BA20" s="326"/>
      <c r="BB20" s="326"/>
      <c r="BC20" s="326"/>
      <c r="BD20" s="326"/>
      <c r="BE20" s="326"/>
      <c r="BF20" s="326"/>
      <c r="BG20" s="326"/>
      <c r="BH20" s="326"/>
      <c r="BI20" s="326"/>
      <c r="BJ20" s="326">
        <f>'12CH_GOC'!BM18</f>
        <v>0</v>
      </c>
    </row>
    <row r="21" spans="1:64" s="743" customFormat="1" ht="21" customHeight="1">
      <c r="A21" s="313" t="s">
        <v>73</v>
      </c>
      <c r="B21" s="748" t="s">
        <v>72</v>
      </c>
      <c r="C21" s="313" t="s">
        <v>19</v>
      </c>
      <c r="D21" s="326">
        <f>'12CH_GOC'!D19</f>
        <v>288.79000000000002</v>
      </c>
      <c r="E21" s="326">
        <f>'12CH_GOC'!E19</f>
        <v>2.4800000000000004</v>
      </c>
      <c r="F21" s="326">
        <f>'12CH_GOC'!F19</f>
        <v>0</v>
      </c>
      <c r="G21" s="326">
        <f>'12CH_GOC'!G19</f>
        <v>0</v>
      </c>
      <c r="H21" s="326">
        <f>'12CH_GOC'!H19</f>
        <v>0</v>
      </c>
      <c r="I21" s="326">
        <f>'12CH_GOC'!I19</f>
        <v>0</v>
      </c>
      <c r="J21" s="326">
        <f>'12CH_GOC'!J19</f>
        <v>0.8</v>
      </c>
      <c r="K21" s="326">
        <f>'12CH_GOC'!K19</f>
        <v>0.73000000000000009</v>
      </c>
      <c r="L21" s="326">
        <f>'12CH_GOC'!L19</f>
        <v>0</v>
      </c>
      <c r="M21" s="326">
        <f>'12CH_GOC'!M19</f>
        <v>0</v>
      </c>
      <c r="N21" s="326">
        <f>'12CH_GOC'!N19</f>
        <v>0</v>
      </c>
      <c r="O21" s="326">
        <f>'12CH_GOC'!O19</f>
        <v>0</v>
      </c>
      <c r="P21" s="326">
        <f>'12CH_GOC'!P19</f>
        <v>0</v>
      </c>
      <c r="Q21" s="326">
        <f>'12CH_GOC'!Q19</f>
        <v>0</v>
      </c>
      <c r="R21" s="761">
        <f>'12CH_GOC'!R19</f>
        <v>268.65000000000003</v>
      </c>
      <c r="S21" s="326">
        <f>'12CH_GOC'!S19</f>
        <v>0</v>
      </c>
      <c r="T21" s="326">
        <f>'12CH_GOC'!T19</f>
        <v>0.95000000000000007</v>
      </c>
      <c r="U21" s="326">
        <f>'12CH_GOC'!U19</f>
        <v>17.66</v>
      </c>
      <c r="V21" s="326">
        <f>'12CH_GOC'!V19</f>
        <v>0.05</v>
      </c>
      <c r="W21" s="326">
        <f>'12CH_GOC'!W19</f>
        <v>0.01</v>
      </c>
      <c r="X21" s="326">
        <f>'12CH_GOC'!Y19</f>
        <v>1.93</v>
      </c>
      <c r="Y21" s="326">
        <f>'12CH_GOC'!Z19</f>
        <v>1.1900000000000002</v>
      </c>
      <c r="Z21" s="326">
        <f>'12CH_GOC'!AA19</f>
        <v>0.48</v>
      </c>
      <c r="AA21" s="326">
        <f>'12CH_GOC'!AB19</f>
        <v>3.19</v>
      </c>
      <c r="AB21" s="326">
        <f>SUM(AC21:AU21)</f>
        <v>3.58</v>
      </c>
      <c r="AC21" s="326">
        <f>'12CH_GOC'!AE19</f>
        <v>1.2700000000000002</v>
      </c>
      <c r="AD21" s="326">
        <f>'12CH_GOC'!AF19</f>
        <v>0.21000000000000002</v>
      </c>
      <c r="AE21" s="326">
        <f>'12CH_GOC'!AG19</f>
        <v>0.15</v>
      </c>
      <c r="AF21" s="326">
        <f>'12CH_GOC'!AH19</f>
        <v>0</v>
      </c>
      <c r="AG21" s="326">
        <f>'12CH_GOC'!AI19</f>
        <v>0.59000000000000008</v>
      </c>
      <c r="AH21" s="326">
        <f>'12CH_GOC'!AJ19</f>
        <v>0.03</v>
      </c>
      <c r="AI21" s="326">
        <f>'12CH_GOC'!AK19</f>
        <v>0.02</v>
      </c>
      <c r="AJ21" s="326">
        <f>'12CH_GOC'!AL19</f>
        <v>0</v>
      </c>
      <c r="AK21" s="326">
        <f>'12CH_GOC'!AM19</f>
        <v>0</v>
      </c>
      <c r="AL21" s="326">
        <f>'12CH_GOC'!AN19</f>
        <v>0.51</v>
      </c>
      <c r="AM21" s="326">
        <f>'12CH_GOC'!AO19</f>
        <v>0.35000000000000003</v>
      </c>
      <c r="AN21" s="326">
        <f>'12CH_GOC'!AP19</f>
        <v>0</v>
      </c>
      <c r="AO21" s="326">
        <f>'12CH_GOC'!AQ19</f>
        <v>0</v>
      </c>
      <c r="AP21" s="326">
        <f>'12CH_GOC'!AR19</f>
        <v>0</v>
      </c>
      <c r="AQ21" s="326">
        <f>'12CH_GOC'!AS19</f>
        <v>0</v>
      </c>
      <c r="AR21" s="326">
        <f>'12CH_GOC'!AT19</f>
        <v>0.3</v>
      </c>
      <c r="AS21" s="326">
        <f>'12CH_GOC'!AU19</f>
        <v>0</v>
      </c>
      <c r="AT21" s="326">
        <f>'12CH_GOC'!AV19</f>
        <v>0</v>
      </c>
      <c r="AU21" s="326">
        <f>'12CH_GOC'!AW19</f>
        <v>0.15</v>
      </c>
      <c r="AV21" s="326">
        <f>'12CH_GOC'!AX19</f>
        <v>4.8899999999999997</v>
      </c>
      <c r="AW21" s="326">
        <f>'12CH_GOC'!AY19</f>
        <v>1.35</v>
      </c>
      <c r="AX21" s="326">
        <f>'12CH_GOC'!AZ19</f>
        <v>0</v>
      </c>
      <c r="AY21" s="326">
        <f>'12CH_GOC'!BA19</f>
        <v>0</v>
      </c>
      <c r="AZ21" s="326">
        <f>'12CH_GOC'!BB19</f>
        <v>0</v>
      </c>
      <c r="BA21" s="326">
        <f>'12CH_GOC'!BC19</f>
        <v>0</v>
      </c>
      <c r="BB21" s="326">
        <f>'12CH_GOC'!BD19</f>
        <v>0</v>
      </c>
      <c r="BC21" s="326">
        <f>'12CH_GOC'!BE19</f>
        <v>0.05</v>
      </c>
      <c r="BD21" s="326">
        <f>'12CH_GOC'!BF19</f>
        <v>0.82</v>
      </c>
      <c r="BE21" s="326">
        <f>'12CH_GOC'!BG19</f>
        <v>0.02</v>
      </c>
      <c r="BF21" s="326">
        <f>'12CH_GOC'!BH19</f>
        <v>0.1</v>
      </c>
      <c r="BG21" s="326">
        <f>'12CH_GOC'!BI19</f>
        <v>0</v>
      </c>
      <c r="BH21" s="326">
        <f>'12CH_GOC'!BJ19</f>
        <v>20.14</v>
      </c>
      <c r="BI21" s="326">
        <f>'12CH_GOC'!BK19</f>
        <v>-13.32</v>
      </c>
      <c r="BJ21" s="326">
        <f>'12CH_GOC'!BM19</f>
        <v>275.47000000000003</v>
      </c>
    </row>
    <row r="22" spans="1:64" s="743" customFormat="1" ht="21.6" customHeight="1">
      <c r="A22" s="313" t="s">
        <v>86</v>
      </c>
      <c r="B22" s="750" t="s">
        <v>2749</v>
      </c>
      <c r="C22" s="744" t="s">
        <v>2752</v>
      </c>
      <c r="D22" s="326">
        <f>'12CH_GOC'!D20</f>
        <v>0</v>
      </c>
      <c r="E22" s="326">
        <f>'12CH_GOC'!E20</f>
        <v>0</v>
      </c>
      <c r="F22" s="326">
        <f>'12CH_GOC'!F20</f>
        <v>0</v>
      </c>
      <c r="G22" s="326">
        <f>'12CH_GOC'!G20</f>
        <v>0</v>
      </c>
      <c r="H22" s="326">
        <f>'12CH_GOC'!H20</f>
        <v>0</v>
      </c>
      <c r="I22" s="326">
        <f>'12CH_GOC'!I20</f>
        <v>0</v>
      </c>
      <c r="J22" s="326">
        <f>'12CH_GOC'!J20</f>
        <v>0</v>
      </c>
      <c r="K22" s="326">
        <f>'12CH_GOC'!K20</f>
        <v>0</v>
      </c>
      <c r="L22" s="326">
        <f>'12CH_GOC'!L20</f>
        <v>0</v>
      </c>
      <c r="M22" s="326">
        <f>'12CH_GOC'!M20</f>
        <v>0</v>
      </c>
      <c r="N22" s="326">
        <f>'12CH_GOC'!N20</f>
        <v>0</v>
      </c>
      <c r="O22" s="326">
        <f>'12CH_GOC'!O20</f>
        <v>0</v>
      </c>
      <c r="P22" s="326">
        <f>'12CH_GOC'!P20</f>
        <v>0</v>
      </c>
      <c r="Q22" s="326">
        <f>'12CH_GOC'!Q20</f>
        <v>0</v>
      </c>
      <c r="R22" s="326">
        <f>'12CH_GOC'!R20</f>
        <v>0</v>
      </c>
      <c r="S22" s="761">
        <f>'12CH_GOC'!S20</f>
        <v>0</v>
      </c>
      <c r="T22" s="326">
        <f>'12CH_GOC'!T20</f>
        <v>0</v>
      </c>
      <c r="U22" s="326">
        <f>'12CH_GOC'!U20</f>
        <v>0</v>
      </c>
      <c r="V22" s="326">
        <f>'12CH_GOC'!V20</f>
        <v>0</v>
      </c>
      <c r="W22" s="326">
        <f>'12CH_GOC'!W20</f>
        <v>0</v>
      </c>
      <c r="X22" s="326">
        <f>'12CH_GOC'!Y20</f>
        <v>0</v>
      </c>
      <c r="Y22" s="326">
        <f>'12CH_GOC'!Z20</f>
        <v>0</v>
      </c>
      <c r="Z22" s="326">
        <f>'12CH_GOC'!AA20</f>
        <v>0</v>
      </c>
      <c r="AA22" s="326">
        <f>'12CH_GOC'!AB20</f>
        <v>0</v>
      </c>
      <c r="AB22" s="326">
        <f>'12CH_GOC'!AD20</f>
        <v>0</v>
      </c>
      <c r="AC22" s="326">
        <f>'12CH_GOC'!AE20</f>
        <v>0</v>
      </c>
      <c r="AD22" s="326">
        <f>'12CH_GOC'!AF20</f>
        <v>0</v>
      </c>
      <c r="AE22" s="326">
        <f>'12CH_GOC'!AG20</f>
        <v>0</v>
      </c>
      <c r="AF22" s="326">
        <f>'12CH_GOC'!AH20</f>
        <v>0</v>
      </c>
      <c r="AG22" s="326">
        <f>'12CH_GOC'!AI20</f>
        <v>0</v>
      </c>
      <c r="AH22" s="326">
        <f>'12CH_GOC'!AJ20</f>
        <v>0</v>
      </c>
      <c r="AI22" s="326">
        <f>'12CH_GOC'!AK20</f>
        <v>0</v>
      </c>
      <c r="AJ22" s="326">
        <f>'12CH_GOC'!AL20</f>
        <v>0</v>
      </c>
      <c r="AK22" s="326">
        <f>'12CH_GOC'!AM20</f>
        <v>0</v>
      </c>
      <c r="AL22" s="326">
        <f>'12CH_GOC'!AN20</f>
        <v>0</v>
      </c>
      <c r="AM22" s="326">
        <f>'12CH_GOC'!AO20</f>
        <v>0</v>
      </c>
      <c r="AN22" s="326">
        <f>'12CH_GOC'!AP20</f>
        <v>0</v>
      </c>
      <c r="AO22" s="326">
        <f>'12CH_GOC'!AQ20</f>
        <v>0</v>
      </c>
      <c r="AP22" s="326">
        <f>'12CH_GOC'!AR20</f>
        <v>0</v>
      </c>
      <c r="AQ22" s="326">
        <f>'12CH_GOC'!AS20</f>
        <v>0</v>
      </c>
      <c r="AR22" s="326">
        <f>'12CH_GOC'!AT20</f>
        <v>0</v>
      </c>
      <c r="AS22" s="326">
        <f>'12CH_GOC'!AU20</f>
        <v>0</v>
      </c>
      <c r="AT22" s="326">
        <f>'12CH_GOC'!AV20</f>
        <v>0</v>
      </c>
      <c r="AU22" s="326">
        <f>'12CH_GOC'!AW20</f>
        <v>0</v>
      </c>
      <c r="AV22" s="326">
        <f>'12CH_GOC'!AX20</f>
        <v>0</v>
      </c>
      <c r="AW22" s="326">
        <f>'12CH_GOC'!AY20</f>
        <v>0</v>
      </c>
      <c r="AX22" s="326">
        <f>'12CH_GOC'!AZ20</f>
        <v>0</v>
      </c>
      <c r="AY22" s="326">
        <f>'12CH_GOC'!BA20</f>
        <v>0</v>
      </c>
      <c r="AZ22" s="326">
        <f>'12CH_GOC'!BB20</f>
        <v>0</v>
      </c>
      <c r="BA22" s="326">
        <f>'12CH_GOC'!BC20</f>
        <v>0</v>
      </c>
      <c r="BB22" s="326">
        <f>'12CH_GOC'!BD20</f>
        <v>0</v>
      </c>
      <c r="BC22" s="326">
        <f>'12CH_GOC'!BE20</f>
        <v>0</v>
      </c>
      <c r="BD22" s="326">
        <f>'12CH_GOC'!BF20</f>
        <v>0</v>
      </c>
      <c r="BE22" s="326">
        <f>'12CH_GOC'!BG20</f>
        <v>0</v>
      </c>
      <c r="BF22" s="326">
        <f>'12CH_GOC'!BH20</f>
        <v>0</v>
      </c>
      <c r="BG22" s="326">
        <f>'12CH_GOC'!BI20</f>
        <v>0</v>
      </c>
      <c r="BH22" s="326">
        <f>'12CH_GOC'!BJ20</f>
        <v>0</v>
      </c>
      <c r="BI22" s="326">
        <f>'12CH_GOC'!BK20</f>
        <v>0</v>
      </c>
      <c r="BJ22" s="326">
        <f>'12CH_GOC'!BM20</f>
        <v>0</v>
      </c>
    </row>
    <row r="23" spans="1:64" s="743" customFormat="1" ht="24.6" customHeight="1">
      <c r="A23" s="313" t="s">
        <v>2756</v>
      </c>
      <c r="B23" s="748" t="s">
        <v>89</v>
      </c>
      <c r="C23" s="313" t="s">
        <v>20</v>
      </c>
      <c r="D23" s="326">
        <f>'12CH_GOC'!D21</f>
        <v>1.31</v>
      </c>
      <c r="E23" s="326">
        <f>'12CH_GOC'!E21</f>
        <v>0</v>
      </c>
      <c r="F23" s="326">
        <f>'12CH_GOC'!F21</f>
        <v>0</v>
      </c>
      <c r="G23" s="326">
        <f>'12CH_GOC'!G21</f>
        <v>0</v>
      </c>
      <c r="H23" s="326">
        <f>'12CH_GOC'!H21</f>
        <v>0</v>
      </c>
      <c r="I23" s="326">
        <f>'12CH_GOC'!I21</f>
        <v>0</v>
      </c>
      <c r="J23" s="326">
        <f>'12CH_GOC'!J21</f>
        <v>0</v>
      </c>
      <c r="K23" s="326">
        <f>'12CH_GOC'!K21</f>
        <v>0</v>
      </c>
      <c r="L23" s="326">
        <f>'12CH_GOC'!L21</f>
        <v>0</v>
      </c>
      <c r="M23" s="326">
        <f>'12CH_GOC'!M21</f>
        <v>0</v>
      </c>
      <c r="N23" s="326">
        <f>'12CH_GOC'!N21</f>
        <v>0</v>
      </c>
      <c r="O23" s="326">
        <f>'12CH_GOC'!O21</f>
        <v>0</v>
      </c>
      <c r="P23" s="326">
        <f>'12CH_GOC'!P21</f>
        <v>0</v>
      </c>
      <c r="Q23" s="326">
        <f>'12CH_GOC'!Q21</f>
        <v>0</v>
      </c>
      <c r="R23" s="326">
        <f>'12CH_GOC'!R21</f>
        <v>0</v>
      </c>
      <c r="S23" s="326">
        <f>'12CH_GOC'!S21</f>
        <v>0</v>
      </c>
      <c r="T23" s="761">
        <f>'12CH_GOC'!T21</f>
        <v>1.31</v>
      </c>
      <c r="U23" s="326">
        <f>'12CH_GOC'!U21</f>
        <v>0</v>
      </c>
      <c r="V23" s="326">
        <f>'12CH_GOC'!V21</f>
        <v>0</v>
      </c>
      <c r="W23" s="326">
        <f>'12CH_GOC'!W21</f>
        <v>0</v>
      </c>
      <c r="X23" s="326">
        <f>'12CH_GOC'!Y21</f>
        <v>0</v>
      </c>
      <c r="Y23" s="326">
        <f>'12CH_GOC'!Z21</f>
        <v>0</v>
      </c>
      <c r="Z23" s="326">
        <f>'12CH_GOC'!AA21</f>
        <v>0</v>
      </c>
      <c r="AA23" s="326">
        <f>'12CH_GOC'!AB21</f>
        <v>0</v>
      </c>
      <c r="AB23" s="326">
        <f>'12CH_GOC'!AD21</f>
        <v>0</v>
      </c>
      <c r="AC23" s="326">
        <f>'12CH_GOC'!AE21</f>
        <v>0</v>
      </c>
      <c r="AD23" s="326">
        <f>'12CH_GOC'!AF21</f>
        <v>0</v>
      </c>
      <c r="AE23" s="326">
        <f>'12CH_GOC'!AG21</f>
        <v>0</v>
      </c>
      <c r="AF23" s="326">
        <f>'12CH_GOC'!AH21</f>
        <v>0</v>
      </c>
      <c r="AG23" s="326">
        <f>'12CH_GOC'!AI21</f>
        <v>0</v>
      </c>
      <c r="AH23" s="326">
        <f>'12CH_GOC'!AJ21</f>
        <v>0</v>
      </c>
      <c r="AI23" s="326">
        <f>'12CH_GOC'!AK21</f>
        <v>0</v>
      </c>
      <c r="AJ23" s="326">
        <f>'12CH_GOC'!AL21</f>
        <v>0</v>
      </c>
      <c r="AK23" s="326">
        <f>'12CH_GOC'!AM21</f>
        <v>0</v>
      </c>
      <c r="AL23" s="326">
        <f>'12CH_GOC'!AN21</f>
        <v>0</v>
      </c>
      <c r="AM23" s="326">
        <f>'12CH_GOC'!AO21</f>
        <v>0</v>
      </c>
      <c r="AN23" s="326">
        <f>'12CH_GOC'!AP21</f>
        <v>0</v>
      </c>
      <c r="AO23" s="326">
        <f>'12CH_GOC'!AQ21</f>
        <v>0</v>
      </c>
      <c r="AP23" s="326">
        <f>'12CH_GOC'!AR21</f>
        <v>0</v>
      </c>
      <c r="AQ23" s="326">
        <f>'12CH_GOC'!AS21</f>
        <v>0</v>
      </c>
      <c r="AR23" s="326">
        <f>'12CH_GOC'!AT21</f>
        <v>0</v>
      </c>
      <c r="AS23" s="326">
        <f>'12CH_GOC'!AU21</f>
        <v>0</v>
      </c>
      <c r="AT23" s="326">
        <f>'12CH_GOC'!AV21</f>
        <v>0</v>
      </c>
      <c r="AU23" s="326">
        <f>'12CH_GOC'!AW21</f>
        <v>0</v>
      </c>
      <c r="AV23" s="326">
        <f>'12CH_GOC'!AX21</f>
        <v>0</v>
      </c>
      <c r="AW23" s="326">
        <f>'12CH_GOC'!AY21</f>
        <v>0</v>
      </c>
      <c r="AX23" s="326">
        <f>'12CH_GOC'!AZ21</f>
        <v>0</v>
      </c>
      <c r="AY23" s="326">
        <f>'12CH_GOC'!BA21</f>
        <v>0</v>
      </c>
      <c r="AZ23" s="326">
        <f>'12CH_GOC'!BB21</f>
        <v>0</v>
      </c>
      <c r="BA23" s="326">
        <f>'12CH_GOC'!BC21</f>
        <v>0</v>
      </c>
      <c r="BB23" s="326">
        <f>'12CH_GOC'!BD21</f>
        <v>0</v>
      </c>
      <c r="BC23" s="326">
        <f>'12CH_GOC'!BE21</f>
        <v>0</v>
      </c>
      <c r="BD23" s="326">
        <f>'12CH_GOC'!BF21</f>
        <v>0</v>
      </c>
      <c r="BE23" s="326">
        <f>'12CH_GOC'!BG21</f>
        <v>0</v>
      </c>
      <c r="BF23" s="326">
        <f>'12CH_GOC'!BH21</f>
        <v>0</v>
      </c>
      <c r="BG23" s="326">
        <f>'12CH_GOC'!BI21</f>
        <v>0</v>
      </c>
      <c r="BH23" s="326">
        <f>'12CH_GOC'!BJ21</f>
        <v>0</v>
      </c>
      <c r="BI23" s="326">
        <f>'12CH_GOC'!BK21</f>
        <v>340.78</v>
      </c>
      <c r="BJ23" s="326">
        <f>'12CH_GOC'!BM21</f>
        <v>342.09</v>
      </c>
    </row>
    <row r="24" spans="1:64" s="743" customFormat="1" ht="24.95" customHeight="1">
      <c r="A24" s="294">
        <v>2</v>
      </c>
      <c r="B24" s="747" t="s">
        <v>21</v>
      </c>
      <c r="C24" s="294" t="s">
        <v>22</v>
      </c>
      <c r="D24" s="325">
        <f>'12CH_GOC'!D22</f>
        <v>8216.66</v>
      </c>
      <c r="E24" s="325">
        <f t="shared" ref="E24:T24" si="3">SUM(E25:E31)+SUM(E52:E61)</f>
        <v>0.25</v>
      </c>
      <c r="F24" s="325">
        <f t="shared" si="3"/>
        <v>0</v>
      </c>
      <c r="G24" s="325">
        <f t="shared" si="3"/>
        <v>0</v>
      </c>
      <c r="H24" s="325">
        <f t="shared" si="3"/>
        <v>0</v>
      </c>
      <c r="I24" s="325">
        <f t="shared" si="3"/>
        <v>0</v>
      </c>
      <c r="J24" s="325">
        <f t="shared" si="3"/>
        <v>7.0000000000000007E-2</v>
      </c>
      <c r="K24" s="325">
        <f t="shared" si="3"/>
        <v>0</v>
      </c>
      <c r="L24" s="325">
        <f t="shared" si="3"/>
        <v>0</v>
      </c>
      <c r="M24" s="325">
        <f t="shared" si="3"/>
        <v>0</v>
      </c>
      <c r="N24" s="325">
        <f t="shared" si="3"/>
        <v>0.03</v>
      </c>
      <c r="O24" s="325">
        <f t="shared" si="3"/>
        <v>0</v>
      </c>
      <c r="P24" s="325">
        <f t="shared" si="3"/>
        <v>0.03</v>
      </c>
      <c r="Q24" s="325">
        <f t="shared" si="3"/>
        <v>0</v>
      </c>
      <c r="R24" s="325">
        <f t="shared" si="3"/>
        <v>0.03</v>
      </c>
      <c r="S24" s="325">
        <f t="shared" si="3"/>
        <v>0</v>
      </c>
      <c r="T24" s="325">
        <f t="shared" si="3"/>
        <v>0.12</v>
      </c>
      <c r="U24" s="760">
        <f>D24-E24-BG24</f>
        <v>8216.41</v>
      </c>
      <c r="V24" s="325">
        <f>SUM(V26:V31)+SUM(V52:V61)</f>
        <v>0.87000000000000011</v>
      </c>
      <c r="W24" s="325">
        <f>W25+SUM(W27:W31)+SUM(W52:W61)</f>
        <v>0.52000000000000013</v>
      </c>
      <c r="X24" s="325">
        <f>X25+X26+X28+X29+X30+X31+X52+X53+X54+X58+X59+X60+X61</f>
        <v>5.96</v>
      </c>
      <c r="Y24" s="325">
        <f>SUM(Y25:Y27)+SUM(Y29:Y31)+SUM(Y52:Y61)</f>
        <v>7.48</v>
      </c>
      <c r="Z24" s="325">
        <f>SUM(Z25:Z28)+Z30+Z31+SUM(Z52:Z61)</f>
        <v>53.07</v>
      </c>
      <c r="AA24" s="325">
        <f>SUM(AA25:AA29)+AA31+SUM(AA52:AA61)</f>
        <v>20.99</v>
      </c>
      <c r="AB24" s="325">
        <f>SUM(AB25:AB30)+SUM(AB52:AB61)</f>
        <v>65.714999999999989</v>
      </c>
      <c r="AC24" s="325">
        <f>SUM(AC25:AC31)+SUM(AC52:AC61)</f>
        <v>16.190000000000001</v>
      </c>
      <c r="AD24" s="325">
        <f t="shared" ref="AD24:AV24" si="4">SUM(AD25:AD31)+SUM(AD52:AD61)</f>
        <v>3.0700000000000003</v>
      </c>
      <c r="AE24" s="325">
        <f t="shared" si="4"/>
        <v>16.48</v>
      </c>
      <c r="AF24" s="325">
        <f t="shared" si="4"/>
        <v>7.1099999999999994</v>
      </c>
      <c r="AG24" s="325">
        <f t="shared" si="4"/>
        <v>65.31</v>
      </c>
      <c r="AH24" s="325">
        <f t="shared" si="4"/>
        <v>21.119999999999997</v>
      </c>
      <c r="AI24" s="325">
        <f t="shared" si="4"/>
        <v>33.770000000000003</v>
      </c>
      <c r="AJ24" s="325">
        <f t="shared" si="4"/>
        <v>0.92000000000000015</v>
      </c>
      <c r="AK24" s="325">
        <f t="shared" si="4"/>
        <v>0</v>
      </c>
      <c r="AL24" s="325">
        <f t="shared" si="4"/>
        <v>41.370000000000005</v>
      </c>
      <c r="AM24" s="325">
        <f t="shared" si="4"/>
        <v>449.4500000000001</v>
      </c>
      <c r="AN24" s="325">
        <f t="shared" si="4"/>
        <v>1.5599999999999998</v>
      </c>
      <c r="AO24" s="325">
        <f t="shared" si="4"/>
        <v>101.36999999999999</v>
      </c>
      <c r="AP24" s="325">
        <f t="shared" si="4"/>
        <v>0</v>
      </c>
      <c r="AQ24" s="325">
        <f t="shared" si="4"/>
        <v>0.02</v>
      </c>
      <c r="AR24" s="325">
        <f t="shared" si="4"/>
        <v>4.0100000000000007</v>
      </c>
      <c r="AS24" s="325">
        <f t="shared" si="4"/>
        <v>0.58000000000000007</v>
      </c>
      <c r="AT24" s="325">
        <f t="shared" si="4"/>
        <v>12.78</v>
      </c>
      <c r="AU24" s="325">
        <f t="shared" si="4"/>
        <v>4.415</v>
      </c>
      <c r="AV24" s="325">
        <f t="shared" si="4"/>
        <v>940.70499999999993</v>
      </c>
      <c r="AW24" s="325">
        <f>'12CH_GOC'!AY22</f>
        <v>4.71</v>
      </c>
      <c r="AX24" s="325">
        <f>'12CH_GOC'!AZ22</f>
        <v>0.52</v>
      </c>
      <c r="AY24" s="325">
        <f>'12CH_GOC'!BA22</f>
        <v>0</v>
      </c>
      <c r="AZ24" s="325">
        <f>'12CH_GOC'!BB22</f>
        <v>0</v>
      </c>
      <c r="BA24" s="325">
        <f>'12CH_GOC'!BC22</f>
        <v>0</v>
      </c>
      <c r="BB24" s="325">
        <f>'12CH_GOC'!BD22</f>
        <v>0</v>
      </c>
      <c r="BC24" s="325">
        <f>'12CH_GOC'!BE22</f>
        <v>0.08</v>
      </c>
      <c r="BD24" s="325">
        <f>'12CH_GOC'!BF22</f>
        <v>4.4200000000000008</v>
      </c>
      <c r="BE24" s="325">
        <f>'12CH_GOC'!BG22</f>
        <v>1.73</v>
      </c>
      <c r="BF24" s="325">
        <f>'12CH_GOC'!BH22</f>
        <v>0.5</v>
      </c>
      <c r="BG24" s="325">
        <f>'12CH_GOC'!BI22</f>
        <v>0</v>
      </c>
      <c r="BH24" s="325">
        <f>'12CH_GOC'!BJ22</f>
        <v>0.25</v>
      </c>
      <c r="BI24" s="325">
        <f>'12CH_GOC'!BK22</f>
        <v>1770.3073200000001</v>
      </c>
      <c r="BJ24" s="325">
        <f>'12CH_GOC'!BM22</f>
        <v>9986.9673199999997</v>
      </c>
    </row>
    <row r="25" spans="1:64" s="743" customFormat="1" ht="24.95" customHeight="1">
      <c r="A25" s="313" t="s">
        <v>23</v>
      </c>
      <c r="B25" s="748" t="s">
        <v>65</v>
      </c>
      <c r="C25" s="313" t="s">
        <v>26</v>
      </c>
      <c r="D25" s="326">
        <f>'12CH_GOC'!D23</f>
        <v>1736.52</v>
      </c>
      <c r="E25" s="326">
        <f>'12CH_GOC'!E23</f>
        <v>0</v>
      </c>
      <c r="F25" s="326">
        <f>'12CH_GOC'!F23</f>
        <v>0</v>
      </c>
      <c r="G25" s="326">
        <f>'12CH_GOC'!G23</f>
        <v>0</v>
      </c>
      <c r="H25" s="326">
        <f>'12CH_GOC'!H23</f>
        <v>0</v>
      </c>
      <c r="I25" s="326">
        <f>'12CH_GOC'!I23</f>
        <v>0</v>
      </c>
      <c r="J25" s="326">
        <f>'12CH_GOC'!J23</f>
        <v>0</v>
      </c>
      <c r="K25" s="326">
        <f>'12CH_GOC'!K23</f>
        <v>0</v>
      </c>
      <c r="L25" s="326">
        <f>'12CH_GOC'!L23</f>
        <v>0</v>
      </c>
      <c r="M25" s="326">
        <f>'12CH_GOC'!M23</f>
        <v>0</v>
      </c>
      <c r="N25" s="326">
        <f>'12CH_GOC'!N23</f>
        <v>0</v>
      </c>
      <c r="O25" s="326">
        <f>'12CH_GOC'!O23</f>
        <v>0</v>
      </c>
      <c r="P25" s="326">
        <f>'12CH_GOC'!P23</f>
        <v>0</v>
      </c>
      <c r="Q25" s="326">
        <f>'12CH_GOC'!Q23</f>
        <v>0</v>
      </c>
      <c r="R25" s="326">
        <f>'12CH_GOC'!R23</f>
        <v>0</v>
      </c>
      <c r="S25" s="326">
        <f>'12CH_GOC'!S23</f>
        <v>0</v>
      </c>
      <c r="T25" s="326">
        <f>'12CH_GOC'!T23</f>
        <v>0</v>
      </c>
      <c r="U25" s="326">
        <f>'12CH_GOC'!U23</f>
        <v>0.25</v>
      </c>
      <c r="V25" s="761">
        <f>'12CH_GOC'!V23</f>
        <v>1736.27</v>
      </c>
      <c r="W25" s="326">
        <f>'12CH_GOC'!W23</f>
        <v>0</v>
      </c>
      <c r="X25" s="326">
        <f>'12CH_GOC'!Y23</f>
        <v>0</v>
      </c>
      <c r="Y25" s="326">
        <f>'12CH_GOC'!Z23</f>
        <v>0</v>
      </c>
      <c r="Z25" s="326">
        <f>'12CH_GOC'!AA23</f>
        <v>0</v>
      </c>
      <c r="AA25" s="326">
        <f>'12CH_GOC'!AB23</f>
        <v>0</v>
      </c>
      <c r="AB25" s="326">
        <f t="shared" ref="AB25:AB30" si="5">SUM(AC25:AU25)</f>
        <v>0.25</v>
      </c>
      <c r="AC25" s="326">
        <f>'12CH_GOC'!AE23</f>
        <v>0</v>
      </c>
      <c r="AD25" s="326">
        <f>'12CH_GOC'!AF23</f>
        <v>0</v>
      </c>
      <c r="AE25" s="326">
        <f>'12CH_GOC'!AG23</f>
        <v>0</v>
      </c>
      <c r="AF25" s="326">
        <f>'12CH_GOC'!AH23</f>
        <v>0</v>
      </c>
      <c r="AG25" s="326">
        <f>'12CH_GOC'!AI23</f>
        <v>0</v>
      </c>
      <c r="AH25" s="326">
        <f>'12CH_GOC'!AJ23</f>
        <v>0</v>
      </c>
      <c r="AI25" s="326">
        <f>'12CH_GOC'!AK23</f>
        <v>0</v>
      </c>
      <c r="AJ25" s="326">
        <f>'12CH_GOC'!AL23</f>
        <v>0</v>
      </c>
      <c r="AK25" s="326">
        <f>'12CH_GOC'!AM23</f>
        <v>0</v>
      </c>
      <c r="AL25" s="326">
        <f>'12CH_GOC'!AN23</f>
        <v>0.25</v>
      </c>
      <c r="AM25" s="326">
        <f>'12CH_GOC'!AO23</f>
        <v>0</v>
      </c>
      <c r="AN25" s="326">
        <f>'12CH_GOC'!AP23</f>
        <v>0</v>
      </c>
      <c r="AO25" s="326">
        <f>'12CH_GOC'!AQ23</f>
        <v>0</v>
      </c>
      <c r="AP25" s="326">
        <f>'12CH_GOC'!AR23</f>
        <v>0</v>
      </c>
      <c r="AQ25" s="326">
        <f>'12CH_GOC'!AS23</f>
        <v>0</v>
      </c>
      <c r="AR25" s="326">
        <f>'12CH_GOC'!AT23</f>
        <v>0</v>
      </c>
      <c r="AS25" s="326">
        <f>'12CH_GOC'!AU23</f>
        <v>0</v>
      </c>
      <c r="AT25" s="326">
        <f>'12CH_GOC'!AV23</f>
        <v>0</v>
      </c>
      <c r="AU25" s="326">
        <f>'12CH_GOC'!AW23</f>
        <v>0</v>
      </c>
      <c r="AV25" s="326">
        <f>'12CH_GOC'!AX23</f>
        <v>0</v>
      </c>
      <c r="AW25" s="326">
        <f>'12CH_GOC'!AY23</f>
        <v>0</v>
      </c>
      <c r="AX25" s="326">
        <f>'12CH_GOC'!AZ23</f>
        <v>0</v>
      </c>
      <c r="AY25" s="326">
        <f>'12CH_GOC'!BA23</f>
        <v>0</v>
      </c>
      <c r="AZ25" s="326">
        <f>'12CH_GOC'!BB23</f>
        <v>0</v>
      </c>
      <c r="BA25" s="326">
        <f>'12CH_GOC'!BC23</f>
        <v>0</v>
      </c>
      <c r="BB25" s="326">
        <f>'12CH_GOC'!BD23</f>
        <v>0</v>
      </c>
      <c r="BC25" s="326">
        <f>'12CH_GOC'!BE23</f>
        <v>0</v>
      </c>
      <c r="BD25" s="326">
        <f>'12CH_GOC'!BF23</f>
        <v>0</v>
      </c>
      <c r="BE25" s="326">
        <f>'12CH_GOC'!BG23</f>
        <v>0</v>
      </c>
      <c r="BF25" s="326">
        <f>'12CH_GOC'!BH23</f>
        <v>0</v>
      </c>
      <c r="BG25" s="326">
        <f>'12CH_GOC'!BI23</f>
        <v>0</v>
      </c>
      <c r="BH25" s="326">
        <f>'12CH_GOC'!BJ23</f>
        <v>0.25</v>
      </c>
      <c r="BI25" s="326">
        <f>'12CH_GOC'!BK23</f>
        <v>115.83</v>
      </c>
      <c r="BJ25" s="326">
        <f>'12CH_GOC'!BM23</f>
        <v>1852.35</v>
      </c>
    </row>
    <row r="26" spans="1:64" s="743" customFormat="1" ht="24.95" customHeight="1">
      <c r="A26" s="313" t="s">
        <v>25</v>
      </c>
      <c r="B26" s="748" t="s">
        <v>66</v>
      </c>
      <c r="C26" s="313" t="s">
        <v>28</v>
      </c>
      <c r="D26" s="326">
        <f>'12CH_GOC'!D24</f>
        <v>8.0200000000000014</v>
      </c>
      <c r="E26" s="326">
        <f>'12CH_GOC'!E24</f>
        <v>0</v>
      </c>
      <c r="F26" s="326">
        <f>'12CH_GOC'!F24</f>
        <v>0</v>
      </c>
      <c r="G26" s="326">
        <f>'12CH_GOC'!G24</f>
        <v>0</v>
      </c>
      <c r="H26" s="326">
        <f>'12CH_GOC'!H24</f>
        <v>0</v>
      </c>
      <c r="I26" s="326">
        <f>'12CH_GOC'!I24</f>
        <v>0</v>
      </c>
      <c r="J26" s="326">
        <f>'12CH_GOC'!J24</f>
        <v>0</v>
      </c>
      <c r="K26" s="326">
        <f>'12CH_GOC'!K24</f>
        <v>0</v>
      </c>
      <c r="L26" s="326">
        <f>'12CH_GOC'!L24</f>
        <v>0</v>
      </c>
      <c r="M26" s="326">
        <f>'12CH_GOC'!M24</f>
        <v>0</v>
      </c>
      <c r="N26" s="326">
        <f>'12CH_GOC'!N24</f>
        <v>0</v>
      </c>
      <c r="O26" s="326">
        <f>'12CH_GOC'!O24</f>
        <v>0</v>
      </c>
      <c r="P26" s="326">
        <f>'12CH_GOC'!P24</f>
        <v>0</v>
      </c>
      <c r="Q26" s="326">
        <f>'12CH_GOC'!Q24</f>
        <v>0</v>
      </c>
      <c r="R26" s="326">
        <f>'12CH_GOC'!R24</f>
        <v>0</v>
      </c>
      <c r="S26" s="326">
        <f>'12CH_GOC'!S24</f>
        <v>0</v>
      </c>
      <c r="T26" s="326">
        <f>'12CH_GOC'!T24</f>
        <v>0</v>
      </c>
      <c r="U26" s="326">
        <f>'12CH_GOC'!U24</f>
        <v>4.6399999999999997</v>
      </c>
      <c r="V26" s="326">
        <f>'12CH_GOC'!V24</f>
        <v>0</v>
      </c>
      <c r="W26" s="761">
        <f>'12CH_GOC'!W24</f>
        <v>3.3800000000000017</v>
      </c>
      <c r="X26" s="326">
        <f>'12CH_GOC'!Y24</f>
        <v>0</v>
      </c>
      <c r="Y26" s="326">
        <f>'12CH_GOC'!Z24</f>
        <v>0</v>
      </c>
      <c r="Z26" s="326">
        <f>'12CH_GOC'!AA24</f>
        <v>0</v>
      </c>
      <c r="AA26" s="326">
        <f>'12CH_GOC'!AB24</f>
        <v>0</v>
      </c>
      <c r="AB26" s="326">
        <f t="shared" si="5"/>
        <v>1.78</v>
      </c>
      <c r="AC26" s="326">
        <f>'12CH_GOC'!AE24</f>
        <v>1.48</v>
      </c>
      <c r="AD26" s="326">
        <f>'12CH_GOC'!AF24</f>
        <v>0</v>
      </c>
      <c r="AE26" s="326">
        <f>'12CH_GOC'!AG24</f>
        <v>0.14000000000000001</v>
      </c>
      <c r="AF26" s="326">
        <f>'12CH_GOC'!AH24</f>
        <v>0</v>
      </c>
      <c r="AG26" s="326">
        <f>'12CH_GOC'!AI24</f>
        <v>0</v>
      </c>
      <c r="AH26" s="326">
        <f>'12CH_GOC'!AJ24</f>
        <v>0</v>
      </c>
      <c r="AI26" s="326">
        <f>'12CH_GOC'!AK24</f>
        <v>0</v>
      </c>
      <c r="AJ26" s="326">
        <f>'12CH_GOC'!AL24</f>
        <v>0</v>
      </c>
      <c r="AK26" s="326">
        <f>'12CH_GOC'!AM24</f>
        <v>0</v>
      </c>
      <c r="AL26" s="326">
        <f>'12CH_GOC'!AN24</f>
        <v>0.16</v>
      </c>
      <c r="AM26" s="326">
        <f>'12CH_GOC'!AO24</f>
        <v>0</v>
      </c>
      <c r="AN26" s="326">
        <f>'12CH_GOC'!AP24</f>
        <v>0</v>
      </c>
      <c r="AO26" s="326">
        <f>'12CH_GOC'!AQ24</f>
        <v>0</v>
      </c>
      <c r="AP26" s="326">
        <f>'12CH_GOC'!AR24</f>
        <v>0</v>
      </c>
      <c r="AQ26" s="326">
        <f>'12CH_GOC'!AS24</f>
        <v>0</v>
      </c>
      <c r="AR26" s="326">
        <f>'12CH_GOC'!AT24</f>
        <v>0</v>
      </c>
      <c r="AS26" s="326">
        <f>'12CH_GOC'!AU24</f>
        <v>0</v>
      </c>
      <c r="AT26" s="326">
        <f>'12CH_GOC'!AV24</f>
        <v>0</v>
      </c>
      <c r="AU26" s="326">
        <f>'12CH_GOC'!AW24</f>
        <v>0</v>
      </c>
      <c r="AV26" s="326">
        <f>'12CH_GOC'!AX24</f>
        <v>0</v>
      </c>
      <c r="AW26" s="326">
        <f>'12CH_GOC'!AY24</f>
        <v>2.86</v>
      </c>
      <c r="AX26" s="326">
        <f>'12CH_GOC'!AZ24</f>
        <v>0</v>
      </c>
      <c r="AY26" s="326">
        <f>'12CH_GOC'!BA24</f>
        <v>0</v>
      </c>
      <c r="AZ26" s="326">
        <f>'12CH_GOC'!BB24</f>
        <v>0</v>
      </c>
      <c r="BA26" s="326">
        <f>'12CH_GOC'!BC24</f>
        <v>0</v>
      </c>
      <c r="BB26" s="326">
        <f>'12CH_GOC'!BD24</f>
        <v>0</v>
      </c>
      <c r="BC26" s="326">
        <f>'12CH_GOC'!BE24</f>
        <v>0</v>
      </c>
      <c r="BD26" s="326">
        <f>'12CH_GOC'!BF24</f>
        <v>0</v>
      </c>
      <c r="BE26" s="326">
        <f>'12CH_GOC'!BG24</f>
        <v>0</v>
      </c>
      <c r="BF26" s="326">
        <f>'12CH_GOC'!BH24</f>
        <v>0</v>
      </c>
      <c r="BG26" s="326">
        <f>'12CH_GOC'!BI24</f>
        <v>0</v>
      </c>
      <c r="BH26" s="326">
        <f>'12CH_GOC'!BJ24</f>
        <v>4.6399999999999997</v>
      </c>
      <c r="BI26" s="326">
        <f>'12CH_GOC'!BK24</f>
        <v>8.0300000000000011</v>
      </c>
      <c r="BJ26" s="326">
        <f>'12CH_GOC'!BM24</f>
        <v>16.050000000000004</v>
      </c>
    </row>
    <row r="27" spans="1:64" s="743" customFormat="1" ht="24.95" customHeight="1">
      <c r="A27" s="313" t="s">
        <v>27</v>
      </c>
      <c r="B27" s="748" t="s">
        <v>90</v>
      </c>
      <c r="C27" s="313" t="s">
        <v>91</v>
      </c>
      <c r="D27" s="326">
        <f>'12CH_GOC'!D26</f>
        <v>3.25</v>
      </c>
      <c r="E27" s="326">
        <f>'12CH_GOC'!E26</f>
        <v>0</v>
      </c>
      <c r="F27" s="326">
        <f>'12CH_GOC'!F26</f>
        <v>0</v>
      </c>
      <c r="G27" s="326">
        <f>'12CH_GOC'!G26</f>
        <v>0</v>
      </c>
      <c r="H27" s="326">
        <f>'12CH_GOC'!H26</f>
        <v>0</v>
      </c>
      <c r="I27" s="326">
        <f>'12CH_GOC'!I26</f>
        <v>0</v>
      </c>
      <c r="J27" s="326">
        <f>'12CH_GOC'!J26</f>
        <v>0</v>
      </c>
      <c r="K27" s="326">
        <f>'12CH_GOC'!K26</f>
        <v>0</v>
      </c>
      <c r="L27" s="326">
        <f>'12CH_GOC'!L26</f>
        <v>0</v>
      </c>
      <c r="M27" s="326">
        <f>'12CH_GOC'!M26</f>
        <v>0</v>
      </c>
      <c r="N27" s="326">
        <f>'12CH_GOC'!N26</f>
        <v>0</v>
      </c>
      <c r="O27" s="326">
        <f>'12CH_GOC'!O26</f>
        <v>0</v>
      </c>
      <c r="P27" s="326">
        <f>'12CH_GOC'!P26</f>
        <v>0</v>
      </c>
      <c r="Q27" s="326">
        <f>'12CH_GOC'!Q26</f>
        <v>0</v>
      </c>
      <c r="R27" s="326">
        <f>'12CH_GOC'!R26</f>
        <v>0</v>
      </c>
      <c r="S27" s="326">
        <f>'12CH_GOC'!S26</f>
        <v>0</v>
      </c>
      <c r="T27" s="326">
        <f>'12CH_GOC'!T26</f>
        <v>0</v>
      </c>
      <c r="U27" s="326">
        <f>'12CH_GOC'!U26</f>
        <v>0</v>
      </c>
      <c r="V27" s="326">
        <f>'12CH_GOC'!V26</f>
        <v>0</v>
      </c>
      <c r="W27" s="326">
        <f>'12CH_GOC'!W26</f>
        <v>0</v>
      </c>
      <c r="X27" s="761">
        <f>'12CH_GOC'!Y26</f>
        <v>3.25</v>
      </c>
      <c r="Y27" s="326">
        <f>'12CH_GOC'!Z26</f>
        <v>0</v>
      </c>
      <c r="Z27" s="326">
        <f>'12CH_GOC'!AA26</f>
        <v>0</v>
      </c>
      <c r="AA27" s="326">
        <f>'12CH_GOC'!AB26</f>
        <v>0</v>
      </c>
      <c r="AB27" s="326">
        <f t="shared" si="5"/>
        <v>0</v>
      </c>
      <c r="AC27" s="326">
        <f>'12CH_GOC'!AE26</f>
        <v>0</v>
      </c>
      <c r="AD27" s="326">
        <f>'12CH_GOC'!AF26</f>
        <v>0</v>
      </c>
      <c r="AE27" s="326">
        <f>'12CH_GOC'!AG26</f>
        <v>0</v>
      </c>
      <c r="AF27" s="326">
        <f>'12CH_GOC'!AH26</f>
        <v>0</v>
      </c>
      <c r="AG27" s="326">
        <f>'12CH_GOC'!AI26</f>
        <v>0</v>
      </c>
      <c r="AH27" s="326">
        <f>'12CH_GOC'!AJ26</f>
        <v>0</v>
      </c>
      <c r="AI27" s="326">
        <f>'12CH_GOC'!AK26</f>
        <v>0</v>
      </c>
      <c r="AJ27" s="326">
        <f>'12CH_GOC'!AL26</f>
        <v>0</v>
      </c>
      <c r="AK27" s="326">
        <f>'12CH_GOC'!AM26</f>
        <v>0</v>
      </c>
      <c r="AL27" s="326">
        <f>'12CH_GOC'!AN26</f>
        <v>0</v>
      </c>
      <c r="AM27" s="326">
        <f>'12CH_GOC'!AO26</f>
        <v>0</v>
      </c>
      <c r="AN27" s="326">
        <f>'12CH_GOC'!AP26</f>
        <v>0</v>
      </c>
      <c r="AO27" s="326">
        <f>'12CH_GOC'!AQ26</f>
        <v>0</v>
      </c>
      <c r="AP27" s="326">
        <f>'12CH_GOC'!AR26</f>
        <v>0</v>
      </c>
      <c r="AQ27" s="326">
        <f>'12CH_GOC'!AS26</f>
        <v>0</v>
      </c>
      <c r="AR27" s="326">
        <f>'12CH_GOC'!AT26</f>
        <v>0</v>
      </c>
      <c r="AS27" s="326">
        <f>'12CH_GOC'!AU26</f>
        <v>0</v>
      </c>
      <c r="AT27" s="326">
        <f>'12CH_GOC'!AV26</f>
        <v>0</v>
      </c>
      <c r="AU27" s="326">
        <f>'12CH_GOC'!AW26</f>
        <v>0</v>
      </c>
      <c r="AV27" s="326">
        <f>'12CH_GOC'!AX26</f>
        <v>0</v>
      </c>
      <c r="AW27" s="326">
        <f>'12CH_GOC'!AY26</f>
        <v>0</v>
      </c>
      <c r="AX27" s="326">
        <f>'12CH_GOC'!AZ26</f>
        <v>0</v>
      </c>
      <c r="AY27" s="326">
        <f>'12CH_GOC'!BA26</f>
        <v>0</v>
      </c>
      <c r="AZ27" s="326">
        <f>'12CH_GOC'!BB26</f>
        <v>0</v>
      </c>
      <c r="BA27" s="326">
        <f>'12CH_GOC'!BC26</f>
        <v>0</v>
      </c>
      <c r="BB27" s="326">
        <f>'12CH_GOC'!BD26</f>
        <v>0</v>
      </c>
      <c r="BC27" s="326">
        <f>'12CH_GOC'!BE26</f>
        <v>0</v>
      </c>
      <c r="BD27" s="326">
        <f>'12CH_GOC'!BF26</f>
        <v>0</v>
      </c>
      <c r="BE27" s="326">
        <f>'12CH_GOC'!BG26</f>
        <v>0</v>
      </c>
      <c r="BF27" s="326">
        <f>'12CH_GOC'!BH26</f>
        <v>0</v>
      </c>
      <c r="BG27" s="326">
        <f>'12CH_GOC'!BI26</f>
        <v>0</v>
      </c>
      <c r="BH27" s="326">
        <f>'12CH_GOC'!BJ26</f>
        <v>0</v>
      </c>
      <c r="BI27" s="326">
        <f>'12CH_GOC'!BK26</f>
        <v>122.1</v>
      </c>
      <c r="BJ27" s="326">
        <f>'12CH_GOC'!BM26</f>
        <v>125.35</v>
      </c>
    </row>
    <row r="28" spans="1:64" s="743" customFormat="1" ht="24.95" customHeight="1">
      <c r="A28" s="313" t="s">
        <v>29</v>
      </c>
      <c r="B28" s="748" t="s">
        <v>92</v>
      </c>
      <c r="C28" s="313" t="s">
        <v>93</v>
      </c>
      <c r="D28" s="326">
        <f>'12CH_GOC'!D27</f>
        <v>19.97</v>
      </c>
      <c r="E28" s="326">
        <f>'12CH_GOC'!E27</f>
        <v>0</v>
      </c>
      <c r="F28" s="326">
        <f>'12CH_GOC'!F27</f>
        <v>0</v>
      </c>
      <c r="G28" s="326">
        <f>'12CH_GOC'!G27</f>
        <v>0</v>
      </c>
      <c r="H28" s="326">
        <f>'12CH_GOC'!H27</f>
        <v>0</v>
      </c>
      <c r="I28" s="326">
        <f>'12CH_GOC'!I27</f>
        <v>0</v>
      </c>
      <c r="J28" s="326">
        <f>'12CH_GOC'!J27</f>
        <v>0</v>
      </c>
      <c r="K28" s="326">
        <f>'12CH_GOC'!K27</f>
        <v>0</v>
      </c>
      <c r="L28" s="326">
        <f>'12CH_GOC'!L27</f>
        <v>0</v>
      </c>
      <c r="M28" s="326">
        <f>'12CH_GOC'!M27</f>
        <v>0</v>
      </c>
      <c r="N28" s="326">
        <f>'12CH_GOC'!N27</f>
        <v>0</v>
      </c>
      <c r="O28" s="326">
        <f>'12CH_GOC'!O27</f>
        <v>0</v>
      </c>
      <c r="P28" s="326">
        <f>'12CH_GOC'!P27</f>
        <v>0</v>
      </c>
      <c r="Q28" s="326">
        <f>'12CH_GOC'!Q27</f>
        <v>0</v>
      </c>
      <c r="R28" s="326">
        <f>'12CH_GOC'!R27</f>
        <v>0</v>
      </c>
      <c r="S28" s="326">
        <f>'12CH_GOC'!S27</f>
        <v>0</v>
      </c>
      <c r="T28" s="326">
        <f>'12CH_GOC'!T27</f>
        <v>0</v>
      </c>
      <c r="U28" s="326">
        <f>'12CH_GOC'!U27</f>
        <v>10.130000000000001</v>
      </c>
      <c r="V28" s="326">
        <f>'12CH_GOC'!V27</f>
        <v>0</v>
      </c>
      <c r="W28" s="326">
        <f>'12CH_GOC'!W27</f>
        <v>0</v>
      </c>
      <c r="X28" s="326">
        <f>'12CH_GOC'!Y27</f>
        <v>0</v>
      </c>
      <c r="Y28" s="761">
        <f>'12CH_GOC'!Z27</f>
        <v>9.8399999999999981</v>
      </c>
      <c r="Z28" s="326">
        <f>'12CH_GOC'!AA27</f>
        <v>0</v>
      </c>
      <c r="AA28" s="326">
        <f>'12CH_GOC'!AB27</f>
        <v>0</v>
      </c>
      <c r="AB28" s="326">
        <f t="shared" si="5"/>
        <v>10.130000000000001</v>
      </c>
      <c r="AC28" s="326">
        <f>'12CH_GOC'!AE27</f>
        <v>0</v>
      </c>
      <c r="AD28" s="326">
        <f>'12CH_GOC'!AF27</f>
        <v>0</v>
      </c>
      <c r="AE28" s="326">
        <f>'12CH_GOC'!AG27</f>
        <v>0</v>
      </c>
      <c r="AF28" s="326">
        <f>'12CH_GOC'!AH27</f>
        <v>0</v>
      </c>
      <c r="AG28" s="326">
        <f>'12CH_GOC'!AI27</f>
        <v>0</v>
      </c>
      <c r="AH28" s="326">
        <f>'12CH_GOC'!AJ27</f>
        <v>0</v>
      </c>
      <c r="AI28" s="326">
        <f>'12CH_GOC'!AK27</f>
        <v>0</v>
      </c>
      <c r="AJ28" s="326">
        <f>'12CH_GOC'!AL27</f>
        <v>0</v>
      </c>
      <c r="AK28" s="326">
        <f>'12CH_GOC'!AM27</f>
        <v>0</v>
      </c>
      <c r="AL28" s="326">
        <f>'12CH_GOC'!AN27</f>
        <v>10.130000000000001</v>
      </c>
      <c r="AM28" s="326">
        <f>'12CH_GOC'!AO27</f>
        <v>0</v>
      </c>
      <c r="AN28" s="326">
        <f>'12CH_GOC'!AP27</f>
        <v>0</v>
      </c>
      <c r="AO28" s="326">
        <f>'12CH_GOC'!AQ27</f>
        <v>0</v>
      </c>
      <c r="AP28" s="326">
        <f>'12CH_GOC'!AR27</f>
        <v>0</v>
      </c>
      <c r="AQ28" s="326">
        <f>'12CH_GOC'!AS27</f>
        <v>0</v>
      </c>
      <c r="AR28" s="326">
        <f>'12CH_GOC'!AT27</f>
        <v>0</v>
      </c>
      <c r="AS28" s="326">
        <f>'12CH_GOC'!AU27</f>
        <v>0</v>
      </c>
      <c r="AT28" s="326">
        <f>'12CH_GOC'!AV27</f>
        <v>0</v>
      </c>
      <c r="AU28" s="326">
        <f>'12CH_GOC'!AW27</f>
        <v>0</v>
      </c>
      <c r="AV28" s="326">
        <f>'12CH_GOC'!AX27</f>
        <v>0</v>
      </c>
      <c r="AW28" s="326">
        <f>'12CH_GOC'!AY27</f>
        <v>0</v>
      </c>
      <c r="AX28" s="326">
        <f>'12CH_GOC'!AZ27</f>
        <v>0</v>
      </c>
      <c r="AY28" s="326">
        <f>'12CH_GOC'!BA27</f>
        <v>0</v>
      </c>
      <c r="AZ28" s="326">
        <f>'12CH_GOC'!BB27</f>
        <v>0</v>
      </c>
      <c r="BA28" s="326">
        <f>'12CH_GOC'!BC27</f>
        <v>0</v>
      </c>
      <c r="BB28" s="326">
        <f>'12CH_GOC'!BD27</f>
        <v>0</v>
      </c>
      <c r="BC28" s="326">
        <f>'12CH_GOC'!BE27</f>
        <v>0</v>
      </c>
      <c r="BD28" s="326">
        <f>'12CH_GOC'!BF27</f>
        <v>0</v>
      </c>
      <c r="BE28" s="326">
        <f>'12CH_GOC'!BG27</f>
        <v>0</v>
      </c>
      <c r="BF28" s="326">
        <f>'12CH_GOC'!BH27</f>
        <v>0</v>
      </c>
      <c r="BG28" s="326">
        <f>'12CH_GOC'!BI27</f>
        <v>0</v>
      </c>
      <c r="BH28" s="326">
        <f>'12CH_GOC'!BJ27</f>
        <v>10.130000000000001</v>
      </c>
      <c r="BI28" s="326">
        <f>'12CH_GOC'!BK27</f>
        <v>52.089999999999996</v>
      </c>
      <c r="BJ28" s="326">
        <f>'12CH_GOC'!BM27</f>
        <v>72.06</v>
      </c>
    </row>
    <row r="29" spans="1:64" s="746" customFormat="1" ht="24.95" customHeight="1">
      <c r="A29" s="313" t="s">
        <v>31</v>
      </c>
      <c r="B29" s="748" t="s">
        <v>94</v>
      </c>
      <c r="C29" s="313" t="s">
        <v>32</v>
      </c>
      <c r="D29" s="326">
        <f>'12CH_GOC'!D28</f>
        <v>54.080000000000005</v>
      </c>
      <c r="E29" s="326">
        <f>'12CH_GOC'!E28</f>
        <v>0</v>
      </c>
      <c r="F29" s="326">
        <f>'12CH_GOC'!F28</f>
        <v>0</v>
      </c>
      <c r="G29" s="326">
        <f>'12CH_GOC'!G28</f>
        <v>0</v>
      </c>
      <c r="H29" s="326">
        <f>'12CH_GOC'!H28</f>
        <v>0</v>
      </c>
      <c r="I29" s="326">
        <f>'12CH_GOC'!I28</f>
        <v>0</v>
      </c>
      <c r="J29" s="326">
        <f>'12CH_GOC'!J28</f>
        <v>0</v>
      </c>
      <c r="K29" s="326">
        <f>'12CH_GOC'!K28</f>
        <v>0</v>
      </c>
      <c r="L29" s="326">
        <f>'12CH_GOC'!L28</f>
        <v>0</v>
      </c>
      <c r="M29" s="326">
        <f>'12CH_GOC'!M28</f>
        <v>0</v>
      </c>
      <c r="N29" s="326">
        <f>'12CH_GOC'!N28</f>
        <v>0</v>
      </c>
      <c r="O29" s="326">
        <f>'12CH_GOC'!O28</f>
        <v>0</v>
      </c>
      <c r="P29" s="326">
        <f>'12CH_GOC'!P28</f>
        <v>0</v>
      </c>
      <c r="Q29" s="326">
        <f>'12CH_GOC'!Q28</f>
        <v>0</v>
      </c>
      <c r="R29" s="326">
        <f>'12CH_GOC'!R28</f>
        <v>0</v>
      </c>
      <c r="S29" s="326">
        <f>'12CH_GOC'!S28</f>
        <v>0</v>
      </c>
      <c r="T29" s="326">
        <f>'12CH_GOC'!T28</f>
        <v>0</v>
      </c>
      <c r="U29" s="326">
        <f>'12CH_GOC'!U28</f>
        <v>5.51</v>
      </c>
      <c r="V29" s="326">
        <f>'12CH_GOC'!V28</f>
        <v>0</v>
      </c>
      <c r="W29" s="326">
        <f>'12CH_GOC'!W28</f>
        <v>0</v>
      </c>
      <c r="X29" s="326">
        <f>'12CH_GOC'!Y28</f>
        <v>0.37</v>
      </c>
      <c r="Y29" s="326">
        <f>'12CH_GOC'!Z28</f>
        <v>2.68</v>
      </c>
      <c r="Z29" s="761">
        <f>'12CH_GOC'!AA28</f>
        <v>48.570000000000007</v>
      </c>
      <c r="AA29" s="326">
        <f>'12CH_GOC'!AB28</f>
        <v>0</v>
      </c>
      <c r="AB29" s="326">
        <f t="shared" si="5"/>
        <v>1.54</v>
      </c>
      <c r="AC29" s="326">
        <f>'12CH_GOC'!AE28</f>
        <v>0.84000000000000008</v>
      </c>
      <c r="AD29" s="326">
        <f>'12CH_GOC'!AF28</f>
        <v>0.02</v>
      </c>
      <c r="AE29" s="326">
        <f>'12CH_GOC'!AG28</f>
        <v>0.05</v>
      </c>
      <c r="AF29" s="326">
        <f>'12CH_GOC'!AH28</f>
        <v>0</v>
      </c>
      <c r="AG29" s="326">
        <f>'12CH_GOC'!AI28</f>
        <v>0</v>
      </c>
      <c r="AH29" s="326">
        <f>'12CH_GOC'!AJ28</f>
        <v>0</v>
      </c>
      <c r="AI29" s="326">
        <f>'12CH_GOC'!AK28</f>
        <v>0</v>
      </c>
      <c r="AJ29" s="326">
        <f>'12CH_GOC'!AL28</f>
        <v>0</v>
      </c>
      <c r="AK29" s="326">
        <f>'12CH_GOC'!AM28</f>
        <v>0</v>
      </c>
      <c r="AL29" s="326">
        <f>'12CH_GOC'!AN28</f>
        <v>0.63</v>
      </c>
      <c r="AM29" s="326">
        <f>'12CH_GOC'!AO28</f>
        <v>0</v>
      </c>
      <c r="AN29" s="326">
        <f>'12CH_GOC'!AP28</f>
        <v>0</v>
      </c>
      <c r="AO29" s="326">
        <f>'12CH_GOC'!AQ28</f>
        <v>0</v>
      </c>
      <c r="AP29" s="326">
        <f>'12CH_GOC'!AR28</f>
        <v>0</v>
      </c>
      <c r="AQ29" s="326">
        <f>'12CH_GOC'!AS28</f>
        <v>0</v>
      </c>
      <c r="AR29" s="326">
        <f>'12CH_GOC'!AT28</f>
        <v>0</v>
      </c>
      <c r="AS29" s="326">
        <f>'12CH_GOC'!AU28</f>
        <v>0</v>
      </c>
      <c r="AT29" s="326">
        <f>'12CH_GOC'!AV28</f>
        <v>0</v>
      </c>
      <c r="AU29" s="326">
        <f>'12CH_GOC'!AW28</f>
        <v>0</v>
      </c>
      <c r="AV29" s="326">
        <f>'12CH_GOC'!AX28</f>
        <v>0.69</v>
      </c>
      <c r="AW29" s="326">
        <f>'12CH_GOC'!AY28</f>
        <v>0.23</v>
      </c>
      <c r="AX29" s="326">
        <f>'12CH_GOC'!AZ28</f>
        <v>0</v>
      </c>
      <c r="AY29" s="326">
        <f>'12CH_GOC'!BA28</f>
        <v>0</v>
      </c>
      <c r="AZ29" s="326">
        <f>'12CH_GOC'!BB28</f>
        <v>0</v>
      </c>
      <c r="BA29" s="326">
        <f>'12CH_GOC'!BC28</f>
        <v>0</v>
      </c>
      <c r="BB29" s="326">
        <f>'12CH_GOC'!BD28</f>
        <v>0</v>
      </c>
      <c r="BC29" s="326">
        <f>'12CH_GOC'!BE28</f>
        <v>0</v>
      </c>
      <c r="BD29" s="326">
        <f>'12CH_GOC'!BF28</f>
        <v>0</v>
      </c>
      <c r="BE29" s="326">
        <f>'12CH_GOC'!BG28</f>
        <v>0</v>
      </c>
      <c r="BF29" s="326">
        <f>'12CH_GOC'!BH28</f>
        <v>0</v>
      </c>
      <c r="BG29" s="326">
        <f>'12CH_GOC'!BI28</f>
        <v>0</v>
      </c>
      <c r="BH29" s="326">
        <f>'12CH_GOC'!BJ28</f>
        <v>5.51</v>
      </c>
      <c r="BI29" s="326">
        <f>'12CH_GOC'!BK28</f>
        <v>88.759999999999991</v>
      </c>
      <c r="BJ29" s="326">
        <f>'12CH_GOC'!BM28</f>
        <v>142.84</v>
      </c>
    </row>
    <row r="30" spans="1:64" s="743" customFormat="1" ht="30" customHeight="1">
      <c r="A30" s="313" t="s">
        <v>33</v>
      </c>
      <c r="B30" s="748" t="s">
        <v>106</v>
      </c>
      <c r="C30" s="313" t="s">
        <v>35</v>
      </c>
      <c r="D30" s="326">
        <f>'12CH_GOC'!D29</f>
        <v>255.28000000000003</v>
      </c>
      <c r="E30" s="326">
        <f>'12CH_GOC'!E29</f>
        <v>0</v>
      </c>
      <c r="F30" s="326">
        <f>'12CH_GOC'!F29</f>
        <v>0</v>
      </c>
      <c r="G30" s="326">
        <f>'12CH_GOC'!G29</f>
        <v>0</v>
      </c>
      <c r="H30" s="326">
        <f>'12CH_GOC'!H29</f>
        <v>0</v>
      </c>
      <c r="I30" s="326">
        <f>'12CH_GOC'!I29</f>
        <v>0</v>
      </c>
      <c r="J30" s="326">
        <f>'12CH_GOC'!J29</f>
        <v>0</v>
      </c>
      <c r="K30" s="326">
        <f>'12CH_GOC'!K29</f>
        <v>0</v>
      </c>
      <c r="L30" s="326">
        <f>'12CH_GOC'!L29</f>
        <v>0</v>
      </c>
      <c r="M30" s="326">
        <f>'12CH_GOC'!M29</f>
        <v>0</v>
      </c>
      <c r="N30" s="326">
        <f>'12CH_GOC'!N29</f>
        <v>0</v>
      </c>
      <c r="O30" s="326">
        <f>'12CH_GOC'!O29</f>
        <v>0</v>
      </c>
      <c r="P30" s="326">
        <f>'12CH_GOC'!P29</f>
        <v>0</v>
      </c>
      <c r="Q30" s="326">
        <f>'12CH_GOC'!Q29</f>
        <v>0</v>
      </c>
      <c r="R30" s="326">
        <f>'12CH_GOC'!R29</f>
        <v>0</v>
      </c>
      <c r="S30" s="326">
        <f>'12CH_GOC'!S29</f>
        <v>0</v>
      </c>
      <c r="T30" s="326">
        <f>'12CH_GOC'!T29</f>
        <v>0</v>
      </c>
      <c r="U30" s="326">
        <f>'12CH_GOC'!U29</f>
        <v>2.88</v>
      </c>
      <c r="V30" s="326">
        <f>'12CH_GOC'!V29</f>
        <v>0</v>
      </c>
      <c r="W30" s="326">
        <f>'12CH_GOC'!W29</f>
        <v>0</v>
      </c>
      <c r="X30" s="326">
        <f>'12CH_GOC'!Y29</f>
        <v>0</v>
      </c>
      <c r="Y30" s="326">
        <f>'12CH_GOC'!Z29</f>
        <v>0</v>
      </c>
      <c r="Z30" s="326">
        <f>'12CH_GOC'!AA29</f>
        <v>0.3</v>
      </c>
      <c r="AA30" s="761">
        <f>'12CH_GOC'!AB29</f>
        <v>252.40000000000003</v>
      </c>
      <c r="AB30" s="326">
        <f t="shared" si="5"/>
        <v>2.58</v>
      </c>
      <c r="AC30" s="326">
        <f>'12CH_GOC'!AE29</f>
        <v>0</v>
      </c>
      <c r="AD30" s="326">
        <f>'12CH_GOC'!AF29</f>
        <v>0</v>
      </c>
      <c r="AE30" s="326">
        <f>'12CH_GOC'!AG29</f>
        <v>0.02</v>
      </c>
      <c r="AF30" s="326">
        <f>'12CH_GOC'!AH29</f>
        <v>0</v>
      </c>
      <c r="AG30" s="326">
        <f>'12CH_GOC'!AI29</f>
        <v>0</v>
      </c>
      <c r="AH30" s="326">
        <f>'12CH_GOC'!AJ29</f>
        <v>0</v>
      </c>
      <c r="AI30" s="326">
        <f>'12CH_GOC'!AK29</f>
        <v>0.05</v>
      </c>
      <c r="AJ30" s="326">
        <f>'12CH_GOC'!AL29</f>
        <v>0</v>
      </c>
      <c r="AK30" s="326">
        <f>'12CH_GOC'!AM29</f>
        <v>0</v>
      </c>
      <c r="AL30" s="326">
        <f>'12CH_GOC'!AN29</f>
        <v>0.3</v>
      </c>
      <c r="AM30" s="326">
        <f>'12CH_GOC'!AO29</f>
        <v>2.0499999999999998</v>
      </c>
      <c r="AN30" s="326">
        <f>'12CH_GOC'!AP29</f>
        <v>0</v>
      </c>
      <c r="AO30" s="326">
        <f>'12CH_GOC'!AQ29</f>
        <v>0</v>
      </c>
      <c r="AP30" s="326">
        <f>'12CH_GOC'!AR29</f>
        <v>0</v>
      </c>
      <c r="AQ30" s="326">
        <f>'12CH_GOC'!AS29</f>
        <v>0</v>
      </c>
      <c r="AR30" s="326">
        <f>'12CH_GOC'!AT29</f>
        <v>0.16</v>
      </c>
      <c r="AS30" s="326">
        <f>'12CH_GOC'!AU29</f>
        <v>0</v>
      </c>
      <c r="AT30" s="326">
        <f>'12CH_GOC'!AV29</f>
        <v>0</v>
      </c>
      <c r="AU30" s="326">
        <f>'12CH_GOC'!AW29</f>
        <v>0</v>
      </c>
      <c r="AV30" s="326">
        <f>'12CH_GOC'!AX29</f>
        <v>0</v>
      </c>
      <c r="AW30" s="326">
        <f>'12CH_GOC'!AY29</f>
        <v>0</v>
      </c>
      <c r="AX30" s="326">
        <f>'12CH_GOC'!AZ29</f>
        <v>0</v>
      </c>
      <c r="AY30" s="326">
        <f>'12CH_GOC'!BA29</f>
        <v>0</v>
      </c>
      <c r="AZ30" s="326">
        <f>'12CH_GOC'!BB29</f>
        <v>0</v>
      </c>
      <c r="BA30" s="326">
        <f>'12CH_GOC'!BC29</f>
        <v>0</v>
      </c>
      <c r="BB30" s="326">
        <f>'12CH_GOC'!BD29</f>
        <v>0</v>
      </c>
      <c r="BC30" s="326">
        <f>'12CH_GOC'!BE29</f>
        <v>0</v>
      </c>
      <c r="BD30" s="326">
        <f>'12CH_GOC'!BF29</f>
        <v>0</v>
      </c>
      <c r="BE30" s="326">
        <f>'12CH_GOC'!BG29</f>
        <v>0</v>
      </c>
      <c r="BF30" s="326">
        <f>'12CH_GOC'!BH29</f>
        <v>0</v>
      </c>
      <c r="BG30" s="326">
        <f>'12CH_GOC'!BI29</f>
        <v>0</v>
      </c>
      <c r="BH30" s="326">
        <f>'12CH_GOC'!BJ29</f>
        <v>2.88</v>
      </c>
      <c r="BI30" s="326">
        <f>'12CH_GOC'!BK29</f>
        <v>203.47</v>
      </c>
      <c r="BJ30" s="326">
        <f>'12CH_GOC'!BM29</f>
        <v>458.75</v>
      </c>
    </row>
    <row r="31" spans="1:64" s="743" customFormat="1" ht="31.35" customHeight="1">
      <c r="A31" s="313" t="s">
        <v>68</v>
      </c>
      <c r="B31" s="748" t="s">
        <v>125</v>
      </c>
      <c r="C31" s="313" t="s">
        <v>43</v>
      </c>
      <c r="D31" s="326">
        <f>SUM(D32:D50)</f>
        <v>2629.67</v>
      </c>
      <c r="E31" s="326">
        <f t="shared" ref="E31:BG31" si="6">SUM(E32:E50)</f>
        <v>0.21000000000000002</v>
      </c>
      <c r="F31" s="326">
        <f t="shared" si="6"/>
        <v>0</v>
      </c>
      <c r="G31" s="326">
        <f t="shared" si="6"/>
        <v>0</v>
      </c>
      <c r="H31" s="326">
        <f t="shared" si="6"/>
        <v>0</v>
      </c>
      <c r="I31" s="326">
        <f t="shared" si="6"/>
        <v>0</v>
      </c>
      <c r="J31" s="326">
        <f t="shared" si="6"/>
        <v>0.04</v>
      </c>
      <c r="K31" s="326">
        <f t="shared" si="6"/>
        <v>0</v>
      </c>
      <c r="L31" s="326">
        <f t="shared" si="6"/>
        <v>0</v>
      </c>
      <c r="M31" s="326">
        <f t="shared" si="6"/>
        <v>0</v>
      </c>
      <c r="N31" s="326">
        <f t="shared" si="6"/>
        <v>0.03</v>
      </c>
      <c r="O31" s="326">
        <f t="shared" si="6"/>
        <v>0</v>
      </c>
      <c r="P31" s="326">
        <f t="shared" si="6"/>
        <v>0.03</v>
      </c>
      <c r="Q31" s="326">
        <f t="shared" si="6"/>
        <v>0</v>
      </c>
      <c r="R31" s="326">
        <f t="shared" si="6"/>
        <v>0.03</v>
      </c>
      <c r="S31" s="326">
        <f t="shared" si="6"/>
        <v>0</v>
      </c>
      <c r="T31" s="326">
        <f t="shared" si="6"/>
        <v>0.11</v>
      </c>
      <c r="U31" s="326">
        <f t="shared" si="6"/>
        <v>797.5200000000001</v>
      </c>
      <c r="V31" s="326">
        <f t="shared" si="6"/>
        <v>0.65000000000000013</v>
      </c>
      <c r="W31" s="326">
        <f t="shared" si="6"/>
        <v>0.4900000000000001</v>
      </c>
      <c r="X31" s="326">
        <f t="shared" si="6"/>
        <v>4.76</v>
      </c>
      <c r="Y31" s="326">
        <f t="shared" si="6"/>
        <v>1.5900000000000005</v>
      </c>
      <c r="Z31" s="326">
        <f t="shared" si="6"/>
        <v>52.660000000000004</v>
      </c>
      <c r="AA31" s="326">
        <f t="shared" si="6"/>
        <v>14.299999999999999</v>
      </c>
      <c r="AB31" s="761">
        <f>D31-E31-SUM(V31:AA31)-SUM(AV31:BG31)</f>
        <v>2545.75</v>
      </c>
      <c r="AC31" s="326">
        <f>SUM(AC33:AC50)</f>
        <v>2.37</v>
      </c>
      <c r="AD31" s="326">
        <f>AD32+SUM(AD34:AD50)</f>
        <v>2.0500000000000003</v>
      </c>
      <c r="AE31" s="326">
        <f>SUM(AE32:AE33)+SUM(AE35:AE50)</f>
        <v>15.780000000000001</v>
      </c>
      <c r="AF31" s="326">
        <f>SUM(AF32:AF34)+SUM(AF36:AF50)</f>
        <v>7.09</v>
      </c>
      <c r="AG31" s="326">
        <f>SUM(AG32:AG35)+SUM(AG37:AG50)</f>
        <v>64.48</v>
      </c>
      <c r="AH31" s="326">
        <f>SUM(AH32:AH36)+SUM(AH38:AH50)</f>
        <v>20.63</v>
      </c>
      <c r="AI31" s="326">
        <f>SUM(AI32:AI37)+SUM(AI39:AI50)</f>
        <v>32.230000000000004</v>
      </c>
      <c r="AJ31" s="326">
        <f>SUM(AJ32:AJ38)+SUM(AJ40:AJ50)</f>
        <v>0.91000000000000014</v>
      </c>
      <c r="AK31" s="326">
        <f>SUM(AK32:AK39)+SUM(AK41:AK50)</f>
        <v>0</v>
      </c>
      <c r="AL31" s="326">
        <f>SUM(AL32:AL40)+SUM(AL42:AL50)</f>
        <v>12.979999999999999</v>
      </c>
      <c r="AM31" s="326">
        <f>SUM(AM32:AM41)+SUM(AM43:AM50)</f>
        <v>446.40000000000009</v>
      </c>
      <c r="AN31" s="326">
        <f>SUM(AN32:AN42)+SUM(AN44:AN50)</f>
        <v>1.5599999999999998</v>
      </c>
      <c r="AO31" s="326">
        <f>SUM(AO32:AO43)+SUM(AO45:AO50)</f>
        <v>101.36999999999999</v>
      </c>
      <c r="AP31" s="326">
        <f>SUM(AP32:AP44)+SUM(AP46:AP50)</f>
        <v>0</v>
      </c>
      <c r="AQ31" s="326">
        <f>SUM(AQ32:AQ44)+SUM(AQ47:AQ50)</f>
        <v>0.02</v>
      </c>
      <c r="AR31" s="326">
        <f>SUM(AR32:AR46)+SUM(AR48:AR50)</f>
        <v>3.0000000000000004</v>
      </c>
      <c r="AS31" s="326">
        <f>SUM(AS32:AS47)+SUM(AS49:AS50)</f>
        <v>0.55000000000000004</v>
      </c>
      <c r="AT31" s="326">
        <f>SUM(AT32:AT48)+SUM(AT50)</f>
        <v>0.18</v>
      </c>
      <c r="AU31" s="326">
        <f>SUM(AU32:AU39)+SUM(AU40:AU49)</f>
        <v>2.21</v>
      </c>
      <c r="AV31" s="326">
        <f>SUM(AV32:AV50)</f>
        <v>3.32</v>
      </c>
      <c r="AW31" s="326">
        <f t="shared" si="6"/>
        <v>1.3</v>
      </c>
      <c r="AX31" s="326">
        <f t="shared" si="6"/>
        <v>0.29000000000000004</v>
      </c>
      <c r="AY31" s="326">
        <f t="shared" si="6"/>
        <v>0</v>
      </c>
      <c r="AZ31" s="326">
        <f t="shared" si="6"/>
        <v>0</v>
      </c>
      <c r="BA31" s="326">
        <f t="shared" si="6"/>
        <v>0</v>
      </c>
      <c r="BB31" s="326">
        <f t="shared" si="6"/>
        <v>0</v>
      </c>
      <c r="BC31" s="326">
        <f t="shared" si="6"/>
        <v>0.05</v>
      </c>
      <c r="BD31" s="326">
        <f t="shared" si="6"/>
        <v>3.7900000000000005</v>
      </c>
      <c r="BE31" s="326">
        <f t="shared" si="6"/>
        <v>0.14000000000000001</v>
      </c>
      <c r="BF31" s="326">
        <f t="shared" si="6"/>
        <v>0.37</v>
      </c>
      <c r="BG31" s="326">
        <f t="shared" si="6"/>
        <v>0</v>
      </c>
      <c r="BH31" s="764">
        <f>D31-AB31</f>
        <v>83.920000000000073</v>
      </c>
      <c r="BI31" s="326">
        <f t="shared" ref="BI31" si="7">SUM(BI32:BI50)</f>
        <v>1023.0279999999999</v>
      </c>
      <c r="BJ31" s="326">
        <f>SUM(BJ32:BJ50)</f>
        <v>3652.6980000000008</v>
      </c>
      <c r="BK31" s="763">
        <f>D31-BH31</f>
        <v>2545.75</v>
      </c>
      <c r="BL31" s="763">
        <f>BJ31-AB31</f>
        <v>1106.9480000000008</v>
      </c>
    </row>
    <row r="32" spans="1:64" s="743" customFormat="1" ht="25.5" customHeight="1">
      <c r="A32" s="754" t="s">
        <v>193</v>
      </c>
      <c r="B32" s="331" t="s">
        <v>2757</v>
      </c>
      <c r="C32" s="313" t="s">
        <v>44</v>
      </c>
      <c r="D32" s="326">
        <f>'12CH_GOC'!D32</f>
        <v>1751.56</v>
      </c>
      <c r="E32" s="326">
        <f>'12CH_GOC'!E32</f>
        <v>0.21000000000000002</v>
      </c>
      <c r="F32" s="326">
        <f>'12CH_GOC'!F32</f>
        <v>0</v>
      </c>
      <c r="G32" s="326">
        <f>'12CH_GOC'!G32</f>
        <v>0</v>
      </c>
      <c r="H32" s="326">
        <f>'12CH_GOC'!H32</f>
        <v>0</v>
      </c>
      <c r="I32" s="326">
        <f>'12CH_GOC'!I32</f>
        <v>0</v>
      </c>
      <c r="J32" s="326">
        <f>'12CH_GOC'!J32</f>
        <v>0.04</v>
      </c>
      <c r="K32" s="326">
        <f>'12CH_GOC'!K32</f>
        <v>0</v>
      </c>
      <c r="L32" s="326">
        <f>'12CH_GOC'!L32</f>
        <v>0</v>
      </c>
      <c r="M32" s="326">
        <f>'12CH_GOC'!M32</f>
        <v>0</v>
      </c>
      <c r="N32" s="326">
        <f>'12CH_GOC'!N32</f>
        <v>0.03</v>
      </c>
      <c r="O32" s="326">
        <f>'12CH_GOC'!O32</f>
        <v>0</v>
      </c>
      <c r="P32" s="326">
        <f>'12CH_GOC'!P32</f>
        <v>0.03</v>
      </c>
      <c r="Q32" s="326">
        <f>'12CH_GOC'!Q32</f>
        <v>0</v>
      </c>
      <c r="R32" s="326">
        <f>'12CH_GOC'!R32</f>
        <v>0.03</v>
      </c>
      <c r="S32" s="326">
        <f>'12CH_GOC'!S32</f>
        <v>0</v>
      </c>
      <c r="T32" s="326">
        <f>'12CH_GOC'!T32</f>
        <v>0.11</v>
      </c>
      <c r="U32" s="326">
        <f>SUM(V32:AA32)+SUM(AD32:BF32)</f>
        <v>44.289999999999992</v>
      </c>
      <c r="V32" s="326">
        <f>'12CH_GOC'!V32</f>
        <v>0.6100000000000001</v>
      </c>
      <c r="W32" s="326">
        <f>'12CH_GOC'!W32</f>
        <v>0.01</v>
      </c>
      <c r="X32" s="326">
        <f>'12CH_GOC'!Y32</f>
        <v>4.6399999999999997</v>
      </c>
      <c r="Y32" s="326">
        <f>'12CH_GOC'!Z32</f>
        <v>1.2800000000000002</v>
      </c>
      <c r="Z32" s="326">
        <f>'12CH_GOC'!AA32</f>
        <v>0.25</v>
      </c>
      <c r="AA32" s="326">
        <f>'12CH_GOC'!AB32</f>
        <v>9.9899999999999984</v>
      </c>
      <c r="AB32" s="326">
        <f>SUM(AD32:AU32)</f>
        <v>20.589999999999996</v>
      </c>
      <c r="AC32" s="761">
        <f>'12CH_GOC'!AE32</f>
        <v>1707.06</v>
      </c>
      <c r="AD32" s="326">
        <f>'12CH_GOC'!AF32</f>
        <v>1.87</v>
      </c>
      <c r="AE32" s="326">
        <f>'12CH_GOC'!AG32</f>
        <v>9.9999999999999992E-2</v>
      </c>
      <c r="AF32" s="326">
        <f>'12CH_GOC'!AH32</f>
        <v>0</v>
      </c>
      <c r="AG32" s="326">
        <f>'12CH_GOC'!AI32</f>
        <v>0.89000000000000012</v>
      </c>
      <c r="AH32" s="326">
        <f>'12CH_GOC'!AJ32</f>
        <v>0.09</v>
      </c>
      <c r="AI32" s="326">
        <f>'12CH_GOC'!AK32</f>
        <v>0.77</v>
      </c>
      <c r="AJ32" s="326">
        <f>'12CH_GOC'!AL32</f>
        <v>0</v>
      </c>
      <c r="AK32" s="326">
        <f>'12CH_GOC'!AM32</f>
        <v>0</v>
      </c>
      <c r="AL32" s="326">
        <f>'12CH_GOC'!AN32</f>
        <v>10.969999999999999</v>
      </c>
      <c r="AM32" s="326">
        <f>'12CH_GOC'!AO32</f>
        <v>4.05</v>
      </c>
      <c r="AN32" s="326">
        <f>'12CH_GOC'!AP32</f>
        <v>0</v>
      </c>
      <c r="AO32" s="326">
        <f>'12CH_GOC'!AQ32</f>
        <v>0.05</v>
      </c>
      <c r="AP32" s="326">
        <f>'12CH_GOC'!AR32</f>
        <v>0</v>
      </c>
      <c r="AQ32" s="326">
        <f>'12CH_GOC'!AS32</f>
        <v>0.02</v>
      </c>
      <c r="AR32" s="326">
        <f>'12CH_GOC'!AT32</f>
        <v>0.61</v>
      </c>
      <c r="AS32" s="326">
        <f>'12CH_GOC'!AU32</f>
        <v>0</v>
      </c>
      <c r="AT32" s="326">
        <f>'12CH_GOC'!AV32</f>
        <v>0.18</v>
      </c>
      <c r="AU32" s="326">
        <f>'12CH_GOC'!AW32</f>
        <v>0.9900000000000001</v>
      </c>
      <c r="AV32" s="326">
        <f>'12CH_GOC'!AX32</f>
        <v>2.81</v>
      </c>
      <c r="AW32" s="326">
        <f>'12CH_GOC'!AY32</f>
        <v>0.59</v>
      </c>
      <c r="AX32" s="326">
        <f>'12CH_GOC'!AZ32</f>
        <v>0.06</v>
      </c>
      <c r="AY32" s="326">
        <f>'12CH_GOC'!BA32</f>
        <v>0</v>
      </c>
      <c r="AZ32" s="326">
        <f>'12CH_GOC'!BB32</f>
        <v>0</v>
      </c>
      <c r="BA32" s="326">
        <f>'12CH_GOC'!BC32</f>
        <v>0</v>
      </c>
      <c r="BB32" s="326">
        <f>'12CH_GOC'!BD32</f>
        <v>0</v>
      </c>
      <c r="BC32" s="326">
        <f>'12CH_GOC'!BE32</f>
        <v>0.05</v>
      </c>
      <c r="BD32" s="326">
        <f>'12CH_GOC'!BF32</f>
        <v>3.1900000000000004</v>
      </c>
      <c r="BE32" s="326">
        <f>'12CH_GOC'!BG32</f>
        <v>7.0000000000000007E-2</v>
      </c>
      <c r="BF32" s="326">
        <f>'12CH_GOC'!BH32</f>
        <v>0.15</v>
      </c>
      <c r="BG32" s="326">
        <f>'12CH_GOC'!BI32</f>
        <v>0</v>
      </c>
      <c r="BH32" s="326">
        <f>'12CH_GOC'!BJ32</f>
        <v>44.499999999999993</v>
      </c>
      <c r="BI32" s="326">
        <f>'12CH_GOC'!BK32</f>
        <v>277.37100000000004</v>
      </c>
      <c r="BJ32" s="326">
        <f>'12CH_GOC'!BM32</f>
        <v>2028.931</v>
      </c>
      <c r="BK32" s="763">
        <f>AB63-BK31</f>
        <v>-1425.2370000000001</v>
      </c>
      <c r="BL32" s="763">
        <f>BL31-AB8-AB62-97.92</f>
        <v>-45.7699999999993</v>
      </c>
    </row>
    <row r="33" spans="1:64" s="743" customFormat="1" ht="25.5" customHeight="1">
      <c r="A33" s="754" t="s">
        <v>193</v>
      </c>
      <c r="B33" s="331" t="s">
        <v>2758</v>
      </c>
      <c r="C33" s="313" t="s">
        <v>45</v>
      </c>
      <c r="D33" s="326">
        <f>'12CH_GOC'!D33</f>
        <v>129.73999999999998</v>
      </c>
      <c r="E33" s="326">
        <f>'12CH_GOC'!E33</f>
        <v>0</v>
      </c>
      <c r="F33" s="326">
        <f>'12CH_GOC'!F33</f>
        <v>0</v>
      </c>
      <c r="G33" s="326">
        <f>'12CH_GOC'!G33</f>
        <v>0</v>
      </c>
      <c r="H33" s="326">
        <f>'12CH_GOC'!H33</f>
        <v>0</v>
      </c>
      <c r="I33" s="326">
        <f>'12CH_GOC'!I33</f>
        <v>0</v>
      </c>
      <c r="J33" s="326">
        <f>'12CH_GOC'!J33</f>
        <v>0</v>
      </c>
      <c r="K33" s="326">
        <f>'12CH_GOC'!K33</f>
        <v>0</v>
      </c>
      <c r="L33" s="326">
        <f>'12CH_GOC'!L33</f>
        <v>0</v>
      </c>
      <c r="M33" s="326">
        <f>'12CH_GOC'!M33</f>
        <v>0</v>
      </c>
      <c r="N33" s="326">
        <f>'12CH_GOC'!N33</f>
        <v>0</v>
      </c>
      <c r="O33" s="326">
        <f>'12CH_GOC'!O33</f>
        <v>0</v>
      </c>
      <c r="P33" s="326">
        <f>'12CH_GOC'!P33</f>
        <v>0</v>
      </c>
      <c r="Q33" s="326">
        <f>'12CH_GOC'!Q33</f>
        <v>0</v>
      </c>
      <c r="R33" s="326">
        <f>'12CH_GOC'!R33</f>
        <v>0</v>
      </c>
      <c r="S33" s="326">
        <f>'12CH_GOC'!S33</f>
        <v>0</v>
      </c>
      <c r="T33" s="326">
        <f>'12CH_GOC'!T33</f>
        <v>0</v>
      </c>
      <c r="U33" s="326">
        <f>SUM(V33:AA33)+SUM(AE33:BF33)+AC33</f>
        <v>5.19</v>
      </c>
      <c r="V33" s="326">
        <f>'12CH_GOC'!V33</f>
        <v>0.04</v>
      </c>
      <c r="W33" s="326">
        <f>'12CH_GOC'!W33</f>
        <v>0</v>
      </c>
      <c r="X33" s="326">
        <f>'12CH_GOC'!Y33</f>
        <v>0.09</v>
      </c>
      <c r="Y33" s="326">
        <f>'12CH_GOC'!Z33</f>
        <v>0.14000000000000001</v>
      </c>
      <c r="Z33" s="326">
        <f>'12CH_GOC'!AA33</f>
        <v>0.03</v>
      </c>
      <c r="AA33" s="326">
        <f>'12CH_GOC'!AB33</f>
        <v>1.81</v>
      </c>
      <c r="AB33" s="326">
        <f>AC33+SUM(AE33:AU33)</f>
        <v>2.25</v>
      </c>
      <c r="AC33" s="326">
        <f>'12CH_GOC'!AE33</f>
        <v>1.23</v>
      </c>
      <c r="AD33" s="761">
        <f>'12CH_GOC'!AF33</f>
        <v>124.54999999999998</v>
      </c>
      <c r="AE33" s="326">
        <f>'12CH_GOC'!AG33</f>
        <v>0.01</v>
      </c>
      <c r="AF33" s="326">
        <f>'12CH_GOC'!AH33</f>
        <v>0</v>
      </c>
      <c r="AG33" s="326">
        <f>'12CH_GOC'!AI33</f>
        <v>0.01</v>
      </c>
      <c r="AH33" s="326">
        <f>'12CH_GOC'!AJ33</f>
        <v>0</v>
      </c>
      <c r="AI33" s="326">
        <f>'12CH_GOC'!AK33</f>
        <v>0</v>
      </c>
      <c r="AJ33" s="326">
        <f>'12CH_GOC'!AL33</f>
        <v>0</v>
      </c>
      <c r="AK33" s="326">
        <f>'12CH_GOC'!AM33</f>
        <v>0</v>
      </c>
      <c r="AL33" s="326">
        <f>'12CH_GOC'!AN33</f>
        <v>0.11</v>
      </c>
      <c r="AM33" s="326">
        <f>'12CH_GOC'!AO33</f>
        <v>0.41000000000000003</v>
      </c>
      <c r="AN33" s="326">
        <f>'12CH_GOC'!AP33</f>
        <v>0</v>
      </c>
      <c r="AO33" s="326">
        <f>'12CH_GOC'!AQ33</f>
        <v>0</v>
      </c>
      <c r="AP33" s="326">
        <f>'12CH_GOC'!AR33</f>
        <v>0</v>
      </c>
      <c r="AQ33" s="326">
        <f>'12CH_GOC'!AS33</f>
        <v>0</v>
      </c>
      <c r="AR33" s="326">
        <f>'12CH_GOC'!AT33</f>
        <v>0.01</v>
      </c>
      <c r="AS33" s="326">
        <f>'12CH_GOC'!AU33</f>
        <v>0.22</v>
      </c>
      <c r="AT33" s="326">
        <f>'12CH_GOC'!AV33</f>
        <v>0</v>
      </c>
      <c r="AU33" s="326">
        <f>'12CH_GOC'!AW33</f>
        <v>0.25</v>
      </c>
      <c r="AV33" s="326">
        <f>'12CH_GOC'!AX33</f>
        <v>0.13</v>
      </c>
      <c r="AW33" s="326">
        <f>'12CH_GOC'!AY33</f>
        <v>0.11</v>
      </c>
      <c r="AX33" s="326">
        <f>'12CH_GOC'!AZ33</f>
        <v>0</v>
      </c>
      <c r="AY33" s="326">
        <f>'12CH_GOC'!BA33</f>
        <v>0</v>
      </c>
      <c r="AZ33" s="326">
        <f>'12CH_GOC'!BB33</f>
        <v>0</v>
      </c>
      <c r="BA33" s="326">
        <f>'12CH_GOC'!BC33</f>
        <v>0</v>
      </c>
      <c r="BB33" s="326">
        <f>'12CH_GOC'!BD33</f>
        <v>0</v>
      </c>
      <c r="BC33" s="326">
        <f>'12CH_GOC'!BE33</f>
        <v>0</v>
      </c>
      <c r="BD33" s="326">
        <f>'12CH_GOC'!BF33</f>
        <v>0.52</v>
      </c>
      <c r="BE33" s="326">
        <f>'12CH_GOC'!BG33</f>
        <v>7.0000000000000007E-2</v>
      </c>
      <c r="BF33" s="326">
        <f>'12CH_GOC'!BH33</f>
        <v>0</v>
      </c>
      <c r="BG33" s="326">
        <f>'12CH_GOC'!BI33</f>
        <v>0</v>
      </c>
      <c r="BH33" s="326">
        <f>'12CH_GOC'!BJ33</f>
        <v>5.19</v>
      </c>
      <c r="BI33" s="326">
        <f>'12CH_GOC'!BK33</f>
        <v>18.330000000000002</v>
      </c>
      <c r="BJ33" s="326">
        <f>'12CH_GOC'!BM33</f>
        <v>148.07</v>
      </c>
      <c r="BK33" s="763">
        <f>D31-BK32</f>
        <v>4054.9070000000002</v>
      </c>
    </row>
    <row r="34" spans="1:64" s="743" customFormat="1" ht="33" customHeight="1">
      <c r="A34" s="754" t="s">
        <v>193</v>
      </c>
      <c r="B34" s="279" t="s">
        <v>2770</v>
      </c>
      <c r="C34" s="280" t="s">
        <v>2771</v>
      </c>
      <c r="D34" s="326">
        <f>'12CH_GOC'!D48</f>
        <v>0.33</v>
      </c>
      <c r="E34" s="326">
        <f>'12CH_GOC'!E48</f>
        <v>0</v>
      </c>
      <c r="F34" s="326">
        <f>'12CH_GOC'!F48</f>
        <v>0</v>
      </c>
      <c r="G34" s="326">
        <f>'12CH_GOC'!G48</f>
        <v>0</v>
      </c>
      <c r="H34" s="326">
        <f>'12CH_GOC'!H48</f>
        <v>0</v>
      </c>
      <c r="I34" s="326">
        <f>'12CH_GOC'!I48</f>
        <v>0</v>
      </c>
      <c r="J34" s="326">
        <f>'12CH_GOC'!J48</f>
        <v>0</v>
      </c>
      <c r="K34" s="326">
        <f>'12CH_GOC'!K48</f>
        <v>0</v>
      </c>
      <c r="L34" s="326">
        <f>'12CH_GOC'!L48</f>
        <v>0</v>
      </c>
      <c r="M34" s="326">
        <f>'12CH_GOC'!M48</f>
        <v>0</v>
      </c>
      <c r="N34" s="326">
        <f>'12CH_GOC'!N48</f>
        <v>0</v>
      </c>
      <c r="O34" s="326">
        <f>'12CH_GOC'!O48</f>
        <v>0</v>
      </c>
      <c r="P34" s="326">
        <f>'12CH_GOC'!P48</f>
        <v>0</v>
      </c>
      <c r="Q34" s="326">
        <f>'12CH_GOC'!Q48</f>
        <v>0</v>
      </c>
      <c r="R34" s="326">
        <f>'12CH_GOC'!R48</f>
        <v>0</v>
      </c>
      <c r="S34" s="326">
        <f>'12CH_GOC'!S48</f>
        <v>0</v>
      </c>
      <c r="T34" s="326">
        <f>'12CH_GOC'!T48</f>
        <v>0</v>
      </c>
      <c r="U34" s="326">
        <f>SUM(V34:AA34)+SUM(AF34:BF34)+AC34+AD34</f>
        <v>0.33</v>
      </c>
      <c r="V34" s="326">
        <f>'12CH_GOC'!V48</f>
        <v>0</v>
      </c>
      <c r="W34" s="326">
        <f>'12CH_GOC'!W48</f>
        <v>0</v>
      </c>
      <c r="X34" s="326">
        <f>'12CH_GOC'!Y48</f>
        <v>0</v>
      </c>
      <c r="Y34" s="326">
        <f>'12CH_GOC'!Z48</f>
        <v>0</v>
      </c>
      <c r="Z34" s="326">
        <f>'12CH_GOC'!AA48</f>
        <v>0</v>
      </c>
      <c r="AA34" s="326">
        <f>'12CH_GOC'!AB48</f>
        <v>0</v>
      </c>
      <c r="AB34" s="326">
        <f>AC34+AD34+SUM(AF34:AU34)</f>
        <v>0.33</v>
      </c>
      <c r="AC34" s="326">
        <f>'12CH_GOC'!AE48</f>
        <v>0</v>
      </c>
      <c r="AD34" s="326">
        <f>'12CH_GOC'!AF48</f>
        <v>0</v>
      </c>
      <c r="AE34" s="761">
        <f>'12CH_GOC'!AG48</f>
        <v>0</v>
      </c>
      <c r="AF34" s="326">
        <f>'12CH_GOC'!AH48</f>
        <v>0</v>
      </c>
      <c r="AG34" s="326">
        <f>'12CH_GOC'!AI48</f>
        <v>0</v>
      </c>
      <c r="AH34" s="326">
        <f>'12CH_GOC'!AJ48</f>
        <v>0</v>
      </c>
      <c r="AI34" s="326">
        <f>'12CH_GOC'!AK48</f>
        <v>0</v>
      </c>
      <c r="AJ34" s="326">
        <f>'12CH_GOC'!AL48</f>
        <v>0</v>
      </c>
      <c r="AK34" s="326">
        <f>'12CH_GOC'!AM48</f>
        <v>0</v>
      </c>
      <c r="AL34" s="326">
        <f>'12CH_GOC'!AN48</f>
        <v>0</v>
      </c>
      <c r="AM34" s="326">
        <f>'12CH_GOC'!AO48</f>
        <v>0</v>
      </c>
      <c r="AN34" s="326">
        <f>'12CH_GOC'!AP48</f>
        <v>0</v>
      </c>
      <c r="AO34" s="326">
        <f>'12CH_GOC'!AQ48</f>
        <v>0</v>
      </c>
      <c r="AP34" s="326">
        <f>'12CH_GOC'!AR48</f>
        <v>0</v>
      </c>
      <c r="AQ34" s="326">
        <f>'12CH_GOC'!AS48</f>
        <v>0</v>
      </c>
      <c r="AR34" s="326">
        <f>'12CH_GOC'!AT48</f>
        <v>0</v>
      </c>
      <c r="AS34" s="326">
        <f>'12CH_GOC'!AU48</f>
        <v>0.33</v>
      </c>
      <c r="AT34" s="326">
        <f>'12CH_GOC'!AV48</f>
        <v>0</v>
      </c>
      <c r="AU34" s="326">
        <f>'12CH_GOC'!AW48</f>
        <v>0</v>
      </c>
      <c r="AV34" s="326">
        <f>'12CH_GOC'!AX48</f>
        <v>0</v>
      </c>
      <c r="AW34" s="326">
        <f>'12CH_GOC'!AY48</f>
        <v>0</v>
      </c>
      <c r="AX34" s="326">
        <f>'12CH_GOC'!AZ48</f>
        <v>0</v>
      </c>
      <c r="AY34" s="326">
        <f>'12CH_GOC'!BA48</f>
        <v>0</v>
      </c>
      <c r="AZ34" s="326">
        <f>'12CH_GOC'!BB48</f>
        <v>0</v>
      </c>
      <c r="BA34" s="326">
        <f>'12CH_GOC'!BC48</f>
        <v>0</v>
      </c>
      <c r="BB34" s="326">
        <f>'12CH_GOC'!BD48</f>
        <v>0</v>
      </c>
      <c r="BC34" s="326">
        <f>'12CH_GOC'!BE48</f>
        <v>0</v>
      </c>
      <c r="BD34" s="326">
        <f>'12CH_GOC'!BF48</f>
        <v>0</v>
      </c>
      <c r="BE34" s="326">
        <f>'12CH_GOC'!BG48</f>
        <v>0</v>
      </c>
      <c r="BF34" s="326">
        <f>'12CH_GOC'!BH48</f>
        <v>0</v>
      </c>
      <c r="BG34" s="326">
        <f>'12CH_GOC'!BI48</f>
        <v>0</v>
      </c>
      <c r="BH34" s="326">
        <f>'12CH_GOC'!BJ48</f>
        <v>0</v>
      </c>
      <c r="BI34" s="326">
        <f>'12CH_GOC'!BK48</f>
        <v>2.9299999999999997</v>
      </c>
      <c r="BJ34" s="326">
        <f>'12CH_GOC'!BM48</f>
        <v>3.26</v>
      </c>
      <c r="BL34" s="763">
        <f>BJ31-D31</f>
        <v>1023.0280000000007</v>
      </c>
    </row>
    <row r="35" spans="1:64" s="743" customFormat="1" ht="24.75" customHeight="1">
      <c r="A35" s="754" t="s">
        <v>193</v>
      </c>
      <c r="B35" s="279" t="s">
        <v>2772</v>
      </c>
      <c r="C35" s="280" t="s">
        <v>2773</v>
      </c>
      <c r="D35" s="326">
        <f>'12CH_GOC'!D49</f>
        <v>0</v>
      </c>
      <c r="E35" s="326">
        <f>'12CH_GOC'!E49</f>
        <v>0</v>
      </c>
      <c r="F35" s="326">
        <f>'12CH_GOC'!F49</f>
        <v>0</v>
      </c>
      <c r="G35" s="326">
        <f>'12CH_GOC'!G49</f>
        <v>0</v>
      </c>
      <c r="H35" s="326">
        <f>'12CH_GOC'!H49</f>
        <v>0</v>
      </c>
      <c r="I35" s="326">
        <f>'12CH_GOC'!I49</f>
        <v>0</v>
      </c>
      <c r="J35" s="326">
        <f>'12CH_GOC'!J49</f>
        <v>0</v>
      </c>
      <c r="K35" s="326">
        <f>'12CH_GOC'!K49</f>
        <v>0</v>
      </c>
      <c r="L35" s="326">
        <f>'12CH_GOC'!L49</f>
        <v>0</v>
      </c>
      <c r="M35" s="326">
        <f>'12CH_GOC'!M49</f>
        <v>0</v>
      </c>
      <c r="N35" s="326">
        <f>'12CH_GOC'!N49</f>
        <v>0</v>
      </c>
      <c r="O35" s="326">
        <f>'12CH_GOC'!O49</f>
        <v>0</v>
      </c>
      <c r="P35" s="326">
        <f>'12CH_GOC'!P49</f>
        <v>0</v>
      </c>
      <c r="Q35" s="326">
        <f>'12CH_GOC'!Q49</f>
        <v>0</v>
      </c>
      <c r="R35" s="326">
        <f>'12CH_GOC'!R49</f>
        <v>0</v>
      </c>
      <c r="S35" s="326">
        <f>'12CH_GOC'!S49</f>
        <v>0</v>
      </c>
      <c r="T35" s="326">
        <f>'12CH_GOC'!T49</f>
        <v>0</v>
      </c>
      <c r="U35" s="326">
        <f>SUM(V35:AA35)+SUM(AG35:BF35)+SUM(AC35:AE35)</f>
        <v>0</v>
      </c>
      <c r="V35" s="326">
        <f>'12CH_GOC'!V49</f>
        <v>0</v>
      </c>
      <c r="W35" s="326">
        <f>'12CH_GOC'!W49</f>
        <v>0</v>
      </c>
      <c r="X35" s="326">
        <f>'12CH_GOC'!Y49</f>
        <v>0</v>
      </c>
      <c r="Y35" s="326">
        <f>'12CH_GOC'!Z49</f>
        <v>0</v>
      </c>
      <c r="Z35" s="326">
        <f>'12CH_GOC'!AA49</f>
        <v>0</v>
      </c>
      <c r="AA35" s="326">
        <f>'12CH_GOC'!AB49</f>
        <v>0</v>
      </c>
      <c r="AB35" s="326">
        <f>SUM(AC35:AE35)+SUM(AG35:AU35)</f>
        <v>0</v>
      </c>
      <c r="AC35" s="326">
        <f>'12CH_GOC'!AE49</f>
        <v>0</v>
      </c>
      <c r="AD35" s="326">
        <f>'12CH_GOC'!AF49</f>
        <v>0</v>
      </c>
      <c r="AE35" s="326">
        <f>'12CH_GOC'!AG49</f>
        <v>0</v>
      </c>
      <c r="AF35" s="761">
        <f>'12CH_GOC'!AH49</f>
        <v>0</v>
      </c>
      <c r="AG35" s="326">
        <f>'12CH_GOC'!AI49</f>
        <v>0</v>
      </c>
      <c r="AH35" s="326">
        <f>'12CH_GOC'!AJ49</f>
        <v>0</v>
      </c>
      <c r="AI35" s="326">
        <f>'12CH_GOC'!AK49</f>
        <v>0</v>
      </c>
      <c r="AJ35" s="326">
        <f>'12CH_GOC'!AL49</f>
        <v>0</v>
      </c>
      <c r="AK35" s="326">
        <f>'12CH_GOC'!AM49</f>
        <v>0</v>
      </c>
      <c r="AL35" s="326">
        <f>'12CH_GOC'!AN49</f>
        <v>0</v>
      </c>
      <c r="AM35" s="326">
        <f>'12CH_GOC'!AO49</f>
        <v>0</v>
      </c>
      <c r="AN35" s="326">
        <f>'12CH_GOC'!AP49</f>
        <v>0</v>
      </c>
      <c r="AO35" s="326">
        <f>'12CH_GOC'!AQ49</f>
        <v>0</v>
      </c>
      <c r="AP35" s="326">
        <f>'12CH_GOC'!AR49</f>
        <v>0</v>
      </c>
      <c r="AQ35" s="326">
        <f>'12CH_GOC'!AS49</f>
        <v>0</v>
      </c>
      <c r="AR35" s="326">
        <f>'12CH_GOC'!AT49</f>
        <v>0</v>
      </c>
      <c r="AS35" s="326">
        <f>'12CH_GOC'!AU49</f>
        <v>0</v>
      </c>
      <c r="AT35" s="326">
        <f>'12CH_GOC'!AV49</f>
        <v>0</v>
      </c>
      <c r="AU35" s="326">
        <f>'12CH_GOC'!AW49</f>
        <v>0</v>
      </c>
      <c r="AV35" s="326">
        <f>'12CH_GOC'!AX49</f>
        <v>0</v>
      </c>
      <c r="AW35" s="326">
        <f>'12CH_GOC'!AY49</f>
        <v>0</v>
      </c>
      <c r="AX35" s="326">
        <f>'12CH_GOC'!AZ49</f>
        <v>0</v>
      </c>
      <c r="AY35" s="326">
        <f>'12CH_GOC'!BA49</f>
        <v>0</v>
      </c>
      <c r="AZ35" s="326">
        <f>'12CH_GOC'!BB49</f>
        <v>0</v>
      </c>
      <c r="BA35" s="326">
        <f>'12CH_GOC'!BC49</f>
        <v>0</v>
      </c>
      <c r="BB35" s="326">
        <f>'12CH_GOC'!BD49</f>
        <v>0</v>
      </c>
      <c r="BC35" s="326">
        <f>'12CH_GOC'!BE49</f>
        <v>0</v>
      </c>
      <c r="BD35" s="326">
        <f>'12CH_GOC'!BF49</f>
        <v>0</v>
      </c>
      <c r="BE35" s="326">
        <f>'12CH_GOC'!BG49</f>
        <v>0</v>
      </c>
      <c r="BF35" s="326">
        <f>'12CH_GOC'!BH49</f>
        <v>0</v>
      </c>
      <c r="BG35" s="326">
        <f>'12CH_GOC'!BI49</f>
        <v>0</v>
      </c>
      <c r="BH35" s="326">
        <f>'12CH_GOC'!BJ49</f>
        <v>0</v>
      </c>
      <c r="BI35" s="326">
        <f>'12CH_GOC'!BK49</f>
        <v>18.349999999999998</v>
      </c>
      <c r="BJ35" s="326">
        <f>'12CH_GOC'!BM49</f>
        <v>18.349999999999998</v>
      </c>
      <c r="BL35" s="763">
        <f>AB63-BH31</f>
        <v>1036.5929999999998</v>
      </c>
    </row>
    <row r="36" spans="1:64" s="743" customFormat="1" ht="25.5" customHeight="1">
      <c r="A36" s="754" t="s">
        <v>193</v>
      </c>
      <c r="B36" s="748" t="s">
        <v>127</v>
      </c>
      <c r="C36" s="313" t="s">
        <v>48</v>
      </c>
      <c r="D36" s="326">
        <f>'12CH_GOC'!D34</f>
        <v>14.56</v>
      </c>
      <c r="E36" s="326">
        <f>'12CH_GOC'!E34</f>
        <v>0</v>
      </c>
      <c r="F36" s="326">
        <f>'12CH_GOC'!F34</f>
        <v>0</v>
      </c>
      <c r="G36" s="326">
        <f>'12CH_GOC'!G34</f>
        <v>0</v>
      </c>
      <c r="H36" s="326">
        <f>'12CH_GOC'!H34</f>
        <v>0</v>
      </c>
      <c r="I36" s="326">
        <f>'12CH_GOC'!I34</f>
        <v>0</v>
      </c>
      <c r="J36" s="326">
        <f>'12CH_GOC'!J34</f>
        <v>0</v>
      </c>
      <c r="K36" s="326">
        <f>'12CH_GOC'!K34</f>
        <v>0</v>
      </c>
      <c r="L36" s="326">
        <f>'12CH_GOC'!L34</f>
        <v>0</v>
      </c>
      <c r="M36" s="326">
        <f>'12CH_GOC'!M34</f>
        <v>0</v>
      </c>
      <c r="N36" s="326">
        <f>'12CH_GOC'!N34</f>
        <v>0</v>
      </c>
      <c r="O36" s="326">
        <f>'12CH_GOC'!O34</f>
        <v>0</v>
      </c>
      <c r="P36" s="326">
        <f>'12CH_GOC'!P34</f>
        <v>0</v>
      </c>
      <c r="Q36" s="326">
        <f>'12CH_GOC'!Q34</f>
        <v>0</v>
      </c>
      <c r="R36" s="326">
        <f>'12CH_GOC'!R34</f>
        <v>0</v>
      </c>
      <c r="S36" s="326">
        <f>'12CH_GOC'!S34</f>
        <v>0</v>
      </c>
      <c r="T36" s="326">
        <f>'12CH_GOC'!T34</f>
        <v>0</v>
      </c>
      <c r="U36" s="326">
        <f>SUM(V36:AA36)+SUM(AH36:BF36)+SUM(AC36:AF36)</f>
        <v>14.33</v>
      </c>
      <c r="V36" s="326">
        <f>'12CH_GOC'!V34</f>
        <v>0</v>
      </c>
      <c r="W36" s="326">
        <f>'12CH_GOC'!W34</f>
        <v>0.16</v>
      </c>
      <c r="X36" s="326">
        <f>'12CH_GOC'!Y34</f>
        <v>0</v>
      </c>
      <c r="Y36" s="326">
        <f>'12CH_GOC'!Z34</f>
        <v>0</v>
      </c>
      <c r="Z36" s="326">
        <f>'12CH_GOC'!AA34</f>
        <v>0</v>
      </c>
      <c r="AA36" s="326">
        <f>'12CH_GOC'!AB34</f>
        <v>0</v>
      </c>
      <c r="AB36" s="326">
        <f>SUM(AC36:AF36)+SUM(AH36:AU36)</f>
        <v>14.120000000000001</v>
      </c>
      <c r="AC36" s="326">
        <f>'12CH_GOC'!AE34</f>
        <v>0.1</v>
      </c>
      <c r="AD36" s="326">
        <f>'12CH_GOC'!AF34</f>
        <v>0</v>
      </c>
      <c r="AE36" s="326">
        <f>'12CH_GOC'!AG34</f>
        <v>13.71</v>
      </c>
      <c r="AF36" s="326">
        <f>'12CH_GOC'!AH34</f>
        <v>0</v>
      </c>
      <c r="AG36" s="761">
        <f>'12CH_GOC'!AI34</f>
        <v>0.23</v>
      </c>
      <c r="AH36" s="326">
        <f>'12CH_GOC'!AJ34</f>
        <v>0.26</v>
      </c>
      <c r="AI36" s="326">
        <f>'12CH_GOC'!AK34</f>
        <v>0</v>
      </c>
      <c r="AJ36" s="326">
        <f>'12CH_GOC'!AL34</f>
        <v>0</v>
      </c>
      <c r="AK36" s="326">
        <f>'12CH_GOC'!AM34</f>
        <v>0</v>
      </c>
      <c r="AL36" s="326">
        <f>'12CH_GOC'!AN34</f>
        <v>0.05</v>
      </c>
      <c r="AM36" s="326">
        <f>'12CH_GOC'!AO34</f>
        <v>0</v>
      </c>
      <c r="AN36" s="326">
        <f>'12CH_GOC'!AP34</f>
        <v>0</v>
      </c>
      <c r="AO36" s="326">
        <f>'12CH_GOC'!AQ34</f>
        <v>0</v>
      </c>
      <c r="AP36" s="326">
        <f>'12CH_GOC'!AR34</f>
        <v>0</v>
      </c>
      <c r="AQ36" s="326">
        <f>'12CH_GOC'!AS34</f>
        <v>0</v>
      </c>
      <c r="AR36" s="326">
        <f>'12CH_GOC'!AT34</f>
        <v>0</v>
      </c>
      <c r="AS36" s="326">
        <f>'12CH_GOC'!AU34</f>
        <v>0</v>
      </c>
      <c r="AT36" s="326">
        <f>'12CH_GOC'!AV34</f>
        <v>0</v>
      </c>
      <c r="AU36" s="326">
        <f>'12CH_GOC'!AW34</f>
        <v>0</v>
      </c>
      <c r="AV36" s="326">
        <f>'12CH_GOC'!AX34</f>
        <v>0.02</v>
      </c>
      <c r="AW36" s="326">
        <f>'12CH_GOC'!AY34</f>
        <v>0.03</v>
      </c>
      <c r="AX36" s="326">
        <f>'12CH_GOC'!AZ34</f>
        <v>0</v>
      </c>
      <c r="AY36" s="326">
        <f>'12CH_GOC'!BA34</f>
        <v>0</v>
      </c>
      <c r="AZ36" s="326">
        <f>'12CH_GOC'!BB34</f>
        <v>0</v>
      </c>
      <c r="BA36" s="326">
        <f>'12CH_GOC'!BC34</f>
        <v>0</v>
      </c>
      <c r="BB36" s="326">
        <f>'12CH_GOC'!BD34</f>
        <v>0</v>
      </c>
      <c r="BC36" s="326">
        <f>'12CH_GOC'!BE34</f>
        <v>0</v>
      </c>
      <c r="BD36" s="326">
        <f>'12CH_GOC'!BF34</f>
        <v>0</v>
      </c>
      <c r="BE36" s="326">
        <f>'12CH_GOC'!BG34</f>
        <v>0</v>
      </c>
      <c r="BF36" s="326">
        <f>'12CH_GOC'!BH34</f>
        <v>0</v>
      </c>
      <c r="BG36" s="326">
        <f>'12CH_GOC'!BI34</f>
        <v>0</v>
      </c>
      <c r="BH36" s="326">
        <f>'12CH_GOC'!BJ34</f>
        <v>0.85000000000000009</v>
      </c>
      <c r="BI36" s="326">
        <f>'12CH_GOC'!BK34</f>
        <v>8.1570000000000018</v>
      </c>
      <c r="BJ36" s="326">
        <f>'12CH_GOC'!BM34</f>
        <v>22.717000000000002</v>
      </c>
    </row>
    <row r="37" spans="1:64" s="743" customFormat="1" ht="25.5" customHeight="1">
      <c r="A37" s="754" t="s">
        <v>193</v>
      </c>
      <c r="B37" s="748" t="s">
        <v>129</v>
      </c>
      <c r="C37" s="313" t="s">
        <v>49</v>
      </c>
      <c r="D37" s="326">
        <f>'12CH_GOC'!D35</f>
        <v>8</v>
      </c>
      <c r="E37" s="326">
        <f>'12CH_GOC'!E35</f>
        <v>0</v>
      </c>
      <c r="F37" s="326">
        <f>'12CH_GOC'!F35</f>
        <v>0</v>
      </c>
      <c r="G37" s="326">
        <f>'12CH_GOC'!G35</f>
        <v>0</v>
      </c>
      <c r="H37" s="326">
        <f>'12CH_GOC'!H35</f>
        <v>0</v>
      </c>
      <c r="I37" s="326">
        <f>'12CH_GOC'!I35</f>
        <v>0</v>
      </c>
      <c r="J37" s="326">
        <f>'12CH_GOC'!J35</f>
        <v>0</v>
      </c>
      <c r="K37" s="326">
        <f>'12CH_GOC'!K35</f>
        <v>0</v>
      </c>
      <c r="L37" s="326">
        <f>'12CH_GOC'!L35</f>
        <v>0</v>
      </c>
      <c r="M37" s="326">
        <f>'12CH_GOC'!M35</f>
        <v>0</v>
      </c>
      <c r="N37" s="326">
        <f>'12CH_GOC'!N35</f>
        <v>0</v>
      </c>
      <c r="O37" s="326">
        <f>'12CH_GOC'!O35</f>
        <v>0</v>
      </c>
      <c r="P37" s="326">
        <f>'12CH_GOC'!P35</f>
        <v>0</v>
      </c>
      <c r="Q37" s="326">
        <f>'12CH_GOC'!Q35</f>
        <v>0</v>
      </c>
      <c r="R37" s="326">
        <f>'12CH_GOC'!R35</f>
        <v>0</v>
      </c>
      <c r="S37" s="326">
        <f>'12CH_GOC'!S35</f>
        <v>0</v>
      </c>
      <c r="T37" s="326">
        <f>'12CH_GOC'!T35</f>
        <v>0</v>
      </c>
      <c r="U37" s="326">
        <f>SUM(V37:AA37)+SUM(AI37:BF37)+SUM(AC37:AG37)</f>
        <v>7.9700000000000006</v>
      </c>
      <c r="V37" s="326">
        <f>'12CH_GOC'!V35</f>
        <v>0</v>
      </c>
      <c r="W37" s="326">
        <f>'12CH_GOC'!W35</f>
        <v>0.12</v>
      </c>
      <c r="X37" s="326">
        <f>'12CH_GOC'!Y35</f>
        <v>0</v>
      </c>
      <c r="Y37" s="326">
        <f>'12CH_GOC'!Z35</f>
        <v>0.1</v>
      </c>
      <c r="Z37" s="326">
        <f>'12CH_GOC'!AA35</f>
        <v>0</v>
      </c>
      <c r="AA37" s="326">
        <f>'12CH_GOC'!AB35</f>
        <v>0</v>
      </c>
      <c r="AB37" s="326">
        <f>SUM(AC37:AG37)+SUM(AI37:AU37)</f>
        <v>7.5400000000000009</v>
      </c>
      <c r="AC37" s="326">
        <f>'12CH_GOC'!AE35</f>
        <v>0.02</v>
      </c>
      <c r="AD37" s="326">
        <f>'12CH_GOC'!AF35</f>
        <v>0</v>
      </c>
      <c r="AE37" s="326">
        <f>'12CH_GOC'!AG35</f>
        <v>0.25</v>
      </c>
      <c r="AF37" s="326">
        <f>'12CH_GOC'!AH35</f>
        <v>7.04</v>
      </c>
      <c r="AG37" s="326">
        <f>'12CH_GOC'!AI35</f>
        <v>0.11</v>
      </c>
      <c r="AH37" s="761">
        <f>'12CH_GOC'!AJ35</f>
        <v>0.03</v>
      </c>
      <c r="AI37" s="326">
        <f>'12CH_GOC'!AK35</f>
        <v>0</v>
      </c>
      <c r="AJ37" s="326">
        <f>'12CH_GOC'!AL35</f>
        <v>0</v>
      </c>
      <c r="AK37" s="326">
        <f>'12CH_GOC'!AM35</f>
        <v>0</v>
      </c>
      <c r="AL37" s="326">
        <f>'12CH_GOC'!AN35</f>
        <v>0.01</v>
      </c>
      <c r="AM37" s="326">
        <f>'12CH_GOC'!AO35</f>
        <v>0</v>
      </c>
      <c r="AN37" s="326">
        <f>'12CH_GOC'!AP35</f>
        <v>0</v>
      </c>
      <c r="AO37" s="326">
        <f>'12CH_GOC'!AQ35</f>
        <v>0</v>
      </c>
      <c r="AP37" s="326">
        <f>'12CH_GOC'!AR35</f>
        <v>0</v>
      </c>
      <c r="AQ37" s="326">
        <f>'12CH_GOC'!AS35</f>
        <v>0</v>
      </c>
      <c r="AR37" s="326">
        <f>'12CH_GOC'!AT35</f>
        <v>0.11</v>
      </c>
      <c r="AS37" s="326">
        <f>'12CH_GOC'!AU35</f>
        <v>0</v>
      </c>
      <c r="AT37" s="326">
        <f>'12CH_GOC'!AV35</f>
        <v>0</v>
      </c>
      <c r="AU37" s="326">
        <f>'12CH_GOC'!AW35</f>
        <v>0</v>
      </c>
      <c r="AV37" s="326">
        <f>'12CH_GOC'!AX35</f>
        <v>0</v>
      </c>
      <c r="AW37" s="326">
        <f>'12CH_GOC'!AY35</f>
        <v>0</v>
      </c>
      <c r="AX37" s="326">
        <f>'12CH_GOC'!AZ35</f>
        <v>0.21000000000000002</v>
      </c>
      <c r="AY37" s="326">
        <f>'12CH_GOC'!BA35</f>
        <v>0</v>
      </c>
      <c r="AZ37" s="326">
        <f>'12CH_GOC'!BB35</f>
        <v>0</v>
      </c>
      <c r="BA37" s="326">
        <f>'12CH_GOC'!BC35</f>
        <v>0</v>
      </c>
      <c r="BB37" s="326">
        <f>'12CH_GOC'!BD35</f>
        <v>0</v>
      </c>
      <c r="BC37" s="326">
        <f>'12CH_GOC'!BE35</f>
        <v>0</v>
      </c>
      <c r="BD37" s="326">
        <f>'12CH_GOC'!BF35</f>
        <v>0</v>
      </c>
      <c r="BE37" s="326">
        <f>'12CH_GOC'!BG35</f>
        <v>0</v>
      </c>
      <c r="BF37" s="326">
        <f>'12CH_GOC'!BH35</f>
        <v>0</v>
      </c>
      <c r="BG37" s="326">
        <f>'12CH_GOC'!BI35</f>
        <v>0</v>
      </c>
      <c r="BH37" s="326">
        <f>'12CH_GOC'!BJ35</f>
        <v>0.96</v>
      </c>
      <c r="BI37" s="326">
        <f>'12CH_GOC'!BK35</f>
        <v>-0.47999999999999993</v>
      </c>
      <c r="BJ37" s="326">
        <f>'12CH_GOC'!BM35</f>
        <v>7.5200000000000005</v>
      </c>
    </row>
    <row r="38" spans="1:64" s="743" customFormat="1" ht="30.75" customHeight="1">
      <c r="A38" s="754" t="s">
        <v>193</v>
      </c>
      <c r="B38" s="331" t="s">
        <v>220</v>
      </c>
      <c r="C38" s="313" t="s">
        <v>50</v>
      </c>
      <c r="D38" s="326">
        <f>'12CH_GOC'!D36</f>
        <v>60.670000000000009</v>
      </c>
      <c r="E38" s="326">
        <f>'12CH_GOC'!E36</f>
        <v>0</v>
      </c>
      <c r="F38" s="326">
        <f>'12CH_GOC'!F36</f>
        <v>0</v>
      </c>
      <c r="G38" s="326">
        <f>'12CH_GOC'!G36</f>
        <v>0</v>
      </c>
      <c r="H38" s="326">
        <f>'12CH_GOC'!H36</f>
        <v>0</v>
      </c>
      <c r="I38" s="326">
        <f>'12CH_GOC'!I36</f>
        <v>0</v>
      </c>
      <c r="J38" s="326">
        <f>'12CH_GOC'!J36</f>
        <v>0</v>
      </c>
      <c r="K38" s="326">
        <f>'12CH_GOC'!K36</f>
        <v>0</v>
      </c>
      <c r="L38" s="326">
        <f>'12CH_GOC'!L36</f>
        <v>0</v>
      </c>
      <c r="M38" s="326">
        <f>'12CH_GOC'!M36</f>
        <v>0</v>
      </c>
      <c r="N38" s="326">
        <f>'12CH_GOC'!N36</f>
        <v>0</v>
      </c>
      <c r="O38" s="326">
        <f>'12CH_GOC'!O36</f>
        <v>0</v>
      </c>
      <c r="P38" s="326">
        <f>'12CH_GOC'!P36</f>
        <v>0</v>
      </c>
      <c r="Q38" s="326">
        <f>'12CH_GOC'!Q36</f>
        <v>0</v>
      </c>
      <c r="R38" s="326">
        <f>'12CH_GOC'!R36</f>
        <v>0</v>
      </c>
      <c r="S38" s="326">
        <f>'12CH_GOC'!S36</f>
        <v>0</v>
      </c>
      <c r="T38" s="326">
        <f>'12CH_GOC'!T36</f>
        <v>0</v>
      </c>
      <c r="U38" s="326">
        <f>SUM(V38:AA38)+SUM(AJ38:BF38)+SUM(AC38:AH38)</f>
        <v>60.670000000000009</v>
      </c>
      <c r="V38" s="326">
        <f>'12CH_GOC'!V36</f>
        <v>0</v>
      </c>
      <c r="W38" s="326">
        <f>'12CH_GOC'!W36</f>
        <v>0.02</v>
      </c>
      <c r="X38" s="326">
        <f>'12CH_GOC'!Y36</f>
        <v>0</v>
      </c>
      <c r="Y38" s="326">
        <f>'12CH_GOC'!Z36</f>
        <v>0</v>
      </c>
      <c r="Z38" s="326">
        <f>'12CH_GOC'!AA36</f>
        <v>0</v>
      </c>
      <c r="AA38" s="326">
        <f>'12CH_GOC'!AB36</f>
        <v>0</v>
      </c>
      <c r="AB38" s="326">
        <f>SUM(AC38:AH38)+SUM(AJ38:AU38)</f>
        <v>60.13000000000001</v>
      </c>
      <c r="AC38" s="326">
        <f>'12CH_GOC'!AE36</f>
        <v>0.06</v>
      </c>
      <c r="AD38" s="326">
        <f>'12CH_GOC'!AF36</f>
        <v>0</v>
      </c>
      <c r="AE38" s="326">
        <f>'12CH_GOC'!AG36</f>
        <v>1.5600000000000003</v>
      </c>
      <c r="AF38" s="326">
        <f>'12CH_GOC'!AH36</f>
        <v>0</v>
      </c>
      <c r="AG38" s="326">
        <f>'12CH_GOC'!AI36</f>
        <v>57.310000000000009</v>
      </c>
      <c r="AH38" s="326">
        <f>'12CH_GOC'!AJ36</f>
        <v>0.38999999999999996</v>
      </c>
      <c r="AI38" s="761">
        <f>'12CH_GOC'!AK36</f>
        <v>0</v>
      </c>
      <c r="AJ38" s="326">
        <f>'12CH_GOC'!AL36</f>
        <v>0</v>
      </c>
      <c r="AK38" s="326">
        <f>'12CH_GOC'!AM36</f>
        <v>0</v>
      </c>
      <c r="AL38" s="326">
        <f>'12CH_GOC'!AN36</f>
        <v>0.33999999999999997</v>
      </c>
      <c r="AM38" s="326">
        <f>'12CH_GOC'!AO36</f>
        <v>0</v>
      </c>
      <c r="AN38" s="326">
        <f>'12CH_GOC'!AP36</f>
        <v>0</v>
      </c>
      <c r="AO38" s="326">
        <f>'12CH_GOC'!AQ36</f>
        <v>0</v>
      </c>
      <c r="AP38" s="326">
        <f>'12CH_GOC'!AR36</f>
        <v>0</v>
      </c>
      <c r="AQ38" s="326">
        <f>'12CH_GOC'!AS36</f>
        <v>0</v>
      </c>
      <c r="AR38" s="326">
        <f>'12CH_GOC'!AT36</f>
        <v>0</v>
      </c>
      <c r="AS38" s="326">
        <f>'12CH_GOC'!AU36</f>
        <v>0</v>
      </c>
      <c r="AT38" s="326">
        <f>'12CH_GOC'!AV36</f>
        <v>0</v>
      </c>
      <c r="AU38" s="326">
        <f>'12CH_GOC'!AW36</f>
        <v>0.47</v>
      </c>
      <c r="AV38" s="326">
        <f>'12CH_GOC'!AX36</f>
        <v>0.29000000000000004</v>
      </c>
      <c r="AW38" s="326">
        <f>'12CH_GOC'!AY36</f>
        <v>0.23</v>
      </c>
      <c r="AX38" s="326">
        <f>'12CH_GOC'!AZ36</f>
        <v>0</v>
      </c>
      <c r="AY38" s="326">
        <f>'12CH_GOC'!BA36</f>
        <v>0</v>
      </c>
      <c r="AZ38" s="326">
        <f>'12CH_GOC'!BB36</f>
        <v>0</v>
      </c>
      <c r="BA38" s="326">
        <f>'12CH_GOC'!BC36</f>
        <v>0</v>
      </c>
      <c r="BB38" s="326">
        <f>'12CH_GOC'!BD36</f>
        <v>0</v>
      </c>
      <c r="BC38" s="326">
        <f>'12CH_GOC'!BE36</f>
        <v>0</v>
      </c>
      <c r="BD38" s="326">
        <f>'12CH_GOC'!BF36</f>
        <v>0</v>
      </c>
      <c r="BE38" s="326">
        <f>'12CH_GOC'!BG36</f>
        <v>0</v>
      </c>
      <c r="BF38" s="326">
        <f>'12CH_GOC'!BH36</f>
        <v>0</v>
      </c>
      <c r="BG38" s="326">
        <f>'12CH_GOC'!BI36</f>
        <v>0</v>
      </c>
      <c r="BH38" s="326">
        <f>'12CH_GOC'!BJ36</f>
        <v>3.3600000000000003</v>
      </c>
      <c r="BI38" s="326">
        <f>'12CH_GOC'!BK36</f>
        <v>24.770000000000003</v>
      </c>
      <c r="BJ38" s="326">
        <f>'12CH_GOC'!BM36</f>
        <v>85.440000000000012</v>
      </c>
    </row>
    <row r="39" spans="1:64" s="743" customFormat="1" ht="25.5" customHeight="1">
      <c r="A39" s="754" t="s">
        <v>193</v>
      </c>
      <c r="B39" s="331" t="s">
        <v>2307</v>
      </c>
      <c r="C39" s="313" t="s">
        <v>51</v>
      </c>
      <c r="D39" s="326">
        <f>'12CH_GOC'!D37</f>
        <v>21.15</v>
      </c>
      <c r="E39" s="326">
        <f>'12CH_GOC'!E37</f>
        <v>0</v>
      </c>
      <c r="F39" s="326">
        <f>'12CH_GOC'!F37</f>
        <v>0</v>
      </c>
      <c r="G39" s="326">
        <f>'12CH_GOC'!G37</f>
        <v>0</v>
      </c>
      <c r="H39" s="326">
        <f>'12CH_GOC'!H37</f>
        <v>0</v>
      </c>
      <c r="I39" s="326">
        <f>'12CH_GOC'!I37</f>
        <v>0</v>
      </c>
      <c r="J39" s="326">
        <f>'12CH_GOC'!J37</f>
        <v>0</v>
      </c>
      <c r="K39" s="326">
        <f>'12CH_GOC'!K37</f>
        <v>0</v>
      </c>
      <c r="L39" s="326">
        <f>'12CH_GOC'!L37</f>
        <v>0</v>
      </c>
      <c r="M39" s="326">
        <f>'12CH_GOC'!M37</f>
        <v>0</v>
      </c>
      <c r="N39" s="326">
        <f>'12CH_GOC'!N37</f>
        <v>0</v>
      </c>
      <c r="O39" s="326">
        <f>'12CH_GOC'!O37</f>
        <v>0</v>
      </c>
      <c r="P39" s="326">
        <f>'12CH_GOC'!P37</f>
        <v>0</v>
      </c>
      <c r="Q39" s="326">
        <f>'12CH_GOC'!Q37</f>
        <v>0</v>
      </c>
      <c r="R39" s="326">
        <f>'12CH_GOC'!R37</f>
        <v>0</v>
      </c>
      <c r="S39" s="326">
        <f>'12CH_GOC'!S37</f>
        <v>0</v>
      </c>
      <c r="T39" s="326">
        <f>'12CH_GOC'!T37</f>
        <v>0</v>
      </c>
      <c r="U39" s="326">
        <f>SUM(V39:AA39)+SUM(AK39:BF39)+SUM(AC39:AI39)</f>
        <v>21.149999999999995</v>
      </c>
      <c r="V39" s="326">
        <f>'12CH_GOC'!V37</f>
        <v>0</v>
      </c>
      <c r="W39" s="326">
        <f>'12CH_GOC'!W37</f>
        <v>0</v>
      </c>
      <c r="X39" s="326">
        <f>'12CH_GOC'!Y37</f>
        <v>0</v>
      </c>
      <c r="Y39" s="326">
        <f>'12CH_GOC'!Z37</f>
        <v>0.06</v>
      </c>
      <c r="Z39" s="326">
        <f>'12CH_GOC'!AA37</f>
        <v>0</v>
      </c>
      <c r="AA39" s="326">
        <f>'12CH_GOC'!AB37</f>
        <v>0</v>
      </c>
      <c r="AB39" s="326">
        <f>SUM(AC39:AI39)+SUM(AK39:AU39)</f>
        <v>20.949999999999996</v>
      </c>
      <c r="AC39" s="326">
        <f>'12CH_GOC'!AE37</f>
        <v>0.14000000000000001</v>
      </c>
      <c r="AD39" s="326">
        <f>'12CH_GOC'!AF37</f>
        <v>0</v>
      </c>
      <c r="AE39" s="326">
        <f>'12CH_GOC'!AG37</f>
        <v>0.15000000000000002</v>
      </c>
      <c r="AF39" s="326">
        <f>'12CH_GOC'!AH37</f>
        <v>0</v>
      </c>
      <c r="AG39" s="326">
        <f>'12CH_GOC'!AI37</f>
        <v>0.48</v>
      </c>
      <c r="AH39" s="326">
        <f>'12CH_GOC'!AJ37</f>
        <v>19.889999999999997</v>
      </c>
      <c r="AI39" s="326">
        <f>'12CH_GOC'!AK37</f>
        <v>0</v>
      </c>
      <c r="AJ39" s="761">
        <f>'12CH_GOC'!AL37</f>
        <v>0</v>
      </c>
      <c r="AK39" s="326">
        <f>'12CH_GOC'!AM37</f>
        <v>0</v>
      </c>
      <c r="AL39" s="326">
        <f>'12CH_GOC'!AN37</f>
        <v>0</v>
      </c>
      <c r="AM39" s="326">
        <f>'12CH_GOC'!AO37</f>
        <v>0.2</v>
      </c>
      <c r="AN39" s="326">
        <f>'12CH_GOC'!AP37</f>
        <v>0</v>
      </c>
      <c r="AO39" s="326">
        <f>'12CH_GOC'!AQ37</f>
        <v>0</v>
      </c>
      <c r="AP39" s="326">
        <f>'12CH_GOC'!AR37</f>
        <v>0</v>
      </c>
      <c r="AQ39" s="326">
        <f>'12CH_GOC'!AS37</f>
        <v>0</v>
      </c>
      <c r="AR39" s="326">
        <f>'12CH_GOC'!AT37</f>
        <v>0.09</v>
      </c>
      <c r="AS39" s="326">
        <f>'12CH_GOC'!AU37</f>
        <v>0</v>
      </c>
      <c r="AT39" s="326">
        <f>'12CH_GOC'!AV37</f>
        <v>0</v>
      </c>
      <c r="AU39" s="326">
        <f>'12CH_GOC'!AW37</f>
        <v>0</v>
      </c>
      <c r="AV39" s="326">
        <f>'12CH_GOC'!AX37</f>
        <v>0</v>
      </c>
      <c r="AW39" s="326">
        <f>'12CH_GOC'!AY37</f>
        <v>0.14000000000000001</v>
      </c>
      <c r="AX39" s="326">
        <f>'12CH_GOC'!AZ37</f>
        <v>0</v>
      </c>
      <c r="AY39" s="326">
        <f>'12CH_GOC'!BA37</f>
        <v>0</v>
      </c>
      <c r="AZ39" s="326">
        <f>'12CH_GOC'!BB37</f>
        <v>0</v>
      </c>
      <c r="BA39" s="326">
        <f>'12CH_GOC'!BC37</f>
        <v>0</v>
      </c>
      <c r="BB39" s="326">
        <f>'12CH_GOC'!BD37</f>
        <v>0</v>
      </c>
      <c r="BC39" s="326">
        <f>'12CH_GOC'!BE37</f>
        <v>0</v>
      </c>
      <c r="BD39" s="326">
        <f>'12CH_GOC'!BF37</f>
        <v>0</v>
      </c>
      <c r="BE39" s="326">
        <f>'12CH_GOC'!BG37</f>
        <v>0</v>
      </c>
      <c r="BF39" s="326">
        <f>'12CH_GOC'!BH37</f>
        <v>0</v>
      </c>
      <c r="BG39" s="326">
        <f>'12CH_GOC'!BI37</f>
        <v>0</v>
      </c>
      <c r="BH39" s="326">
        <f>'12CH_GOC'!BJ37</f>
        <v>1.2600000000000002</v>
      </c>
      <c r="BI39" s="326">
        <f>'12CH_GOC'!BK37</f>
        <v>14.399999999999999</v>
      </c>
      <c r="BJ39" s="326">
        <f>'12CH_GOC'!BM37</f>
        <v>35.549999999999997</v>
      </c>
    </row>
    <row r="40" spans="1:64" s="743" customFormat="1" ht="31.35" customHeight="1">
      <c r="A40" s="754" t="s">
        <v>193</v>
      </c>
      <c r="B40" s="331" t="s">
        <v>2759</v>
      </c>
      <c r="C40" s="2" t="s">
        <v>46</v>
      </c>
      <c r="D40" s="326">
        <f>'12CH_GOC'!D38</f>
        <v>30.37</v>
      </c>
      <c r="E40" s="326">
        <f>'12CH_GOC'!E38</f>
        <v>0</v>
      </c>
      <c r="F40" s="326">
        <f>'12CH_GOC'!F38</f>
        <v>0</v>
      </c>
      <c r="G40" s="326">
        <f>'12CH_GOC'!G38</f>
        <v>0</v>
      </c>
      <c r="H40" s="326">
        <f>'12CH_GOC'!H38</f>
        <v>0</v>
      </c>
      <c r="I40" s="326">
        <f>'12CH_GOC'!I38</f>
        <v>0</v>
      </c>
      <c r="J40" s="326">
        <f>'12CH_GOC'!J38</f>
        <v>0</v>
      </c>
      <c r="K40" s="326">
        <f>'12CH_GOC'!K38</f>
        <v>0</v>
      </c>
      <c r="L40" s="326">
        <f>'12CH_GOC'!L38</f>
        <v>0</v>
      </c>
      <c r="M40" s="326">
        <f>'12CH_GOC'!M38</f>
        <v>0</v>
      </c>
      <c r="N40" s="326">
        <f>'12CH_GOC'!N38</f>
        <v>0</v>
      </c>
      <c r="O40" s="326">
        <f>'12CH_GOC'!O38</f>
        <v>0</v>
      </c>
      <c r="P40" s="326">
        <f>'12CH_GOC'!P38</f>
        <v>0</v>
      </c>
      <c r="Q40" s="326">
        <f>'12CH_GOC'!Q38</f>
        <v>0</v>
      </c>
      <c r="R40" s="326">
        <f>'12CH_GOC'!R38</f>
        <v>0</v>
      </c>
      <c r="S40" s="326">
        <f>'12CH_GOC'!S38</f>
        <v>0</v>
      </c>
      <c r="T40" s="326">
        <f>'12CH_GOC'!T38</f>
        <v>0</v>
      </c>
      <c r="U40" s="326">
        <f>SUM(V40:AA40)+SUM(AL40:BF40)+SUM(AC40:AJ40)</f>
        <v>30.37</v>
      </c>
      <c r="V40" s="326">
        <f>'12CH_GOC'!V38</f>
        <v>0</v>
      </c>
      <c r="W40" s="326">
        <f>'12CH_GOC'!W38</f>
        <v>0</v>
      </c>
      <c r="X40" s="326">
        <f>'12CH_GOC'!Y38</f>
        <v>0</v>
      </c>
      <c r="Y40" s="326">
        <f>'12CH_GOC'!Z38</f>
        <v>0.01</v>
      </c>
      <c r="Z40" s="326">
        <f>'12CH_GOC'!AA38</f>
        <v>0</v>
      </c>
      <c r="AA40" s="326">
        <f>'12CH_GOC'!AB38</f>
        <v>0</v>
      </c>
      <c r="AB40" s="326">
        <f>SUM(AC40:AJ40)+SUM(AL40:AU40)</f>
        <v>30.36</v>
      </c>
      <c r="AC40" s="326">
        <f>'12CH_GOC'!AE38</f>
        <v>0</v>
      </c>
      <c r="AD40" s="326">
        <f>'12CH_GOC'!AF38</f>
        <v>0</v>
      </c>
      <c r="AE40" s="326">
        <f>'12CH_GOC'!AG38</f>
        <v>0</v>
      </c>
      <c r="AF40" s="326">
        <f>'12CH_GOC'!AH38</f>
        <v>0</v>
      </c>
      <c r="AG40" s="326">
        <f>'12CH_GOC'!AI38</f>
        <v>0</v>
      </c>
      <c r="AH40" s="326">
        <f>'12CH_GOC'!AJ38</f>
        <v>0</v>
      </c>
      <c r="AI40" s="326">
        <f>'12CH_GOC'!AK38</f>
        <v>30.28</v>
      </c>
      <c r="AJ40" s="326">
        <f>'12CH_GOC'!AL38</f>
        <v>0</v>
      </c>
      <c r="AK40" s="761">
        <f>'12CH_GOC'!AM38</f>
        <v>0</v>
      </c>
      <c r="AL40" s="326">
        <f>'12CH_GOC'!AN38</f>
        <v>0.08</v>
      </c>
      <c r="AM40" s="326">
        <f>'12CH_GOC'!AO38</f>
        <v>0</v>
      </c>
      <c r="AN40" s="326">
        <f>'12CH_GOC'!AP38</f>
        <v>0</v>
      </c>
      <c r="AO40" s="326">
        <f>'12CH_GOC'!AQ38</f>
        <v>0</v>
      </c>
      <c r="AP40" s="326">
        <f>'12CH_GOC'!AR38</f>
        <v>0</v>
      </c>
      <c r="AQ40" s="326">
        <f>'12CH_GOC'!AS38</f>
        <v>0</v>
      </c>
      <c r="AR40" s="326">
        <f>'12CH_GOC'!AT38</f>
        <v>0</v>
      </c>
      <c r="AS40" s="326">
        <f>'12CH_GOC'!AU38</f>
        <v>0</v>
      </c>
      <c r="AT40" s="326">
        <f>'12CH_GOC'!AV38</f>
        <v>0</v>
      </c>
      <c r="AU40" s="326">
        <f>'12CH_GOC'!AW38</f>
        <v>0</v>
      </c>
      <c r="AV40" s="326">
        <f>'12CH_GOC'!AX38</f>
        <v>0</v>
      </c>
      <c r="AW40" s="326">
        <f>'12CH_GOC'!AY38</f>
        <v>0</v>
      </c>
      <c r="AX40" s="326">
        <f>'12CH_GOC'!AZ38</f>
        <v>0</v>
      </c>
      <c r="AY40" s="326">
        <f>'12CH_GOC'!BA38</f>
        <v>0</v>
      </c>
      <c r="AZ40" s="326">
        <f>'12CH_GOC'!BB38</f>
        <v>0</v>
      </c>
      <c r="BA40" s="326">
        <f>'12CH_GOC'!BC38</f>
        <v>0</v>
      </c>
      <c r="BB40" s="326">
        <f>'12CH_GOC'!BD38</f>
        <v>0</v>
      </c>
      <c r="BC40" s="326">
        <f>'12CH_GOC'!BE38</f>
        <v>0</v>
      </c>
      <c r="BD40" s="326">
        <f>'12CH_GOC'!BF38</f>
        <v>0</v>
      </c>
      <c r="BE40" s="326">
        <f>'12CH_GOC'!BG38</f>
        <v>0</v>
      </c>
      <c r="BF40" s="326">
        <f>'12CH_GOC'!BH38</f>
        <v>0</v>
      </c>
      <c r="BG40" s="326">
        <f>'12CH_GOC'!BI38</f>
        <v>0</v>
      </c>
      <c r="BH40" s="326">
        <f>'12CH_GOC'!BJ38</f>
        <v>0.09</v>
      </c>
      <c r="BI40" s="326">
        <f>'12CH_GOC'!BK38</f>
        <v>147.57999999999998</v>
      </c>
      <c r="BJ40" s="326">
        <f>'12CH_GOC'!BM38</f>
        <v>177.95</v>
      </c>
    </row>
    <row r="41" spans="1:64" s="743" customFormat="1" ht="31.7" customHeight="1">
      <c r="A41" s="754" t="s">
        <v>193</v>
      </c>
      <c r="B41" s="331" t="s">
        <v>2760</v>
      </c>
      <c r="C41" s="2" t="s">
        <v>47</v>
      </c>
      <c r="D41" s="326">
        <f>'12CH_GOC'!D39</f>
        <v>1.4400000000000002</v>
      </c>
      <c r="E41" s="326">
        <f>'12CH_GOC'!E39</f>
        <v>0</v>
      </c>
      <c r="F41" s="326">
        <f>'12CH_GOC'!F39</f>
        <v>0</v>
      </c>
      <c r="G41" s="326">
        <f>'12CH_GOC'!G39</f>
        <v>0</v>
      </c>
      <c r="H41" s="326">
        <f>'12CH_GOC'!H39</f>
        <v>0</v>
      </c>
      <c r="I41" s="326">
        <f>'12CH_GOC'!I39</f>
        <v>0</v>
      </c>
      <c r="J41" s="326">
        <f>'12CH_GOC'!J39</f>
        <v>0</v>
      </c>
      <c r="K41" s="326">
        <f>'12CH_GOC'!K39</f>
        <v>0</v>
      </c>
      <c r="L41" s="326">
        <f>'12CH_GOC'!L39</f>
        <v>0</v>
      </c>
      <c r="M41" s="326">
        <f>'12CH_GOC'!M39</f>
        <v>0</v>
      </c>
      <c r="N41" s="326">
        <f>'12CH_GOC'!N39</f>
        <v>0</v>
      </c>
      <c r="O41" s="326">
        <f>'12CH_GOC'!O39</f>
        <v>0</v>
      </c>
      <c r="P41" s="326">
        <f>'12CH_GOC'!P39</f>
        <v>0</v>
      </c>
      <c r="Q41" s="326">
        <f>'12CH_GOC'!Q39</f>
        <v>0</v>
      </c>
      <c r="R41" s="326">
        <f>'12CH_GOC'!R39</f>
        <v>0</v>
      </c>
      <c r="S41" s="326">
        <f>'12CH_GOC'!S39</f>
        <v>0</v>
      </c>
      <c r="T41" s="326">
        <f>'12CH_GOC'!T39</f>
        <v>0</v>
      </c>
      <c r="U41" s="326">
        <f>SUM(V41:AA41)+SUM(AM41:BF41)+SUM(AC41:AK41)</f>
        <v>1.1900000000000002</v>
      </c>
      <c r="V41" s="326">
        <f>'12CH_GOC'!V39</f>
        <v>0</v>
      </c>
      <c r="W41" s="326">
        <f>'12CH_GOC'!W39</f>
        <v>0.15</v>
      </c>
      <c r="X41" s="326">
        <f>'12CH_GOC'!Y39</f>
        <v>0</v>
      </c>
      <c r="Y41" s="326">
        <f>'12CH_GOC'!Z39</f>
        <v>0</v>
      </c>
      <c r="Z41" s="326">
        <f>'12CH_GOC'!AA39</f>
        <v>0</v>
      </c>
      <c r="AA41" s="326">
        <f>'12CH_GOC'!AB39</f>
        <v>0</v>
      </c>
      <c r="AB41" s="326">
        <f>SUM(AC41:AK41)+SUM(AM41:AU41)</f>
        <v>1.0300000000000002</v>
      </c>
      <c r="AC41" s="326">
        <f>'12CH_GOC'!AE39</f>
        <v>0</v>
      </c>
      <c r="AD41" s="326">
        <f>'12CH_GOC'!AF39</f>
        <v>0</v>
      </c>
      <c r="AE41" s="326">
        <f>'12CH_GOC'!AG39</f>
        <v>0</v>
      </c>
      <c r="AF41" s="326">
        <f>'12CH_GOC'!AH39</f>
        <v>0</v>
      </c>
      <c r="AG41" s="326">
        <f>'12CH_GOC'!AI39</f>
        <v>0.03</v>
      </c>
      <c r="AH41" s="326">
        <f>'12CH_GOC'!AJ39</f>
        <v>0</v>
      </c>
      <c r="AI41" s="326">
        <f>'12CH_GOC'!AK39</f>
        <v>0</v>
      </c>
      <c r="AJ41" s="326">
        <f>'12CH_GOC'!AL39</f>
        <v>0.91000000000000014</v>
      </c>
      <c r="AK41" s="326">
        <f>'12CH_GOC'!AM39</f>
        <v>0</v>
      </c>
      <c r="AL41" s="761">
        <f>'12CH_GOC'!AN39</f>
        <v>0.25</v>
      </c>
      <c r="AM41" s="326">
        <f>'12CH_GOC'!AO39</f>
        <v>0</v>
      </c>
      <c r="AN41" s="326">
        <f>'12CH_GOC'!AP39</f>
        <v>0</v>
      </c>
      <c r="AO41" s="326">
        <f>'12CH_GOC'!AQ39</f>
        <v>0</v>
      </c>
      <c r="AP41" s="326">
        <f>'12CH_GOC'!AR39</f>
        <v>0</v>
      </c>
      <c r="AQ41" s="326">
        <f>'12CH_GOC'!AS39</f>
        <v>0</v>
      </c>
      <c r="AR41" s="326">
        <f>'12CH_GOC'!AT39</f>
        <v>0.09</v>
      </c>
      <c r="AS41" s="326">
        <f>'12CH_GOC'!AU39</f>
        <v>0</v>
      </c>
      <c r="AT41" s="326">
        <f>'12CH_GOC'!AV39</f>
        <v>0</v>
      </c>
      <c r="AU41" s="326">
        <f>'12CH_GOC'!AW39</f>
        <v>0</v>
      </c>
      <c r="AV41" s="326">
        <f>'12CH_GOC'!AX39</f>
        <v>0</v>
      </c>
      <c r="AW41" s="326">
        <f>'12CH_GOC'!AY39</f>
        <v>0</v>
      </c>
      <c r="AX41" s="326">
        <f>'12CH_GOC'!AZ39</f>
        <v>0.01</v>
      </c>
      <c r="AY41" s="326">
        <f>'12CH_GOC'!BA39</f>
        <v>0</v>
      </c>
      <c r="AZ41" s="326">
        <f>'12CH_GOC'!BB39</f>
        <v>0</v>
      </c>
      <c r="BA41" s="326">
        <f>'12CH_GOC'!BC39</f>
        <v>0</v>
      </c>
      <c r="BB41" s="326">
        <f>'12CH_GOC'!BD39</f>
        <v>0</v>
      </c>
      <c r="BC41" s="326">
        <f>'12CH_GOC'!BE39</f>
        <v>0</v>
      </c>
      <c r="BD41" s="326">
        <f>'12CH_GOC'!BF39</f>
        <v>0</v>
      </c>
      <c r="BE41" s="326">
        <f>'12CH_GOC'!BG39</f>
        <v>0</v>
      </c>
      <c r="BF41" s="326">
        <f>'12CH_GOC'!BH39</f>
        <v>0</v>
      </c>
      <c r="BG41" s="326">
        <f>'12CH_GOC'!BI39</f>
        <v>0</v>
      </c>
      <c r="BH41" s="326">
        <f>'12CH_GOC'!BJ39</f>
        <v>0.53</v>
      </c>
      <c r="BI41" s="326">
        <f>'12CH_GOC'!BK39</f>
        <v>0.34999999999999976</v>
      </c>
      <c r="BJ41" s="326">
        <f>'12CH_GOC'!BM39</f>
        <v>1.79</v>
      </c>
    </row>
    <row r="42" spans="1:64" s="743" customFormat="1" ht="24" customHeight="1">
      <c r="A42" s="754" t="s">
        <v>193</v>
      </c>
      <c r="B42" s="331" t="s">
        <v>2761</v>
      </c>
      <c r="C42" s="280" t="s">
        <v>2762</v>
      </c>
      <c r="D42" s="326">
        <f>'12CH_GOC'!D40</f>
        <v>0</v>
      </c>
      <c r="E42" s="326">
        <f>'12CH_GOC'!E40</f>
        <v>0</v>
      </c>
      <c r="F42" s="326">
        <f>'12CH_GOC'!F40</f>
        <v>0</v>
      </c>
      <c r="G42" s="326">
        <f>'12CH_GOC'!G40</f>
        <v>0</v>
      </c>
      <c r="H42" s="326">
        <f>'12CH_GOC'!H40</f>
        <v>0</v>
      </c>
      <c r="I42" s="326">
        <f>'12CH_GOC'!I40</f>
        <v>0</v>
      </c>
      <c r="J42" s="326">
        <f>'12CH_GOC'!J40</f>
        <v>0</v>
      </c>
      <c r="K42" s="326">
        <f>'12CH_GOC'!K40</f>
        <v>0</v>
      </c>
      <c r="L42" s="326">
        <f>'12CH_GOC'!L40</f>
        <v>0</v>
      </c>
      <c r="M42" s="326">
        <f>'12CH_GOC'!M40</f>
        <v>0</v>
      </c>
      <c r="N42" s="326">
        <f>'12CH_GOC'!N40</f>
        <v>0</v>
      </c>
      <c r="O42" s="326">
        <f>'12CH_GOC'!O40</f>
        <v>0</v>
      </c>
      <c r="P42" s="326">
        <f>'12CH_GOC'!P40</f>
        <v>0</v>
      </c>
      <c r="Q42" s="326">
        <f>'12CH_GOC'!Q40</f>
        <v>0</v>
      </c>
      <c r="R42" s="326">
        <f>'12CH_GOC'!R40</f>
        <v>0</v>
      </c>
      <c r="S42" s="326">
        <f>'12CH_GOC'!S40</f>
        <v>0</v>
      </c>
      <c r="T42" s="326">
        <f>'12CH_GOC'!T40</f>
        <v>0</v>
      </c>
      <c r="U42" s="326">
        <f>SUM(V42:AA42)+SUM(AN42:BF42)+SUM(AC42:AL42)</f>
        <v>0</v>
      </c>
      <c r="V42" s="326">
        <f>'12CH_GOC'!V40</f>
        <v>0</v>
      </c>
      <c r="W42" s="326">
        <f>'12CH_GOC'!W40</f>
        <v>0</v>
      </c>
      <c r="X42" s="326">
        <f>'12CH_GOC'!Y40</f>
        <v>0</v>
      </c>
      <c r="Y42" s="326">
        <f>'12CH_GOC'!Z40</f>
        <v>0</v>
      </c>
      <c r="Z42" s="326">
        <f>'12CH_GOC'!AA40</f>
        <v>0</v>
      </c>
      <c r="AA42" s="326">
        <f>'12CH_GOC'!AB40</f>
        <v>0</v>
      </c>
      <c r="AB42" s="326">
        <f>SUM(AC42:AL42)+SUM(AN42:AU42)</f>
        <v>0</v>
      </c>
      <c r="AC42" s="326">
        <f>'12CH_GOC'!AE40</f>
        <v>0</v>
      </c>
      <c r="AD42" s="326">
        <f>'12CH_GOC'!AF40</f>
        <v>0</v>
      </c>
      <c r="AE42" s="326">
        <f>'12CH_GOC'!AG40</f>
        <v>0</v>
      </c>
      <c r="AF42" s="326">
        <f>'12CH_GOC'!AH40</f>
        <v>0</v>
      </c>
      <c r="AG42" s="326">
        <f>'12CH_GOC'!AI40</f>
        <v>0</v>
      </c>
      <c r="AH42" s="326">
        <f>'12CH_GOC'!AJ40</f>
        <v>0</v>
      </c>
      <c r="AI42" s="326">
        <f>'12CH_GOC'!AK40</f>
        <v>0</v>
      </c>
      <c r="AJ42" s="326">
        <f>'12CH_GOC'!AL40</f>
        <v>0</v>
      </c>
      <c r="AK42" s="326">
        <f>'12CH_GOC'!AM40</f>
        <v>0</v>
      </c>
      <c r="AL42" s="326">
        <f>'12CH_GOC'!AN40</f>
        <v>0</v>
      </c>
      <c r="AM42" s="761">
        <f>'12CH_GOC'!AO40</f>
        <v>0</v>
      </c>
      <c r="AN42" s="326">
        <f>'12CH_GOC'!AP40</f>
        <v>0</v>
      </c>
      <c r="AO42" s="326">
        <f>'12CH_GOC'!AQ40</f>
        <v>0</v>
      </c>
      <c r="AP42" s="326">
        <f>'12CH_GOC'!AR40</f>
        <v>0</v>
      </c>
      <c r="AQ42" s="326">
        <f>'12CH_GOC'!AS40</f>
        <v>0</v>
      </c>
      <c r="AR42" s="326">
        <f>'12CH_GOC'!AT40</f>
        <v>0</v>
      </c>
      <c r="AS42" s="326">
        <f>'12CH_GOC'!AU40</f>
        <v>0</v>
      </c>
      <c r="AT42" s="326">
        <f>'12CH_GOC'!AV40</f>
        <v>0</v>
      </c>
      <c r="AU42" s="326">
        <f>'12CH_GOC'!AW40</f>
        <v>0</v>
      </c>
      <c r="AV42" s="326">
        <f>'12CH_GOC'!AX40</f>
        <v>0</v>
      </c>
      <c r="AW42" s="326">
        <f>'12CH_GOC'!AY40</f>
        <v>0</v>
      </c>
      <c r="AX42" s="326">
        <f>'12CH_GOC'!AZ40</f>
        <v>0</v>
      </c>
      <c r="AY42" s="326">
        <f>'12CH_GOC'!BA40</f>
        <v>0</v>
      </c>
      <c r="AZ42" s="326">
        <f>'12CH_GOC'!BB40</f>
        <v>0</v>
      </c>
      <c r="BA42" s="326">
        <f>'12CH_GOC'!BC40</f>
        <v>0</v>
      </c>
      <c r="BB42" s="326">
        <f>'12CH_GOC'!BD40</f>
        <v>0</v>
      </c>
      <c r="BC42" s="326">
        <f>'12CH_GOC'!BE40</f>
        <v>0</v>
      </c>
      <c r="BD42" s="326">
        <f>'12CH_GOC'!BF40</f>
        <v>0</v>
      </c>
      <c r="BE42" s="326">
        <f>'12CH_GOC'!BG40</f>
        <v>0</v>
      </c>
      <c r="BF42" s="326">
        <f>'12CH_GOC'!BH40</f>
        <v>0</v>
      </c>
      <c r="BG42" s="326">
        <f>'12CH_GOC'!BI40</f>
        <v>0</v>
      </c>
      <c r="BH42" s="326">
        <f>'12CH_GOC'!BJ40</f>
        <v>0</v>
      </c>
      <c r="BI42" s="326">
        <f>'12CH_GOC'!BK40</f>
        <v>0</v>
      </c>
      <c r="BJ42" s="326">
        <f>'12CH_GOC'!BM40</f>
        <v>0</v>
      </c>
    </row>
    <row r="43" spans="1:64" s="743" customFormat="1" ht="37.5" customHeight="1">
      <c r="A43" s="754" t="s">
        <v>193</v>
      </c>
      <c r="B43" s="331" t="s">
        <v>2763</v>
      </c>
      <c r="C43" s="280" t="s">
        <v>2764</v>
      </c>
      <c r="D43" s="326">
        <f>'12CH_GOC'!D41</f>
        <v>1.1699999999999995</v>
      </c>
      <c r="E43" s="326">
        <f>'12CH_GOC'!E41</f>
        <v>0</v>
      </c>
      <c r="F43" s="326">
        <f>'12CH_GOC'!F41</f>
        <v>0</v>
      </c>
      <c r="G43" s="326">
        <f>'12CH_GOC'!G41</f>
        <v>0</v>
      </c>
      <c r="H43" s="326">
        <f>'12CH_GOC'!H41</f>
        <v>0</v>
      </c>
      <c r="I43" s="326">
        <f>'12CH_GOC'!I41</f>
        <v>0</v>
      </c>
      <c r="J43" s="326">
        <f>'12CH_GOC'!J41</f>
        <v>0</v>
      </c>
      <c r="K43" s="326">
        <f>'12CH_GOC'!K41</f>
        <v>0</v>
      </c>
      <c r="L43" s="326">
        <f>'12CH_GOC'!L41</f>
        <v>0</v>
      </c>
      <c r="M43" s="326">
        <f>'12CH_GOC'!M41</f>
        <v>0</v>
      </c>
      <c r="N43" s="326">
        <f>'12CH_GOC'!N41</f>
        <v>0</v>
      </c>
      <c r="O43" s="326">
        <f>'12CH_GOC'!O41</f>
        <v>0</v>
      </c>
      <c r="P43" s="326">
        <f>'12CH_GOC'!P41</f>
        <v>0</v>
      </c>
      <c r="Q43" s="326">
        <f>'12CH_GOC'!Q41</f>
        <v>0</v>
      </c>
      <c r="R43" s="326">
        <f>'12CH_GOC'!R41</f>
        <v>0</v>
      </c>
      <c r="S43" s="326">
        <f>'12CH_GOC'!S41</f>
        <v>0</v>
      </c>
      <c r="T43" s="326">
        <f>'12CH_GOC'!T41</f>
        <v>0</v>
      </c>
      <c r="U43" s="326">
        <f>SUM(V43:AA43)+SUM(AO43:BF43)+SUM(AC43:AM43)</f>
        <v>1.1699999999999995</v>
      </c>
      <c r="V43" s="326">
        <f>'12CH_GOC'!V41</f>
        <v>0</v>
      </c>
      <c r="W43" s="326">
        <f>'12CH_GOC'!W41</f>
        <v>0</v>
      </c>
      <c r="X43" s="326">
        <f>'12CH_GOC'!Y41</f>
        <v>0</v>
      </c>
      <c r="Y43" s="326">
        <f>'12CH_GOC'!Z41</f>
        <v>0</v>
      </c>
      <c r="Z43" s="326">
        <f>'12CH_GOC'!AA41</f>
        <v>0</v>
      </c>
      <c r="AA43" s="326">
        <f>'12CH_GOC'!AB41</f>
        <v>0</v>
      </c>
      <c r="AB43" s="326">
        <f>SUM(AC43:AM43)+SUM(AO43:AU43)</f>
        <v>1.1699999999999995</v>
      </c>
      <c r="AC43" s="326">
        <f>'12CH_GOC'!AE41</f>
        <v>0</v>
      </c>
      <c r="AD43" s="326">
        <f>'12CH_GOC'!AF41</f>
        <v>0</v>
      </c>
      <c r="AE43" s="326">
        <f>'12CH_GOC'!AG41</f>
        <v>0</v>
      </c>
      <c r="AF43" s="326">
        <f>'12CH_GOC'!AH41</f>
        <v>0</v>
      </c>
      <c r="AG43" s="326">
        <f>'12CH_GOC'!AI41</f>
        <v>0</v>
      </c>
      <c r="AH43" s="326">
        <f>'12CH_GOC'!AJ41</f>
        <v>0</v>
      </c>
      <c r="AI43" s="326">
        <f>'12CH_GOC'!AK41</f>
        <v>0</v>
      </c>
      <c r="AJ43" s="326">
        <f>'12CH_GOC'!AL41</f>
        <v>0</v>
      </c>
      <c r="AK43" s="326">
        <f>'12CH_GOC'!AM41</f>
        <v>0</v>
      </c>
      <c r="AL43" s="326">
        <f>'12CH_GOC'!AN41</f>
        <v>1.1699999999999995</v>
      </c>
      <c r="AM43" s="326">
        <f>'12CH_GOC'!AO41</f>
        <v>0</v>
      </c>
      <c r="AN43" s="761">
        <f>'12CH_GOC'!AP41</f>
        <v>0</v>
      </c>
      <c r="AO43" s="326">
        <f>'12CH_GOC'!AQ41</f>
        <v>0</v>
      </c>
      <c r="AP43" s="326">
        <f>'12CH_GOC'!AR41</f>
        <v>0</v>
      </c>
      <c r="AQ43" s="326">
        <f>'12CH_GOC'!AS41</f>
        <v>0</v>
      </c>
      <c r="AR43" s="326">
        <f>'12CH_GOC'!AT41</f>
        <v>0</v>
      </c>
      <c r="AS43" s="326">
        <f>'12CH_GOC'!AU41</f>
        <v>0</v>
      </c>
      <c r="AT43" s="326">
        <f>'12CH_GOC'!AV41</f>
        <v>0</v>
      </c>
      <c r="AU43" s="326">
        <f>'12CH_GOC'!AW41</f>
        <v>0</v>
      </c>
      <c r="AV43" s="326">
        <f>'12CH_GOC'!AX41</f>
        <v>0</v>
      </c>
      <c r="AW43" s="326">
        <f>'12CH_GOC'!AY41</f>
        <v>0</v>
      </c>
      <c r="AX43" s="326">
        <f>'12CH_GOC'!AZ41</f>
        <v>0</v>
      </c>
      <c r="AY43" s="326">
        <f>'12CH_GOC'!BA41</f>
        <v>0</v>
      </c>
      <c r="AZ43" s="326">
        <f>'12CH_GOC'!BB41</f>
        <v>0</v>
      </c>
      <c r="BA43" s="326">
        <f>'12CH_GOC'!BC41</f>
        <v>0</v>
      </c>
      <c r="BB43" s="326">
        <f>'12CH_GOC'!BD41</f>
        <v>0</v>
      </c>
      <c r="BC43" s="326">
        <f>'12CH_GOC'!BE41</f>
        <v>0</v>
      </c>
      <c r="BD43" s="326">
        <f>'12CH_GOC'!BF41</f>
        <v>0</v>
      </c>
      <c r="BE43" s="326">
        <f>'12CH_GOC'!BG41</f>
        <v>0</v>
      </c>
      <c r="BF43" s="326">
        <f>'12CH_GOC'!BH41</f>
        <v>0</v>
      </c>
      <c r="BG43" s="326">
        <f>'12CH_GOC'!BI41</f>
        <v>0</v>
      </c>
      <c r="BH43" s="326">
        <f>'12CH_GOC'!BJ41</f>
        <v>0</v>
      </c>
      <c r="BI43" s="326">
        <f>'12CH_GOC'!BK41</f>
        <v>451.22999999999996</v>
      </c>
      <c r="BJ43" s="326">
        <f>'12CH_GOC'!BM41</f>
        <v>452.4</v>
      </c>
    </row>
    <row r="44" spans="1:64" s="743" customFormat="1" ht="22.35" customHeight="1">
      <c r="A44" s="754" t="s">
        <v>193</v>
      </c>
      <c r="B44" s="331" t="s">
        <v>2765</v>
      </c>
      <c r="C44" s="2" t="s">
        <v>37</v>
      </c>
      <c r="D44" s="326">
        <f>'12CH_GOC'!D42</f>
        <v>500.91000000000008</v>
      </c>
      <c r="E44" s="326">
        <f>'12CH_GOC'!E42</f>
        <v>0</v>
      </c>
      <c r="F44" s="326">
        <f>'12CH_GOC'!F42</f>
        <v>0</v>
      </c>
      <c r="G44" s="326">
        <f>'12CH_GOC'!G42</f>
        <v>0</v>
      </c>
      <c r="H44" s="326">
        <f>'12CH_GOC'!H42</f>
        <v>0</v>
      </c>
      <c r="I44" s="326">
        <f>'12CH_GOC'!I42</f>
        <v>0</v>
      </c>
      <c r="J44" s="326">
        <f>'12CH_GOC'!J42</f>
        <v>0</v>
      </c>
      <c r="K44" s="326">
        <f>'12CH_GOC'!K42</f>
        <v>0</v>
      </c>
      <c r="L44" s="326">
        <f>'12CH_GOC'!L42</f>
        <v>0</v>
      </c>
      <c r="M44" s="326">
        <f>'12CH_GOC'!M42</f>
        <v>0</v>
      </c>
      <c r="N44" s="326">
        <f>'12CH_GOC'!N42</f>
        <v>0</v>
      </c>
      <c r="O44" s="326">
        <f>'12CH_GOC'!O42</f>
        <v>0</v>
      </c>
      <c r="P44" s="326">
        <f>'12CH_GOC'!P42</f>
        <v>0</v>
      </c>
      <c r="Q44" s="326">
        <f>'12CH_GOC'!Q42</f>
        <v>0</v>
      </c>
      <c r="R44" s="326">
        <f>'12CH_GOC'!R42</f>
        <v>0</v>
      </c>
      <c r="S44" s="326">
        <f>'12CH_GOC'!S42</f>
        <v>0</v>
      </c>
      <c r="T44" s="326">
        <f>'12CH_GOC'!T42</f>
        <v>0</v>
      </c>
      <c r="U44" s="326">
        <f>SUM(V44:AA44)+SUM(AP44:BF44)+SUM(AC44:AN44)</f>
        <v>500.91000000000008</v>
      </c>
      <c r="V44" s="326">
        <f>'12CH_GOC'!V42</f>
        <v>0</v>
      </c>
      <c r="W44" s="326">
        <f>'12CH_GOC'!W42</f>
        <v>0</v>
      </c>
      <c r="X44" s="326">
        <f>'12CH_GOC'!Y42</f>
        <v>0</v>
      </c>
      <c r="Y44" s="326">
        <f>'12CH_GOC'!Z42</f>
        <v>0</v>
      </c>
      <c r="Z44" s="326">
        <f>'12CH_GOC'!AA42</f>
        <v>52.38</v>
      </c>
      <c r="AA44" s="326">
        <f>'12CH_GOC'!AB42</f>
        <v>0</v>
      </c>
      <c r="AB44" s="326">
        <f>SUM(AC44:AN44)+SUM(AP44:AU44)</f>
        <v>448.53000000000009</v>
      </c>
      <c r="AC44" s="326">
        <f>'12CH_GOC'!AE42</f>
        <v>0</v>
      </c>
      <c r="AD44" s="326">
        <f>'12CH_GOC'!AF42</f>
        <v>0</v>
      </c>
      <c r="AE44" s="326">
        <f>'12CH_GOC'!AG42</f>
        <v>0</v>
      </c>
      <c r="AF44" s="326">
        <f>'12CH_GOC'!AH42</f>
        <v>0</v>
      </c>
      <c r="AG44" s="326">
        <f>'12CH_GOC'!AI42</f>
        <v>5.62</v>
      </c>
      <c r="AH44" s="326">
        <f>'12CH_GOC'!AJ42</f>
        <v>0</v>
      </c>
      <c r="AI44" s="326">
        <f>'12CH_GOC'!AK42</f>
        <v>1.17</v>
      </c>
      <c r="AJ44" s="326">
        <f>'12CH_GOC'!AL42</f>
        <v>0</v>
      </c>
      <c r="AK44" s="326">
        <f>'12CH_GOC'!AM42</f>
        <v>0</v>
      </c>
      <c r="AL44" s="326">
        <f>'12CH_GOC'!AN42</f>
        <v>0</v>
      </c>
      <c r="AM44" s="326">
        <f>'12CH_GOC'!AO42</f>
        <v>441.74000000000007</v>
      </c>
      <c r="AN44" s="326">
        <f>'12CH_GOC'!AP42</f>
        <v>0</v>
      </c>
      <c r="AO44" s="761">
        <f>'12CH_GOC'!AQ42</f>
        <v>0</v>
      </c>
      <c r="AP44" s="326">
        <f>'12CH_GOC'!AR42</f>
        <v>0</v>
      </c>
      <c r="AQ44" s="326">
        <f>'12CH_GOC'!AS42</f>
        <v>0</v>
      </c>
      <c r="AR44" s="326">
        <f>'12CH_GOC'!AT42</f>
        <v>0</v>
      </c>
      <c r="AS44" s="326">
        <f>'12CH_GOC'!AU42</f>
        <v>0</v>
      </c>
      <c r="AT44" s="326">
        <f>'12CH_GOC'!AV42</f>
        <v>0</v>
      </c>
      <c r="AU44" s="326">
        <f>'12CH_GOC'!AW42</f>
        <v>0</v>
      </c>
      <c r="AV44" s="326">
        <f>'12CH_GOC'!AX42</f>
        <v>0</v>
      </c>
      <c r="AW44" s="326">
        <f>'12CH_GOC'!AY42</f>
        <v>0</v>
      </c>
      <c r="AX44" s="326">
        <f>'12CH_GOC'!AZ42</f>
        <v>0</v>
      </c>
      <c r="AY44" s="326">
        <f>'12CH_GOC'!BA42</f>
        <v>0</v>
      </c>
      <c r="AZ44" s="326">
        <f>'12CH_GOC'!BB42</f>
        <v>0</v>
      </c>
      <c r="BA44" s="326">
        <f>'12CH_GOC'!BC42</f>
        <v>0</v>
      </c>
      <c r="BB44" s="326">
        <f>'12CH_GOC'!BD42</f>
        <v>0</v>
      </c>
      <c r="BC44" s="326">
        <f>'12CH_GOC'!BE42</f>
        <v>0</v>
      </c>
      <c r="BD44" s="326">
        <f>'12CH_GOC'!BF42</f>
        <v>0</v>
      </c>
      <c r="BE44" s="326">
        <f>'12CH_GOC'!BG42</f>
        <v>0</v>
      </c>
      <c r="BF44" s="326">
        <f>'12CH_GOC'!BH42</f>
        <v>0</v>
      </c>
      <c r="BG44" s="326">
        <f>'12CH_GOC'!BI42</f>
        <v>0</v>
      </c>
      <c r="BH44" s="326">
        <f>'12CH_GOC'!BJ42</f>
        <v>59.17</v>
      </c>
      <c r="BI44" s="326">
        <f>'12CH_GOC'!BK42</f>
        <v>28.239999999999995</v>
      </c>
      <c r="BJ44" s="326">
        <f>'12CH_GOC'!BM42</f>
        <v>529.15000000000009</v>
      </c>
    </row>
    <row r="45" spans="1:64" s="743" customFormat="1" ht="24.6" customHeight="1">
      <c r="A45" s="754" t="s">
        <v>193</v>
      </c>
      <c r="B45" s="331" t="s">
        <v>2766</v>
      </c>
      <c r="C45" s="2" t="s">
        <v>38</v>
      </c>
      <c r="D45" s="326">
        <f>'12CH_GOC'!D43</f>
        <v>1.38</v>
      </c>
      <c r="E45" s="326">
        <f>'12CH_GOC'!E43</f>
        <v>0</v>
      </c>
      <c r="F45" s="326">
        <f>'12CH_GOC'!F43</f>
        <v>0</v>
      </c>
      <c r="G45" s="326">
        <f>'12CH_GOC'!G43</f>
        <v>0</v>
      </c>
      <c r="H45" s="326">
        <f>'12CH_GOC'!H43</f>
        <v>0</v>
      </c>
      <c r="I45" s="326">
        <f>'12CH_GOC'!I43</f>
        <v>0</v>
      </c>
      <c r="J45" s="326">
        <f>'12CH_GOC'!J43</f>
        <v>0</v>
      </c>
      <c r="K45" s="326">
        <f>'12CH_GOC'!K43</f>
        <v>0</v>
      </c>
      <c r="L45" s="326">
        <f>'12CH_GOC'!L43</f>
        <v>0</v>
      </c>
      <c r="M45" s="326">
        <f>'12CH_GOC'!M43</f>
        <v>0</v>
      </c>
      <c r="N45" s="326">
        <f>'12CH_GOC'!N43</f>
        <v>0</v>
      </c>
      <c r="O45" s="326">
        <f>'12CH_GOC'!O43</f>
        <v>0</v>
      </c>
      <c r="P45" s="326">
        <f>'12CH_GOC'!P43</f>
        <v>0</v>
      </c>
      <c r="Q45" s="326">
        <f>'12CH_GOC'!Q43</f>
        <v>0</v>
      </c>
      <c r="R45" s="326">
        <f>'12CH_GOC'!R43</f>
        <v>0</v>
      </c>
      <c r="S45" s="326">
        <f>'12CH_GOC'!S43</f>
        <v>0</v>
      </c>
      <c r="T45" s="326">
        <f>'12CH_GOC'!T43</f>
        <v>0</v>
      </c>
      <c r="U45" s="326">
        <f>SUM(V45:AA45)+SUM(AQ45:BF45)+SUM(AC45:AO45)</f>
        <v>1.38</v>
      </c>
      <c r="V45" s="326">
        <f>'12CH_GOC'!V43</f>
        <v>0</v>
      </c>
      <c r="W45" s="326">
        <f>'12CH_GOC'!W43</f>
        <v>0</v>
      </c>
      <c r="X45" s="326">
        <f>'12CH_GOC'!Y43</f>
        <v>0</v>
      </c>
      <c r="Y45" s="326">
        <f>'12CH_GOC'!Z43</f>
        <v>0</v>
      </c>
      <c r="Z45" s="326">
        <f>'12CH_GOC'!AA43</f>
        <v>0</v>
      </c>
      <c r="AA45" s="326">
        <f>'12CH_GOC'!AB43</f>
        <v>0</v>
      </c>
      <c r="AB45" s="326">
        <f>SUM(AC45:AO45)+SUM(AQ45:AU45)</f>
        <v>1.38</v>
      </c>
      <c r="AC45" s="326">
        <f>'12CH_GOC'!AE43</f>
        <v>0</v>
      </c>
      <c r="AD45" s="326">
        <f>'12CH_GOC'!AF43</f>
        <v>0</v>
      </c>
      <c r="AE45" s="326">
        <f>'12CH_GOC'!AG43</f>
        <v>0</v>
      </c>
      <c r="AF45" s="326">
        <f>'12CH_GOC'!AH43</f>
        <v>0</v>
      </c>
      <c r="AG45" s="326">
        <f>'12CH_GOC'!AI43</f>
        <v>0</v>
      </c>
      <c r="AH45" s="326">
        <f>'12CH_GOC'!AJ43</f>
        <v>0</v>
      </c>
      <c r="AI45" s="326">
        <f>'12CH_GOC'!AK43</f>
        <v>0</v>
      </c>
      <c r="AJ45" s="326">
        <f>'12CH_GOC'!AL43</f>
        <v>0</v>
      </c>
      <c r="AK45" s="326">
        <f>'12CH_GOC'!AM43</f>
        <v>0</v>
      </c>
      <c r="AL45" s="326">
        <f>'12CH_GOC'!AN43</f>
        <v>0</v>
      </c>
      <c r="AM45" s="326">
        <f>'12CH_GOC'!AO43</f>
        <v>0</v>
      </c>
      <c r="AN45" s="326">
        <f>'12CH_GOC'!AP43</f>
        <v>1.38</v>
      </c>
      <c r="AO45" s="326">
        <f>'12CH_GOC'!AQ43</f>
        <v>0</v>
      </c>
      <c r="AP45" s="761">
        <f>'12CH_GOC'!AR43</f>
        <v>0</v>
      </c>
      <c r="AQ45" s="326">
        <f>'12CH_GOC'!AS43</f>
        <v>0</v>
      </c>
      <c r="AR45" s="326">
        <f>'12CH_GOC'!AT43</f>
        <v>0</v>
      </c>
      <c r="AS45" s="326">
        <f>'12CH_GOC'!AU43</f>
        <v>0</v>
      </c>
      <c r="AT45" s="326">
        <f>'12CH_GOC'!AV43</f>
        <v>0</v>
      </c>
      <c r="AU45" s="326">
        <f>'12CH_GOC'!AW43</f>
        <v>0</v>
      </c>
      <c r="AV45" s="326">
        <f>'12CH_GOC'!AX43</f>
        <v>0</v>
      </c>
      <c r="AW45" s="326">
        <f>'12CH_GOC'!AY43</f>
        <v>0</v>
      </c>
      <c r="AX45" s="326">
        <f>'12CH_GOC'!AZ43</f>
        <v>0</v>
      </c>
      <c r="AY45" s="326">
        <f>'12CH_GOC'!BA43</f>
        <v>0</v>
      </c>
      <c r="AZ45" s="326">
        <f>'12CH_GOC'!BB43</f>
        <v>0</v>
      </c>
      <c r="BA45" s="326">
        <f>'12CH_GOC'!BC43</f>
        <v>0</v>
      </c>
      <c r="BB45" s="326">
        <f>'12CH_GOC'!BD43</f>
        <v>0</v>
      </c>
      <c r="BC45" s="326">
        <f>'12CH_GOC'!BE43</f>
        <v>0</v>
      </c>
      <c r="BD45" s="326">
        <f>'12CH_GOC'!BF43</f>
        <v>0</v>
      </c>
      <c r="BE45" s="326">
        <f>'12CH_GOC'!BG43</f>
        <v>0</v>
      </c>
      <c r="BF45" s="326">
        <f>'12CH_GOC'!BH43</f>
        <v>0</v>
      </c>
      <c r="BG45" s="326">
        <f>'12CH_GOC'!BI43</f>
        <v>0</v>
      </c>
      <c r="BH45" s="326">
        <f>'12CH_GOC'!BJ43</f>
        <v>0</v>
      </c>
      <c r="BI45" s="326">
        <f>'12CH_GOC'!BK43</f>
        <v>0</v>
      </c>
      <c r="BJ45" s="326">
        <f>'12CH_GOC'!BM43</f>
        <v>1.38</v>
      </c>
    </row>
    <row r="46" spans="1:64" s="743" customFormat="1" ht="32.450000000000003" customHeight="1">
      <c r="A46" s="754" t="s">
        <v>193</v>
      </c>
      <c r="B46" s="331" t="s">
        <v>2767</v>
      </c>
      <c r="C46" s="2" t="s">
        <v>40</v>
      </c>
      <c r="D46" s="326">
        <f>'12CH_GOC'!D44</f>
        <v>105.94</v>
      </c>
      <c r="E46" s="326">
        <f>'12CH_GOC'!E44</f>
        <v>0</v>
      </c>
      <c r="F46" s="326">
        <f>'12CH_GOC'!F44</f>
        <v>0</v>
      </c>
      <c r="G46" s="326">
        <f>'12CH_GOC'!G44</f>
        <v>0</v>
      </c>
      <c r="H46" s="326">
        <f>'12CH_GOC'!H44</f>
        <v>0</v>
      </c>
      <c r="I46" s="326">
        <f>'12CH_GOC'!I44</f>
        <v>0</v>
      </c>
      <c r="J46" s="326">
        <f>'12CH_GOC'!J44</f>
        <v>0</v>
      </c>
      <c r="K46" s="326">
        <f>'12CH_GOC'!K44</f>
        <v>0</v>
      </c>
      <c r="L46" s="326">
        <f>'12CH_GOC'!L44</f>
        <v>0</v>
      </c>
      <c r="M46" s="326">
        <f>'12CH_GOC'!M44</f>
        <v>0</v>
      </c>
      <c r="N46" s="326">
        <f>'12CH_GOC'!N44</f>
        <v>0</v>
      </c>
      <c r="O46" s="326">
        <f>'12CH_GOC'!O44</f>
        <v>0</v>
      </c>
      <c r="P46" s="326">
        <f>'12CH_GOC'!P44</f>
        <v>0</v>
      </c>
      <c r="Q46" s="326">
        <f>'12CH_GOC'!Q44</f>
        <v>0</v>
      </c>
      <c r="R46" s="326">
        <f>'12CH_GOC'!R44</f>
        <v>0</v>
      </c>
      <c r="S46" s="326">
        <f>'12CH_GOC'!S44</f>
        <v>0</v>
      </c>
      <c r="T46" s="326">
        <f>'12CH_GOC'!T44</f>
        <v>0</v>
      </c>
      <c r="U46" s="326">
        <f>SUM(V46:AA46)+SUM(AR46:BF46)+SUM(AC46:AP46)</f>
        <v>105.94</v>
      </c>
      <c r="V46" s="326">
        <f>'12CH_GOC'!V44</f>
        <v>0</v>
      </c>
      <c r="W46" s="326">
        <f>'12CH_GOC'!W44</f>
        <v>0.03</v>
      </c>
      <c r="X46" s="326">
        <f>'12CH_GOC'!Y44</f>
        <v>0.03</v>
      </c>
      <c r="Y46" s="326">
        <f>'12CH_GOC'!Z44</f>
        <v>0</v>
      </c>
      <c r="Z46" s="326">
        <f>'12CH_GOC'!AA44</f>
        <v>0</v>
      </c>
      <c r="AA46" s="326">
        <f>'12CH_GOC'!AB44</f>
        <v>2.5</v>
      </c>
      <c r="AB46" s="326">
        <f>SUM(AC46:AP46)+SUM(AR46:AU46)</f>
        <v>102.8</v>
      </c>
      <c r="AC46" s="326">
        <f>'12CH_GOC'!AE44</f>
        <v>0.73000000000000009</v>
      </c>
      <c r="AD46" s="326">
        <f>'12CH_GOC'!AF44</f>
        <v>0.18</v>
      </c>
      <c r="AE46" s="326">
        <f>'12CH_GOC'!AG44</f>
        <v>0</v>
      </c>
      <c r="AF46" s="326">
        <f>'12CH_GOC'!AH44</f>
        <v>0.05</v>
      </c>
      <c r="AG46" s="326">
        <f>'12CH_GOC'!AI44</f>
        <v>0.01</v>
      </c>
      <c r="AH46" s="326">
        <f>'12CH_GOC'!AJ44</f>
        <v>0</v>
      </c>
      <c r="AI46" s="326">
        <f>'12CH_GOC'!AK44</f>
        <v>0.01</v>
      </c>
      <c r="AJ46" s="326">
        <f>'12CH_GOC'!AL44</f>
        <v>0</v>
      </c>
      <c r="AK46" s="326">
        <f>'12CH_GOC'!AM44</f>
        <v>0</v>
      </c>
      <c r="AL46" s="326">
        <f>'12CH_GOC'!AN44</f>
        <v>7.0000000000000007E-2</v>
      </c>
      <c r="AM46" s="326">
        <f>'12CH_GOC'!AO44</f>
        <v>0</v>
      </c>
      <c r="AN46" s="326">
        <f>'12CH_GOC'!AP44</f>
        <v>0</v>
      </c>
      <c r="AO46" s="326">
        <f>'12CH_GOC'!AQ44</f>
        <v>101.32</v>
      </c>
      <c r="AP46" s="326">
        <f>'12CH_GOC'!AR44</f>
        <v>0</v>
      </c>
      <c r="AQ46" s="761">
        <f>'12CH_GOC'!AS44</f>
        <v>0</v>
      </c>
      <c r="AR46" s="326">
        <f>'12CH_GOC'!AT44</f>
        <v>0.1</v>
      </c>
      <c r="AS46" s="326">
        <f>'12CH_GOC'!AU44</f>
        <v>0</v>
      </c>
      <c r="AT46" s="326">
        <f>'12CH_GOC'!AV44</f>
        <v>0</v>
      </c>
      <c r="AU46" s="326">
        <f>'12CH_GOC'!AW44</f>
        <v>0.32999999999999996</v>
      </c>
      <c r="AV46" s="326">
        <f>'12CH_GOC'!AX44</f>
        <v>7.0000000000000007E-2</v>
      </c>
      <c r="AW46" s="326">
        <f>'12CH_GOC'!AY44</f>
        <v>0.2</v>
      </c>
      <c r="AX46" s="326">
        <f>'12CH_GOC'!AZ44</f>
        <v>0.01</v>
      </c>
      <c r="AY46" s="326">
        <f>'12CH_GOC'!BA44</f>
        <v>0</v>
      </c>
      <c r="AZ46" s="326">
        <f>'12CH_GOC'!BB44</f>
        <v>0</v>
      </c>
      <c r="BA46" s="326">
        <f>'12CH_GOC'!BC44</f>
        <v>0</v>
      </c>
      <c r="BB46" s="326">
        <f>'12CH_GOC'!BD44</f>
        <v>0</v>
      </c>
      <c r="BC46" s="326">
        <f>'12CH_GOC'!BE44</f>
        <v>0</v>
      </c>
      <c r="BD46" s="326">
        <f>'12CH_GOC'!BF44</f>
        <v>0.08</v>
      </c>
      <c r="BE46" s="326">
        <f>'12CH_GOC'!BG44</f>
        <v>0</v>
      </c>
      <c r="BF46" s="326">
        <f>'12CH_GOC'!BH44</f>
        <v>0.22</v>
      </c>
      <c r="BG46" s="326">
        <f>'12CH_GOC'!BI44</f>
        <v>0</v>
      </c>
      <c r="BH46" s="326">
        <f>'12CH_GOC'!BJ44</f>
        <v>4.62</v>
      </c>
      <c r="BI46" s="326">
        <f>'12CH_GOC'!BK44</f>
        <v>16.41</v>
      </c>
      <c r="BJ46" s="326">
        <f>'12CH_GOC'!BM44</f>
        <v>122.35</v>
      </c>
    </row>
    <row r="47" spans="1:64" s="743" customFormat="1" ht="34.5" customHeight="1">
      <c r="A47" s="754" t="s">
        <v>193</v>
      </c>
      <c r="B47" s="336" t="s">
        <v>132</v>
      </c>
      <c r="C47" s="2" t="s">
        <v>52</v>
      </c>
      <c r="D47" s="326">
        <f>'12CH_GOC'!D45</f>
        <v>0</v>
      </c>
      <c r="E47" s="326">
        <f>'12CH_GOC'!E45</f>
        <v>0</v>
      </c>
      <c r="F47" s="326">
        <f>'12CH_GOC'!F45</f>
        <v>0</v>
      </c>
      <c r="G47" s="326">
        <f>'12CH_GOC'!G45</f>
        <v>0</v>
      </c>
      <c r="H47" s="326">
        <f>'12CH_GOC'!H45</f>
        <v>0</v>
      </c>
      <c r="I47" s="326">
        <f>'12CH_GOC'!I45</f>
        <v>0</v>
      </c>
      <c r="J47" s="326">
        <f>'12CH_GOC'!J45</f>
        <v>0</v>
      </c>
      <c r="K47" s="326">
        <f>'12CH_GOC'!K45</f>
        <v>0</v>
      </c>
      <c r="L47" s="326">
        <f>'12CH_GOC'!L45</f>
        <v>0</v>
      </c>
      <c r="M47" s="326">
        <f>'12CH_GOC'!M45</f>
        <v>0</v>
      </c>
      <c r="N47" s="326">
        <f>'12CH_GOC'!N45</f>
        <v>0</v>
      </c>
      <c r="O47" s="326">
        <f>'12CH_GOC'!O45</f>
        <v>0</v>
      </c>
      <c r="P47" s="326">
        <f>'12CH_GOC'!P45</f>
        <v>0</v>
      </c>
      <c r="Q47" s="326">
        <f>'12CH_GOC'!Q45</f>
        <v>0</v>
      </c>
      <c r="R47" s="326">
        <f>'12CH_GOC'!R45</f>
        <v>0</v>
      </c>
      <c r="S47" s="326">
        <f>'12CH_GOC'!S45</f>
        <v>0</v>
      </c>
      <c r="T47" s="326">
        <f>'12CH_GOC'!T45</f>
        <v>0</v>
      </c>
      <c r="U47" s="326">
        <f>SUM(V47:AA47)+SUM(AS47:BF47)+SUM(AC47:AQ47)</f>
        <v>0</v>
      </c>
      <c r="V47" s="326">
        <f>'12CH_GOC'!V45</f>
        <v>0</v>
      </c>
      <c r="W47" s="326">
        <f>'12CH_GOC'!W45</f>
        <v>0</v>
      </c>
      <c r="X47" s="326">
        <f>'12CH_GOC'!Y45</f>
        <v>0</v>
      </c>
      <c r="Y47" s="326">
        <f>'12CH_GOC'!Z45</f>
        <v>0</v>
      </c>
      <c r="Z47" s="326">
        <f>'12CH_GOC'!AA45</f>
        <v>0</v>
      </c>
      <c r="AA47" s="326">
        <f>'12CH_GOC'!AB45</f>
        <v>0</v>
      </c>
      <c r="AB47" s="326">
        <f>SUM(AC47:AQ47)+SUM(AS47:AU47)</f>
        <v>0</v>
      </c>
      <c r="AC47" s="326">
        <f>'12CH_GOC'!AE45</f>
        <v>0</v>
      </c>
      <c r="AD47" s="326">
        <f>'12CH_GOC'!AF45</f>
        <v>0</v>
      </c>
      <c r="AE47" s="326">
        <f>'12CH_GOC'!AG45</f>
        <v>0</v>
      </c>
      <c r="AF47" s="326">
        <f>'12CH_GOC'!AH45</f>
        <v>0</v>
      </c>
      <c r="AG47" s="326">
        <f>'12CH_GOC'!AI45</f>
        <v>0</v>
      </c>
      <c r="AH47" s="326">
        <f>'12CH_GOC'!AJ45</f>
        <v>0</v>
      </c>
      <c r="AI47" s="326">
        <f>'12CH_GOC'!AK45</f>
        <v>0</v>
      </c>
      <c r="AJ47" s="326">
        <f>'12CH_GOC'!AL45</f>
        <v>0</v>
      </c>
      <c r="AK47" s="326">
        <f>'12CH_GOC'!AM45</f>
        <v>0</v>
      </c>
      <c r="AL47" s="326">
        <f>'12CH_GOC'!AN45</f>
        <v>0</v>
      </c>
      <c r="AM47" s="326">
        <f>'12CH_GOC'!AO45</f>
        <v>0</v>
      </c>
      <c r="AN47" s="326">
        <f>'12CH_GOC'!AP45</f>
        <v>0</v>
      </c>
      <c r="AO47" s="326">
        <f>'12CH_GOC'!AQ45</f>
        <v>0</v>
      </c>
      <c r="AP47" s="326">
        <f>'12CH_GOC'!AR45</f>
        <v>0</v>
      </c>
      <c r="AQ47" s="326">
        <f>'12CH_GOC'!AS45</f>
        <v>0</v>
      </c>
      <c r="AR47" s="761">
        <f>'12CH_GOC'!AT45</f>
        <v>0</v>
      </c>
      <c r="AS47" s="326">
        <f>'12CH_GOC'!AU45</f>
        <v>0</v>
      </c>
      <c r="AT47" s="326">
        <f>'12CH_GOC'!AV45</f>
        <v>0</v>
      </c>
      <c r="AU47" s="326">
        <f>'12CH_GOC'!AW45</f>
        <v>0</v>
      </c>
      <c r="AV47" s="326">
        <f>'12CH_GOC'!AX45</f>
        <v>0</v>
      </c>
      <c r="AW47" s="326">
        <f>'12CH_GOC'!AY45</f>
        <v>0</v>
      </c>
      <c r="AX47" s="326">
        <f>'12CH_GOC'!AZ45</f>
        <v>0</v>
      </c>
      <c r="AY47" s="326">
        <f>'12CH_GOC'!BA45</f>
        <v>0</v>
      </c>
      <c r="AZ47" s="326">
        <f>'12CH_GOC'!BB45</f>
        <v>0</v>
      </c>
      <c r="BA47" s="326">
        <f>'12CH_GOC'!BC45</f>
        <v>0</v>
      </c>
      <c r="BB47" s="326">
        <f>'12CH_GOC'!BD45</f>
        <v>0</v>
      </c>
      <c r="BC47" s="326">
        <f>'12CH_GOC'!BE45</f>
        <v>0</v>
      </c>
      <c r="BD47" s="326">
        <f>'12CH_GOC'!BF45</f>
        <v>0</v>
      </c>
      <c r="BE47" s="326">
        <f>'12CH_GOC'!BG45</f>
        <v>0</v>
      </c>
      <c r="BF47" s="326">
        <f>'12CH_GOC'!BH45</f>
        <v>0</v>
      </c>
      <c r="BG47" s="326">
        <f>'12CH_GOC'!BI45</f>
        <v>0</v>
      </c>
      <c r="BH47" s="326">
        <f>'12CH_GOC'!BJ45</f>
        <v>0</v>
      </c>
      <c r="BI47" s="326">
        <f>'12CH_GOC'!BK45</f>
        <v>0</v>
      </c>
      <c r="BJ47" s="326">
        <f>'12CH_GOC'!BM45</f>
        <v>0</v>
      </c>
    </row>
    <row r="48" spans="1:64" s="743" customFormat="1" ht="21" customHeight="1">
      <c r="A48" s="754" t="s">
        <v>193</v>
      </c>
      <c r="B48" s="331" t="s">
        <v>2768</v>
      </c>
      <c r="C48" s="2" t="s">
        <v>53</v>
      </c>
      <c r="D48" s="326">
        <f>'12CH_GOC'!D46</f>
        <v>0</v>
      </c>
      <c r="E48" s="326">
        <f>'12CH_GOC'!E46</f>
        <v>0</v>
      </c>
      <c r="F48" s="326">
        <f>'12CH_GOC'!F46</f>
        <v>0</v>
      </c>
      <c r="G48" s="326">
        <f>'12CH_GOC'!G46</f>
        <v>0</v>
      </c>
      <c r="H48" s="326">
        <f>'12CH_GOC'!H46</f>
        <v>0</v>
      </c>
      <c r="I48" s="326">
        <f>'12CH_GOC'!I46</f>
        <v>0</v>
      </c>
      <c r="J48" s="326">
        <f>'12CH_GOC'!J46</f>
        <v>0</v>
      </c>
      <c r="K48" s="326">
        <f>'12CH_GOC'!K46</f>
        <v>0</v>
      </c>
      <c r="L48" s="326">
        <f>'12CH_GOC'!L46</f>
        <v>0</v>
      </c>
      <c r="M48" s="326">
        <f>'12CH_GOC'!M46</f>
        <v>0</v>
      </c>
      <c r="N48" s="326">
        <f>'12CH_GOC'!N46</f>
        <v>0</v>
      </c>
      <c r="O48" s="326">
        <f>'12CH_GOC'!O46</f>
        <v>0</v>
      </c>
      <c r="P48" s="326">
        <f>'12CH_GOC'!P46</f>
        <v>0</v>
      </c>
      <c r="Q48" s="326">
        <f>'12CH_GOC'!Q46</f>
        <v>0</v>
      </c>
      <c r="R48" s="326">
        <f>'12CH_GOC'!R46</f>
        <v>0</v>
      </c>
      <c r="S48" s="326">
        <f>'12CH_GOC'!S46</f>
        <v>0</v>
      </c>
      <c r="T48" s="326">
        <f>'12CH_GOC'!T46</f>
        <v>0</v>
      </c>
      <c r="U48" s="326">
        <f>SUM(V48:AA48)+SUM(AT48:BF48)+SUM(AC48:AR48)</f>
        <v>0</v>
      </c>
      <c r="V48" s="326">
        <f>'12CH_GOC'!V46</f>
        <v>0</v>
      </c>
      <c r="W48" s="326">
        <f>'12CH_GOC'!W46</f>
        <v>0</v>
      </c>
      <c r="X48" s="326">
        <f>'12CH_GOC'!Y46</f>
        <v>0</v>
      </c>
      <c r="Y48" s="326">
        <f>'12CH_GOC'!Z46</f>
        <v>0</v>
      </c>
      <c r="Z48" s="326">
        <f>'12CH_GOC'!AA46</f>
        <v>0</v>
      </c>
      <c r="AA48" s="326">
        <f>'12CH_GOC'!AB46</f>
        <v>0</v>
      </c>
      <c r="AB48" s="326">
        <f>SUM(AC48:AR48)+SUM(AT48:AU48)</f>
        <v>0</v>
      </c>
      <c r="AC48" s="326">
        <f>'12CH_GOC'!AE46</f>
        <v>0</v>
      </c>
      <c r="AD48" s="326">
        <f>'12CH_GOC'!AF46</f>
        <v>0</v>
      </c>
      <c r="AE48" s="326">
        <f>'12CH_GOC'!AG46</f>
        <v>0</v>
      </c>
      <c r="AF48" s="326">
        <f>'12CH_GOC'!AH46</f>
        <v>0</v>
      </c>
      <c r="AG48" s="326">
        <f>'12CH_GOC'!AI46</f>
        <v>0</v>
      </c>
      <c r="AH48" s="326">
        <f>'12CH_GOC'!AJ46</f>
        <v>0</v>
      </c>
      <c r="AI48" s="326">
        <f>'12CH_GOC'!AK46</f>
        <v>0</v>
      </c>
      <c r="AJ48" s="326">
        <f>'12CH_GOC'!AL46</f>
        <v>0</v>
      </c>
      <c r="AK48" s="326">
        <f>'12CH_GOC'!AM46</f>
        <v>0</v>
      </c>
      <c r="AL48" s="326">
        <f>'12CH_GOC'!AN46</f>
        <v>0</v>
      </c>
      <c r="AM48" s="326">
        <f>'12CH_GOC'!AO46</f>
        <v>0</v>
      </c>
      <c r="AN48" s="326">
        <f>'12CH_GOC'!AP46</f>
        <v>0</v>
      </c>
      <c r="AO48" s="326">
        <f>'12CH_GOC'!AQ46</f>
        <v>0</v>
      </c>
      <c r="AP48" s="326">
        <f>'12CH_GOC'!AR46</f>
        <v>0</v>
      </c>
      <c r="AQ48" s="326">
        <f>'12CH_GOC'!AS46</f>
        <v>0</v>
      </c>
      <c r="AR48" s="326">
        <f>'12CH_GOC'!AT46</f>
        <v>0</v>
      </c>
      <c r="AS48" s="761">
        <f>'12CH_GOC'!AU46</f>
        <v>0</v>
      </c>
      <c r="AT48" s="326">
        <f>'12CH_GOC'!AV46</f>
        <v>0</v>
      </c>
      <c r="AU48" s="326">
        <f>'12CH_GOC'!AW46</f>
        <v>0</v>
      </c>
      <c r="AV48" s="326">
        <f>'12CH_GOC'!AX46</f>
        <v>0</v>
      </c>
      <c r="AW48" s="326">
        <f>'12CH_GOC'!AY46</f>
        <v>0</v>
      </c>
      <c r="AX48" s="326">
        <f>'12CH_GOC'!AZ46</f>
        <v>0</v>
      </c>
      <c r="AY48" s="326">
        <f>'12CH_GOC'!BA46</f>
        <v>0</v>
      </c>
      <c r="AZ48" s="326">
        <f>'12CH_GOC'!BB46</f>
        <v>0</v>
      </c>
      <c r="BA48" s="326">
        <f>'12CH_GOC'!BC46</f>
        <v>0</v>
      </c>
      <c r="BB48" s="326">
        <f>'12CH_GOC'!BD46</f>
        <v>0</v>
      </c>
      <c r="BC48" s="326">
        <f>'12CH_GOC'!BE46</f>
        <v>0</v>
      </c>
      <c r="BD48" s="326">
        <f>'12CH_GOC'!BF46</f>
        <v>0</v>
      </c>
      <c r="BE48" s="326">
        <f>'12CH_GOC'!BG46</f>
        <v>0</v>
      </c>
      <c r="BF48" s="326">
        <f>'12CH_GOC'!BH46</f>
        <v>0</v>
      </c>
      <c r="BG48" s="326">
        <f>'12CH_GOC'!BI46</f>
        <v>0</v>
      </c>
      <c r="BH48" s="326">
        <f>'12CH_GOC'!BJ46</f>
        <v>0</v>
      </c>
      <c r="BI48" s="326">
        <f>'12CH_GOC'!BK46</f>
        <v>3.3</v>
      </c>
      <c r="BJ48" s="326">
        <f>'12CH_GOC'!BM46</f>
        <v>3.3</v>
      </c>
    </row>
    <row r="49" spans="1:62" s="743" customFormat="1" ht="25.5" customHeight="1">
      <c r="A49" s="754" t="s">
        <v>193</v>
      </c>
      <c r="B49" s="331" t="s">
        <v>2769</v>
      </c>
      <c r="C49" s="2" t="s">
        <v>54</v>
      </c>
      <c r="D49" s="326">
        <f>'12CH_GOC'!D47</f>
        <v>2.2700000000000005</v>
      </c>
      <c r="E49" s="326">
        <f>'12CH_GOC'!E47</f>
        <v>0</v>
      </c>
      <c r="F49" s="326">
        <f>'12CH_GOC'!F47</f>
        <v>0</v>
      </c>
      <c r="G49" s="326">
        <f>'12CH_GOC'!G47</f>
        <v>0</v>
      </c>
      <c r="H49" s="326">
        <f>'12CH_GOC'!H47</f>
        <v>0</v>
      </c>
      <c r="I49" s="326">
        <f>'12CH_GOC'!I47</f>
        <v>0</v>
      </c>
      <c r="J49" s="326">
        <f>'12CH_GOC'!J47</f>
        <v>0</v>
      </c>
      <c r="K49" s="326">
        <f>'12CH_GOC'!K47</f>
        <v>0</v>
      </c>
      <c r="L49" s="326">
        <f>'12CH_GOC'!L47</f>
        <v>0</v>
      </c>
      <c r="M49" s="326">
        <f>'12CH_GOC'!M47</f>
        <v>0</v>
      </c>
      <c r="N49" s="326">
        <f>'12CH_GOC'!N47</f>
        <v>0</v>
      </c>
      <c r="O49" s="326">
        <f>'12CH_GOC'!O47</f>
        <v>0</v>
      </c>
      <c r="P49" s="326">
        <f>'12CH_GOC'!P47</f>
        <v>0</v>
      </c>
      <c r="Q49" s="326">
        <f>'12CH_GOC'!Q47</f>
        <v>0</v>
      </c>
      <c r="R49" s="326">
        <f>'12CH_GOC'!R47</f>
        <v>0</v>
      </c>
      <c r="S49" s="326">
        <f>'12CH_GOC'!S47</f>
        <v>0</v>
      </c>
      <c r="T49" s="326">
        <f>'12CH_GOC'!T47</f>
        <v>0</v>
      </c>
      <c r="U49" s="326">
        <f>SUM(V49:AA49)+SUM(AU49:BF49)+SUM(AC49:AS49)</f>
        <v>2.2700000000000005</v>
      </c>
      <c r="V49" s="326">
        <f>'12CH_GOC'!V47</f>
        <v>0</v>
      </c>
      <c r="W49" s="326">
        <f>'12CH_GOC'!W47</f>
        <v>0</v>
      </c>
      <c r="X49" s="326">
        <f>'12CH_GOC'!Y47</f>
        <v>0</v>
      </c>
      <c r="Y49" s="326">
        <f>'12CH_GOC'!Z47</f>
        <v>0</v>
      </c>
      <c r="Z49" s="326">
        <f>'12CH_GOC'!AA47</f>
        <v>0</v>
      </c>
      <c r="AA49" s="326">
        <f>'12CH_GOC'!AB47</f>
        <v>0</v>
      </c>
      <c r="AB49" s="326">
        <f>SUM(AC49:AS49)+SUM(AU49)</f>
        <v>2.2700000000000005</v>
      </c>
      <c r="AC49" s="326">
        <f>'12CH_GOC'!AE47</f>
        <v>0.09</v>
      </c>
      <c r="AD49" s="326">
        <f>'12CH_GOC'!AF47</f>
        <v>0</v>
      </c>
      <c r="AE49" s="326">
        <f>'12CH_GOC'!AG47</f>
        <v>0</v>
      </c>
      <c r="AF49" s="326">
        <f>'12CH_GOC'!AH47</f>
        <v>0</v>
      </c>
      <c r="AG49" s="326">
        <f>'12CH_GOC'!AI47</f>
        <v>0.02</v>
      </c>
      <c r="AH49" s="326">
        <f>'12CH_GOC'!AJ47</f>
        <v>0</v>
      </c>
      <c r="AI49" s="326">
        <f>'12CH_GOC'!AK47</f>
        <v>0</v>
      </c>
      <c r="AJ49" s="326">
        <f>'12CH_GOC'!AL47</f>
        <v>0</v>
      </c>
      <c r="AK49" s="326">
        <f>'12CH_GOC'!AM47</f>
        <v>0</v>
      </c>
      <c r="AL49" s="326">
        <f>'12CH_GOC'!AN47</f>
        <v>0</v>
      </c>
      <c r="AM49" s="326">
        <f>'12CH_GOC'!AO47</f>
        <v>0</v>
      </c>
      <c r="AN49" s="326">
        <f>'12CH_GOC'!AP47</f>
        <v>0</v>
      </c>
      <c r="AO49" s="326">
        <f>'12CH_GOC'!AQ47</f>
        <v>0</v>
      </c>
      <c r="AP49" s="326">
        <f>'12CH_GOC'!AR47</f>
        <v>0</v>
      </c>
      <c r="AQ49" s="326">
        <f>'12CH_GOC'!AS47</f>
        <v>0</v>
      </c>
      <c r="AR49" s="326">
        <f>'12CH_GOC'!AT47</f>
        <v>1.9900000000000004</v>
      </c>
      <c r="AS49" s="326">
        <f>'12CH_GOC'!AU47</f>
        <v>0</v>
      </c>
      <c r="AT49" s="761">
        <f>'12CH_GOC'!AV47</f>
        <v>0</v>
      </c>
      <c r="AU49" s="326">
        <f>'12CH_GOC'!AW47</f>
        <v>0.17</v>
      </c>
      <c r="AV49" s="326">
        <f>'12CH_GOC'!AX47</f>
        <v>0</v>
      </c>
      <c r="AW49" s="326">
        <f>'12CH_GOC'!AY47</f>
        <v>0</v>
      </c>
      <c r="AX49" s="326">
        <f>'12CH_GOC'!AZ47</f>
        <v>0</v>
      </c>
      <c r="AY49" s="326">
        <f>'12CH_GOC'!BA47</f>
        <v>0</v>
      </c>
      <c r="AZ49" s="326">
        <f>'12CH_GOC'!BB47</f>
        <v>0</v>
      </c>
      <c r="BA49" s="326">
        <f>'12CH_GOC'!BC47</f>
        <v>0</v>
      </c>
      <c r="BB49" s="326">
        <f>'12CH_GOC'!BD47</f>
        <v>0</v>
      </c>
      <c r="BC49" s="326">
        <f>'12CH_GOC'!BE47</f>
        <v>0</v>
      </c>
      <c r="BD49" s="326">
        <f>'12CH_GOC'!BF47</f>
        <v>0</v>
      </c>
      <c r="BE49" s="326">
        <f>'12CH_GOC'!BG47</f>
        <v>0</v>
      </c>
      <c r="BF49" s="326">
        <f>'12CH_GOC'!BH47</f>
        <v>0</v>
      </c>
      <c r="BG49" s="326">
        <f>'12CH_GOC'!BI47</f>
        <v>0</v>
      </c>
      <c r="BH49" s="326">
        <f>'12CH_GOC'!BJ47</f>
        <v>0.28000000000000003</v>
      </c>
      <c r="BI49" s="326">
        <f>'12CH_GOC'!BK47</f>
        <v>12.070000000000002</v>
      </c>
      <c r="BJ49" s="326">
        <f>'12CH_GOC'!BM47</f>
        <v>14.340000000000003</v>
      </c>
    </row>
    <row r="50" spans="1:62" s="743" customFormat="1" ht="31.35" customHeight="1">
      <c r="A50" s="754" t="s">
        <v>193</v>
      </c>
      <c r="B50" s="279" t="s">
        <v>2775</v>
      </c>
      <c r="C50" s="280" t="s">
        <v>2776</v>
      </c>
      <c r="D50" s="326">
        <f>'12CH_GOC'!D54</f>
        <v>0.18</v>
      </c>
      <c r="E50" s="326">
        <f>'12CH_GOC'!E54</f>
        <v>0</v>
      </c>
      <c r="F50" s="326">
        <f>'12CH_GOC'!F54</f>
        <v>0</v>
      </c>
      <c r="G50" s="326">
        <f>'12CH_GOC'!G54</f>
        <v>0</v>
      </c>
      <c r="H50" s="326">
        <f>'12CH_GOC'!H54</f>
        <v>0</v>
      </c>
      <c r="I50" s="326">
        <f>'12CH_GOC'!I54</f>
        <v>0</v>
      </c>
      <c r="J50" s="326">
        <f>'12CH_GOC'!J54</f>
        <v>0</v>
      </c>
      <c r="K50" s="326">
        <f>'12CH_GOC'!K54</f>
        <v>0</v>
      </c>
      <c r="L50" s="326">
        <f>'12CH_GOC'!L54</f>
        <v>0</v>
      </c>
      <c r="M50" s="326">
        <f>'12CH_GOC'!M54</f>
        <v>0</v>
      </c>
      <c r="N50" s="326">
        <f>'12CH_GOC'!N54</f>
        <v>0</v>
      </c>
      <c r="O50" s="326">
        <f>'12CH_GOC'!O54</f>
        <v>0</v>
      </c>
      <c r="P50" s="326">
        <f>'12CH_GOC'!P54</f>
        <v>0</v>
      </c>
      <c r="Q50" s="326">
        <f>'12CH_GOC'!Q54</f>
        <v>0</v>
      </c>
      <c r="R50" s="326">
        <f>'12CH_GOC'!R54</f>
        <v>0</v>
      </c>
      <c r="S50" s="326">
        <f>'12CH_GOC'!S54</f>
        <v>0</v>
      </c>
      <c r="T50" s="326">
        <f>'12CH_GOC'!T54</f>
        <v>0</v>
      </c>
      <c r="U50" s="326">
        <f>SUM(V50:AA50)+SUM(AG50:AT50)+SUM(AC50:AF50)+SUM(AV50:BF50)</f>
        <v>0.36</v>
      </c>
      <c r="V50" s="326">
        <f>'12CH_GOC'!V54</f>
        <v>0</v>
      </c>
      <c r="W50" s="326">
        <f>'12CH_GOC'!W54</f>
        <v>0</v>
      </c>
      <c r="X50" s="326">
        <f>'12CH_GOC'!Y54</f>
        <v>0</v>
      </c>
      <c r="Y50" s="326">
        <f>'12CH_GOC'!Z54</f>
        <v>0</v>
      </c>
      <c r="Z50" s="326">
        <f>'12CH_GOC'!AA54</f>
        <v>0</v>
      </c>
      <c r="AA50" s="326">
        <f>'12CH_GOC'!AB54</f>
        <v>0</v>
      </c>
      <c r="AB50" s="326">
        <f>SUM(AC50:AF50)+SUM(AG50:AT50)</f>
        <v>0.36</v>
      </c>
      <c r="AC50" s="326">
        <f>'12CH_GOC'!AE54</f>
        <v>0</v>
      </c>
      <c r="AD50" s="326">
        <f>'12CH_GOC'!AF54</f>
        <v>0</v>
      </c>
      <c r="AE50" s="326">
        <f>'12CH_GOC'!AG54</f>
        <v>0</v>
      </c>
      <c r="AF50" s="326">
        <f>'12CH_GOC'!AH54</f>
        <v>0</v>
      </c>
      <c r="AG50" s="326">
        <f>'12CH_GOC'!AI54</f>
        <v>0</v>
      </c>
      <c r="AH50" s="326">
        <f>'12CH_GOC'!AJ54</f>
        <v>0</v>
      </c>
      <c r="AI50" s="326">
        <f>'12CH_GOC'!AK54</f>
        <v>0</v>
      </c>
      <c r="AJ50" s="326">
        <f>'12CH_GOC'!AL54</f>
        <v>0</v>
      </c>
      <c r="AK50" s="326">
        <f>'12CH_GOC'!AM54</f>
        <v>0</v>
      </c>
      <c r="AL50" s="326">
        <f>'12CH_GOC'!AN54</f>
        <v>0.18</v>
      </c>
      <c r="AM50" s="326">
        <f>'12CH_GOC'!AO54</f>
        <v>0</v>
      </c>
      <c r="AN50" s="326">
        <v>0.18</v>
      </c>
      <c r="AO50" s="326">
        <f>'12CH_GOC'!AQ54</f>
        <v>0</v>
      </c>
      <c r="AP50" s="326">
        <f>'12CH_GOC'!AR54</f>
        <v>0</v>
      </c>
      <c r="AQ50" s="326">
        <f>'12CH_GOC'!AS54</f>
        <v>0</v>
      </c>
      <c r="AR50" s="326">
        <f>'12CH_GOC'!AT54</f>
        <v>0</v>
      </c>
      <c r="AS50" s="326">
        <f>'12CH_GOC'!AU54</f>
        <v>0</v>
      </c>
      <c r="AT50" s="326">
        <f>'12CH_GOC'!AV54</f>
        <v>0</v>
      </c>
      <c r="AU50" s="761"/>
      <c r="AV50" s="326">
        <f>'12CH_GOC'!AX54</f>
        <v>0</v>
      </c>
      <c r="AW50" s="326">
        <f>'12CH_GOC'!AY54</f>
        <v>0</v>
      </c>
      <c r="AX50" s="326">
        <f>'12CH_GOC'!AZ54</f>
        <v>0</v>
      </c>
      <c r="AY50" s="326">
        <f>'12CH_GOC'!BA54</f>
        <v>0</v>
      </c>
      <c r="AZ50" s="326">
        <f>'12CH_GOC'!BB54</f>
        <v>0</v>
      </c>
      <c r="BA50" s="326">
        <f>'12CH_GOC'!BC54</f>
        <v>0</v>
      </c>
      <c r="BB50" s="326">
        <f>'12CH_GOC'!BD54</f>
        <v>0</v>
      </c>
      <c r="BC50" s="326">
        <f>'12CH_GOC'!BE54</f>
        <v>0</v>
      </c>
      <c r="BD50" s="326">
        <f>'12CH_GOC'!BF54</f>
        <v>0</v>
      </c>
      <c r="BE50" s="326">
        <f>'12CH_GOC'!BG54</f>
        <v>0</v>
      </c>
      <c r="BF50" s="326">
        <f>'12CH_GOC'!BH54</f>
        <v>0</v>
      </c>
      <c r="BG50" s="326">
        <f>'12CH_GOC'!BI54</f>
        <v>0</v>
      </c>
      <c r="BH50" s="326">
        <f>'12CH_GOC'!BJ54</f>
        <v>0.18</v>
      </c>
      <c r="BI50" s="326">
        <f>'12CH_GOC'!BK54</f>
        <v>2.0000000000000018E-2</v>
      </c>
      <c r="BJ50" s="326">
        <f>'12CH_GOC'!BM54</f>
        <v>0.2</v>
      </c>
    </row>
    <row r="51" spans="1:62" s="743" customFormat="1" ht="32.450000000000003" customHeight="1">
      <c r="A51" s="313" t="s">
        <v>69</v>
      </c>
      <c r="B51" s="279" t="s">
        <v>2774</v>
      </c>
      <c r="C51" s="280" t="s">
        <v>113</v>
      </c>
      <c r="D51" s="326">
        <f>'12CH_GOC'!D50</f>
        <v>2.08</v>
      </c>
      <c r="E51" s="326">
        <f>'12CH_GOC'!E50</f>
        <v>0</v>
      </c>
      <c r="F51" s="326">
        <f>'12CH_GOC'!F50</f>
        <v>0</v>
      </c>
      <c r="G51" s="326">
        <f>'12CH_GOC'!G50</f>
        <v>0</v>
      </c>
      <c r="H51" s="326">
        <f>'12CH_GOC'!H50</f>
        <v>0</v>
      </c>
      <c r="I51" s="326">
        <f>'12CH_GOC'!I50</f>
        <v>0</v>
      </c>
      <c r="J51" s="326">
        <f>'12CH_GOC'!J50</f>
        <v>0</v>
      </c>
      <c r="K51" s="326">
        <f>'12CH_GOC'!K50</f>
        <v>0</v>
      </c>
      <c r="L51" s="326">
        <f>'12CH_GOC'!L50</f>
        <v>0</v>
      </c>
      <c r="M51" s="326">
        <f>'12CH_GOC'!M50</f>
        <v>0</v>
      </c>
      <c r="N51" s="326">
        <f>'12CH_GOC'!N50</f>
        <v>0</v>
      </c>
      <c r="O51" s="326">
        <f>'12CH_GOC'!O50</f>
        <v>0</v>
      </c>
      <c r="P51" s="326">
        <f>'12CH_GOC'!P50</f>
        <v>0</v>
      </c>
      <c r="Q51" s="326">
        <f>'12CH_GOC'!Q50</f>
        <v>0</v>
      </c>
      <c r="R51" s="326">
        <f>'12CH_GOC'!R50</f>
        <v>0</v>
      </c>
      <c r="S51" s="326">
        <f>'12CH_GOC'!S50</f>
        <v>0</v>
      </c>
      <c r="T51" s="326">
        <f>'12CH_GOC'!T50</f>
        <v>0</v>
      </c>
      <c r="U51" s="326">
        <f>SUM(V51:AB51)+SUM(AW51:BF51)</f>
        <v>2.08</v>
      </c>
      <c r="V51" s="326">
        <f>'12CH_GOC'!V50</f>
        <v>0</v>
      </c>
      <c r="W51" s="326">
        <f>'12CH_GOC'!W50</f>
        <v>0</v>
      </c>
      <c r="X51" s="326">
        <f>'12CH_GOC'!Y50</f>
        <v>0</v>
      </c>
      <c r="Y51" s="326">
        <f>'12CH_GOC'!Z50</f>
        <v>0</v>
      </c>
      <c r="Z51" s="326">
        <f>'12CH_GOC'!AA50</f>
        <v>0</v>
      </c>
      <c r="AA51" s="326">
        <f>'12CH_GOC'!AB50</f>
        <v>0</v>
      </c>
      <c r="AB51" s="326">
        <f>SUM(AC51:AU51)</f>
        <v>2.08</v>
      </c>
      <c r="AC51" s="326">
        <f>'12CH_GOC'!AE50</f>
        <v>0</v>
      </c>
      <c r="AD51" s="326">
        <f>'12CH_GOC'!AF50</f>
        <v>0</v>
      </c>
      <c r="AE51" s="326">
        <f>'12CH_GOC'!AG50</f>
        <v>0</v>
      </c>
      <c r="AF51" s="326">
        <f>'12CH_GOC'!AH50</f>
        <v>0</v>
      </c>
      <c r="AG51" s="326">
        <f>'12CH_GOC'!AI50</f>
        <v>0</v>
      </c>
      <c r="AH51" s="326">
        <f>'12CH_GOC'!AJ50</f>
        <v>0</v>
      </c>
      <c r="AI51" s="326">
        <f>'12CH_GOC'!AK50</f>
        <v>0</v>
      </c>
      <c r="AJ51" s="326">
        <f>'12CH_GOC'!AL50</f>
        <v>0</v>
      </c>
      <c r="AK51" s="326">
        <f>'12CH_GOC'!AM50</f>
        <v>0</v>
      </c>
      <c r="AL51" s="326">
        <f>'12CH_GOC'!AN50</f>
        <v>0</v>
      </c>
      <c r="AM51" s="326">
        <f>'12CH_GOC'!AO50</f>
        <v>0</v>
      </c>
      <c r="AN51" s="326">
        <f>'12CH_GOC'!AP50</f>
        <v>0</v>
      </c>
      <c r="AO51" s="326">
        <f>'12CH_GOC'!AQ50</f>
        <v>0</v>
      </c>
      <c r="AP51" s="326">
        <f>'12CH_GOC'!AR50</f>
        <v>0</v>
      </c>
      <c r="AQ51" s="326">
        <f>'12CH_GOC'!AS50</f>
        <v>0</v>
      </c>
      <c r="AR51" s="326">
        <f>'12CH_GOC'!AT50</f>
        <v>0</v>
      </c>
      <c r="AS51" s="326">
        <f>'12CH_GOC'!AU50</f>
        <v>0</v>
      </c>
      <c r="AT51" s="326">
        <f>'12CH_GOC'!AV50</f>
        <v>0</v>
      </c>
      <c r="AU51" s="326">
        <f>'12CH_GOC'!AW50</f>
        <v>2.08</v>
      </c>
      <c r="AV51" s="761">
        <f>'12CH_GOC'!AX50</f>
        <v>0</v>
      </c>
      <c r="AW51" s="326">
        <f>'12CH_GOC'!AY50</f>
        <v>0</v>
      </c>
      <c r="AX51" s="326">
        <f>'12CH_GOC'!AZ50</f>
        <v>0</v>
      </c>
      <c r="AY51" s="326">
        <f>'12CH_GOC'!BA50</f>
        <v>0</v>
      </c>
      <c r="AZ51" s="326">
        <f>'12CH_GOC'!BB50</f>
        <v>0</v>
      </c>
      <c r="BA51" s="326">
        <f>'12CH_GOC'!BC50</f>
        <v>0</v>
      </c>
      <c r="BB51" s="326">
        <f>'12CH_GOC'!BD50</f>
        <v>0</v>
      </c>
      <c r="BC51" s="326">
        <f>'12CH_GOC'!BE50</f>
        <v>0</v>
      </c>
      <c r="BD51" s="326">
        <f>'12CH_GOC'!BF50</f>
        <v>0</v>
      </c>
      <c r="BE51" s="326">
        <f>'12CH_GOC'!BG50</f>
        <v>0</v>
      </c>
      <c r="BF51" s="326">
        <f>'12CH_GOC'!BH50</f>
        <v>0</v>
      </c>
      <c r="BG51" s="326">
        <f>'12CH_GOC'!BI50</f>
        <v>0</v>
      </c>
      <c r="BH51" s="326">
        <f>'12CH_GOC'!BJ50</f>
        <v>0</v>
      </c>
      <c r="BI51" s="326">
        <f>'12CH_GOC'!BK50</f>
        <v>13.765000000000001</v>
      </c>
      <c r="BJ51" s="326">
        <f>'12CH_GOC'!BM50</f>
        <v>15.845000000000001</v>
      </c>
    </row>
    <row r="52" spans="1:62" s="743" customFormat="1" ht="25.5" customHeight="1">
      <c r="A52" s="313" t="s">
        <v>70</v>
      </c>
      <c r="B52" s="1" t="s">
        <v>107</v>
      </c>
      <c r="C52" s="2" t="s">
        <v>59</v>
      </c>
      <c r="D52" s="326">
        <f>'12CH_GOC'!D51</f>
        <v>955.12999999999988</v>
      </c>
      <c r="E52" s="326">
        <f>'12CH_GOC'!E51</f>
        <v>0.04</v>
      </c>
      <c r="F52" s="326">
        <f>'12CH_GOC'!F51</f>
        <v>0</v>
      </c>
      <c r="G52" s="326">
        <f>'12CH_GOC'!G51</f>
        <v>0</v>
      </c>
      <c r="H52" s="326">
        <f>'12CH_GOC'!H51</f>
        <v>0</v>
      </c>
      <c r="I52" s="326">
        <f>'12CH_GOC'!I51</f>
        <v>0</v>
      </c>
      <c r="J52" s="326">
        <f>'12CH_GOC'!J51</f>
        <v>0.03</v>
      </c>
      <c r="K52" s="326">
        <f>'12CH_GOC'!K51</f>
        <v>0</v>
      </c>
      <c r="L52" s="326">
        <f>'12CH_GOC'!L51</f>
        <v>0</v>
      </c>
      <c r="M52" s="326">
        <f>'12CH_GOC'!M51</f>
        <v>0</v>
      </c>
      <c r="N52" s="326">
        <f>'12CH_GOC'!N51</f>
        <v>0</v>
      </c>
      <c r="O52" s="326">
        <f>'12CH_GOC'!O51</f>
        <v>0</v>
      </c>
      <c r="P52" s="326">
        <f>'12CH_GOC'!P51</f>
        <v>0</v>
      </c>
      <c r="Q52" s="326">
        <f>'12CH_GOC'!Q51</f>
        <v>0</v>
      </c>
      <c r="R52" s="326">
        <f>'12CH_GOC'!R51</f>
        <v>0</v>
      </c>
      <c r="S52" s="326">
        <f>'12CH_GOC'!S51</f>
        <v>0</v>
      </c>
      <c r="T52" s="326">
        <f>'12CH_GOC'!T51</f>
        <v>0.01</v>
      </c>
      <c r="U52" s="326">
        <f>SUM(V52:AB52)+SUM(AX52:BF52)+AV52</f>
        <v>955.08999999999992</v>
      </c>
      <c r="V52" s="326">
        <f>'12CH_GOC'!V51</f>
        <v>0.2</v>
      </c>
      <c r="W52" s="326">
        <f>'12CH_GOC'!W51</f>
        <v>0.03</v>
      </c>
      <c r="X52" s="326">
        <f>'12CH_GOC'!Y51</f>
        <v>0.83000000000000007</v>
      </c>
      <c r="Y52" s="326">
        <f>'12CH_GOC'!Z51</f>
        <v>1.3900000000000001</v>
      </c>
      <c r="Z52" s="326">
        <f>'12CH_GOC'!AA51</f>
        <v>0.11000000000000001</v>
      </c>
      <c r="AA52" s="326">
        <f>'12CH_GOC'!AB51</f>
        <v>4</v>
      </c>
      <c r="AB52" s="326">
        <f>SUM(AC52:AU52)</f>
        <v>10.875</v>
      </c>
      <c r="AC52" s="326">
        <f>'12CH_GOC'!AE51</f>
        <v>4.6900000000000004</v>
      </c>
      <c r="AD52" s="326">
        <f>'12CH_GOC'!AF51</f>
        <v>0.19</v>
      </c>
      <c r="AE52" s="326">
        <f>'12CH_GOC'!AG51</f>
        <v>0.1</v>
      </c>
      <c r="AF52" s="326">
        <f>'12CH_GOC'!AH51</f>
        <v>0</v>
      </c>
      <c r="AG52" s="326">
        <f>'12CH_GOC'!AI51</f>
        <v>0.01</v>
      </c>
      <c r="AH52" s="326">
        <f>'12CH_GOC'!AJ51</f>
        <v>0</v>
      </c>
      <c r="AI52" s="326">
        <f>'12CH_GOC'!AK51</f>
        <v>1</v>
      </c>
      <c r="AJ52" s="326">
        <f>'12CH_GOC'!AL51</f>
        <v>0</v>
      </c>
      <c r="AK52" s="326">
        <f>'12CH_GOC'!AM51</f>
        <v>0</v>
      </c>
      <c r="AL52" s="326">
        <f>'12CH_GOC'!AN51</f>
        <v>2.9299999999999997</v>
      </c>
      <c r="AM52" s="326">
        <f>'12CH_GOC'!AO51</f>
        <v>0.57000000000000006</v>
      </c>
      <c r="AN52" s="326">
        <f>'12CH_GOC'!AP51</f>
        <v>0</v>
      </c>
      <c r="AO52" s="326">
        <f>'12CH_GOC'!AQ51</f>
        <v>0</v>
      </c>
      <c r="AP52" s="326">
        <f>'12CH_GOC'!AR51</f>
        <v>0</v>
      </c>
      <c r="AQ52" s="326">
        <f>'12CH_GOC'!AS51</f>
        <v>0</v>
      </c>
      <c r="AR52" s="326">
        <f>'12CH_GOC'!AT51</f>
        <v>0.09</v>
      </c>
      <c r="AS52" s="326">
        <f>'12CH_GOC'!AU51</f>
        <v>0</v>
      </c>
      <c r="AT52" s="326">
        <f>'12CH_GOC'!AV51</f>
        <v>0</v>
      </c>
      <c r="AU52" s="326">
        <f>'12CH_GOC'!AW51</f>
        <v>1.2950000000000002</v>
      </c>
      <c r="AV52" s="326">
        <f>'12CH_GOC'!AX51</f>
        <v>936.33499999999992</v>
      </c>
      <c r="AW52" s="761">
        <f>'12CH_GOC'!AY51</f>
        <v>0</v>
      </c>
      <c r="AX52" s="326">
        <f>'12CH_GOC'!AZ51</f>
        <v>0.06</v>
      </c>
      <c r="AY52" s="326">
        <f>'12CH_GOC'!BA51</f>
        <v>0</v>
      </c>
      <c r="AZ52" s="326">
        <f>'12CH_GOC'!BB51</f>
        <v>0</v>
      </c>
      <c r="BA52" s="326">
        <f>'12CH_GOC'!BC51</f>
        <v>0</v>
      </c>
      <c r="BB52" s="326">
        <f>'12CH_GOC'!BD51</f>
        <v>0</v>
      </c>
      <c r="BC52" s="326">
        <f>'12CH_GOC'!BE51</f>
        <v>0</v>
      </c>
      <c r="BD52" s="326">
        <f>'12CH_GOC'!BF51</f>
        <v>0.63000000000000012</v>
      </c>
      <c r="BE52" s="326">
        <f>'12CH_GOC'!BG51</f>
        <v>0.5</v>
      </c>
      <c r="BF52" s="326">
        <f>'12CH_GOC'!BH51</f>
        <v>0.13</v>
      </c>
      <c r="BG52" s="326">
        <f>'12CH_GOC'!BI51</f>
        <v>0</v>
      </c>
      <c r="BH52" s="326">
        <f>'12CH_GOC'!BJ51</f>
        <v>18.795000000000002</v>
      </c>
      <c r="BI52" s="326">
        <f>'12CH_GOC'!BK51</f>
        <v>63.054320000000004</v>
      </c>
      <c r="BJ52" s="326">
        <f>'12CH_GOC'!BM51</f>
        <v>1018.1843199999998</v>
      </c>
    </row>
    <row r="53" spans="1:62" s="743" customFormat="1" ht="25.5" customHeight="1">
      <c r="A53" s="313" t="s">
        <v>71</v>
      </c>
      <c r="B53" s="1" t="s">
        <v>108</v>
      </c>
      <c r="C53" s="2" t="s">
        <v>57</v>
      </c>
      <c r="D53" s="326">
        <f>'12CH_GOC'!D52</f>
        <v>170.34</v>
      </c>
      <c r="E53" s="326">
        <f>'12CH_GOC'!E52</f>
        <v>0</v>
      </c>
      <c r="F53" s="326">
        <f>'12CH_GOC'!F52</f>
        <v>0</v>
      </c>
      <c r="G53" s="326">
        <f>'12CH_GOC'!G52</f>
        <v>0</v>
      </c>
      <c r="H53" s="326">
        <f>'12CH_GOC'!H52</f>
        <v>0</v>
      </c>
      <c r="I53" s="326">
        <f>'12CH_GOC'!I52</f>
        <v>0</v>
      </c>
      <c r="J53" s="326">
        <f>'12CH_GOC'!J52</f>
        <v>0</v>
      </c>
      <c r="K53" s="326">
        <f>'12CH_GOC'!K52</f>
        <v>0</v>
      </c>
      <c r="L53" s="326">
        <f>'12CH_GOC'!L52</f>
        <v>0</v>
      </c>
      <c r="M53" s="326">
        <f>'12CH_GOC'!M52</f>
        <v>0</v>
      </c>
      <c r="N53" s="326">
        <f>'12CH_GOC'!N52</f>
        <v>0</v>
      </c>
      <c r="O53" s="326">
        <f>'12CH_GOC'!O52</f>
        <v>0</v>
      </c>
      <c r="P53" s="326">
        <f>'12CH_GOC'!P52</f>
        <v>0</v>
      </c>
      <c r="Q53" s="326">
        <f>'12CH_GOC'!Q52</f>
        <v>0</v>
      </c>
      <c r="R53" s="326">
        <f>'12CH_GOC'!R52</f>
        <v>0</v>
      </c>
      <c r="S53" s="326">
        <f>'12CH_GOC'!S52</f>
        <v>0</v>
      </c>
      <c r="T53" s="326">
        <f>'12CH_GOC'!T52</f>
        <v>0</v>
      </c>
      <c r="U53" s="326">
        <f>SUM(V53:AB53)+SUM(AY53:BF53)+SUM(AV53:AW53)</f>
        <v>170.17000000000002</v>
      </c>
      <c r="V53" s="326">
        <f>'12CH_GOC'!V52</f>
        <v>0</v>
      </c>
      <c r="W53" s="326">
        <f>'12CH_GOC'!W52</f>
        <v>0</v>
      </c>
      <c r="X53" s="326">
        <f>'12CH_GOC'!Y52</f>
        <v>0</v>
      </c>
      <c r="Y53" s="326">
        <f>'12CH_GOC'!Z52</f>
        <v>0</v>
      </c>
      <c r="Z53" s="326">
        <f>'12CH_GOC'!AA52</f>
        <v>0</v>
      </c>
      <c r="AA53" s="326">
        <f>'12CH_GOC'!AB52</f>
        <v>0</v>
      </c>
      <c r="AB53" s="326">
        <f>SUM(AC53:AU53)</f>
        <v>4.0000000000000009</v>
      </c>
      <c r="AC53" s="326">
        <f>'12CH_GOC'!AE52</f>
        <v>2.44</v>
      </c>
      <c r="AD53" s="326">
        <f>'12CH_GOC'!AF52</f>
        <v>0</v>
      </c>
      <c r="AE53" s="326">
        <f>'12CH_GOC'!AG52</f>
        <v>0</v>
      </c>
      <c r="AF53" s="326">
        <f>'12CH_GOC'!AH52</f>
        <v>0</v>
      </c>
      <c r="AG53" s="326">
        <f>'12CH_GOC'!AI52</f>
        <v>0.41000000000000003</v>
      </c>
      <c r="AH53" s="326">
        <f>'12CH_GOC'!AJ52</f>
        <v>0</v>
      </c>
      <c r="AI53" s="326">
        <f>'12CH_GOC'!AK52</f>
        <v>0.34000000000000008</v>
      </c>
      <c r="AJ53" s="326">
        <f>'12CH_GOC'!AL52</f>
        <v>0</v>
      </c>
      <c r="AK53" s="326">
        <f>'12CH_GOC'!AM52</f>
        <v>0</v>
      </c>
      <c r="AL53" s="326">
        <f>'12CH_GOC'!AN52</f>
        <v>0</v>
      </c>
      <c r="AM53" s="326">
        <f>'12CH_GOC'!AO52</f>
        <v>0</v>
      </c>
      <c r="AN53" s="326">
        <f>'12CH_GOC'!AP52</f>
        <v>0</v>
      </c>
      <c r="AO53" s="326">
        <f>'12CH_GOC'!AQ52</f>
        <v>0</v>
      </c>
      <c r="AP53" s="326">
        <f>'12CH_GOC'!AR52</f>
        <v>0</v>
      </c>
      <c r="AQ53" s="326">
        <f>'12CH_GOC'!AS52</f>
        <v>0</v>
      </c>
      <c r="AR53" s="326">
        <f>'12CH_GOC'!AT52</f>
        <v>0.49</v>
      </c>
      <c r="AS53" s="326">
        <f>'12CH_GOC'!AU52</f>
        <v>0</v>
      </c>
      <c r="AT53" s="326">
        <f>'12CH_GOC'!AV52</f>
        <v>0.31</v>
      </c>
      <c r="AU53" s="326">
        <f>'12CH_GOC'!AW52</f>
        <v>0.01</v>
      </c>
      <c r="AV53" s="326">
        <f>'12CH_GOC'!AX52</f>
        <v>0</v>
      </c>
      <c r="AW53" s="326">
        <f>'12CH_GOC'!AY52</f>
        <v>166.17000000000002</v>
      </c>
      <c r="AX53" s="761">
        <f>'12CH_GOC'!AZ52</f>
        <v>0.17</v>
      </c>
      <c r="AY53" s="326">
        <f>'12CH_GOC'!BA52</f>
        <v>0</v>
      </c>
      <c r="AZ53" s="326">
        <f>'12CH_GOC'!BB52</f>
        <v>0</v>
      </c>
      <c r="BA53" s="326">
        <f>'12CH_GOC'!BC52</f>
        <v>0</v>
      </c>
      <c r="BB53" s="326">
        <f>'12CH_GOC'!BD52</f>
        <v>0</v>
      </c>
      <c r="BC53" s="326">
        <f>'12CH_GOC'!BE52</f>
        <v>0</v>
      </c>
      <c r="BD53" s="326">
        <f>'12CH_GOC'!BF52</f>
        <v>0</v>
      </c>
      <c r="BE53" s="326">
        <f>'12CH_GOC'!BG52</f>
        <v>0</v>
      </c>
      <c r="BF53" s="326">
        <f>'12CH_GOC'!BH52</f>
        <v>0</v>
      </c>
      <c r="BG53" s="326">
        <f>'12CH_GOC'!BI52</f>
        <v>0</v>
      </c>
      <c r="BH53" s="326">
        <f>'12CH_GOC'!BJ52</f>
        <v>4.1700000000000008</v>
      </c>
      <c r="BI53" s="326">
        <f>'12CH_GOC'!BK52</f>
        <v>46.66</v>
      </c>
      <c r="BJ53" s="326">
        <f>'12CH_GOC'!BM52</f>
        <v>217</v>
      </c>
    </row>
    <row r="54" spans="1:62" s="743" customFormat="1" ht="25.5" customHeight="1">
      <c r="A54" s="313" t="s">
        <v>74</v>
      </c>
      <c r="B54" s="1" t="s">
        <v>95</v>
      </c>
      <c r="C54" s="2" t="s">
        <v>24</v>
      </c>
      <c r="D54" s="326">
        <f>'12CH_GOC'!D53</f>
        <v>15.440000000000003</v>
      </c>
      <c r="E54" s="326">
        <f>'12CH_GOC'!E53</f>
        <v>0</v>
      </c>
      <c r="F54" s="326">
        <f>'12CH_GOC'!F53</f>
        <v>0</v>
      </c>
      <c r="G54" s="326">
        <f>'12CH_GOC'!G53</f>
        <v>0</v>
      </c>
      <c r="H54" s="326">
        <f>'12CH_GOC'!H53</f>
        <v>0</v>
      </c>
      <c r="I54" s="326">
        <f>'12CH_GOC'!I53</f>
        <v>0</v>
      </c>
      <c r="J54" s="326">
        <f>'12CH_GOC'!J53</f>
        <v>0</v>
      </c>
      <c r="K54" s="326">
        <f>'12CH_GOC'!K53</f>
        <v>0</v>
      </c>
      <c r="L54" s="326">
        <f>'12CH_GOC'!L53</f>
        <v>0</v>
      </c>
      <c r="M54" s="326">
        <f>'12CH_GOC'!M53</f>
        <v>0</v>
      </c>
      <c r="N54" s="326">
        <f>'12CH_GOC'!N53</f>
        <v>0</v>
      </c>
      <c r="O54" s="326">
        <f>'12CH_GOC'!O53</f>
        <v>0</v>
      </c>
      <c r="P54" s="326">
        <f>'12CH_GOC'!P53</f>
        <v>0</v>
      </c>
      <c r="Q54" s="326">
        <f>'12CH_GOC'!Q53</f>
        <v>0</v>
      </c>
      <c r="R54" s="326">
        <f>'12CH_GOC'!R53</f>
        <v>0</v>
      </c>
      <c r="S54" s="326">
        <f>'12CH_GOC'!S53</f>
        <v>0</v>
      </c>
      <c r="T54" s="326">
        <f>'12CH_GOC'!T53</f>
        <v>0</v>
      </c>
      <c r="U54" s="326">
        <f>SUM(V54:AB54)+SUM(BC54:BF54)+SUM(AV54:AX54)</f>
        <v>15.440000000000005</v>
      </c>
      <c r="V54" s="326">
        <f>'12CH_GOC'!V53</f>
        <v>0</v>
      </c>
      <c r="W54" s="326">
        <f>'12CH_GOC'!W53</f>
        <v>0</v>
      </c>
      <c r="X54" s="326">
        <f>'12CH_GOC'!Y53</f>
        <v>0</v>
      </c>
      <c r="Y54" s="326">
        <f>'12CH_GOC'!Z53</f>
        <v>7.0000000000000007E-2</v>
      </c>
      <c r="Z54" s="326">
        <f>'12CH_GOC'!AA53</f>
        <v>0</v>
      </c>
      <c r="AA54" s="326">
        <f>'12CH_GOC'!AB53</f>
        <v>0</v>
      </c>
      <c r="AB54" s="326">
        <f t="shared" ref="AB54:AB60" si="8">SUM(AC54:AU54)</f>
        <v>1.22</v>
      </c>
      <c r="AC54" s="326">
        <f>'12CH_GOC'!AE53</f>
        <v>9.9999999999999992E-2</v>
      </c>
      <c r="AD54" s="326">
        <f>'12CH_GOC'!AF53</f>
        <v>0</v>
      </c>
      <c r="AE54" s="326">
        <f>'12CH_GOC'!AG53</f>
        <v>0.37</v>
      </c>
      <c r="AF54" s="326">
        <f>'12CH_GOC'!AH53</f>
        <v>0</v>
      </c>
      <c r="AG54" s="326">
        <f>'12CH_GOC'!AI53</f>
        <v>0.4</v>
      </c>
      <c r="AH54" s="326">
        <f>'12CH_GOC'!AJ53</f>
        <v>0.16</v>
      </c>
      <c r="AI54" s="326">
        <f>'12CH_GOC'!AK53</f>
        <v>0</v>
      </c>
      <c r="AJ54" s="326">
        <f>'12CH_GOC'!AL53</f>
        <v>0.01</v>
      </c>
      <c r="AK54" s="326">
        <f>'12CH_GOC'!AM53</f>
        <v>0</v>
      </c>
      <c r="AL54" s="326">
        <f>'12CH_GOC'!AN53</f>
        <v>0.13</v>
      </c>
      <c r="AM54" s="326">
        <f>'12CH_GOC'!AO53</f>
        <v>0</v>
      </c>
      <c r="AN54" s="326">
        <f>'12CH_GOC'!AP53</f>
        <v>0</v>
      </c>
      <c r="AO54" s="326">
        <f>'12CH_GOC'!AQ53</f>
        <v>0</v>
      </c>
      <c r="AP54" s="326">
        <f>'12CH_GOC'!AR53</f>
        <v>0</v>
      </c>
      <c r="AQ54" s="326">
        <f>'12CH_GOC'!AS53</f>
        <v>0</v>
      </c>
      <c r="AR54" s="326">
        <f>'12CH_GOC'!AT53</f>
        <v>0</v>
      </c>
      <c r="AS54" s="326">
        <f>'12CH_GOC'!AU53</f>
        <v>0</v>
      </c>
      <c r="AT54" s="326">
        <f>'12CH_GOC'!AV53</f>
        <v>0.05</v>
      </c>
      <c r="AU54" s="326">
        <f>'12CH_GOC'!AW53</f>
        <v>0</v>
      </c>
      <c r="AV54" s="326">
        <f>'12CH_GOC'!AX53</f>
        <v>0.13</v>
      </c>
      <c r="AW54" s="326">
        <f>'12CH_GOC'!AY53</f>
        <v>0</v>
      </c>
      <c r="AX54" s="326">
        <f>'12CH_GOC'!AZ53</f>
        <v>14.020000000000003</v>
      </c>
      <c r="AY54" s="761">
        <f>'12CH_GOC'!BA53</f>
        <v>0</v>
      </c>
      <c r="AZ54" s="326">
        <f>'12CH_GOC'!BB53</f>
        <v>0</v>
      </c>
      <c r="BA54" s="326">
        <f>'12CH_GOC'!BC53</f>
        <v>0</v>
      </c>
      <c r="BB54" s="326">
        <f>'12CH_GOC'!BD53</f>
        <v>0</v>
      </c>
      <c r="BC54" s="326">
        <f>'12CH_GOC'!BE53</f>
        <v>0</v>
      </c>
      <c r="BD54" s="326">
        <f>'12CH_GOC'!BF53</f>
        <v>0</v>
      </c>
      <c r="BE54" s="326">
        <f>'12CH_GOC'!BG53</f>
        <v>0</v>
      </c>
      <c r="BF54" s="326">
        <f>'12CH_GOC'!BH53</f>
        <v>0</v>
      </c>
      <c r="BG54" s="326">
        <f>'12CH_GOC'!BI53</f>
        <v>0</v>
      </c>
      <c r="BH54" s="326">
        <f>'12CH_GOC'!BJ53</f>
        <v>1.4200000000000002</v>
      </c>
      <c r="BI54" s="326">
        <f>'12CH_GOC'!BK53</f>
        <v>9.0300000000000011</v>
      </c>
      <c r="BJ54" s="326">
        <f>'12CH_GOC'!BM53</f>
        <v>24.470000000000006</v>
      </c>
    </row>
    <row r="55" spans="1:62" s="743" customFormat="1" ht="27" hidden="1" customHeight="1">
      <c r="A55" s="313" t="s">
        <v>100</v>
      </c>
      <c r="B55" s="1" t="s">
        <v>109</v>
      </c>
      <c r="C55" s="2" t="s">
        <v>110</v>
      </c>
      <c r="D55" s="326"/>
      <c r="E55" s="326"/>
      <c r="F55" s="326"/>
      <c r="G55" s="326"/>
      <c r="H55" s="326"/>
      <c r="I55" s="326"/>
      <c r="J55" s="326"/>
      <c r="K55" s="326"/>
      <c r="L55" s="326"/>
      <c r="M55" s="326"/>
      <c r="N55" s="326"/>
      <c r="O55" s="326"/>
      <c r="P55" s="326"/>
      <c r="Q55" s="326"/>
      <c r="R55" s="326"/>
      <c r="S55" s="326"/>
      <c r="T55" s="326"/>
      <c r="U55" s="326">
        <f t="shared" ref="U55:U57" si="9">SUM(V55:AB55)+SUM(AX55:BF55)</f>
        <v>0</v>
      </c>
      <c r="V55" s="326"/>
      <c r="W55" s="326"/>
      <c r="X55" s="326"/>
      <c r="Y55" s="326"/>
      <c r="Z55" s="326"/>
      <c r="AA55" s="326"/>
      <c r="AB55" s="326">
        <f t="shared" si="8"/>
        <v>0</v>
      </c>
      <c r="AC55" s="326"/>
      <c r="AD55" s="326"/>
      <c r="AE55" s="326"/>
      <c r="AF55" s="326"/>
      <c r="AG55" s="326"/>
      <c r="AH55" s="326"/>
      <c r="AI55" s="326"/>
      <c r="AJ55" s="326"/>
      <c r="AK55" s="326"/>
      <c r="AL55" s="326"/>
      <c r="AM55" s="326"/>
      <c r="AN55" s="326"/>
      <c r="AO55" s="326"/>
      <c r="AP55" s="326"/>
      <c r="AQ55" s="326"/>
      <c r="AR55" s="326"/>
      <c r="AS55" s="326"/>
      <c r="AT55" s="326"/>
      <c r="AU55" s="326"/>
      <c r="AV55" s="326"/>
      <c r="AW55" s="326"/>
      <c r="AX55" s="326"/>
      <c r="AY55" s="326"/>
      <c r="AZ55" s="326"/>
      <c r="BA55" s="326"/>
      <c r="BB55" s="326"/>
      <c r="BC55" s="326"/>
      <c r="BD55" s="326"/>
      <c r="BE55" s="326"/>
      <c r="BF55" s="326"/>
      <c r="BG55" s="326"/>
      <c r="BH55" s="326"/>
      <c r="BI55" s="326"/>
      <c r="BJ55" s="326">
        <f>'12CH_GOC'!BM55</f>
        <v>0</v>
      </c>
    </row>
    <row r="56" spans="1:62" s="743" customFormat="1" ht="30" hidden="1" customHeight="1">
      <c r="A56" s="313" t="s">
        <v>101</v>
      </c>
      <c r="B56" s="336" t="s">
        <v>133</v>
      </c>
      <c r="C56" s="2" t="s">
        <v>137</v>
      </c>
      <c r="D56" s="326"/>
      <c r="E56" s="326"/>
      <c r="F56" s="326"/>
      <c r="G56" s="326"/>
      <c r="H56" s="326"/>
      <c r="I56" s="326"/>
      <c r="J56" s="326"/>
      <c r="K56" s="326"/>
      <c r="L56" s="326"/>
      <c r="M56" s="326"/>
      <c r="N56" s="326"/>
      <c r="O56" s="326"/>
      <c r="P56" s="326"/>
      <c r="Q56" s="326"/>
      <c r="R56" s="326"/>
      <c r="S56" s="326"/>
      <c r="T56" s="326"/>
      <c r="U56" s="326">
        <f t="shared" si="9"/>
        <v>0</v>
      </c>
      <c r="V56" s="326"/>
      <c r="W56" s="326"/>
      <c r="X56" s="326"/>
      <c r="Y56" s="326"/>
      <c r="Z56" s="326"/>
      <c r="AA56" s="326"/>
      <c r="AB56" s="326">
        <f t="shared" si="8"/>
        <v>0</v>
      </c>
      <c r="AC56" s="326"/>
      <c r="AD56" s="326"/>
      <c r="AE56" s="326"/>
      <c r="AF56" s="326"/>
      <c r="AG56" s="326"/>
      <c r="AH56" s="326"/>
      <c r="AI56" s="326"/>
      <c r="AJ56" s="326"/>
      <c r="AK56" s="326"/>
      <c r="AL56" s="326"/>
      <c r="AM56" s="326"/>
      <c r="AN56" s="326"/>
      <c r="AO56" s="326"/>
      <c r="AP56" s="326"/>
      <c r="AQ56" s="326"/>
      <c r="AR56" s="326"/>
      <c r="AS56" s="326"/>
      <c r="AT56" s="326"/>
      <c r="AU56" s="326"/>
      <c r="AV56" s="326"/>
      <c r="AW56" s="326"/>
      <c r="AX56" s="326"/>
      <c r="AY56" s="326"/>
      <c r="AZ56" s="326"/>
      <c r="BA56" s="326"/>
      <c r="BB56" s="326"/>
      <c r="BC56" s="326"/>
      <c r="BD56" s="326"/>
      <c r="BE56" s="326"/>
      <c r="BF56" s="326"/>
      <c r="BG56" s="326"/>
      <c r="BH56" s="326"/>
      <c r="BI56" s="326"/>
      <c r="BJ56" s="326">
        <f>'12CH_GOC'!BM56</f>
        <v>0.02</v>
      </c>
    </row>
    <row r="57" spans="1:62" s="743" customFormat="1" ht="27" hidden="1" customHeight="1">
      <c r="A57" s="313" t="s">
        <v>102</v>
      </c>
      <c r="B57" s="336" t="s">
        <v>136</v>
      </c>
      <c r="C57" s="2" t="s">
        <v>138</v>
      </c>
      <c r="D57" s="326"/>
      <c r="E57" s="326"/>
      <c r="F57" s="326"/>
      <c r="G57" s="326"/>
      <c r="H57" s="326"/>
      <c r="I57" s="326"/>
      <c r="J57" s="326"/>
      <c r="K57" s="326"/>
      <c r="L57" s="326"/>
      <c r="M57" s="326"/>
      <c r="N57" s="326"/>
      <c r="O57" s="326"/>
      <c r="P57" s="326"/>
      <c r="Q57" s="326"/>
      <c r="R57" s="326"/>
      <c r="S57" s="326"/>
      <c r="T57" s="326"/>
      <c r="U57" s="326">
        <f t="shared" si="9"/>
        <v>0</v>
      </c>
      <c r="V57" s="326"/>
      <c r="W57" s="326"/>
      <c r="X57" s="326"/>
      <c r="Y57" s="326"/>
      <c r="Z57" s="326"/>
      <c r="AA57" s="326"/>
      <c r="AB57" s="326">
        <f t="shared" si="8"/>
        <v>0</v>
      </c>
      <c r="AC57" s="326"/>
      <c r="AD57" s="326"/>
      <c r="AE57" s="326"/>
      <c r="AF57" s="326"/>
      <c r="AG57" s="326"/>
      <c r="AH57" s="326"/>
      <c r="AI57" s="326"/>
      <c r="AJ57" s="326"/>
      <c r="AK57" s="326"/>
      <c r="AL57" s="326"/>
      <c r="AM57" s="326"/>
      <c r="AN57" s="326"/>
      <c r="AO57" s="326"/>
      <c r="AP57" s="326"/>
      <c r="AQ57" s="326"/>
      <c r="AR57" s="326"/>
      <c r="AS57" s="326"/>
      <c r="AT57" s="326"/>
      <c r="AU57" s="326"/>
      <c r="AV57" s="326"/>
      <c r="AW57" s="326"/>
      <c r="AX57" s="326"/>
      <c r="AY57" s="326"/>
      <c r="AZ57" s="326"/>
      <c r="BA57" s="326"/>
      <c r="BB57" s="326"/>
      <c r="BC57" s="326"/>
      <c r="BD57" s="326"/>
      <c r="BE57" s="326"/>
      <c r="BF57" s="326"/>
      <c r="BG57" s="326"/>
      <c r="BH57" s="326"/>
      <c r="BI57" s="326"/>
      <c r="BJ57" s="326">
        <f>'12CH_GOC'!BM57</f>
        <v>0</v>
      </c>
    </row>
    <row r="58" spans="1:62" s="743" customFormat="1" ht="25.5" customHeight="1">
      <c r="A58" s="313" t="s">
        <v>75</v>
      </c>
      <c r="B58" s="279" t="s">
        <v>2777</v>
      </c>
      <c r="C58" s="2" t="s">
        <v>39</v>
      </c>
      <c r="D58" s="326">
        <f>'12CH_GOC'!D58</f>
        <v>23.46</v>
      </c>
      <c r="E58" s="326">
        <f>'12CH_GOC'!E58</f>
        <v>0</v>
      </c>
      <c r="F58" s="326">
        <f>'12CH_GOC'!F58</f>
        <v>0</v>
      </c>
      <c r="G58" s="326">
        <f>'12CH_GOC'!G58</f>
        <v>0</v>
      </c>
      <c r="H58" s="326">
        <f>'12CH_GOC'!H58</f>
        <v>0</v>
      </c>
      <c r="I58" s="326">
        <f>'12CH_GOC'!I58</f>
        <v>0</v>
      </c>
      <c r="J58" s="326">
        <f>'12CH_GOC'!J58</f>
        <v>0</v>
      </c>
      <c r="K58" s="326">
        <f>'12CH_GOC'!K58</f>
        <v>0</v>
      </c>
      <c r="L58" s="326">
        <f>'12CH_GOC'!L58</f>
        <v>0</v>
      </c>
      <c r="M58" s="326">
        <f>'12CH_GOC'!M58</f>
        <v>0</v>
      </c>
      <c r="N58" s="326">
        <f>'12CH_GOC'!N58</f>
        <v>0</v>
      </c>
      <c r="O58" s="326">
        <f>'12CH_GOC'!O58</f>
        <v>0</v>
      </c>
      <c r="P58" s="326">
        <f>'12CH_GOC'!P58</f>
        <v>0</v>
      </c>
      <c r="Q58" s="326">
        <f>'12CH_GOC'!Q58</f>
        <v>0</v>
      </c>
      <c r="R58" s="326">
        <f>'12CH_GOC'!R58</f>
        <v>0</v>
      </c>
      <c r="S58" s="326">
        <f>'12CH_GOC'!S58</f>
        <v>0</v>
      </c>
      <c r="T58" s="326">
        <f>'12CH_GOC'!T58</f>
        <v>0</v>
      </c>
      <c r="U58" s="326">
        <f>SUM(V58:AB58)+SUM(BD58:BF58)+SUM(AV58:AY58)</f>
        <v>1.27</v>
      </c>
      <c r="V58" s="326">
        <f>'12CH_GOC'!V58</f>
        <v>0</v>
      </c>
      <c r="W58" s="326">
        <f>'12CH_GOC'!W58</f>
        <v>0</v>
      </c>
      <c r="X58" s="326">
        <f>'12CH_GOC'!Y58</f>
        <v>0</v>
      </c>
      <c r="Y58" s="326">
        <f>'12CH_GOC'!Z58</f>
        <v>0.45999999999999996</v>
      </c>
      <c r="Z58" s="326">
        <f>'12CH_GOC'!AA58</f>
        <v>0</v>
      </c>
      <c r="AA58" s="326">
        <f>'12CH_GOC'!AB58</f>
        <v>0</v>
      </c>
      <c r="AB58" s="326">
        <f t="shared" si="8"/>
        <v>0.69000000000000006</v>
      </c>
      <c r="AC58" s="326">
        <f>'12CH_GOC'!AE58</f>
        <v>0.06</v>
      </c>
      <c r="AD58" s="326">
        <f>'12CH_GOC'!AF58</f>
        <v>0.03</v>
      </c>
      <c r="AE58" s="326">
        <f>'12CH_GOC'!AG58</f>
        <v>0.01</v>
      </c>
      <c r="AF58" s="326">
        <f>'12CH_GOC'!AH58</f>
        <v>0</v>
      </c>
      <c r="AG58" s="326">
        <f>'12CH_GOC'!AI58</f>
        <v>0</v>
      </c>
      <c r="AH58" s="326">
        <f>'12CH_GOC'!AJ58</f>
        <v>0.33</v>
      </c>
      <c r="AI58" s="326">
        <f>'12CH_GOC'!AK58</f>
        <v>0</v>
      </c>
      <c r="AJ58" s="326">
        <f>'12CH_GOC'!AL58</f>
        <v>0</v>
      </c>
      <c r="AK58" s="326">
        <f>'12CH_GOC'!AM58</f>
        <v>0</v>
      </c>
      <c r="AL58" s="326">
        <f>'12CH_GOC'!AN58</f>
        <v>0.06</v>
      </c>
      <c r="AM58" s="326">
        <f>'12CH_GOC'!AO58</f>
        <v>0</v>
      </c>
      <c r="AN58" s="326">
        <f>'12CH_GOC'!AP58</f>
        <v>0</v>
      </c>
      <c r="AO58" s="326">
        <f>'12CH_GOC'!AQ58</f>
        <v>0</v>
      </c>
      <c r="AP58" s="326">
        <f>'12CH_GOC'!AR58</f>
        <v>0</v>
      </c>
      <c r="AQ58" s="326">
        <f>'12CH_GOC'!AS58</f>
        <v>0</v>
      </c>
      <c r="AR58" s="326">
        <f>'12CH_GOC'!AT58</f>
        <v>0</v>
      </c>
      <c r="AS58" s="326">
        <f>'12CH_GOC'!AU58</f>
        <v>0</v>
      </c>
      <c r="AT58" s="326">
        <f>'12CH_GOC'!AV58</f>
        <v>0.04</v>
      </c>
      <c r="AU58" s="326">
        <f>'12CH_GOC'!AW58</f>
        <v>0.16</v>
      </c>
      <c r="AV58" s="326">
        <f>'12CH_GOC'!AX58</f>
        <v>0.12</v>
      </c>
      <c r="AW58" s="326">
        <f>'12CH_GOC'!AY58</f>
        <v>0</v>
      </c>
      <c r="AX58" s="326">
        <f>'12CH_GOC'!AZ58</f>
        <v>0</v>
      </c>
      <c r="AY58" s="326">
        <f>'12CH_GOC'!BA58</f>
        <v>0</v>
      </c>
      <c r="AZ58" s="326">
        <f>'12CH_GOC'!BB58</f>
        <v>0</v>
      </c>
      <c r="BA58" s="326">
        <f>'12CH_GOC'!BC58</f>
        <v>0</v>
      </c>
      <c r="BB58" s="326">
        <f>'12CH_GOC'!BD58</f>
        <v>0</v>
      </c>
      <c r="BC58" s="761">
        <f>'12CH_GOC'!BE58</f>
        <v>22.19</v>
      </c>
      <c r="BD58" s="326">
        <f>'12CH_GOC'!BF58</f>
        <v>0</v>
      </c>
      <c r="BE58" s="326">
        <f>'12CH_GOC'!BG58</f>
        <v>0</v>
      </c>
      <c r="BF58" s="326">
        <f>'12CH_GOC'!BH58</f>
        <v>0</v>
      </c>
      <c r="BG58" s="326">
        <f>'12CH_GOC'!BI58</f>
        <v>0</v>
      </c>
      <c r="BH58" s="326">
        <f>'12CH_GOC'!BJ58</f>
        <v>1.27</v>
      </c>
      <c r="BI58" s="326">
        <f>'12CH_GOC'!BK58</f>
        <v>0.38000000000000034</v>
      </c>
      <c r="BJ58" s="326">
        <f>'12CH_GOC'!BM58</f>
        <v>23.84</v>
      </c>
    </row>
    <row r="59" spans="1:62" s="743" customFormat="1" ht="33" customHeight="1">
      <c r="A59" s="754" t="s">
        <v>76</v>
      </c>
      <c r="B59" s="279" t="s">
        <v>2778</v>
      </c>
      <c r="C59" s="2" t="s">
        <v>42</v>
      </c>
      <c r="D59" s="326">
        <f>'12CH_GOC'!D59</f>
        <v>1376.1999999999998</v>
      </c>
      <c r="E59" s="326">
        <f>'12CH_GOC'!E59</f>
        <v>0</v>
      </c>
      <c r="F59" s="326">
        <f>'12CH_GOC'!F59</f>
        <v>0</v>
      </c>
      <c r="G59" s="326">
        <f>'12CH_GOC'!G59</f>
        <v>0</v>
      </c>
      <c r="H59" s="326">
        <f>'12CH_GOC'!H59</f>
        <v>0</v>
      </c>
      <c r="I59" s="326">
        <f>'12CH_GOC'!I59</f>
        <v>0</v>
      </c>
      <c r="J59" s="326">
        <f>'12CH_GOC'!J59</f>
        <v>0</v>
      </c>
      <c r="K59" s="326">
        <f>'12CH_GOC'!K59</f>
        <v>0</v>
      </c>
      <c r="L59" s="326">
        <f>'12CH_GOC'!L59</f>
        <v>0</v>
      </c>
      <c r="M59" s="326">
        <f>'12CH_GOC'!M59</f>
        <v>0</v>
      </c>
      <c r="N59" s="326">
        <f>'12CH_GOC'!N59</f>
        <v>0</v>
      </c>
      <c r="O59" s="326">
        <f>'12CH_GOC'!O59</f>
        <v>0</v>
      </c>
      <c r="P59" s="326">
        <f>'12CH_GOC'!P59</f>
        <v>0</v>
      </c>
      <c r="Q59" s="326">
        <f>'12CH_GOC'!Q59</f>
        <v>0</v>
      </c>
      <c r="R59" s="326">
        <f>'12CH_GOC'!R59</f>
        <v>0</v>
      </c>
      <c r="S59" s="326">
        <f>'12CH_GOC'!S59</f>
        <v>0</v>
      </c>
      <c r="T59" s="326">
        <f>'12CH_GOC'!T59</f>
        <v>0</v>
      </c>
      <c r="U59" s="326">
        <f>SUM(V59:AB59)+SUM(BE59:BF59)+SUM(AV59:BC59)</f>
        <v>38.119999999999997</v>
      </c>
      <c r="V59" s="326">
        <f>'12CH_GOC'!V59</f>
        <v>0.02</v>
      </c>
      <c r="W59" s="326">
        <f>'12CH_GOC'!W59</f>
        <v>0</v>
      </c>
      <c r="X59" s="326">
        <f>'12CH_GOC'!Y59</f>
        <v>0</v>
      </c>
      <c r="Y59" s="326">
        <f>'12CH_GOC'!Z59</f>
        <v>1.29</v>
      </c>
      <c r="Z59" s="326">
        <f>'12CH_GOC'!AA59</f>
        <v>0</v>
      </c>
      <c r="AA59" s="326">
        <f>'12CH_GOC'!AB59</f>
        <v>2.69</v>
      </c>
      <c r="AB59" s="326">
        <f>SUM(AC59:AU59)</f>
        <v>32.569999999999993</v>
      </c>
      <c r="AC59" s="326">
        <f>'12CH_GOC'!AE59</f>
        <v>4.2099999999999991</v>
      </c>
      <c r="AD59" s="326">
        <f>'12CH_GOC'!AF59</f>
        <v>0.77999999999999992</v>
      </c>
      <c r="AE59" s="326">
        <f>'12CH_GOC'!AG59</f>
        <v>0.01</v>
      </c>
      <c r="AF59" s="326">
        <f>'12CH_GOC'!AH59</f>
        <v>0.02</v>
      </c>
      <c r="AG59" s="326">
        <f>'12CH_GOC'!AI59</f>
        <v>0.01</v>
      </c>
      <c r="AH59" s="326">
        <f>'12CH_GOC'!AJ59</f>
        <v>0</v>
      </c>
      <c r="AI59" s="326">
        <f>'12CH_GOC'!AK59</f>
        <v>0.15</v>
      </c>
      <c r="AJ59" s="326">
        <f>'12CH_GOC'!AL59</f>
        <v>0</v>
      </c>
      <c r="AK59" s="326">
        <f>'12CH_GOC'!AM59</f>
        <v>0</v>
      </c>
      <c r="AL59" s="326">
        <f>'12CH_GOC'!AN59</f>
        <v>13.799999999999999</v>
      </c>
      <c r="AM59" s="326">
        <f>'12CH_GOC'!AO59</f>
        <v>0.43</v>
      </c>
      <c r="AN59" s="326">
        <f>'12CH_GOC'!AP59</f>
        <v>0</v>
      </c>
      <c r="AO59" s="326">
        <f>'12CH_GOC'!AQ59</f>
        <v>0</v>
      </c>
      <c r="AP59" s="326">
        <f>'12CH_GOC'!AR59</f>
        <v>0</v>
      </c>
      <c r="AQ59" s="326">
        <f>'12CH_GOC'!AS59</f>
        <v>0</v>
      </c>
      <c r="AR59" s="326">
        <f>'12CH_GOC'!AT59</f>
        <v>0.27</v>
      </c>
      <c r="AS59" s="326">
        <f>'12CH_GOC'!AU59</f>
        <v>0.03</v>
      </c>
      <c r="AT59" s="326">
        <f>'12CH_GOC'!AV59</f>
        <v>12.2</v>
      </c>
      <c r="AU59" s="326">
        <f>'12CH_GOC'!AW59</f>
        <v>0.65999999999999992</v>
      </c>
      <c r="AV59" s="326">
        <f>'12CH_GOC'!AX59</f>
        <v>0.11</v>
      </c>
      <c r="AW59" s="326">
        <f>'12CH_GOC'!AY59</f>
        <v>0.32</v>
      </c>
      <c r="AX59" s="326">
        <f>'12CH_GOC'!AZ59</f>
        <v>0</v>
      </c>
      <c r="AY59" s="326">
        <f>'12CH_GOC'!BA59</f>
        <v>0</v>
      </c>
      <c r="AZ59" s="326">
        <f>'12CH_GOC'!BB59</f>
        <v>0</v>
      </c>
      <c r="BA59" s="326">
        <f>'12CH_GOC'!BC59</f>
        <v>0</v>
      </c>
      <c r="BB59" s="326">
        <f>'12CH_GOC'!BD59</f>
        <v>0</v>
      </c>
      <c r="BC59" s="326">
        <f>'12CH_GOC'!BE59</f>
        <v>0.03</v>
      </c>
      <c r="BD59" s="761">
        <f>'12CH_GOC'!BF59</f>
        <v>1338.08</v>
      </c>
      <c r="BE59" s="326">
        <f>'12CH_GOC'!BG59</f>
        <v>1.0899999999999999</v>
      </c>
      <c r="BF59" s="326">
        <f>'12CH_GOC'!BH59</f>
        <v>0</v>
      </c>
      <c r="BG59" s="326">
        <f>'12CH_GOC'!BI59</f>
        <v>0</v>
      </c>
      <c r="BH59" s="326">
        <f>'12CH_GOC'!BJ59</f>
        <v>38.11999999999999</v>
      </c>
      <c r="BI59" s="326">
        <f>'12CH_GOC'!BK59</f>
        <v>9.3900000000000219</v>
      </c>
      <c r="BJ59" s="326">
        <f>'12CH_GOC'!BM59</f>
        <v>1385.59</v>
      </c>
    </row>
    <row r="60" spans="1:62" s="743" customFormat="1" ht="33" customHeight="1">
      <c r="A60" s="754" t="s">
        <v>82</v>
      </c>
      <c r="B60" s="279" t="s">
        <v>2779</v>
      </c>
      <c r="C60" s="2" t="s">
        <v>41</v>
      </c>
      <c r="D60" s="326">
        <f>'12CH_GOC'!D60</f>
        <v>965.68999999999983</v>
      </c>
      <c r="E60" s="326">
        <f>'12CH_GOC'!E60</f>
        <v>0</v>
      </c>
      <c r="F60" s="326">
        <f>'12CH_GOC'!F60</f>
        <v>0</v>
      </c>
      <c r="G60" s="326">
        <f>'12CH_GOC'!G60</f>
        <v>0</v>
      </c>
      <c r="H60" s="326">
        <f>'12CH_GOC'!H60</f>
        <v>0</v>
      </c>
      <c r="I60" s="326">
        <f>'12CH_GOC'!I60</f>
        <v>0</v>
      </c>
      <c r="J60" s="326">
        <f>'12CH_GOC'!J60</f>
        <v>0</v>
      </c>
      <c r="K60" s="326">
        <f>'12CH_GOC'!K60</f>
        <v>0</v>
      </c>
      <c r="L60" s="326">
        <f>'12CH_GOC'!L60</f>
        <v>0</v>
      </c>
      <c r="M60" s="326">
        <f>'12CH_GOC'!M60</f>
        <v>0</v>
      </c>
      <c r="N60" s="326">
        <f>'12CH_GOC'!N60</f>
        <v>0</v>
      </c>
      <c r="O60" s="326">
        <f>'12CH_GOC'!O60</f>
        <v>0</v>
      </c>
      <c r="P60" s="326">
        <f>'12CH_GOC'!P60</f>
        <v>0</v>
      </c>
      <c r="Q60" s="326">
        <f>'12CH_GOC'!Q60</f>
        <v>0</v>
      </c>
      <c r="R60" s="326">
        <f>'12CH_GOC'!R60</f>
        <v>0</v>
      </c>
      <c r="S60" s="326">
        <f>'12CH_GOC'!S60</f>
        <v>0</v>
      </c>
      <c r="T60" s="326">
        <f>'12CH_GOC'!T60</f>
        <v>0</v>
      </c>
      <c r="U60" s="326">
        <f>SUM(V60:AB60)+SUM(BF60)+SUM(AV60:BD60)</f>
        <v>0.08</v>
      </c>
      <c r="V60" s="326">
        <f>'12CH_GOC'!V60</f>
        <v>0</v>
      </c>
      <c r="W60" s="326">
        <f>'12CH_GOC'!W60</f>
        <v>0</v>
      </c>
      <c r="X60" s="326">
        <f>'12CH_GOC'!Y60</f>
        <v>0</v>
      </c>
      <c r="Y60" s="326">
        <f>'12CH_GOC'!Z60</f>
        <v>0</v>
      </c>
      <c r="Z60" s="326">
        <f>'12CH_GOC'!AA60</f>
        <v>0</v>
      </c>
      <c r="AA60" s="326">
        <f>'12CH_GOC'!AB60</f>
        <v>0</v>
      </c>
      <c r="AB60" s="326">
        <f t="shared" si="8"/>
        <v>0.08</v>
      </c>
      <c r="AC60" s="326">
        <f>'12CH_GOC'!AE60</f>
        <v>0</v>
      </c>
      <c r="AD60" s="326">
        <f>'12CH_GOC'!AF60</f>
        <v>0</v>
      </c>
      <c r="AE60" s="326">
        <f>'12CH_GOC'!AG60</f>
        <v>0</v>
      </c>
      <c r="AF60" s="326">
        <f>'12CH_GOC'!AH60</f>
        <v>0</v>
      </c>
      <c r="AG60" s="326">
        <f>'12CH_GOC'!AI60</f>
        <v>0</v>
      </c>
      <c r="AH60" s="326">
        <f>'12CH_GOC'!AJ60</f>
        <v>0</v>
      </c>
      <c r="AI60" s="326">
        <f>'12CH_GOC'!AK60</f>
        <v>0</v>
      </c>
      <c r="AJ60" s="326">
        <f>'12CH_GOC'!AL60</f>
        <v>0</v>
      </c>
      <c r="AK60" s="326">
        <f>'12CH_GOC'!AM60</f>
        <v>0</v>
      </c>
      <c r="AL60" s="326">
        <f>'12CH_GOC'!AN60</f>
        <v>0</v>
      </c>
      <c r="AM60" s="326">
        <f>'12CH_GOC'!AO60</f>
        <v>0</v>
      </c>
      <c r="AN60" s="326">
        <f>'12CH_GOC'!AP60</f>
        <v>0</v>
      </c>
      <c r="AO60" s="326">
        <f>'12CH_GOC'!AQ60</f>
        <v>0</v>
      </c>
      <c r="AP60" s="326">
        <f>'12CH_GOC'!AR60</f>
        <v>0</v>
      </c>
      <c r="AQ60" s="326">
        <f>'12CH_GOC'!AS60</f>
        <v>0</v>
      </c>
      <c r="AR60" s="326">
        <f>'12CH_GOC'!AT60</f>
        <v>0</v>
      </c>
      <c r="AS60" s="326">
        <f>'12CH_GOC'!AU60</f>
        <v>0</v>
      </c>
      <c r="AT60" s="326">
        <f>'12CH_GOC'!AV60</f>
        <v>0</v>
      </c>
      <c r="AU60" s="326">
        <f>'12CH_GOC'!AW60</f>
        <v>0.08</v>
      </c>
      <c r="AV60" s="326">
        <f>'12CH_GOC'!AX60</f>
        <v>0</v>
      </c>
      <c r="AW60" s="326">
        <f>'12CH_GOC'!AY60</f>
        <v>0</v>
      </c>
      <c r="AX60" s="326">
        <f>'12CH_GOC'!AZ60</f>
        <v>0</v>
      </c>
      <c r="AY60" s="326">
        <f>'12CH_GOC'!BA60</f>
        <v>0</v>
      </c>
      <c r="AZ60" s="326">
        <f>'12CH_GOC'!BB60</f>
        <v>0</v>
      </c>
      <c r="BA60" s="326">
        <f>'12CH_GOC'!BC60</f>
        <v>0</v>
      </c>
      <c r="BB60" s="326">
        <f>'12CH_GOC'!BD60</f>
        <v>0</v>
      </c>
      <c r="BC60" s="326">
        <f>'12CH_GOC'!BE60</f>
        <v>0</v>
      </c>
      <c r="BD60" s="326">
        <f>'12CH_GOC'!BF60</f>
        <v>0</v>
      </c>
      <c r="BE60" s="761">
        <f>'12CH_GOC'!BG60</f>
        <v>965.60999999999979</v>
      </c>
      <c r="BF60" s="326">
        <f>'12CH_GOC'!BH60</f>
        <v>0</v>
      </c>
      <c r="BG60" s="326">
        <f>'12CH_GOC'!BI60</f>
        <v>0</v>
      </c>
      <c r="BH60" s="326">
        <f>'12CH_GOC'!BJ60</f>
        <v>0.08</v>
      </c>
      <c r="BI60" s="326">
        <f>'12CH_GOC'!BK60</f>
        <v>2.23</v>
      </c>
      <c r="BJ60" s="326">
        <f>'12CH_GOC'!BM60</f>
        <v>967.91999999999985</v>
      </c>
    </row>
    <row r="61" spans="1:62" s="743" customFormat="1" ht="25.5" customHeight="1">
      <c r="A61" s="313" t="s">
        <v>83</v>
      </c>
      <c r="B61" s="314" t="s">
        <v>116</v>
      </c>
      <c r="C61" s="313" t="s">
        <v>55</v>
      </c>
      <c r="D61" s="326">
        <f>'12CH_GOC'!D61</f>
        <v>1.51</v>
      </c>
      <c r="E61" s="326">
        <f>'12CH_GOC'!E61</f>
        <v>0</v>
      </c>
      <c r="F61" s="326">
        <f>'12CH_GOC'!F61</f>
        <v>0</v>
      </c>
      <c r="G61" s="326">
        <f>'12CH_GOC'!G61</f>
        <v>0</v>
      </c>
      <c r="H61" s="326">
        <f>'12CH_GOC'!H61</f>
        <v>0</v>
      </c>
      <c r="I61" s="326">
        <f>'12CH_GOC'!I61</f>
        <v>0</v>
      </c>
      <c r="J61" s="326">
        <f>'12CH_GOC'!J61</f>
        <v>0</v>
      </c>
      <c r="K61" s="326">
        <f>'12CH_GOC'!K61</f>
        <v>0</v>
      </c>
      <c r="L61" s="326">
        <f>'12CH_GOC'!L61</f>
        <v>0</v>
      </c>
      <c r="M61" s="326">
        <f>'12CH_GOC'!M61</f>
        <v>0</v>
      </c>
      <c r="N61" s="326">
        <f>'12CH_GOC'!N61</f>
        <v>0</v>
      </c>
      <c r="O61" s="326">
        <f>'12CH_GOC'!O61</f>
        <v>0</v>
      </c>
      <c r="P61" s="326">
        <f>'12CH_GOC'!P61</f>
        <v>0</v>
      </c>
      <c r="Q61" s="326">
        <f>'12CH_GOC'!Q61</f>
        <v>0</v>
      </c>
      <c r="R61" s="326">
        <f>'12CH_GOC'!R61</f>
        <v>0</v>
      </c>
      <c r="S61" s="326">
        <f>'12CH_GOC'!S61</f>
        <v>0</v>
      </c>
      <c r="T61" s="326">
        <f>'12CH_GOC'!T61</f>
        <v>0</v>
      </c>
      <c r="U61" s="326">
        <f>SUM(V61:AB61)+SUM(AV61:BE61)</f>
        <v>0</v>
      </c>
      <c r="V61" s="326">
        <f>'12CH_GOC'!V61</f>
        <v>0</v>
      </c>
      <c r="W61" s="326">
        <f>'12CH_GOC'!W61</f>
        <v>0</v>
      </c>
      <c r="X61" s="326">
        <f>'12CH_GOC'!Y61</f>
        <v>0</v>
      </c>
      <c r="Y61" s="326">
        <f>'12CH_GOC'!Z61</f>
        <v>0</v>
      </c>
      <c r="Z61" s="326">
        <f>'12CH_GOC'!AA61</f>
        <v>0</v>
      </c>
      <c r="AA61" s="326">
        <f>'12CH_GOC'!AB61</f>
        <v>0</v>
      </c>
      <c r="AB61" s="326">
        <f t="shared" ref="AB61" si="10">SUM(AC61:AV61)</f>
        <v>0</v>
      </c>
      <c r="AC61" s="326">
        <f>'12CH_GOC'!AE61</f>
        <v>0</v>
      </c>
      <c r="AD61" s="326">
        <f>'12CH_GOC'!AF61</f>
        <v>0</v>
      </c>
      <c r="AE61" s="326">
        <f>'12CH_GOC'!AG61</f>
        <v>0</v>
      </c>
      <c r="AF61" s="326">
        <f>'12CH_GOC'!AH61</f>
        <v>0</v>
      </c>
      <c r="AG61" s="326">
        <f>'12CH_GOC'!AI61</f>
        <v>0</v>
      </c>
      <c r="AH61" s="326">
        <f>'12CH_GOC'!AJ61</f>
        <v>0</v>
      </c>
      <c r="AI61" s="326">
        <f>'12CH_GOC'!AK61</f>
        <v>0</v>
      </c>
      <c r="AJ61" s="326">
        <f>'12CH_GOC'!AL61</f>
        <v>0</v>
      </c>
      <c r="AK61" s="326">
        <f>'12CH_GOC'!AM61</f>
        <v>0</v>
      </c>
      <c r="AL61" s="326">
        <f>'12CH_GOC'!AN61</f>
        <v>0</v>
      </c>
      <c r="AM61" s="326">
        <f>'12CH_GOC'!AO61</f>
        <v>0</v>
      </c>
      <c r="AN61" s="326">
        <f>'12CH_GOC'!AP61</f>
        <v>0</v>
      </c>
      <c r="AO61" s="326">
        <f>'12CH_GOC'!AQ61</f>
        <v>0</v>
      </c>
      <c r="AP61" s="326">
        <f>'12CH_GOC'!AR61</f>
        <v>0</v>
      </c>
      <c r="AQ61" s="326">
        <f>'12CH_GOC'!AS61</f>
        <v>0</v>
      </c>
      <c r="AR61" s="326">
        <f>'12CH_GOC'!AT61</f>
        <v>0</v>
      </c>
      <c r="AS61" s="326">
        <f>'12CH_GOC'!AU61</f>
        <v>0</v>
      </c>
      <c r="AT61" s="326">
        <f>'12CH_GOC'!AV61</f>
        <v>0</v>
      </c>
      <c r="AU61" s="326">
        <f>'12CH_GOC'!AW61</f>
        <v>0</v>
      </c>
      <c r="AV61" s="326">
        <f>'12CH_GOC'!AX61</f>
        <v>0</v>
      </c>
      <c r="AW61" s="326">
        <f>'12CH_GOC'!AY61</f>
        <v>0</v>
      </c>
      <c r="AX61" s="326">
        <f>'12CH_GOC'!AZ61</f>
        <v>0</v>
      </c>
      <c r="AY61" s="326">
        <f>'12CH_GOC'!BA61</f>
        <v>0</v>
      </c>
      <c r="AZ61" s="326">
        <f>'12CH_GOC'!BB61</f>
        <v>0</v>
      </c>
      <c r="BA61" s="326">
        <f>'12CH_GOC'!BC61</f>
        <v>0</v>
      </c>
      <c r="BB61" s="326">
        <f>'12CH_GOC'!BD61</f>
        <v>0</v>
      </c>
      <c r="BC61" s="326">
        <f>'12CH_GOC'!BE61</f>
        <v>0</v>
      </c>
      <c r="BD61" s="326">
        <f>'12CH_GOC'!BF61</f>
        <v>0</v>
      </c>
      <c r="BE61" s="326">
        <f>'12CH_GOC'!BG61</f>
        <v>0</v>
      </c>
      <c r="BF61" s="761">
        <f>'12CH_GOC'!BH61</f>
        <v>1.51</v>
      </c>
      <c r="BG61" s="326">
        <f>'12CH_GOC'!BI61</f>
        <v>0</v>
      </c>
      <c r="BH61" s="326">
        <f>'12CH_GOC'!BJ61</f>
        <v>0</v>
      </c>
      <c r="BI61" s="326">
        <f>'12CH_GOC'!BK61</f>
        <v>12.489999999999998</v>
      </c>
      <c r="BJ61" s="326">
        <f>'12CH_GOC'!BM61</f>
        <v>13.999999999999998</v>
      </c>
    </row>
    <row r="62" spans="1:62" s="743" customFormat="1" ht="28.5" customHeight="1">
      <c r="A62" s="742">
        <v>3</v>
      </c>
      <c r="B62" s="755" t="s">
        <v>56</v>
      </c>
      <c r="C62" s="742" t="s">
        <v>81</v>
      </c>
      <c r="D62" s="325">
        <f>'12CH_GOC'!D62</f>
        <v>1509.92</v>
      </c>
      <c r="E62" s="325">
        <f>'12CH_GOC'!E62</f>
        <v>99.08</v>
      </c>
      <c r="F62" s="325">
        <f>'12CH_GOC'!F62</f>
        <v>0</v>
      </c>
      <c r="G62" s="325">
        <f>'12CH_GOC'!G62</f>
        <v>0</v>
      </c>
      <c r="H62" s="325">
        <f>'12CH_GOC'!H62</f>
        <v>0</v>
      </c>
      <c r="I62" s="325">
        <f>'12CH_GOC'!I62</f>
        <v>0</v>
      </c>
      <c r="J62" s="325">
        <f>'12CH_GOC'!J62</f>
        <v>0.28000000000000003</v>
      </c>
      <c r="K62" s="325">
        <f>'12CH_GOC'!K62</f>
        <v>0</v>
      </c>
      <c r="L62" s="325">
        <f>'12CH_GOC'!L62</f>
        <v>0</v>
      </c>
      <c r="M62" s="325">
        <f>'12CH_GOC'!M62</f>
        <v>0</v>
      </c>
      <c r="N62" s="325">
        <f>'12CH_GOC'!N62</f>
        <v>95.21</v>
      </c>
      <c r="O62" s="325">
        <f>'12CH_GOC'!O62</f>
        <v>0</v>
      </c>
      <c r="P62" s="325">
        <f>'12CH_GOC'!P62</f>
        <v>95.21</v>
      </c>
      <c r="Q62" s="325">
        <f>'12CH_GOC'!Q62</f>
        <v>0</v>
      </c>
      <c r="R62" s="325">
        <f>'12CH_GOC'!R62</f>
        <v>0</v>
      </c>
      <c r="S62" s="325">
        <f>'12CH_GOC'!S62</f>
        <v>0</v>
      </c>
      <c r="T62" s="325">
        <f>'12CH_GOC'!T62</f>
        <v>3.59</v>
      </c>
      <c r="U62" s="325">
        <f>'12CH_GOC'!U62</f>
        <v>38.540000000000006</v>
      </c>
      <c r="V62" s="325">
        <f>'12CH_GOC'!V62</f>
        <v>0.72</v>
      </c>
      <c r="W62" s="325">
        <f>'12CH_GOC'!W62</f>
        <v>0.01</v>
      </c>
      <c r="X62" s="325">
        <f>'12CH_GOC'!Y62</f>
        <v>3.17</v>
      </c>
      <c r="Y62" s="325">
        <f>'12CH_GOC'!Z62</f>
        <v>0.94000000000000006</v>
      </c>
      <c r="Z62" s="325">
        <f>'12CH_GOC'!AA62</f>
        <v>0.95</v>
      </c>
      <c r="AA62" s="325">
        <f>'12CH_GOC'!AB62</f>
        <v>5.8800000000000008</v>
      </c>
      <c r="AB62" s="325">
        <f>SUM(AC62:AU62)</f>
        <v>23.330000000000002</v>
      </c>
      <c r="AC62" s="325">
        <f>'12CH_GOC'!AE62</f>
        <v>7.0000000000000009</v>
      </c>
      <c r="AD62" s="325">
        <f>'12CH_GOC'!AF62</f>
        <v>1.03</v>
      </c>
      <c r="AE62" s="325">
        <f>'12CH_GOC'!AG62</f>
        <v>0.42999999999999994</v>
      </c>
      <c r="AF62" s="325">
        <f>'12CH_GOC'!AH62</f>
        <v>0</v>
      </c>
      <c r="AG62" s="325">
        <f>'12CH_GOC'!AI62</f>
        <v>0.33</v>
      </c>
      <c r="AH62" s="325">
        <f>'12CH_GOC'!AJ62</f>
        <v>0.47</v>
      </c>
      <c r="AI62" s="325">
        <f>'12CH_GOC'!AK62</f>
        <v>3.6400000000000006</v>
      </c>
      <c r="AJ62" s="325">
        <f>'12CH_GOC'!AL62</f>
        <v>7.0000000000000007E-2</v>
      </c>
      <c r="AK62" s="325">
        <f>'12CH_GOC'!AM62</f>
        <v>0</v>
      </c>
      <c r="AL62" s="325">
        <f>'12CH_GOC'!AN62</f>
        <v>5.29</v>
      </c>
      <c r="AM62" s="325">
        <f>'12CH_GOC'!AO62</f>
        <v>3.1599999999999997</v>
      </c>
      <c r="AN62" s="325">
        <f>'12CH_GOC'!AP62</f>
        <v>0</v>
      </c>
      <c r="AO62" s="325">
        <f>'12CH_GOC'!AQ62</f>
        <v>0</v>
      </c>
      <c r="AP62" s="325">
        <f>'12CH_GOC'!AR62</f>
        <v>0</v>
      </c>
      <c r="AQ62" s="325">
        <f>'12CH_GOC'!AS62</f>
        <v>0.02</v>
      </c>
      <c r="AR62" s="325">
        <f>'12CH_GOC'!AT62</f>
        <v>0.37</v>
      </c>
      <c r="AS62" s="325">
        <f>'12CH_GOC'!AU62</f>
        <v>0.01</v>
      </c>
      <c r="AT62" s="325">
        <f>'12CH_GOC'!AV62</f>
        <v>0.28999999999999998</v>
      </c>
      <c r="AU62" s="325">
        <f>'12CH_GOC'!AW62</f>
        <v>1.2200000000000002</v>
      </c>
      <c r="AV62" s="325">
        <f>'12CH_GOC'!AX62</f>
        <v>0.64</v>
      </c>
      <c r="AW62" s="325">
        <f>'12CH_GOC'!AY62</f>
        <v>0.47000000000000003</v>
      </c>
      <c r="AX62" s="325">
        <f>'12CH_GOC'!AZ62</f>
        <v>0.13</v>
      </c>
      <c r="AY62" s="325">
        <f>'12CH_GOC'!BA62</f>
        <v>0</v>
      </c>
      <c r="AZ62" s="325">
        <f>'12CH_GOC'!BB62</f>
        <v>0</v>
      </c>
      <c r="BA62" s="325">
        <f>'12CH_GOC'!BC62</f>
        <v>0</v>
      </c>
      <c r="BB62" s="325">
        <f>'12CH_GOC'!BD62</f>
        <v>0</v>
      </c>
      <c r="BC62" s="325">
        <f>'12CH_GOC'!BE62</f>
        <v>0.03</v>
      </c>
      <c r="BD62" s="325">
        <f>'12CH_GOC'!BF62</f>
        <v>0.78</v>
      </c>
      <c r="BE62" s="325">
        <f>'12CH_GOC'!BG62</f>
        <v>0.01</v>
      </c>
      <c r="BF62" s="325">
        <f>'12CH_GOC'!BH62</f>
        <v>1.48</v>
      </c>
      <c r="BG62" s="760">
        <f>'12CH_GOC'!BI62</f>
        <v>1372.3000000000002</v>
      </c>
      <c r="BH62" s="325">
        <f>'12CH_GOC'!BJ62</f>
        <v>137.62</v>
      </c>
      <c r="BI62" s="325">
        <f>'12CH_GOC'!BK62</f>
        <v>-137.62</v>
      </c>
      <c r="BJ62" s="325">
        <f>'12CH_GOC'!BM62</f>
        <v>1372.3000000000002</v>
      </c>
    </row>
    <row r="63" spans="1:62" s="746" customFormat="1" ht="22.35" customHeight="1">
      <c r="A63" s="1545" t="s">
        <v>145</v>
      </c>
      <c r="B63" s="1545"/>
      <c r="C63" s="747"/>
      <c r="D63" s="325">
        <f>'12CH_GOC'!D63</f>
        <v>0</v>
      </c>
      <c r="E63" s="325">
        <f>E24+E62</f>
        <v>99.33</v>
      </c>
      <c r="F63" s="325">
        <f t="shared" ref="F63:T63" si="11">F8+F24+F62</f>
        <v>50.08</v>
      </c>
      <c r="G63" s="325">
        <f t="shared" si="11"/>
        <v>27.68</v>
      </c>
      <c r="H63" s="325">
        <f t="shared" si="11"/>
        <v>50.08</v>
      </c>
      <c r="I63" s="325">
        <f t="shared" si="11"/>
        <v>0</v>
      </c>
      <c r="J63" s="325">
        <f t="shared" si="11"/>
        <v>67.679999999999993</v>
      </c>
      <c r="K63" s="325">
        <f t="shared" si="11"/>
        <v>1071.0500000000002</v>
      </c>
      <c r="L63" s="325">
        <f t="shared" si="11"/>
        <v>157.99999999999997</v>
      </c>
      <c r="M63" s="325">
        <f t="shared" si="11"/>
        <v>0</v>
      </c>
      <c r="N63" s="325">
        <f t="shared" si="11"/>
        <v>107.88</v>
      </c>
      <c r="O63" s="325">
        <f t="shared" si="11"/>
        <v>11.65</v>
      </c>
      <c r="P63" s="325">
        <f t="shared" si="11"/>
        <v>107.88</v>
      </c>
      <c r="Q63" s="325">
        <f t="shared" si="11"/>
        <v>0</v>
      </c>
      <c r="R63" s="325">
        <f t="shared" si="11"/>
        <v>6.8199999999999994</v>
      </c>
      <c r="S63" s="325">
        <f t="shared" si="11"/>
        <v>0</v>
      </c>
      <c r="T63" s="325">
        <f t="shared" si="11"/>
        <v>340.78</v>
      </c>
      <c r="U63" s="325">
        <f>U62+U8</f>
        <v>1770.5573200000001</v>
      </c>
      <c r="V63" s="325">
        <f t="shared" ref="V63:BF63" si="12">V8+V24+V62</f>
        <v>116.08</v>
      </c>
      <c r="W63" s="325">
        <f t="shared" si="12"/>
        <v>12.67</v>
      </c>
      <c r="X63" s="325">
        <f t="shared" si="12"/>
        <v>122.1</v>
      </c>
      <c r="Y63" s="325">
        <f t="shared" si="12"/>
        <v>62.22</v>
      </c>
      <c r="Z63" s="325">
        <f t="shared" si="12"/>
        <v>94.27</v>
      </c>
      <c r="AA63" s="325">
        <f t="shared" si="12"/>
        <v>206.35</v>
      </c>
      <c r="AB63" s="325">
        <f t="shared" si="12"/>
        <v>1120.5129999999999</v>
      </c>
      <c r="AC63" s="325">
        <f t="shared" si="12"/>
        <v>321.87100000000004</v>
      </c>
      <c r="AD63" s="325">
        <f t="shared" si="12"/>
        <v>23.520000000000003</v>
      </c>
      <c r="AE63" s="325">
        <f t="shared" si="12"/>
        <v>22.716999999999999</v>
      </c>
      <c r="AF63" s="325">
        <f t="shared" si="12"/>
        <v>7.52</v>
      </c>
      <c r="AG63" s="325">
        <f t="shared" si="12"/>
        <v>85.21</v>
      </c>
      <c r="AH63" s="325">
        <f t="shared" si="12"/>
        <v>35.519999999999996</v>
      </c>
      <c r="AI63" s="325">
        <f t="shared" si="12"/>
        <v>177.95</v>
      </c>
      <c r="AJ63" s="325">
        <f t="shared" si="12"/>
        <v>1.79</v>
      </c>
      <c r="AK63" s="325">
        <f t="shared" si="12"/>
        <v>0</v>
      </c>
      <c r="AL63" s="325">
        <f t="shared" si="12"/>
        <v>452.15</v>
      </c>
      <c r="AM63" s="325">
        <f t="shared" si="12"/>
        <v>529.15000000000009</v>
      </c>
      <c r="AN63" s="325">
        <f t="shared" si="12"/>
        <v>1.5599999999999998</v>
      </c>
      <c r="AO63" s="325">
        <f t="shared" si="12"/>
        <v>122.35</v>
      </c>
      <c r="AP63" s="325">
        <f t="shared" si="12"/>
        <v>0</v>
      </c>
      <c r="AQ63" s="325">
        <f t="shared" si="12"/>
        <v>3.3</v>
      </c>
      <c r="AR63" s="325">
        <f t="shared" si="12"/>
        <v>14.340000000000002</v>
      </c>
      <c r="AS63" s="325">
        <f t="shared" si="12"/>
        <v>3.26</v>
      </c>
      <c r="AT63" s="325">
        <f t="shared" si="12"/>
        <v>18.349999999999998</v>
      </c>
      <c r="AU63" s="325">
        <f t="shared" si="12"/>
        <v>13.765000000000002</v>
      </c>
      <c r="AV63" s="325">
        <f t="shared" si="12"/>
        <v>1018.18432</v>
      </c>
      <c r="AW63" s="325">
        <f t="shared" si="12"/>
        <v>50.83</v>
      </c>
      <c r="AX63" s="325">
        <f t="shared" si="12"/>
        <v>10.450000000000001</v>
      </c>
      <c r="AY63" s="325">
        <f t="shared" si="12"/>
        <v>0.2</v>
      </c>
      <c r="AZ63" s="325">
        <f t="shared" si="12"/>
        <v>0</v>
      </c>
      <c r="BA63" s="325">
        <f t="shared" si="12"/>
        <v>0</v>
      </c>
      <c r="BB63" s="325">
        <f t="shared" si="12"/>
        <v>0</v>
      </c>
      <c r="BC63" s="325">
        <f t="shared" si="12"/>
        <v>1.6500000000000004</v>
      </c>
      <c r="BD63" s="325">
        <f t="shared" si="12"/>
        <v>47.510000000000012</v>
      </c>
      <c r="BE63" s="325">
        <f t="shared" si="12"/>
        <v>2.3099999999999996</v>
      </c>
      <c r="BF63" s="325">
        <f t="shared" si="12"/>
        <v>12.489999999999998</v>
      </c>
      <c r="BG63" s="325">
        <f>'12CH_GOC'!BI63</f>
        <v>0</v>
      </c>
      <c r="BH63" s="325">
        <f>'12CH_GOC'!BJ63</f>
        <v>1869.88732</v>
      </c>
      <c r="BI63" s="325">
        <f>'12CH_GOC'!BK63</f>
        <v>0</v>
      </c>
      <c r="BJ63" s="326">
        <f>'12CH_GOC'!BM63</f>
        <v>0</v>
      </c>
    </row>
    <row r="64" spans="1:62" s="746" customFormat="1" ht="26.1" customHeight="1">
      <c r="A64" s="1545" t="s">
        <v>176</v>
      </c>
      <c r="B64" s="1545"/>
      <c r="C64" s="747"/>
      <c r="D64" s="325">
        <f>'12CH_GOC'!D64</f>
        <v>0</v>
      </c>
      <c r="E64" s="325">
        <f>'12CH_GOC'!E64</f>
        <v>87283.652680000014</v>
      </c>
      <c r="F64" s="325">
        <f>'12CH_GOC'!F64</f>
        <v>5851.5017499999985</v>
      </c>
      <c r="G64" s="325">
        <f>'12CH_GOC'!G64</f>
        <v>3201.2949999999996</v>
      </c>
      <c r="H64" s="325">
        <f>'12CH_GOC'!H64</f>
        <v>2650.2067500000007</v>
      </c>
      <c r="I64" s="325">
        <f>'12CH_GOC'!I64</f>
        <v>0</v>
      </c>
      <c r="J64" s="325">
        <f>'12CH_GOC'!J64</f>
        <v>4526.2847000000011</v>
      </c>
      <c r="K64" s="325">
        <f>'12CH_GOC'!K64</f>
        <v>2566.4021300000004</v>
      </c>
      <c r="L64" s="325">
        <f>'12CH_GOC'!L64</f>
        <v>9729.9</v>
      </c>
      <c r="M64" s="325">
        <f>'12CH_GOC'!M64</f>
        <v>2208.1999999999998</v>
      </c>
      <c r="N64" s="325">
        <f>'12CH_GOC'!N64</f>
        <v>61783.804100000001</v>
      </c>
      <c r="O64" s="325">
        <f>'12CH_GOC'!O64</f>
        <v>5532.4</v>
      </c>
      <c r="P64" s="325">
        <f>'12CH_GOC'!P64</f>
        <v>56251.404099999992</v>
      </c>
      <c r="Q64" s="325">
        <f>'12CH_GOC'!Q64</f>
        <v>0</v>
      </c>
      <c r="R64" s="325">
        <f>'12CH_GOC'!R64</f>
        <v>275.47000000000003</v>
      </c>
      <c r="S64" s="325">
        <f>'12CH_GOC'!S64</f>
        <v>0</v>
      </c>
      <c r="T64" s="325">
        <f>'12CH_GOC'!T64</f>
        <v>342.09</v>
      </c>
      <c r="U64" s="325">
        <f>'12CH_GOC'!U64</f>
        <v>9986.9673199999997</v>
      </c>
      <c r="V64" s="325">
        <f>'12CH_GOC'!V64</f>
        <v>1852.35</v>
      </c>
      <c r="W64" s="325">
        <f>'12CH_GOC'!W64</f>
        <v>16.05</v>
      </c>
      <c r="X64" s="325">
        <f>'12CH_GOC'!Y64</f>
        <v>125.35</v>
      </c>
      <c r="Y64" s="325">
        <f>'12CH_GOC'!Z64</f>
        <v>72.06</v>
      </c>
      <c r="Z64" s="325">
        <f>'12CH_GOC'!AA64</f>
        <v>142.84</v>
      </c>
      <c r="AA64" s="325">
        <f>'12CH_GOC'!AB64</f>
        <v>458.75</v>
      </c>
      <c r="AB64" s="325">
        <f>BJ31</f>
        <v>3652.6980000000008</v>
      </c>
      <c r="AC64" s="325">
        <f>'12CH_GOC'!AE64</f>
        <v>2028.931</v>
      </c>
      <c r="AD64" s="325">
        <f>'12CH_GOC'!AF64</f>
        <v>148.07</v>
      </c>
      <c r="AE64" s="325">
        <f>'12CH_GOC'!AG64</f>
        <v>22.717000000000002</v>
      </c>
      <c r="AF64" s="325">
        <f>'12CH_GOC'!AH64</f>
        <v>7.5200000000000005</v>
      </c>
      <c r="AG64" s="325">
        <f>'12CH_GOC'!AI64</f>
        <v>85.440000000000012</v>
      </c>
      <c r="AH64" s="325">
        <f>'12CH_GOC'!AJ64</f>
        <v>35.549999999999997</v>
      </c>
      <c r="AI64" s="325">
        <f>'12CH_GOC'!AK64</f>
        <v>177.95</v>
      </c>
      <c r="AJ64" s="325">
        <f>'12CH_GOC'!AL64</f>
        <v>1.79</v>
      </c>
      <c r="AK64" s="325">
        <f>'12CH_GOC'!AM64</f>
        <v>0</v>
      </c>
      <c r="AL64" s="325">
        <f>'12CH_GOC'!AN64</f>
        <v>452.4</v>
      </c>
      <c r="AM64" s="325">
        <f>'12CH_GOC'!AO64</f>
        <v>529.15000000000009</v>
      </c>
      <c r="AN64" s="325">
        <f>'12CH_GOC'!AP64</f>
        <v>1.38</v>
      </c>
      <c r="AO64" s="325">
        <f>'12CH_GOC'!AQ64</f>
        <v>122.35</v>
      </c>
      <c r="AP64" s="325">
        <f>'12CH_GOC'!AR64</f>
        <v>0</v>
      </c>
      <c r="AQ64" s="325">
        <f>'12CH_GOC'!AS64</f>
        <v>3.3</v>
      </c>
      <c r="AR64" s="325">
        <f>'12CH_GOC'!AT64</f>
        <v>14.340000000000002</v>
      </c>
      <c r="AS64" s="325">
        <f>'12CH_GOC'!AU64</f>
        <v>3.26</v>
      </c>
      <c r="AT64" s="325">
        <f>'12CH_GOC'!AV64</f>
        <v>18.349999999999998</v>
      </c>
      <c r="AU64" s="325">
        <f>'12CH_GOC'!AW64</f>
        <v>15.845000000000001</v>
      </c>
      <c r="AV64" s="325">
        <f>'12CH_GOC'!AX64</f>
        <v>1018.18432</v>
      </c>
      <c r="AW64" s="325">
        <f>'12CH_GOC'!AY64</f>
        <v>217</v>
      </c>
      <c r="AX64" s="325">
        <f>'12CH_GOC'!AZ64</f>
        <v>24.470000000000006</v>
      </c>
      <c r="AY64" s="325">
        <f>'12CH_GOC'!BA64</f>
        <v>0.2</v>
      </c>
      <c r="AZ64" s="325">
        <f>'12CH_GOC'!BB64</f>
        <v>0</v>
      </c>
      <c r="BA64" s="325">
        <f>'12CH_GOC'!BC64</f>
        <v>0.02</v>
      </c>
      <c r="BB64" s="325">
        <f>'12CH_GOC'!BD64</f>
        <v>0</v>
      </c>
      <c r="BC64" s="325">
        <f>'12CH_GOC'!BE64</f>
        <v>23.840000000000003</v>
      </c>
      <c r="BD64" s="325">
        <f>'12CH_GOC'!BF64</f>
        <v>1385.59</v>
      </c>
      <c r="BE64" s="325">
        <f>'12CH_GOC'!BG64</f>
        <v>967.91999999999973</v>
      </c>
      <c r="BF64" s="325">
        <f>'12CH_GOC'!BH64</f>
        <v>13.999999999999998</v>
      </c>
      <c r="BG64" s="325">
        <f>'12CH_GOC'!BI64</f>
        <v>1372.3000000000002</v>
      </c>
      <c r="BH64" s="325">
        <f>'12CH_GOC'!BJ64</f>
        <v>0</v>
      </c>
      <c r="BI64" s="325">
        <f>'12CH_GOC'!BK64</f>
        <v>0</v>
      </c>
      <c r="BJ64" s="326">
        <f>'12CH_GOC'!BM64</f>
        <v>0</v>
      </c>
    </row>
    <row r="65" spans="4:82">
      <c r="D65" s="757"/>
    </row>
    <row r="66" spans="4:82">
      <c r="E66" s="759">
        <f>E7-E64</f>
        <v>0</v>
      </c>
      <c r="F66" s="759">
        <f t="shared" ref="F66:BG66" si="13">F7-F64</f>
        <v>0</v>
      </c>
      <c r="G66" s="759">
        <f t="shared" si="13"/>
        <v>0</v>
      </c>
      <c r="H66" s="759">
        <f t="shared" si="13"/>
        <v>-2550.0467500000009</v>
      </c>
      <c r="I66" s="759">
        <f t="shared" si="13"/>
        <v>0</v>
      </c>
      <c r="J66" s="759">
        <f t="shared" si="13"/>
        <v>0</v>
      </c>
      <c r="K66" s="759">
        <f t="shared" si="13"/>
        <v>0</v>
      </c>
      <c r="L66" s="759">
        <f t="shared" si="13"/>
        <v>0</v>
      </c>
      <c r="M66" s="759">
        <f t="shared" si="13"/>
        <v>0</v>
      </c>
      <c r="N66" s="759">
        <f t="shared" si="13"/>
        <v>0</v>
      </c>
      <c r="O66" s="759">
        <f t="shared" si="13"/>
        <v>0</v>
      </c>
      <c r="P66" s="759">
        <f t="shared" si="13"/>
        <v>-56130.884099999996</v>
      </c>
      <c r="Q66" s="759">
        <f t="shared" si="13"/>
        <v>0</v>
      </c>
      <c r="R66" s="759">
        <f t="shared" si="13"/>
        <v>0</v>
      </c>
      <c r="S66" s="759">
        <f t="shared" si="13"/>
        <v>0</v>
      </c>
      <c r="T66" s="759">
        <f t="shared" si="13"/>
        <v>0</v>
      </c>
      <c r="U66" s="759">
        <f t="shared" si="13"/>
        <v>0</v>
      </c>
      <c r="V66" s="759">
        <f t="shared" si="13"/>
        <v>0</v>
      </c>
      <c r="W66" s="759">
        <f t="shared" si="13"/>
        <v>0</v>
      </c>
      <c r="X66" s="759">
        <f t="shared" si="13"/>
        <v>0</v>
      </c>
      <c r="Y66" s="759">
        <f t="shared" si="13"/>
        <v>0</v>
      </c>
      <c r="Z66" s="759">
        <f t="shared" si="13"/>
        <v>0</v>
      </c>
      <c r="AA66" s="759">
        <f t="shared" si="13"/>
        <v>0</v>
      </c>
      <c r="AB66" s="759">
        <f>AB64-AB31</f>
        <v>1106.9480000000008</v>
      </c>
      <c r="AC66" s="759">
        <f>AA67</f>
        <v>0</v>
      </c>
      <c r="AD66" s="759">
        <f t="shared" si="13"/>
        <v>0</v>
      </c>
      <c r="AE66" s="759">
        <f t="shared" si="13"/>
        <v>0</v>
      </c>
      <c r="AF66" s="759">
        <f t="shared" si="13"/>
        <v>0</v>
      </c>
      <c r="AG66" s="759">
        <f t="shared" si="13"/>
        <v>0</v>
      </c>
      <c r="AH66" s="759">
        <f t="shared" si="13"/>
        <v>0</v>
      </c>
      <c r="AI66" s="759">
        <f t="shared" si="13"/>
        <v>0</v>
      </c>
      <c r="AJ66" s="759">
        <f t="shared" si="13"/>
        <v>0</v>
      </c>
      <c r="AK66" s="759">
        <f t="shared" si="13"/>
        <v>0</v>
      </c>
      <c r="AL66" s="759">
        <f t="shared" si="13"/>
        <v>0</v>
      </c>
      <c r="AM66" s="759">
        <f t="shared" si="13"/>
        <v>0</v>
      </c>
      <c r="AN66" s="759">
        <f t="shared" si="13"/>
        <v>0.17999999999999994</v>
      </c>
      <c r="AO66" s="759">
        <f t="shared" si="13"/>
        <v>0</v>
      </c>
      <c r="AP66" s="759">
        <f t="shared" si="13"/>
        <v>0</v>
      </c>
      <c r="AQ66" s="759">
        <f t="shared" si="13"/>
        <v>0</v>
      </c>
      <c r="AR66" s="759">
        <f t="shared" si="13"/>
        <v>0</v>
      </c>
      <c r="AS66" s="759">
        <f t="shared" si="13"/>
        <v>0</v>
      </c>
      <c r="AT66" s="759">
        <f t="shared" si="13"/>
        <v>0</v>
      </c>
      <c r="AU66" s="759">
        <f t="shared" si="13"/>
        <v>-2.0799999999999983</v>
      </c>
      <c r="AV66" s="759">
        <f t="shared" si="13"/>
        <v>0</v>
      </c>
      <c r="AW66" s="759">
        <f t="shared" si="13"/>
        <v>-166.17000000000002</v>
      </c>
      <c r="AX66" s="759">
        <f t="shared" si="13"/>
        <v>-13.850000000000005</v>
      </c>
      <c r="AY66" s="759">
        <f t="shared" si="13"/>
        <v>0</v>
      </c>
      <c r="AZ66" s="759">
        <f t="shared" si="13"/>
        <v>0</v>
      </c>
      <c r="BA66" s="759">
        <f t="shared" si="13"/>
        <v>-0.02</v>
      </c>
      <c r="BB66" s="759">
        <f t="shared" si="13"/>
        <v>0</v>
      </c>
      <c r="BC66" s="759">
        <f t="shared" si="13"/>
        <v>0</v>
      </c>
      <c r="BD66" s="759">
        <f t="shared" si="13"/>
        <v>0</v>
      </c>
      <c r="BE66" s="759">
        <f t="shared" si="13"/>
        <v>0</v>
      </c>
      <c r="BF66" s="759">
        <f t="shared" si="13"/>
        <v>0</v>
      </c>
      <c r="BG66" s="759">
        <f t="shared" si="13"/>
        <v>0</v>
      </c>
    </row>
    <row r="67" spans="4:82">
      <c r="U67" s="756"/>
      <c r="BH67" s="757"/>
    </row>
    <row r="68" spans="4:82">
      <c r="AB68" s="759">
        <f>AB66-AB63</f>
        <v>-13.564999999999145</v>
      </c>
      <c r="AK68" s="759">
        <f>AB63-BK31</f>
        <v>-1425.2370000000001</v>
      </c>
    </row>
    <row r="69" spans="4:82">
      <c r="AA69" s="326">
        <f>'12CH_GOC'!Z72</f>
        <v>0</v>
      </c>
      <c r="AB69" s="326">
        <f>'12CH_GOC'!AA72</f>
        <v>0</v>
      </c>
      <c r="AC69" s="326">
        <f>'12CH_GOC'!AB72</f>
        <v>0</v>
      </c>
      <c r="AD69" s="326">
        <f>'12CH_GOC'!AD72</f>
        <v>0</v>
      </c>
      <c r="AE69" s="326">
        <f>'12CH_GOC'!AE72</f>
        <v>0</v>
      </c>
      <c r="AF69" s="326">
        <f>'12CH_GOC'!AF72</f>
        <v>0</v>
      </c>
      <c r="AG69" s="326">
        <f>'12CH_GOC'!AG72</f>
        <v>0</v>
      </c>
      <c r="AH69" s="326">
        <f>'12CH_GOC'!AH72</f>
        <v>0</v>
      </c>
      <c r="AI69" s="326">
        <f>'12CH_GOC'!AI72</f>
        <v>0</v>
      </c>
      <c r="AJ69" s="326">
        <f>'12CH_GOC'!AJ72</f>
        <v>0</v>
      </c>
      <c r="AK69" s="326">
        <f>'12CH_GOC'!AK72</f>
        <v>0</v>
      </c>
      <c r="AL69" s="326">
        <f>'12CH_GOC'!AL72</f>
        <v>0</v>
      </c>
      <c r="AM69" s="326">
        <f>'12CH_GOC'!AM72</f>
        <v>0</v>
      </c>
      <c r="AN69" s="326">
        <f>'12CH_GOC'!AN72</f>
        <v>0</v>
      </c>
      <c r="AO69" s="326">
        <f>'12CH_GOC'!AO72</f>
        <v>0</v>
      </c>
      <c r="AP69" s="326">
        <f>'12CH_GOC'!AP72</f>
        <v>0</v>
      </c>
      <c r="AQ69" s="325">
        <f>'12CH_GOC'!AQ72</f>
        <v>0</v>
      </c>
      <c r="AR69" s="326">
        <f>'12CH_GOC'!AR72</f>
        <v>0</v>
      </c>
      <c r="AS69" s="326">
        <f>'12CH_GOC'!AS72</f>
        <v>0</v>
      </c>
      <c r="AT69" s="326">
        <f>'12CH_GOC'!AT72</f>
        <v>0</v>
      </c>
      <c r="AU69" s="326">
        <f>'12CH_GOC'!AU72</f>
        <v>0</v>
      </c>
      <c r="AV69" s="326">
        <f>'12CH_GOC'!AV72</f>
        <v>0</v>
      </c>
      <c r="AW69" s="326">
        <f>'12CH_GOC'!AW72</f>
        <v>0</v>
      </c>
      <c r="AX69" s="326">
        <f>'12CH_GOC'!AX72</f>
        <v>0</v>
      </c>
      <c r="AY69" s="326">
        <f>SUM(AZ69:BR69)</f>
        <v>0</v>
      </c>
      <c r="AZ69" s="326">
        <f>'12CH_GOC'!AZ72</f>
        <v>0</v>
      </c>
      <c r="BA69" s="326">
        <f>'12CH_GOC'!BA72</f>
        <v>0</v>
      </c>
      <c r="BB69" s="326">
        <f>'12CH_GOC'!BP72</f>
        <v>0</v>
      </c>
      <c r="BC69" s="326">
        <f>'12CH_GOC'!BQ72</f>
        <v>0</v>
      </c>
      <c r="BD69" s="326">
        <f>'12CH_GOC'!BB72</f>
        <v>0</v>
      </c>
      <c r="BE69" s="326">
        <f>'12CH_GOC'!BC72</f>
        <v>0</v>
      </c>
      <c r="BF69" s="326">
        <f>'12CH_GOC'!BD72</f>
        <v>0</v>
      </c>
      <c r="BG69" s="326">
        <f>'12CH_GOC'!BE72</f>
        <v>0</v>
      </c>
      <c r="BH69" s="326">
        <f>'12CH_GOC'!BF72</f>
        <v>0</v>
      </c>
      <c r="BI69" s="326">
        <f>'12CH_GOC'!BG72</f>
        <v>0</v>
      </c>
      <c r="BJ69" s="326">
        <f>'12CH_GOC'!BH72</f>
        <v>0</v>
      </c>
      <c r="BK69" s="326">
        <f>'12CH_GOC'!BI72</f>
        <v>0</v>
      </c>
      <c r="BL69" s="326">
        <f>'12CH_GOC'!BJ72</f>
        <v>0</v>
      </c>
      <c r="BM69" s="326">
        <f>'12CH_GOC'!BK72</f>
        <v>0</v>
      </c>
      <c r="BN69" s="326">
        <f>'12CH_GOC'!BL72</f>
        <v>0</v>
      </c>
      <c r="BO69" s="326">
        <f>'12CH_GOC'!BM72</f>
        <v>0</v>
      </c>
      <c r="BP69" s="326">
        <f>'12CH_GOC'!BN72</f>
        <v>0</v>
      </c>
      <c r="BQ69" s="326">
        <f>'12CH_GOC'!BO72</f>
        <v>0</v>
      </c>
      <c r="BR69" s="326">
        <f>'12CH_GOC'!BV72</f>
        <v>0</v>
      </c>
      <c r="BS69" s="326">
        <f>'12CH_GOC'!BR72</f>
        <v>0</v>
      </c>
      <c r="BT69" s="326">
        <f>'12CH_GOC'!BS72</f>
        <v>0</v>
      </c>
      <c r="BU69" s="326">
        <f>'12CH_GOC'!BT72</f>
        <v>0</v>
      </c>
      <c r="BV69" s="326">
        <f>'12CH_GOC'!BU72</f>
        <v>0</v>
      </c>
      <c r="BW69" s="326">
        <f>'12CH_GOC'!BW72</f>
        <v>0</v>
      </c>
      <c r="BX69" s="326">
        <f>'12CH_GOC'!BX72</f>
        <v>0</v>
      </c>
      <c r="BY69" s="326">
        <f>'12CH_GOC'!BY72</f>
        <v>0</v>
      </c>
      <c r="BZ69" s="326">
        <f>'12CH_GOC'!BZ72</f>
        <v>0</v>
      </c>
      <c r="CA69" s="326">
        <f>'12CH_GOC'!CA72</f>
        <v>0</v>
      </c>
      <c r="CB69" s="326">
        <f>'12CH_GOC'!CB72</f>
        <v>0</v>
      </c>
      <c r="CC69" s="326">
        <f>'12CH_GOC'!CC72</f>
        <v>0</v>
      </c>
      <c r="CD69" s="325">
        <f>'12CH_GOC'!CD72</f>
        <v>0</v>
      </c>
    </row>
  </sheetData>
  <mergeCells count="13">
    <mergeCell ref="BJ5:BJ6"/>
    <mergeCell ref="A63:B63"/>
    <mergeCell ref="A64:B64"/>
    <mergeCell ref="A1:B1"/>
    <mergeCell ref="A2:BJ2"/>
    <mergeCell ref="A3:BJ3"/>
    <mergeCell ref="BH4:BJ4"/>
    <mergeCell ref="A5:A6"/>
    <mergeCell ref="B5:B6"/>
    <mergeCell ref="C5:C6"/>
    <mergeCell ref="D5:D6"/>
    <mergeCell ref="E5:BH5"/>
    <mergeCell ref="BI5:BI6"/>
  </mergeCells>
  <printOptions horizontalCentered="1"/>
  <pageMargins left="0.59055118110236227" right="0.31496062992125984" top="0.59055118110236227" bottom="0.39370078740157483" header="0.31496062992125984" footer="0.31496062992125984"/>
  <pageSetup paperSize="8" scale="6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V22"/>
  <sheetViews>
    <sheetView view="pageBreakPreview" zoomScaleNormal="100" zoomScaleSheetLayoutView="100" workbookViewId="0">
      <selection activeCell="C23" sqref="C23"/>
    </sheetView>
  </sheetViews>
  <sheetFormatPr defaultColWidth="7.625" defaultRowHeight="18.75"/>
  <cols>
    <col min="1" max="1" width="5.5" style="3" customWidth="1"/>
    <col min="2" max="2" width="14.75" style="3" customWidth="1"/>
    <col min="3" max="3" width="56.875" style="3" customWidth="1"/>
    <col min="4" max="255" width="9" style="5" customWidth="1"/>
    <col min="256" max="16384" width="7.625" style="5"/>
  </cols>
  <sheetData>
    <row r="1" spans="1:256" ht="27.6" customHeight="1">
      <c r="A1" s="1559" t="s">
        <v>2740</v>
      </c>
      <c r="B1" s="1559"/>
      <c r="C1" s="1559"/>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row>
    <row r="2" spans="1:256" ht="40.700000000000003" customHeight="1">
      <c r="A2" s="1558" t="s">
        <v>3008</v>
      </c>
      <c r="B2" s="1558"/>
      <c r="C2" s="1558"/>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row>
    <row r="3" spans="1:256" ht="8.1" customHeight="1"/>
    <row r="4" spans="1:256" ht="41.1" customHeight="1">
      <c r="A4" s="6" t="s">
        <v>1</v>
      </c>
      <c r="B4" s="6" t="s">
        <v>247</v>
      </c>
      <c r="C4" s="6" t="s">
        <v>248</v>
      </c>
    </row>
    <row r="5" spans="1:256" ht="39" customHeight="1">
      <c r="A5" s="7">
        <v>1</v>
      </c>
      <c r="B5" s="7" t="s">
        <v>249</v>
      </c>
      <c r="C5" s="9" t="s">
        <v>2994</v>
      </c>
    </row>
    <row r="6" spans="1:256" ht="41.1" customHeight="1">
      <c r="A6" s="7">
        <v>2</v>
      </c>
      <c r="B6" s="7" t="s">
        <v>250</v>
      </c>
      <c r="C6" s="9" t="s">
        <v>2995</v>
      </c>
    </row>
    <row r="7" spans="1:256" ht="27" customHeight="1">
      <c r="A7" s="7">
        <v>3</v>
      </c>
      <c r="B7" s="7" t="s">
        <v>256</v>
      </c>
      <c r="C7" s="9" t="s">
        <v>2996</v>
      </c>
    </row>
    <row r="8" spans="1:256" ht="37.5">
      <c r="A8" s="7">
        <v>4</v>
      </c>
      <c r="B8" s="267" t="s">
        <v>257</v>
      </c>
      <c r="C8" s="941" t="s">
        <v>2997</v>
      </c>
    </row>
    <row r="9" spans="1:256">
      <c r="A9" s="7">
        <v>5</v>
      </c>
      <c r="B9" s="267" t="s">
        <v>3037</v>
      </c>
      <c r="C9" s="941" t="s">
        <v>3038</v>
      </c>
    </row>
    <row r="10" spans="1:256" ht="34.5" customHeight="1">
      <c r="A10" s="7">
        <v>6</v>
      </c>
      <c r="B10" s="267" t="s">
        <v>258</v>
      </c>
      <c r="C10" s="941" t="s">
        <v>2998</v>
      </c>
    </row>
    <row r="11" spans="1:256" ht="37.5">
      <c r="A11" s="7">
        <v>7</v>
      </c>
      <c r="B11" s="267" t="s">
        <v>259</v>
      </c>
      <c r="C11" s="941" t="s">
        <v>2999</v>
      </c>
    </row>
    <row r="12" spans="1:256" s="8" customFormat="1" ht="37.5">
      <c r="A12" s="7">
        <v>8</v>
      </c>
      <c r="B12" s="801" t="s">
        <v>260</v>
      </c>
      <c r="C12" s="942" t="s">
        <v>3000</v>
      </c>
    </row>
    <row r="13" spans="1:256" s="8" customFormat="1" ht="37.5" hidden="1">
      <c r="A13" s="7">
        <v>9</v>
      </c>
      <c r="B13" s="267" t="s">
        <v>258</v>
      </c>
      <c r="C13" s="266" t="s">
        <v>2745</v>
      </c>
    </row>
    <row r="14" spans="1:256" s="8" customFormat="1" ht="37.5" hidden="1">
      <c r="A14" s="7">
        <v>10</v>
      </c>
      <c r="B14" s="267" t="s">
        <v>259</v>
      </c>
      <c r="C14" s="266" t="s">
        <v>2741</v>
      </c>
    </row>
    <row r="15" spans="1:256" ht="39.6" hidden="1" customHeight="1">
      <c r="A15" s="7">
        <v>6</v>
      </c>
      <c r="B15" s="7" t="s">
        <v>254</v>
      </c>
      <c r="C15" s="9" t="s">
        <v>3001</v>
      </c>
    </row>
    <row r="16" spans="1:256" ht="45" hidden="1" customHeight="1">
      <c r="A16" s="7">
        <v>7</v>
      </c>
      <c r="B16" s="7" t="s">
        <v>255</v>
      </c>
      <c r="C16" s="9" t="s">
        <v>3002</v>
      </c>
    </row>
    <row r="17" spans="1:3" s="8" customFormat="1" ht="47.25" hidden="1" customHeight="1">
      <c r="A17" s="7">
        <v>13</v>
      </c>
      <c r="B17" s="7" t="s">
        <v>260</v>
      </c>
      <c r="C17" s="9" t="s">
        <v>2742</v>
      </c>
    </row>
    <row r="18" spans="1:3" s="8" customFormat="1" ht="60" hidden="1" customHeight="1">
      <c r="A18" s="800">
        <v>8</v>
      </c>
      <c r="B18" s="801" t="s">
        <v>2908</v>
      </c>
      <c r="C18" s="802" t="s">
        <v>3003</v>
      </c>
    </row>
    <row r="19" spans="1:3" s="8" customFormat="1" ht="56.25" hidden="1">
      <c r="A19" s="800">
        <v>8</v>
      </c>
      <c r="B19" s="801" t="s">
        <v>2909</v>
      </c>
      <c r="C19" s="802" t="s">
        <v>3004</v>
      </c>
    </row>
    <row r="20" spans="1:3" ht="41.45" hidden="1" customHeight="1">
      <c r="A20" s="846">
        <v>9</v>
      </c>
      <c r="B20" s="846" t="s">
        <v>2908</v>
      </c>
      <c r="C20" s="847" t="s">
        <v>3005</v>
      </c>
    </row>
    <row r="21" spans="1:3" ht="59.45" hidden="1" customHeight="1">
      <c r="A21" s="846">
        <v>10</v>
      </c>
      <c r="B21" s="846" t="s">
        <v>2909</v>
      </c>
      <c r="C21" s="847" t="s">
        <v>3006</v>
      </c>
    </row>
    <row r="22" spans="1:3" ht="37.5" hidden="1">
      <c r="A22" s="846">
        <v>11</v>
      </c>
      <c r="B22" s="846" t="s">
        <v>2910</v>
      </c>
      <c r="C22" s="847" t="s">
        <v>3007</v>
      </c>
    </row>
  </sheetData>
  <mergeCells count="2">
    <mergeCell ref="A2:C2"/>
    <mergeCell ref="A1:C1"/>
  </mergeCells>
  <printOptions horizontalCentered="1"/>
  <pageMargins left="0.59055118110236227" right="0.27559055118110237" top="0.59055118110236227" bottom="0.39370078740157483" header="0.31496062992125984" footer="0.31496062992125984"/>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BQ64"/>
  <sheetViews>
    <sheetView showZeros="0" zoomScaleNormal="100" workbookViewId="0">
      <pane xSplit="4" ySplit="5" topLeftCell="AO6" activePane="bottomRight" state="frozen"/>
      <selection activeCell="K42" sqref="K42"/>
      <selection pane="topRight" activeCell="K42" sqref="K42"/>
      <selection pane="bottomLeft" activeCell="K42" sqref="K42"/>
      <selection pane="bottomRight" activeCell="BO6" sqref="BO6"/>
    </sheetView>
  </sheetViews>
  <sheetFormatPr defaultColWidth="8.375" defaultRowHeight="15"/>
  <cols>
    <col min="1" max="1" width="5.125" style="374" customWidth="1"/>
    <col min="2" max="2" width="19.125" style="735" customWidth="1"/>
    <col min="3" max="3" width="5.5" style="374" bestFit="1" customWidth="1"/>
    <col min="4" max="4" width="8.875" style="374" customWidth="1"/>
    <col min="5" max="5" width="8.625" style="374" bestFit="1" customWidth="1"/>
    <col min="6" max="6" width="7.375" style="374" bestFit="1" customWidth="1"/>
    <col min="7" max="7" width="8.125" style="374" bestFit="1" customWidth="1"/>
    <col min="8" max="9" width="8.625" style="374" hidden="1" customWidth="1"/>
    <col min="10" max="10" width="7.125" style="374" bestFit="1" customWidth="1"/>
    <col min="11" max="11" width="8.125" style="374" bestFit="1" customWidth="1"/>
    <col min="12" max="12" width="7.375" style="374" bestFit="1" customWidth="1"/>
    <col min="13" max="13" width="7.125" style="374" customWidth="1"/>
    <col min="14" max="14" width="8.625" style="374" bestFit="1" customWidth="1"/>
    <col min="15" max="15" width="7" style="374" customWidth="1"/>
    <col min="16" max="16" width="8.625" style="374" hidden="1" customWidth="1"/>
    <col min="17" max="17" width="9.625" style="374" hidden="1" customWidth="1"/>
    <col min="18" max="18" width="7.125" style="374" bestFit="1" customWidth="1"/>
    <col min="19" max="19" width="4.875" style="374" bestFit="1" customWidth="1"/>
    <col min="20" max="20" width="6.875" style="374" bestFit="1" customWidth="1"/>
    <col min="21" max="21" width="8.125" style="374" bestFit="1" customWidth="1"/>
    <col min="22" max="22" width="7.375" style="374" customWidth="1"/>
    <col min="23" max="23" width="5.875" style="374" bestFit="1" customWidth="1"/>
    <col min="24" max="24" width="5.875" style="374" customWidth="1"/>
    <col min="25" max="26" width="5.875" style="374" bestFit="1" customWidth="1"/>
    <col min="27" max="28" width="6.125" style="374" bestFit="1" customWidth="1"/>
    <col min="29" max="29" width="6.125" style="374" customWidth="1"/>
    <col min="30" max="30" width="7.375" style="374" bestFit="1" customWidth="1"/>
    <col min="31" max="31" width="8.125" style="374" bestFit="1" customWidth="1"/>
    <col min="32" max="32" width="6.875" style="374" bestFit="1" customWidth="1"/>
    <col min="33" max="34" width="6.875" style="374" customWidth="1"/>
    <col min="35" max="35" width="5.875" style="374" bestFit="1" customWidth="1"/>
    <col min="36" max="36" width="5.125" style="374" bestFit="1" customWidth="1"/>
    <col min="37" max="40" width="5.875" style="374" bestFit="1" customWidth="1"/>
    <col min="41" max="41" width="5.125" style="374" bestFit="1" customWidth="1"/>
    <col min="42" max="42" width="7.125" style="374" customWidth="1"/>
    <col min="43" max="43" width="5.875" style="374" bestFit="1" customWidth="1"/>
    <col min="44" max="44" width="4.875" style="374" bestFit="1" customWidth="1"/>
    <col min="45" max="45" width="5.875" style="374" bestFit="1" customWidth="1"/>
    <col min="46" max="48" width="5.125" style="374" bestFit="1" customWidth="1"/>
    <col min="49" max="49" width="5.125" style="374" customWidth="1"/>
    <col min="50" max="51" width="7.125" style="374" customWidth="1"/>
    <col min="52" max="52" width="6.875" style="374" bestFit="1" customWidth="1"/>
    <col min="53" max="53" width="5.875" style="374" bestFit="1" customWidth="1"/>
    <col min="54" max="54" width="6.375" style="374" customWidth="1"/>
    <col min="55" max="55" width="4.625" style="374" customWidth="1"/>
    <col min="56" max="56" width="5" style="374" bestFit="1" customWidth="1"/>
    <col min="57" max="57" width="5.125" style="374" bestFit="1" customWidth="1"/>
    <col min="58" max="58" width="7.125" style="374" bestFit="1" customWidth="1"/>
    <col min="59" max="59" width="5.875" style="374" bestFit="1" customWidth="1"/>
    <col min="60" max="60" width="4.625" style="374" bestFit="1" customWidth="1"/>
    <col min="61" max="61" width="7.125" style="374" customWidth="1"/>
    <col min="62" max="62" width="7.875" style="374" customWidth="1"/>
    <col min="63" max="63" width="8.625" style="374" customWidth="1"/>
    <col min="64" max="64" width="10.125" style="374" hidden="1" customWidth="1"/>
    <col min="65" max="65" width="8.375" style="374" customWidth="1"/>
    <col min="66" max="16384" width="8.375" style="374"/>
  </cols>
  <sheetData>
    <row r="1" spans="1:67" s="690" customFormat="1" ht="21" customHeight="1">
      <c r="A1" s="1561" t="s">
        <v>255</v>
      </c>
      <c r="B1" s="1561"/>
      <c r="C1" s="689"/>
      <c r="E1" s="691"/>
      <c r="P1" s="691"/>
      <c r="AS1" s="691"/>
    </row>
    <row r="2" spans="1:67" s="690" customFormat="1" ht="20.25" customHeight="1">
      <c r="A2" s="1562" t="s">
        <v>2884</v>
      </c>
      <c r="B2" s="1562"/>
      <c r="C2" s="1562"/>
      <c r="D2" s="1562"/>
      <c r="E2" s="1562"/>
      <c r="F2" s="1562"/>
      <c r="G2" s="1562"/>
      <c r="H2" s="1562"/>
      <c r="I2" s="1562"/>
      <c r="J2" s="1562"/>
      <c r="K2" s="1562"/>
      <c r="L2" s="1562"/>
      <c r="M2" s="1562"/>
      <c r="N2" s="1562"/>
      <c r="O2" s="1562"/>
      <c r="P2" s="1562"/>
      <c r="Q2" s="1562"/>
      <c r="R2" s="1562"/>
      <c r="S2" s="1562"/>
      <c r="T2" s="1562"/>
      <c r="U2" s="1562"/>
      <c r="V2" s="1562"/>
      <c r="W2" s="1562"/>
      <c r="X2" s="1562"/>
      <c r="Y2" s="1562"/>
      <c r="Z2" s="1562"/>
      <c r="AA2" s="1562"/>
      <c r="AB2" s="1562"/>
      <c r="AC2" s="1562"/>
      <c r="AD2" s="1562"/>
      <c r="AE2" s="1562"/>
      <c r="AF2" s="1562"/>
      <c r="AG2" s="1562"/>
      <c r="AH2" s="1562"/>
      <c r="AI2" s="1562"/>
      <c r="AJ2" s="1562"/>
      <c r="AK2" s="1562"/>
      <c r="AL2" s="1562"/>
      <c r="AM2" s="1562"/>
      <c r="AN2" s="1562"/>
      <c r="AO2" s="1562"/>
      <c r="AP2" s="1562"/>
      <c r="AQ2" s="1562"/>
      <c r="AR2" s="1562"/>
      <c r="AS2" s="1562"/>
      <c r="AT2" s="1562"/>
      <c r="AU2" s="1562"/>
      <c r="AV2" s="1562"/>
      <c r="AW2" s="1562"/>
      <c r="AX2" s="1562"/>
      <c r="AY2" s="1562"/>
      <c r="AZ2" s="1562"/>
      <c r="BA2" s="1562"/>
      <c r="BB2" s="1562"/>
      <c r="BC2" s="1562"/>
      <c r="BD2" s="1562"/>
      <c r="BE2" s="1562"/>
      <c r="BF2" s="1562"/>
      <c r="BG2" s="1562"/>
      <c r="BH2" s="1562"/>
      <c r="BI2" s="1562"/>
      <c r="BJ2" s="1562"/>
      <c r="BK2" s="1562"/>
      <c r="BN2" s="374"/>
    </row>
    <row r="3" spans="1:67" s="694" customFormat="1" ht="20.25" customHeight="1">
      <c r="A3" s="1560" t="s">
        <v>2885</v>
      </c>
      <c r="B3" s="1560" t="s">
        <v>2886</v>
      </c>
      <c r="C3" s="1563" t="s">
        <v>172</v>
      </c>
      <c r="D3" s="1560" t="s">
        <v>2887</v>
      </c>
      <c r="E3" s="1564" t="s">
        <v>2888</v>
      </c>
      <c r="F3" s="1565"/>
      <c r="G3" s="1565"/>
      <c r="H3" s="1565"/>
      <c r="I3" s="1565"/>
      <c r="J3" s="1565"/>
      <c r="K3" s="1565"/>
      <c r="L3" s="1565"/>
      <c r="M3" s="1565"/>
      <c r="N3" s="1565"/>
      <c r="O3" s="1565"/>
      <c r="P3" s="1565"/>
      <c r="Q3" s="1565"/>
      <c r="R3" s="1565"/>
      <c r="S3" s="1565"/>
      <c r="T3" s="1565"/>
      <c r="U3" s="1565"/>
      <c r="V3" s="1565"/>
      <c r="W3" s="1565"/>
      <c r="X3" s="1565"/>
      <c r="Y3" s="1565"/>
      <c r="Z3" s="1565"/>
      <c r="AA3" s="1565"/>
      <c r="AB3" s="1565"/>
      <c r="AC3" s="1565"/>
      <c r="AD3" s="1565"/>
      <c r="AE3" s="1565"/>
      <c r="AF3" s="1565"/>
      <c r="AG3" s="1565"/>
      <c r="AH3" s="1565"/>
      <c r="AI3" s="1565"/>
      <c r="AJ3" s="1565"/>
      <c r="AK3" s="1565"/>
      <c r="AL3" s="1565"/>
      <c r="AM3" s="1565"/>
      <c r="AN3" s="1565"/>
      <c r="AO3" s="1565"/>
      <c r="AP3" s="1565"/>
      <c r="AQ3" s="1565"/>
      <c r="AR3" s="1565"/>
      <c r="AS3" s="1565"/>
      <c r="AT3" s="1565"/>
      <c r="AU3" s="1565"/>
      <c r="AV3" s="1565"/>
      <c r="AW3" s="1565"/>
      <c r="AX3" s="1565"/>
      <c r="AY3" s="1565"/>
      <c r="AZ3" s="1565"/>
      <c r="BA3" s="1565"/>
      <c r="BB3" s="1565"/>
      <c r="BC3" s="1565"/>
      <c r="BD3" s="1565"/>
      <c r="BE3" s="1565"/>
      <c r="BF3" s="1565"/>
      <c r="BG3" s="1565"/>
      <c r="BH3" s="1565"/>
      <c r="BI3" s="1566"/>
      <c r="BJ3" s="1560" t="s">
        <v>143</v>
      </c>
      <c r="BK3" s="1560" t="s">
        <v>2889</v>
      </c>
      <c r="BL3" s="1560" t="s">
        <v>2890</v>
      </c>
      <c r="BM3" s="1560" t="s">
        <v>2891</v>
      </c>
      <c r="BN3" s="374"/>
    </row>
    <row r="4" spans="1:67" s="694" customFormat="1" ht="30" customHeight="1">
      <c r="A4" s="1560"/>
      <c r="B4" s="1560"/>
      <c r="C4" s="1563"/>
      <c r="D4" s="1560"/>
      <c r="E4" s="695" t="s">
        <v>4</v>
      </c>
      <c r="F4" s="695" t="s">
        <v>5</v>
      </c>
      <c r="G4" s="695" t="s">
        <v>7</v>
      </c>
      <c r="H4" s="695" t="s">
        <v>8</v>
      </c>
      <c r="I4" s="695" t="s">
        <v>10</v>
      </c>
      <c r="J4" s="695" t="s">
        <v>12</v>
      </c>
      <c r="K4" s="695" t="s">
        <v>14</v>
      </c>
      <c r="L4" s="695" t="s">
        <v>16</v>
      </c>
      <c r="M4" s="695" t="s">
        <v>17</v>
      </c>
      <c r="N4" s="695" t="s">
        <v>18</v>
      </c>
      <c r="O4" s="765" t="s">
        <v>187</v>
      </c>
      <c r="P4" s="765" t="s">
        <v>188</v>
      </c>
      <c r="Q4" s="765" t="s">
        <v>189</v>
      </c>
      <c r="R4" s="695" t="s">
        <v>19</v>
      </c>
      <c r="S4" s="695" t="s">
        <v>2752</v>
      </c>
      <c r="T4" s="695" t="s">
        <v>20</v>
      </c>
      <c r="U4" s="692" t="s">
        <v>22</v>
      </c>
      <c r="V4" s="313" t="s">
        <v>26</v>
      </c>
      <c r="W4" s="313" t="s">
        <v>28</v>
      </c>
      <c r="X4" s="313" t="s">
        <v>30</v>
      </c>
      <c r="Y4" s="313" t="s">
        <v>91</v>
      </c>
      <c r="Z4" s="313" t="s">
        <v>93</v>
      </c>
      <c r="AA4" s="313" t="s">
        <v>32</v>
      </c>
      <c r="AB4" s="313" t="s">
        <v>35</v>
      </c>
      <c r="AC4" s="313" t="s">
        <v>34</v>
      </c>
      <c r="AD4" s="313" t="s">
        <v>43</v>
      </c>
      <c r="AE4" s="285" t="s">
        <v>44</v>
      </c>
      <c r="AF4" s="285" t="s">
        <v>45</v>
      </c>
      <c r="AG4" s="285" t="s">
        <v>48</v>
      </c>
      <c r="AH4" s="285" t="s">
        <v>49</v>
      </c>
      <c r="AI4" s="285" t="s">
        <v>50</v>
      </c>
      <c r="AJ4" s="285" t="s">
        <v>51</v>
      </c>
      <c r="AK4" s="285" t="s">
        <v>46</v>
      </c>
      <c r="AL4" s="285" t="s">
        <v>47</v>
      </c>
      <c r="AM4" s="285" t="s">
        <v>2762</v>
      </c>
      <c r="AN4" s="285" t="s">
        <v>2764</v>
      </c>
      <c r="AO4" s="285" t="s">
        <v>37</v>
      </c>
      <c r="AP4" s="285" t="s">
        <v>38</v>
      </c>
      <c r="AQ4" s="285" t="s">
        <v>40</v>
      </c>
      <c r="AR4" s="285" t="s">
        <v>52</v>
      </c>
      <c r="AS4" s="285" t="s">
        <v>53</v>
      </c>
      <c r="AT4" s="285" t="s">
        <v>54</v>
      </c>
      <c r="AU4" s="313" t="s">
        <v>2771</v>
      </c>
      <c r="AV4" s="313" t="s">
        <v>2773</v>
      </c>
      <c r="AW4" s="313" t="s">
        <v>113</v>
      </c>
      <c r="AX4" s="313" t="s">
        <v>59</v>
      </c>
      <c r="AY4" s="313" t="s">
        <v>57</v>
      </c>
      <c r="AZ4" s="313" t="s">
        <v>24</v>
      </c>
      <c r="BA4" s="313" t="s">
        <v>2776</v>
      </c>
      <c r="BB4" s="313" t="s">
        <v>110</v>
      </c>
      <c r="BC4" s="766" t="s">
        <v>137</v>
      </c>
      <c r="BD4" s="766" t="s">
        <v>138</v>
      </c>
      <c r="BE4" s="313" t="s">
        <v>39</v>
      </c>
      <c r="BF4" s="313" t="s">
        <v>42</v>
      </c>
      <c r="BG4" s="313" t="s">
        <v>41</v>
      </c>
      <c r="BH4" s="313" t="s">
        <v>55</v>
      </c>
      <c r="BI4" s="294" t="s">
        <v>81</v>
      </c>
      <c r="BJ4" s="1560"/>
      <c r="BK4" s="1560"/>
      <c r="BL4" s="1560"/>
      <c r="BM4" s="1560"/>
      <c r="BN4" s="374"/>
    </row>
    <row r="5" spans="1:67" s="694" customFormat="1" ht="34.5" customHeight="1">
      <c r="A5" s="696"/>
      <c r="B5" s="697" t="s">
        <v>2892</v>
      </c>
      <c r="C5" s="693"/>
      <c r="D5" s="698">
        <v>98642.920000000013</v>
      </c>
      <c r="E5" s="698">
        <v>87283.652680000014</v>
      </c>
      <c r="F5" s="698">
        <v>5851.5017499999985</v>
      </c>
      <c r="G5" s="698">
        <v>3201.2949999999996</v>
      </c>
      <c r="H5" s="698">
        <v>2650.2067500000007</v>
      </c>
      <c r="I5" s="698">
        <v>0</v>
      </c>
      <c r="J5" s="698">
        <v>4526.2847000000011</v>
      </c>
      <c r="K5" s="698">
        <v>2566.4021300000004</v>
      </c>
      <c r="L5" s="698">
        <v>9729.9</v>
      </c>
      <c r="M5" s="698">
        <v>2208.1999999999998</v>
      </c>
      <c r="N5" s="698">
        <v>61783.804100000001</v>
      </c>
      <c r="O5" s="698">
        <v>5532.4</v>
      </c>
      <c r="P5" s="698">
        <v>56251.404099999992</v>
      </c>
      <c r="Q5" s="698">
        <v>0</v>
      </c>
      <c r="R5" s="698">
        <v>275.47000000000003</v>
      </c>
      <c r="S5" s="698">
        <v>0</v>
      </c>
      <c r="T5" s="698">
        <v>342.09</v>
      </c>
      <c r="U5" s="698">
        <v>9986.9673199999997</v>
      </c>
      <c r="V5" s="698">
        <v>1852.35</v>
      </c>
      <c r="W5" s="698">
        <v>16.05</v>
      </c>
      <c r="X5" s="698">
        <v>0</v>
      </c>
      <c r="Y5" s="698">
        <v>125.35</v>
      </c>
      <c r="Z5" s="698">
        <v>72.06</v>
      </c>
      <c r="AA5" s="698">
        <v>142.84</v>
      </c>
      <c r="AB5" s="698">
        <v>458.75</v>
      </c>
      <c r="AC5" s="698">
        <v>0</v>
      </c>
      <c r="AD5" s="698">
        <v>3631.3980000000006</v>
      </c>
      <c r="AE5" s="698">
        <v>2028.931</v>
      </c>
      <c r="AF5" s="698">
        <v>148.07</v>
      </c>
      <c r="AG5" s="698">
        <v>22.717000000000002</v>
      </c>
      <c r="AH5" s="698">
        <v>7.5200000000000005</v>
      </c>
      <c r="AI5" s="698">
        <v>85.440000000000012</v>
      </c>
      <c r="AJ5" s="698">
        <v>35.549999999999997</v>
      </c>
      <c r="AK5" s="698">
        <v>177.95</v>
      </c>
      <c r="AL5" s="698">
        <v>1.79</v>
      </c>
      <c r="AM5" s="698">
        <v>0</v>
      </c>
      <c r="AN5" s="698">
        <v>452.4</v>
      </c>
      <c r="AO5" s="698">
        <v>529.15000000000009</v>
      </c>
      <c r="AP5" s="698">
        <v>1.38</v>
      </c>
      <c r="AQ5" s="698">
        <v>122.35</v>
      </c>
      <c r="AR5" s="698">
        <v>0</v>
      </c>
      <c r="AS5" s="698">
        <v>3.3</v>
      </c>
      <c r="AT5" s="698">
        <v>14.340000000000002</v>
      </c>
      <c r="AU5" s="698">
        <v>3.26</v>
      </c>
      <c r="AV5" s="698">
        <v>18.349999999999998</v>
      </c>
      <c r="AW5" s="698">
        <v>15.845000000000001</v>
      </c>
      <c r="AX5" s="698">
        <v>1018.18432</v>
      </c>
      <c r="AY5" s="698">
        <v>217</v>
      </c>
      <c r="AZ5" s="698">
        <v>24.470000000000006</v>
      </c>
      <c r="BA5" s="698">
        <v>0.2</v>
      </c>
      <c r="BB5" s="698">
        <v>0</v>
      </c>
      <c r="BC5" s="698">
        <v>0.02</v>
      </c>
      <c r="BD5" s="698">
        <v>0</v>
      </c>
      <c r="BE5" s="698">
        <v>23.840000000000003</v>
      </c>
      <c r="BF5" s="698">
        <v>1385.59</v>
      </c>
      <c r="BG5" s="698">
        <v>967.91999999999973</v>
      </c>
      <c r="BH5" s="698">
        <v>13.999999999999998</v>
      </c>
      <c r="BI5" s="698">
        <v>1372.3000000000002</v>
      </c>
      <c r="BJ5" s="698">
        <v>1869.8873199999989</v>
      </c>
      <c r="BK5" s="699"/>
      <c r="BL5" s="698">
        <v>0</v>
      </c>
      <c r="BM5" s="700">
        <v>98642.920000000013</v>
      </c>
      <c r="BN5" s="374"/>
    </row>
    <row r="6" spans="1:67" s="704" customFormat="1" ht="23.25" customHeight="1">
      <c r="A6" s="701" t="s">
        <v>2879</v>
      </c>
      <c r="B6" s="702" t="s">
        <v>2880</v>
      </c>
      <c r="C6" s="703" t="s">
        <v>4</v>
      </c>
      <c r="D6" s="698">
        <v>88916.340000000011</v>
      </c>
      <c r="E6" s="700">
        <v>87184.322680000012</v>
      </c>
      <c r="F6" s="700">
        <v>50.08</v>
      </c>
      <c r="G6" s="700">
        <v>27.68</v>
      </c>
      <c r="H6" s="700">
        <v>50.08</v>
      </c>
      <c r="I6" s="700">
        <v>0</v>
      </c>
      <c r="J6" s="700">
        <v>67.33</v>
      </c>
      <c r="K6" s="700">
        <v>1071.0500000000002</v>
      </c>
      <c r="L6" s="700">
        <v>157.99999999999997</v>
      </c>
      <c r="M6" s="700">
        <v>0</v>
      </c>
      <c r="N6" s="700">
        <v>12.64</v>
      </c>
      <c r="O6" s="700">
        <v>11.65</v>
      </c>
      <c r="P6" s="700">
        <v>12.64</v>
      </c>
      <c r="Q6" s="700">
        <v>0</v>
      </c>
      <c r="R6" s="700">
        <v>6.7899999999999991</v>
      </c>
      <c r="S6" s="700">
        <v>0</v>
      </c>
      <c r="T6" s="700">
        <v>337.07</v>
      </c>
      <c r="U6" s="700">
        <v>1732.0173200000002</v>
      </c>
      <c r="V6" s="700">
        <v>114.49</v>
      </c>
      <c r="W6" s="700">
        <v>12.14</v>
      </c>
      <c r="X6" s="700">
        <v>0</v>
      </c>
      <c r="Y6" s="700">
        <v>112.97</v>
      </c>
      <c r="Z6" s="700">
        <v>53.8</v>
      </c>
      <c r="AA6" s="700">
        <v>40.249999999999993</v>
      </c>
      <c r="AB6" s="700">
        <v>179.48</v>
      </c>
      <c r="AC6" s="700">
        <v>0</v>
      </c>
      <c r="AD6" s="700">
        <v>1015.3879999999999</v>
      </c>
      <c r="AE6" s="700">
        <v>298.68100000000004</v>
      </c>
      <c r="AF6" s="700">
        <v>19.420000000000002</v>
      </c>
      <c r="AG6" s="700">
        <v>5.8070000000000004</v>
      </c>
      <c r="AH6" s="700">
        <v>0.41000000000000003</v>
      </c>
      <c r="AI6" s="700">
        <v>19.57</v>
      </c>
      <c r="AJ6" s="700">
        <v>13.929999999999998</v>
      </c>
      <c r="AK6" s="700">
        <v>140.54</v>
      </c>
      <c r="AL6" s="700">
        <v>0.79999999999999982</v>
      </c>
      <c r="AM6" s="700">
        <v>0</v>
      </c>
      <c r="AN6" s="700">
        <v>405.48999999999995</v>
      </c>
      <c r="AO6" s="700">
        <v>76.539999999999992</v>
      </c>
      <c r="AP6" s="700">
        <v>0</v>
      </c>
      <c r="AQ6" s="700">
        <v>20.98</v>
      </c>
      <c r="AR6" s="700">
        <v>0</v>
      </c>
      <c r="AS6" s="700">
        <v>3.26</v>
      </c>
      <c r="AT6" s="700">
        <v>9.9600000000000009</v>
      </c>
      <c r="AU6" s="767">
        <v>2.67</v>
      </c>
      <c r="AV6" s="767">
        <v>5.28</v>
      </c>
      <c r="AW6" s="700">
        <v>8.1300000000000008</v>
      </c>
      <c r="AX6" s="700">
        <v>76.839320000000001</v>
      </c>
      <c r="AY6" s="700">
        <v>45.65</v>
      </c>
      <c r="AZ6" s="700">
        <v>9.8000000000000007</v>
      </c>
      <c r="BA6" s="700">
        <v>0.2</v>
      </c>
      <c r="BB6" s="700">
        <v>0</v>
      </c>
      <c r="BC6" s="700">
        <v>0</v>
      </c>
      <c r="BD6" s="700">
        <v>0</v>
      </c>
      <c r="BE6" s="700">
        <v>1.5400000000000003</v>
      </c>
      <c r="BF6" s="700">
        <v>42.310000000000009</v>
      </c>
      <c r="BG6" s="700">
        <v>0.57000000000000006</v>
      </c>
      <c r="BH6" s="700">
        <v>10.509999999999998</v>
      </c>
      <c r="BI6" s="700">
        <v>0</v>
      </c>
      <c r="BJ6" s="700">
        <v>1732.017319999999</v>
      </c>
      <c r="BK6" s="700">
        <v>-1632.6873199999991</v>
      </c>
      <c r="BL6" s="700">
        <v>0</v>
      </c>
      <c r="BM6" s="700">
        <v>87283.652680000014</v>
      </c>
      <c r="BN6" s="375"/>
      <c r="BO6" s="859"/>
    </row>
    <row r="7" spans="1:67" s="710" customFormat="1" ht="23.25" customHeight="1">
      <c r="A7" s="705" t="s">
        <v>6</v>
      </c>
      <c r="B7" s="706" t="s">
        <v>85</v>
      </c>
      <c r="C7" s="768" t="s">
        <v>5</v>
      </c>
      <c r="D7" s="707">
        <v>6091.2399999999989</v>
      </c>
      <c r="E7" s="708">
        <v>30.81</v>
      </c>
      <c r="F7" s="708">
        <v>5801.4217499999986</v>
      </c>
      <c r="G7" s="708">
        <v>27.68</v>
      </c>
      <c r="H7" s="708">
        <v>0</v>
      </c>
      <c r="I7" s="708">
        <v>0</v>
      </c>
      <c r="J7" s="708">
        <v>11.04</v>
      </c>
      <c r="K7" s="708">
        <v>3.4000000000000004</v>
      </c>
      <c r="L7" s="708">
        <v>0</v>
      </c>
      <c r="M7" s="708">
        <v>0</v>
      </c>
      <c r="N7" s="708">
        <v>1</v>
      </c>
      <c r="O7" s="708">
        <v>0</v>
      </c>
      <c r="P7" s="708">
        <v>1</v>
      </c>
      <c r="Q7" s="708">
        <v>0</v>
      </c>
      <c r="R7" s="708">
        <v>1.1600000000000001</v>
      </c>
      <c r="S7" s="708">
        <v>0</v>
      </c>
      <c r="T7" s="708">
        <v>14.21</v>
      </c>
      <c r="U7" s="708">
        <v>259.00824999999998</v>
      </c>
      <c r="V7" s="708">
        <v>1.1599999999999999</v>
      </c>
      <c r="W7" s="708">
        <v>0.32</v>
      </c>
      <c r="X7" s="708">
        <v>0</v>
      </c>
      <c r="Y7" s="708">
        <v>17.419999999999998</v>
      </c>
      <c r="Z7" s="708">
        <v>4.79</v>
      </c>
      <c r="AA7" s="708">
        <v>5.25</v>
      </c>
      <c r="AB7" s="708">
        <v>57.86</v>
      </c>
      <c r="AC7" s="708">
        <v>0</v>
      </c>
      <c r="AD7" s="708">
        <v>113.16999999999999</v>
      </c>
      <c r="AE7" s="708">
        <v>48.79</v>
      </c>
      <c r="AF7" s="708">
        <v>8.25</v>
      </c>
      <c r="AG7" s="708">
        <v>0.59</v>
      </c>
      <c r="AH7" s="708">
        <v>0.09</v>
      </c>
      <c r="AI7" s="708">
        <v>4.7700000000000005</v>
      </c>
      <c r="AJ7" s="708">
        <v>1.1000000000000001</v>
      </c>
      <c r="AK7" s="708">
        <v>5.2</v>
      </c>
      <c r="AL7" s="708">
        <v>0</v>
      </c>
      <c r="AM7" s="708">
        <v>0</v>
      </c>
      <c r="AN7" s="708">
        <v>22.14</v>
      </c>
      <c r="AO7" s="708">
        <v>18.690000000000001</v>
      </c>
      <c r="AP7" s="708">
        <v>0</v>
      </c>
      <c r="AQ7" s="708">
        <v>0.04</v>
      </c>
      <c r="AR7" s="708">
        <v>0</v>
      </c>
      <c r="AS7" s="708">
        <v>0</v>
      </c>
      <c r="AT7" s="708">
        <v>3.51</v>
      </c>
      <c r="AU7" s="708">
        <v>1</v>
      </c>
      <c r="AV7" s="708">
        <v>0</v>
      </c>
      <c r="AW7" s="708">
        <v>2.1</v>
      </c>
      <c r="AX7" s="708">
        <v>14.523249999999999</v>
      </c>
      <c r="AY7" s="708">
        <v>12.48</v>
      </c>
      <c r="AZ7" s="708">
        <v>2.2000000000000002</v>
      </c>
      <c r="BA7" s="708">
        <v>0</v>
      </c>
      <c r="BB7" s="708">
        <v>0</v>
      </c>
      <c r="BC7" s="708">
        <v>0</v>
      </c>
      <c r="BD7" s="708">
        <v>0</v>
      </c>
      <c r="BE7" s="708">
        <v>0.13500000000000001</v>
      </c>
      <c r="BF7" s="708">
        <v>25.550000000000004</v>
      </c>
      <c r="BG7" s="708">
        <v>0.37</v>
      </c>
      <c r="BH7" s="708">
        <v>0.68</v>
      </c>
      <c r="BI7" s="708">
        <v>0</v>
      </c>
      <c r="BJ7" s="708">
        <v>289.81824999999998</v>
      </c>
      <c r="BK7" s="708">
        <v>-239.73824999999999</v>
      </c>
      <c r="BL7" s="708">
        <v>0</v>
      </c>
      <c r="BM7" s="708">
        <v>5851.5017499999985</v>
      </c>
      <c r="BN7" s="709"/>
    </row>
    <row r="8" spans="1:67" s="710" customFormat="1" ht="23.25" customHeight="1">
      <c r="A8" s="711" t="s">
        <v>193</v>
      </c>
      <c r="B8" s="712" t="s">
        <v>2811</v>
      </c>
      <c r="C8" s="769" t="s">
        <v>7</v>
      </c>
      <c r="D8" s="707">
        <v>3338.4599999999996</v>
      </c>
      <c r="E8" s="708">
        <v>13.23</v>
      </c>
      <c r="F8" s="708">
        <v>0</v>
      </c>
      <c r="G8" s="708">
        <v>3173.6149999999998</v>
      </c>
      <c r="H8" s="708">
        <v>0</v>
      </c>
      <c r="I8" s="708">
        <v>0</v>
      </c>
      <c r="J8" s="708">
        <v>4.5900000000000007</v>
      </c>
      <c r="K8" s="708">
        <v>1.93</v>
      </c>
      <c r="L8" s="708">
        <v>0</v>
      </c>
      <c r="M8" s="708">
        <v>0</v>
      </c>
      <c r="N8" s="708">
        <v>1</v>
      </c>
      <c r="O8" s="708">
        <v>0</v>
      </c>
      <c r="P8" s="708">
        <v>1</v>
      </c>
      <c r="Q8" s="708">
        <v>0</v>
      </c>
      <c r="R8" s="708">
        <v>0.63</v>
      </c>
      <c r="S8" s="708">
        <v>0</v>
      </c>
      <c r="T8" s="708">
        <v>5.0799999999999992</v>
      </c>
      <c r="U8" s="708">
        <v>151.61499999999998</v>
      </c>
      <c r="V8" s="708">
        <v>0.24</v>
      </c>
      <c r="W8" s="708">
        <v>0.11</v>
      </c>
      <c r="X8" s="708">
        <v>0</v>
      </c>
      <c r="Y8" s="708">
        <v>8.879999999999999</v>
      </c>
      <c r="Z8" s="708">
        <v>2.04</v>
      </c>
      <c r="AA8" s="708">
        <v>2.6</v>
      </c>
      <c r="AB8" s="708">
        <v>45.95</v>
      </c>
      <c r="AC8" s="708">
        <v>0</v>
      </c>
      <c r="AD8" s="708">
        <v>60.879999999999995</v>
      </c>
      <c r="AE8" s="708">
        <v>23.139999999999997</v>
      </c>
      <c r="AF8" s="708">
        <v>5.76</v>
      </c>
      <c r="AG8" s="708">
        <v>0.01</v>
      </c>
      <c r="AH8" s="708">
        <v>0</v>
      </c>
      <c r="AI8" s="708">
        <v>1.53</v>
      </c>
      <c r="AJ8" s="708">
        <v>0.35</v>
      </c>
      <c r="AK8" s="708">
        <v>4.9800000000000004</v>
      </c>
      <c r="AL8" s="708">
        <v>0</v>
      </c>
      <c r="AM8" s="708">
        <v>0</v>
      </c>
      <c r="AN8" s="708">
        <v>11.08</v>
      </c>
      <c r="AO8" s="708">
        <v>11.12</v>
      </c>
      <c r="AP8" s="708">
        <v>0</v>
      </c>
      <c r="AQ8" s="708">
        <v>0.04</v>
      </c>
      <c r="AR8" s="708">
        <v>0</v>
      </c>
      <c r="AS8" s="708">
        <v>0</v>
      </c>
      <c r="AT8" s="708">
        <v>2.87</v>
      </c>
      <c r="AU8" s="708">
        <v>1</v>
      </c>
      <c r="AV8" s="708">
        <v>0</v>
      </c>
      <c r="AW8" s="708">
        <v>0.4</v>
      </c>
      <c r="AX8" s="708">
        <v>8.33</v>
      </c>
      <c r="AY8" s="708">
        <v>5.85</v>
      </c>
      <c r="AZ8" s="708">
        <v>1.4600000000000002</v>
      </c>
      <c r="BA8" s="708">
        <v>0</v>
      </c>
      <c r="BB8" s="708">
        <v>0</v>
      </c>
      <c r="BC8" s="708">
        <v>0</v>
      </c>
      <c r="BD8" s="708">
        <v>0</v>
      </c>
      <c r="BE8" s="708">
        <v>0.13500000000000001</v>
      </c>
      <c r="BF8" s="708">
        <v>13.500000000000002</v>
      </c>
      <c r="BG8" s="708">
        <v>0.2</v>
      </c>
      <c r="BH8" s="708">
        <v>0.04</v>
      </c>
      <c r="BI8" s="708">
        <v>0</v>
      </c>
      <c r="BJ8" s="708">
        <v>164.845</v>
      </c>
      <c r="BK8" s="708">
        <v>-137.16499999999999</v>
      </c>
      <c r="BL8" s="708">
        <v>0</v>
      </c>
      <c r="BM8" s="708">
        <v>3201.2949999999996</v>
      </c>
      <c r="BN8" s="709"/>
    </row>
    <row r="9" spans="1:67" s="710" customFormat="1" ht="27" hidden="1" customHeight="1">
      <c r="A9" s="711" t="s">
        <v>193</v>
      </c>
      <c r="B9" s="712" t="s">
        <v>2811</v>
      </c>
      <c r="C9" s="713" t="s">
        <v>8</v>
      </c>
      <c r="D9" s="707">
        <v>2752.7800000000007</v>
      </c>
      <c r="E9" s="708">
        <v>17.579999999999998</v>
      </c>
      <c r="F9" s="708">
        <v>27.68</v>
      </c>
      <c r="G9" s="708">
        <v>27.68</v>
      </c>
      <c r="H9" s="708">
        <v>2600.1267500000008</v>
      </c>
      <c r="I9" s="708">
        <v>0</v>
      </c>
      <c r="J9" s="708">
        <v>6.4499999999999993</v>
      </c>
      <c r="K9" s="708">
        <v>1.4700000000000002</v>
      </c>
      <c r="L9" s="708">
        <v>0</v>
      </c>
      <c r="M9" s="708">
        <v>0</v>
      </c>
      <c r="N9" s="708">
        <v>0</v>
      </c>
      <c r="O9" s="708">
        <v>0</v>
      </c>
      <c r="P9" s="708">
        <v>0</v>
      </c>
      <c r="Q9" s="708">
        <v>0</v>
      </c>
      <c r="R9" s="708">
        <v>0.53</v>
      </c>
      <c r="S9" s="708">
        <v>0</v>
      </c>
      <c r="T9" s="708">
        <v>9.1300000000000008</v>
      </c>
      <c r="U9" s="708">
        <v>107.39324999999999</v>
      </c>
      <c r="V9" s="708">
        <v>0.91999999999999993</v>
      </c>
      <c r="W9" s="708">
        <v>0.21000000000000002</v>
      </c>
      <c r="X9" s="708">
        <v>0</v>
      </c>
      <c r="Y9" s="708">
        <v>8.5399999999999991</v>
      </c>
      <c r="Z9" s="708">
        <v>2.75</v>
      </c>
      <c r="AA9" s="708">
        <v>2.6500000000000004</v>
      </c>
      <c r="AB9" s="708">
        <v>11.91</v>
      </c>
      <c r="AC9" s="708">
        <v>0</v>
      </c>
      <c r="AD9" s="708">
        <v>52.29</v>
      </c>
      <c r="AE9" s="708">
        <v>25.650000000000002</v>
      </c>
      <c r="AF9" s="708">
        <v>2.4899999999999998</v>
      </c>
      <c r="AG9" s="708">
        <v>0.57999999999999996</v>
      </c>
      <c r="AH9" s="708">
        <v>0.09</v>
      </c>
      <c r="AI9" s="708">
        <v>3.24</v>
      </c>
      <c r="AJ9" s="708">
        <v>0.75</v>
      </c>
      <c r="AK9" s="708">
        <v>0.21999999999999997</v>
      </c>
      <c r="AL9" s="708">
        <v>0</v>
      </c>
      <c r="AM9" s="708">
        <v>0</v>
      </c>
      <c r="AN9" s="708">
        <v>11.059999999999999</v>
      </c>
      <c r="AO9" s="708">
        <v>7.5700000000000012</v>
      </c>
      <c r="AP9" s="708">
        <v>0</v>
      </c>
      <c r="AQ9" s="708">
        <v>0</v>
      </c>
      <c r="AR9" s="708">
        <v>0</v>
      </c>
      <c r="AS9" s="708">
        <v>0</v>
      </c>
      <c r="AT9" s="708">
        <v>0.6399999999999999</v>
      </c>
      <c r="AU9" s="708">
        <v>0</v>
      </c>
      <c r="AV9" s="708">
        <v>0</v>
      </c>
      <c r="AW9" s="708">
        <v>1.7000000000000002</v>
      </c>
      <c r="AX9" s="708">
        <v>6.193249999999999</v>
      </c>
      <c r="AY9" s="708">
        <v>6.63</v>
      </c>
      <c r="AZ9" s="708">
        <v>0.74</v>
      </c>
      <c r="BA9" s="708">
        <v>0</v>
      </c>
      <c r="BB9" s="708">
        <v>0</v>
      </c>
      <c r="BC9" s="708">
        <v>0</v>
      </c>
      <c r="BD9" s="708">
        <v>0</v>
      </c>
      <c r="BE9" s="708">
        <v>0</v>
      </c>
      <c r="BF9" s="708">
        <v>12.05</v>
      </c>
      <c r="BG9" s="708">
        <v>0.17</v>
      </c>
      <c r="BH9" s="708">
        <v>0.64</v>
      </c>
      <c r="BI9" s="708">
        <v>0</v>
      </c>
      <c r="BJ9" s="708">
        <v>152.65324999999999</v>
      </c>
      <c r="BK9" s="708">
        <v>-102.57324999999999</v>
      </c>
      <c r="BL9" s="708">
        <v>0</v>
      </c>
      <c r="BM9" s="708">
        <v>2650.2067500000007</v>
      </c>
      <c r="BN9" s="709"/>
    </row>
    <row r="10" spans="1:67" s="710" customFormat="1" ht="27" hidden="1" customHeight="1">
      <c r="A10" s="711" t="s">
        <v>193</v>
      </c>
      <c r="B10" s="712" t="s">
        <v>142</v>
      </c>
      <c r="C10" s="714" t="s">
        <v>10</v>
      </c>
      <c r="D10" s="707">
        <v>0</v>
      </c>
      <c r="E10" s="708">
        <v>0</v>
      </c>
      <c r="F10" s="708">
        <v>0</v>
      </c>
      <c r="G10" s="708">
        <v>0</v>
      </c>
      <c r="H10" s="708">
        <v>0</v>
      </c>
      <c r="I10" s="708">
        <v>0</v>
      </c>
      <c r="J10" s="708">
        <v>0</v>
      </c>
      <c r="K10" s="708">
        <v>0</v>
      </c>
      <c r="L10" s="708">
        <v>0</v>
      </c>
      <c r="M10" s="708">
        <v>0</v>
      </c>
      <c r="N10" s="708">
        <v>0</v>
      </c>
      <c r="O10" s="708">
        <v>0</v>
      </c>
      <c r="P10" s="708">
        <v>0</v>
      </c>
      <c r="Q10" s="708">
        <v>0</v>
      </c>
      <c r="R10" s="708">
        <v>0</v>
      </c>
      <c r="S10" s="708">
        <v>0</v>
      </c>
      <c r="T10" s="708">
        <v>0</v>
      </c>
      <c r="U10" s="708">
        <v>0</v>
      </c>
      <c r="V10" s="708">
        <v>0</v>
      </c>
      <c r="W10" s="708">
        <v>0</v>
      </c>
      <c r="X10" s="708">
        <v>0</v>
      </c>
      <c r="Y10" s="708">
        <v>0</v>
      </c>
      <c r="Z10" s="708">
        <v>0</v>
      </c>
      <c r="AA10" s="708">
        <v>0</v>
      </c>
      <c r="AB10" s="708">
        <v>0</v>
      </c>
      <c r="AC10" s="708">
        <v>0</v>
      </c>
      <c r="AD10" s="708">
        <v>0</v>
      </c>
      <c r="AE10" s="708">
        <v>0</v>
      </c>
      <c r="AF10" s="708">
        <v>0</v>
      </c>
      <c r="AG10" s="708">
        <v>0</v>
      </c>
      <c r="AH10" s="708">
        <v>0</v>
      </c>
      <c r="AI10" s="708">
        <v>0</v>
      </c>
      <c r="AJ10" s="708">
        <v>0</v>
      </c>
      <c r="AK10" s="708">
        <v>0</v>
      </c>
      <c r="AL10" s="708">
        <v>0</v>
      </c>
      <c r="AM10" s="708">
        <v>0</v>
      </c>
      <c r="AN10" s="708">
        <v>0</v>
      </c>
      <c r="AO10" s="708">
        <v>0</v>
      </c>
      <c r="AP10" s="708">
        <v>0</v>
      </c>
      <c r="AQ10" s="708">
        <v>0</v>
      </c>
      <c r="AR10" s="708">
        <v>0</v>
      </c>
      <c r="AS10" s="708">
        <v>0</v>
      </c>
      <c r="AT10" s="708">
        <v>0</v>
      </c>
      <c r="AU10" s="708">
        <v>0</v>
      </c>
      <c r="AV10" s="708">
        <v>0</v>
      </c>
      <c r="AW10" s="708">
        <v>0</v>
      </c>
      <c r="AX10" s="708">
        <v>0</v>
      </c>
      <c r="AY10" s="708">
        <v>0</v>
      </c>
      <c r="AZ10" s="708">
        <v>0</v>
      </c>
      <c r="BA10" s="708">
        <v>0</v>
      </c>
      <c r="BB10" s="708">
        <v>0</v>
      </c>
      <c r="BC10" s="708">
        <v>0</v>
      </c>
      <c r="BD10" s="708">
        <v>0</v>
      </c>
      <c r="BE10" s="708">
        <v>0</v>
      </c>
      <c r="BF10" s="708">
        <v>0</v>
      </c>
      <c r="BG10" s="708">
        <v>0</v>
      </c>
      <c r="BH10" s="708">
        <v>0</v>
      </c>
      <c r="BI10" s="708">
        <v>0</v>
      </c>
      <c r="BJ10" s="708">
        <v>0</v>
      </c>
      <c r="BK10" s="708">
        <v>0</v>
      </c>
      <c r="BL10" s="708">
        <v>0</v>
      </c>
      <c r="BM10" s="708">
        <v>0</v>
      </c>
      <c r="BN10" s="709"/>
    </row>
    <row r="11" spans="1:67" s="710" customFormat="1" ht="31.5" customHeight="1">
      <c r="A11" s="705" t="s">
        <v>9</v>
      </c>
      <c r="B11" s="715" t="s">
        <v>88</v>
      </c>
      <c r="C11" s="768" t="s">
        <v>12</v>
      </c>
      <c r="D11" s="707">
        <v>4777.9400000000005</v>
      </c>
      <c r="E11" s="708">
        <v>85.17</v>
      </c>
      <c r="F11" s="708">
        <v>50.08</v>
      </c>
      <c r="G11" s="708">
        <v>0</v>
      </c>
      <c r="H11" s="708">
        <v>50.08</v>
      </c>
      <c r="I11" s="708">
        <v>0</v>
      </c>
      <c r="J11" s="708">
        <v>4458.6047000000008</v>
      </c>
      <c r="K11" s="708">
        <v>10.299999999999999</v>
      </c>
      <c r="L11" s="708">
        <v>0</v>
      </c>
      <c r="M11" s="708">
        <v>0</v>
      </c>
      <c r="N11" s="708">
        <v>11.64</v>
      </c>
      <c r="O11" s="708">
        <v>0</v>
      </c>
      <c r="P11" s="708">
        <v>11.64</v>
      </c>
      <c r="Q11" s="708">
        <v>0</v>
      </c>
      <c r="R11" s="708">
        <v>2.6399999999999997</v>
      </c>
      <c r="S11" s="708">
        <v>0</v>
      </c>
      <c r="T11" s="708">
        <v>10.51</v>
      </c>
      <c r="U11" s="708">
        <v>234.1653</v>
      </c>
      <c r="V11" s="708">
        <v>2.31</v>
      </c>
      <c r="W11" s="708">
        <v>0.66</v>
      </c>
      <c r="X11" s="708">
        <v>0</v>
      </c>
      <c r="Y11" s="708">
        <v>11.14</v>
      </c>
      <c r="Z11" s="708">
        <v>5.7299999999999995</v>
      </c>
      <c r="AA11" s="708">
        <v>7.49</v>
      </c>
      <c r="AB11" s="708">
        <v>38.71</v>
      </c>
      <c r="AC11" s="708">
        <v>0</v>
      </c>
      <c r="AD11" s="708">
        <v>115.577</v>
      </c>
      <c r="AE11" s="708">
        <v>41.150000000000013</v>
      </c>
      <c r="AF11" s="708">
        <v>3.0599999999999996</v>
      </c>
      <c r="AG11" s="708">
        <v>1.8970000000000002</v>
      </c>
      <c r="AH11" s="708">
        <v>0.05</v>
      </c>
      <c r="AI11" s="708">
        <v>4.8900000000000006</v>
      </c>
      <c r="AJ11" s="708">
        <v>2.19</v>
      </c>
      <c r="AK11" s="708">
        <v>16.109999999999996</v>
      </c>
      <c r="AL11" s="708">
        <v>0</v>
      </c>
      <c r="AM11" s="708">
        <v>0</v>
      </c>
      <c r="AN11" s="708">
        <v>38.04</v>
      </c>
      <c r="AO11" s="708">
        <v>5.48</v>
      </c>
      <c r="AP11" s="708">
        <v>0</v>
      </c>
      <c r="AQ11" s="708">
        <v>0.35</v>
      </c>
      <c r="AR11" s="708">
        <v>0</v>
      </c>
      <c r="AS11" s="708">
        <v>0.01</v>
      </c>
      <c r="AT11" s="708">
        <v>2.3499999999999996</v>
      </c>
      <c r="AU11" s="708">
        <v>0.04</v>
      </c>
      <c r="AV11" s="708">
        <v>1.9000000000000001</v>
      </c>
      <c r="AW11" s="708">
        <v>2.2800000000000002</v>
      </c>
      <c r="AX11" s="708">
        <v>18.718300000000003</v>
      </c>
      <c r="AY11" s="708">
        <v>17.95</v>
      </c>
      <c r="AZ11" s="708">
        <v>1.4500000000000002</v>
      </c>
      <c r="BA11" s="708">
        <v>0</v>
      </c>
      <c r="BB11" s="708">
        <v>0</v>
      </c>
      <c r="BC11" s="708">
        <v>0</v>
      </c>
      <c r="BD11" s="708">
        <v>0</v>
      </c>
      <c r="BE11" s="708">
        <v>1.05</v>
      </c>
      <c r="BF11" s="708">
        <v>8.27</v>
      </c>
      <c r="BG11" s="708">
        <v>0.18</v>
      </c>
      <c r="BH11" s="708">
        <v>0.71000000000000019</v>
      </c>
      <c r="BI11" s="708">
        <v>0</v>
      </c>
      <c r="BJ11" s="708">
        <v>319.33530000000002</v>
      </c>
      <c r="BK11" s="708">
        <v>-251.65530000000001</v>
      </c>
      <c r="BL11" s="708">
        <v>0</v>
      </c>
      <c r="BM11" s="708">
        <v>4526.2847000000002</v>
      </c>
      <c r="BN11" s="709"/>
    </row>
    <row r="12" spans="1:67" s="710" customFormat="1" ht="24.75" customHeight="1">
      <c r="A12" s="705" t="s">
        <v>11</v>
      </c>
      <c r="B12" s="715" t="s">
        <v>60</v>
      </c>
      <c r="C12" s="716" t="s">
        <v>14</v>
      </c>
      <c r="D12" s="707">
        <v>1692.25</v>
      </c>
      <c r="E12" s="708">
        <v>23.130000000000003</v>
      </c>
      <c r="F12" s="708">
        <v>0</v>
      </c>
      <c r="G12" s="708">
        <v>0</v>
      </c>
      <c r="H12" s="708">
        <v>0</v>
      </c>
      <c r="I12" s="708">
        <v>0</v>
      </c>
      <c r="J12" s="708">
        <v>10.840000000000002</v>
      </c>
      <c r="K12" s="708">
        <v>1495.35213</v>
      </c>
      <c r="L12" s="708">
        <v>0</v>
      </c>
      <c r="M12" s="708">
        <v>0</v>
      </c>
      <c r="N12" s="708">
        <v>0</v>
      </c>
      <c r="O12" s="708">
        <v>0</v>
      </c>
      <c r="P12" s="708">
        <v>0</v>
      </c>
      <c r="Q12" s="708">
        <v>0</v>
      </c>
      <c r="R12" s="708">
        <v>1.4</v>
      </c>
      <c r="S12" s="708">
        <v>0</v>
      </c>
      <c r="T12" s="708">
        <v>10.89</v>
      </c>
      <c r="U12" s="708">
        <v>173.76786999999999</v>
      </c>
      <c r="V12" s="708">
        <v>0.75</v>
      </c>
      <c r="W12" s="708">
        <v>0.16</v>
      </c>
      <c r="X12" s="708">
        <v>0</v>
      </c>
      <c r="Y12" s="708">
        <v>7.54</v>
      </c>
      <c r="Z12" s="708">
        <v>6.59</v>
      </c>
      <c r="AA12" s="708">
        <v>3.65</v>
      </c>
      <c r="AB12" s="708">
        <v>24.28</v>
      </c>
      <c r="AC12" s="708">
        <v>0</v>
      </c>
      <c r="AD12" s="708">
        <v>106.041</v>
      </c>
      <c r="AE12" s="708">
        <v>22.511000000000003</v>
      </c>
      <c r="AF12" s="708">
        <v>1.5400000000000003</v>
      </c>
      <c r="AG12" s="708">
        <v>0.69000000000000006</v>
      </c>
      <c r="AH12" s="708">
        <v>0.05</v>
      </c>
      <c r="AI12" s="708">
        <v>2.4799999999999995</v>
      </c>
      <c r="AJ12" s="708">
        <v>1.8999999999999997</v>
      </c>
      <c r="AK12" s="708">
        <v>11.120000000000001</v>
      </c>
      <c r="AL12" s="708">
        <v>0.04</v>
      </c>
      <c r="AM12" s="708">
        <v>0</v>
      </c>
      <c r="AN12" s="708">
        <v>62.48</v>
      </c>
      <c r="AO12" s="708">
        <v>2.0699999999999998</v>
      </c>
      <c r="AP12" s="708">
        <v>0</v>
      </c>
      <c r="AQ12" s="708">
        <v>0</v>
      </c>
      <c r="AR12" s="708">
        <v>0</v>
      </c>
      <c r="AS12" s="708">
        <v>0</v>
      </c>
      <c r="AT12" s="708">
        <v>1.1600000000000001</v>
      </c>
      <c r="AU12" s="708">
        <v>0.61</v>
      </c>
      <c r="AV12" s="708">
        <v>0.01</v>
      </c>
      <c r="AW12" s="708">
        <v>1.6800000000000002</v>
      </c>
      <c r="AX12" s="708">
        <v>13.57687</v>
      </c>
      <c r="AY12" s="708">
        <v>5.9399999999999995</v>
      </c>
      <c r="AZ12" s="708">
        <v>0.68</v>
      </c>
      <c r="BA12" s="708">
        <v>0</v>
      </c>
      <c r="BB12" s="708">
        <v>0</v>
      </c>
      <c r="BC12" s="708">
        <v>0</v>
      </c>
      <c r="BD12" s="708">
        <v>0</v>
      </c>
      <c r="BE12" s="708">
        <v>0.02</v>
      </c>
      <c r="BF12" s="708">
        <v>2.2400000000000002</v>
      </c>
      <c r="BG12" s="708">
        <v>0</v>
      </c>
      <c r="BH12" s="708">
        <v>0</v>
      </c>
      <c r="BI12" s="708">
        <v>0</v>
      </c>
      <c r="BJ12" s="708">
        <v>196.89786999999998</v>
      </c>
      <c r="BK12" s="708">
        <v>874.15213000000017</v>
      </c>
      <c r="BL12" s="708">
        <v>0</v>
      </c>
      <c r="BM12" s="708">
        <v>2566.4021300000004</v>
      </c>
      <c r="BN12" s="709"/>
    </row>
    <row r="13" spans="1:67" s="710" customFormat="1" ht="24.75" customHeight="1">
      <c r="A13" s="705" t="s">
        <v>13</v>
      </c>
      <c r="B13" s="715" t="s">
        <v>61</v>
      </c>
      <c r="C13" s="768" t="s">
        <v>16</v>
      </c>
      <c r="D13" s="707">
        <v>9814.9499999999989</v>
      </c>
      <c r="E13" s="708">
        <v>0</v>
      </c>
      <c r="F13" s="708">
        <v>0</v>
      </c>
      <c r="G13" s="708">
        <v>0</v>
      </c>
      <c r="H13" s="708">
        <v>0</v>
      </c>
      <c r="I13" s="708">
        <v>0</v>
      </c>
      <c r="J13" s="708">
        <v>0</v>
      </c>
      <c r="K13" s="708">
        <v>0</v>
      </c>
      <c r="L13" s="708">
        <v>9571.9</v>
      </c>
      <c r="M13" s="708">
        <v>0</v>
      </c>
      <c r="N13" s="708">
        <v>0</v>
      </c>
      <c r="O13" s="708">
        <v>0</v>
      </c>
      <c r="P13" s="708">
        <v>0</v>
      </c>
      <c r="Q13" s="708">
        <v>0</v>
      </c>
      <c r="R13" s="708">
        <v>0</v>
      </c>
      <c r="S13" s="708">
        <v>0</v>
      </c>
      <c r="T13" s="708">
        <v>0</v>
      </c>
      <c r="U13" s="708">
        <v>243.04999999999998</v>
      </c>
      <c r="V13" s="708">
        <v>0</v>
      </c>
      <c r="W13" s="708">
        <v>0</v>
      </c>
      <c r="X13" s="708">
        <v>0</v>
      </c>
      <c r="Y13" s="708">
        <v>0</v>
      </c>
      <c r="Z13" s="708">
        <v>0.47000000000000003</v>
      </c>
      <c r="AA13" s="708">
        <v>0</v>
      </c>
      <c r="AB13" s="708">
        <v>0</v>
      </c>
      <c r="AC13" s="708">
        <v>0</v>
      </c>
      <c r="AD13" s="708">
        <v>240.32</v>
      </c>
      <c r="AE13" s="708">
        <v>5.12</v>
      </c>
      <c r="AF13" s="708">
        <v>0</v>
      </c>
      <c r="AG13" s="708">
        <v>0.1</v>
      </c>
      <c r="AH13" s="708">
        <v>0</v>
      </c>
      <c r="AI13" s="708">
        <v>0.4</v>
      </c>
      <c r="AJ13" s="708">
        <v>0</v>
      </c>
      <c r="AK13" s="708">
        <v>22.51</v>
      </c>
      <c r="AL13" s="708">
        <v>0.33999999999999997</v>
      </c>
      <c r="AM13" s="708">
        <v>0</v>
      </c>
      <c r="AN13" s="708">
        <v>211.25</v>
      </c>
      <c r="AO13" s="708">
        <v>0</v>
      </c>
      <c r="AP13" s="708">
        <v>0</v>
      </c>
      <c r="AQ13" s="708">
        <v>0</v>
      </c>
      <c r="AR13" s="708">
        <v>0</v>
      </c>
      <c r="AS13" s="708">
        <v>0</v>
      </c>
      <c r="AT13" s="708">
        <v>0.6</v>
      </c>
      <c r="AU13" s="708">
        <v>0</v>
      </c>
      <c r="AV13" s="708">
        <v>0</v>
      </c>
      <c r="AW13" s="708">
        <v>0</v>
      </c>
      <c r="AX13" s="708">
        <v>0.01</v>
      </c>
      <c r="AY13" s="708">
        <v>0</v>
      </c>
      <c r="AZ13" s="708">
        <v>2.0499999999999998</v>
      </c>
      <c r="BA13" s="708">
        <v>0.2</v>
      </c>
      <c r="BB13" s="708">
        <v>0</v>
      </c>
      <c r="BC13" s="708">
        <v>0</v>
      </c>
      <c r="BD13" s="708">
        <v>0</v>
      </c>
      <c r="BE13" s="708">
        <v>0</v>
      </c>
      <c r="BF13" s="708">
        <v>0</v>
      </c>
      <c r="BG13" s="708">
        <v>0</v>
      </c>
      <c r="BH13" s="708">
        <v>0</v>
      </c>
      <c r="BI13" s="708">
        <v>0</v>
      </c>
      <c r="BJ13" s="708">
        <v>243.04999999999998</v>
      </c>
      <c r="BK13" s="708">
        <v>-85.050000000000011</v>
      </c>
      <c r="BL13" s="708">
        <v>0</v>
      </c>
      <c r="BM13" s="708">
        <v>9729.9</v>
      </c>
      <c r="BN13" s="709"/>
    </row>
    <row r="14" spans="1:67" s="710" customFormat="1" ht="24.75" customHeight="1">
      <c r="A14" s="705" t="s">
        <v>15</v>
      </c>
      <c r="B14" s="715" t="s">
        <v>62</v>
      </c>
      <c r="C14" s="716" t="s">
        <v>17</v>
      </c>
      <c r="D14" s="707">
        <v>2219</v>
      </c>
      <c r="E14" s="708">
        <v>7.2</v>
      </c>
      <c r="F14" s="708">
        <v>0</v>
      </c>
      <c r="G14" s="708">
        <v>0</v>
      </c>
      <c r="H14" s="708">
        <v>0</v>
      </c>
      <c r="I14" s="708">
        <v>0</v>
      </c>
      <c r="J14" s="708">
        <v>0</v>
      </c>
      <c r="K14" s="708">
        <v>0</v>
      </c>
      <c r="L14" s="708">
        <v>7.2</v>
      </c>
      <c r="M14" s="708">
        <v>2208.1999999999998</v>
      </c>
      <c r="N14" s="708">
        <v>0</v>
      </c>
      <c r="O14" s="708">
        <v>0</v>
      </c>
      <c r="P14" s="708">
        <v>0</v>
      </c>
      <c r="Q14" s="708">
        <v>0</v>
      </c>
      <c r="R14" s="708">
        <v>0</v>
      </c>
      <c r="S14" s="708">
        <v>0</v>
      </c>
      <c r="T14" s="708">
        <v>0</v>
      </c>
      <c r="U14" s="708">
        <v>3.6</v>
      </c>
      <c r="V14" s="708">
        <v>0</v>
      </c>
      <c r="W14" s="708">
        <v>0</v>
      </c>
      <c r="X14" s="708">
        <v>0</v>
      </c>
      <c r="Y14" s="708">
        <v>0</v>
      </c>
      <c r="Z14" s="708">
        <v>0</v>
      </c>
      <c r="AA14" s="708">
        <v>0</v>
      </c>
      <c r="AB14" s="708">
        <v>0</v>
      </c>
      <c r="AC14" s="708">
        <v>0</v>
      </c>
      <c r="AD14" s="708">
        <v>3.6</v>
      </c>
      <c r="AE14" s="708">
        <v>3.6</v>
      </c>
      <c r="AF14" s="708">
        <v>0</v>
      </c>
      <c r="AG14" s="708">
        <v>0</v>
      </c>
      <c r="AH14" s="708">
        <v>0</v>
      </c>
      <c r="AI14" s="708">
        <v>0</v>
      </c>
      <c r="AJ14" s="708">
        <v>0</v>
      </c>
      <c r="AK14" s="708">
        <v>0</v>
      </c>
      <c r="AL14" s="708">
        <v>0</v>
      </c>
      <c r="AM14" s="708">
        <v>0</v>
      </c>
      <c r="AN14" s="708">
        <v>0</v>
      </c>
      <c r="AO14" s="708">
        <v>0</v>
      </c>
      <c r="AP14" s="708">
        <v>0</v>
      </c>
      <c r="AQ14" s="708">
        <v>0</v>
      </c>
      <c r="AR14" s="708">
        <v>0</v>
      </c>
      <c r="AS14" s="708">
        <v>0</v>
      </c>
      <c r="AT14" s="708">
        <v>0</v>
      </c>
      <c r="AU14" s="708">
        <v>0</v>
      </c>
      <c r="AV14" s="708">
        <v>0</v>
      </c>
      <c r="AW14" s="708">
        <v>0</v>
      </c>
      <c r="AX14" s="708">
        <v>0</v>
      </c>
      <c r="AY14" s="708">
        <v>0</v>
      </c>
      <c r="AZ14" s="708">
        <v>0</v>
      </c>
      <c r="BA14" s="708">
        <v>0</v>
      </c>
      <c r="BB14" s="708">
        <v>0</v>
      </c>
      <c r="BC14" s="708">
        <v>0</v>
      </c>
      <c r="BD14" s="708">
        <v>0</v>
      </c>
      <c r="BE14" s="708">
        <v>0</v>
      </c>
      <c r="BF14" s="708">
        <v>0</v>
      </c>
      <c r="BG14" s="708">
        <v>0</v>
      </c>
      <c r="BH14" s="708">
        <v>0</v>
      </c>
      <c r="BI14" s="708">
        <v>0</v>
      </c>
      <c r="BJ14" s="708">
        <v>10.8</v>
      </c>
      <c r="BK14" s="708">
        <v>-10.8</v>
      </c>
      <c r="BL14" s="708">
        <v>0</v>
      </c>
      <c r="BM14" s="708">
        <v>2208.1999999999998</v>
      </c>
      <c r="BN14" s="709"/>
    </row>
    <row r="15" spans="1:67" s="710" customFormat="1" ht="24.75" customHeight="1">
      <c r="A15" s="705" t="s">
        <v>64</v>
      </c>
      <c r="B15" s="715" t="s">
        <v>63</v>
      </c>
      <c r="C15" s="716" t="s">
        <v>18</v>
      </c>
      <c r="D15" s="707">
        <v>64030.86</v>
      </c>
      <c r="E15" s="708">
        <v>1554.17</v>
      </c>
      <c r="F15" s="708">
        <v>0</v>
      </c>
      <c r="G15" s="708">
        <v>0</v>
      </c>
      <c r="H15" s="708">
        <v>0</v>
      </c>
      <c r="I15" s="708">
        <v>0</v>
      </c>
      <c r="J15" s="708">
        <v>44.65</v>
      </c>
      <c r="K15" s="708">
        <v>1056.6200000000001</v>
      </c>
      <c r="L15" s="708">
        <v>150.79999999999998</v>
      </c>
      <c r="M15" s="708">
        <v>0</v>
      </c>
      <c r="N15" s="708">
        <v>61675.924100000004</v>
      </c>
      <c r="O15" s="708">
        <v>11.65</v>
      </c>
      <c r="P15" s="708">
        <v>0</v>
      </c>
      <c r="Q15" s="708">
        <v>0</v>
      </c>
      <c r="R15" s="708">
        <v>1.59</v>
      </c>
      <c r="S15" s="708">
        <v>0</v>
      </c>
      <c r="T15" s="708">
        <v>300.51</v>
      </c>
      <c r="U15" s="708">
        <v>800.76589999999999</v>
      </c>
      <c r="V15" s="708">
        <v>110.22</v>
      </c>
      <c r="W15" s="708">
        <v>10.99</v>
      </c>
      <c r="X15" s="708">
        <v>0</v>
      </c>
      <c r="Y15" s="708">
        <v>74.94</v>
      </c>
      <c r="Z15" s="708">
        <v>35.03</v>
      </c>
      <c r="AA15" s="708">
        <v>23.38</v>
      </c>
      <c r="AB15" s="708">
        <v>55.44</v>
      </c>
      <c r="AC15" s="708">
        <v>0</v>
      </c>
      <c r="AD15" s="708">
        <v>433.25</v>
      </c>
      <c r="AE15" s="708">
        <v>176.24</v>
      </c>
      <c r="AF15" s="708">
        <v>6.3599999999999994</v>
      </c>
      <c r="AG15" s="708">
        <v>2.38</v>
      </c>
      <c r="AH15" s="708">
        <v>0.22</v>
      </c>
      <c r="AI15" s="708">
        <v>6.4399999999999986</v>
      </c>
      <c r="AJ15" s="708">
        <v>8.7099999999999991</v>
      </c>
      <c r="AK15" s="708">
        <v>85.579999999999984</v>
      </c>
      <c r="AL15" s="708">
        <v>0.41999999999999993</v>
      </c>
      <c r="AM15" s="708">
        <v>0</v>
      </c>
      <c r="AN15" s="708">
        <v>71.070000000000007</v>
      </c>
      <c r="AO15" s="708">
        <v>49.949999999999996</v>
      </c>
      <c r="AP15" s="708">
        <v>0</v>
      </c>
      <c r="AQ15" s="708">
        <v>20.59</v>
      </c>
      <c r="AR15" s="708">
        <v>0</v>
      </c>
      <c r="AS15" s="708">
        <v>3.25</v>
      </c>
      <c r="AT15" s="708">
        <v>2.04</v>
      </c>
      <c r="AU15" s="708">
        <v>1.02</v>
      </c>
      <c r="AV15" s="708">
        <v>3.37</v>
      </c>
      <c r="AW15" s="708">
        <v>1.92</v>
      </c>
      <c r="AX15" s="708">
        <v>25.120899999999999</v>
      </c>
      <c r="AY15" s="708">
        <v>7.93</v>
      </c>
      <c r="AZ15" s="708">
        <v>3.42</v>
      </c>
      <c r="BA15" s="708">
        <v>0</v>
      </c>
      <c r="BB15" s="708">
        <v>0</v>
      </c>
      <c r="BC15" s="708">
        <v>0</v>
      </c>
      <c r="BD15" s="708">
        <v>0</v>
      </c>
      <c r="BE15" s="708">
        <v>0.28500000000000003</v>
      </c>
      <c r="BF15" s="708">
        <v>5.43</v>
      </c>
      <c r="BG15" s="708">
        <v>0</v>
      </c>
      <c r="BH15" s="708">
        <v>9.0199999999999978</v>
      </c>
      <c r="BI15" s="708">
        <v>0</v>
      </c>
      <c r="BJ15" s="708">
        <v>2354.9359000000004</v>
      </c>
      <c r="BK15" s="708">
        <v>-2247.0559000000003</v>
      </c>
      <c r="BL15" s="708">
        <v>0</v>
      </c>
      <c r="BM15" s="708">
        <v>61783.804100000001</v>
      </c>
      <c r="BN15" s="709"/>
    </row>
    <row r="16" spans="1:67" s="710" customFormat="1" ht="27" customHeight="1">
      <c r="A16" s="711" t="s">
        <v>193</v>
      </c>
      <c r="B16" s="712" t="s">
        <v>2893</v>
      </c>
      <c r="C16" s="769" t="s">
        <v>187</v>
      </c>
      <c r="D16" s="707">
        <v>5538.4</v>
      </c>
      <c r="E16" s="708">
        <v>0</v>
      </c>
      <c r="F16" s="708">
        <v>0</v>
      </c>
      <c r="G16" s="708">
        <v>0</v>
      </c>
      <c r="H16" s="708">
        <v>0</v>
      </c>
      <c r="I16" s="708">
        <v>0</v>
      </c>
      <c r="J16" s="708">
        <v>0</v>
      </c>
      <c r="K16" s="708">
        <v>0</v>
      </c>
      <c r="L16" s="708">
        <v>0</v>
      </c>
      <c r="M16" s="708">
        <v>0</v>
      </c>
      <c r="N16" s="708">
        <v>0</v>
      </c>
      <c r="O16" s="708">
        <v>5520.75</v>
      </c>
      <c r="P16" s="708">
        <v>0</v>
      </c>
      <c r="Q16" s="708">
        <v>0</v>
      </c>
      <c r="R16" s="708">
        <v>0</v>
      </c>
      <c r="S16" s="708">
        <v>0</v>
      </c>
      <c r="T16" s="708">
        <v>0</v>
      </c>
      <c r="U16" s="708">
        <v>17.649999999999999</v>
      </c>
      <c r="V16" s="708">
        <v>2.5</v>
      </c>
      <c r="W16" s="708">
        <v>0</v>
      </c>
      <c r="X16" s="708">
        <v>0</v>
      </c>
      <c r="Y16" s="708">
        <v>0</v>
      </c>
      <c r="Z16" s="708">
        <v>0</v>
      </c>
      <c r="AA16" s="708">
        <v>0</v>
      </c>
      <c r="AB16" s="708">
        <v>0</v>
      </c>
      <c r="AC16" s="708">
        <v>0</v>
      </c>
      <c r="AD16" s="708">
        <v>15.15</v>
      </c>
      <c r="AE16" s="708">
        <v>0</v>
      </c>
      <c r="AF16" s="708">
        <v>0</v>
      </c>
      <c r="AG16" s="708">
        <v>0.09</v>
      </c>
      <c r="AH16" s="708">
        <v>0</v>
      </c>
      <c r="AI16" s="708">
        <v>0</v>
      </c>
      <c r="AJ16" s="708">
        <v>0</v>
      </c>
      <c r="AK16" s="708">
        <v>11.41</v>
      </c>
      <c r="AL16" s="708">
        <v>0</v>
      </c>
      <c r="AM16" s="708">
        <v>0</v>
      </c>
      <c r="AN16" s="708">
        <v>3.6500000000000004</v>
      </c>
      <c r="AO16" s="708">
        <v>0</v>
      </c>
      <c r="AP16" s="708">
        <v>0</v>
      </c>
      <c r="AQ16" s="708">
        <v>0</v>
      </c>
      <c r="AR16" s="708">
        <v>0</v>
      </c>
      <c r="AS16" s="708">
        <v>0</v>
      </c>
      <c r="AT16" s="708">
        <v>0</v>
      </c>
      <c r="AU16" s="708">
        <v>0</v>
      </c>
      <c r="AV16" s="708">
        <v>0</v>
      </c>
      <c r="AW16" s="708">
        <v>0</v>
      </c>
      <c r="AX16" s="708">
        <v>0</v>
      </c>
      <c r="AY16" s="708">
        <v>0</v>
      </c>
      <c r="AZ16" s="708">
        <v>0</v>
      </c>
      <c r="BA16" s="708">
        <v>0</v>
      </c>
      <c r="BB16" s="708">
        <v>0</v>
      </c>
      <c r="BC16" s="708">
        <v>0</v>
      </c>
      <c r="BD16" s="708">
        <v>0</v>
      </c>
      <c r="BE16" s="708">
        <v>0</v>
      </c>
      <c r="BF16" s="708">
        <v>0</v>
      </c>
      <c r="BG16" s="708">
        <v>0</v>
      </c>
      <c r="BH16" s="708">
        <v>0</v>
      </c>
      <c r="BI16" s="708">
        <v>0</v>
      </c>
      <c r="BJ16" s="708">
        <v>17.649999999999999</v>
      </c>
      <c r="BK16" s="708">
        <v>-5.9999999999999982</v>
      </c>
      <c r="BL16" s="708">
        <v>0</v>
      </c>
      <c r="BM16" s="708">
        <v>5532.4</v>
      </c>
      <c r="BN16" s="709"/>
    </row>
    <row r="17" spans="1:69" s="710" customFormat="1" ht="27" hidden="1" customHeight="1">
      <c r="A17" s="711"/>
      <c r="B17" s="712" t="s">
        <v>2894</v>
      </c>
      <c r="C17" s="769" t="s">
        <v>188</v>
      </c>
      <c r="D17" s="707">
        <v>58492.46</v>
      </c>
      <c r="E17" s="708">
        <v>1554.17</v>
      </c>
      <c r="F17" s="708">
        <v>0</v>
      </c>
      <c r="G17" s="708">
        <v>0</v>
      </c>
      <c r="H17" s="708">
        <v>0</v>
      </c>
      <c r="I17" s="708">
        <v>0</v>
      </c>
      <c r="J17" s="708">
        <v>44.65</v>
      </c>
      <c r="K17" s="708">
        <v>1056.6200000000001</v>
      </c>
      <c r="L17" s="708">
        <v>150.79999999999998</v>
      </c>
      <c r="M17" s="708">
        <v>0</v>
      </c>
      <c r="N17" s="708">
        <v>11.65</v>
      </c>
      <c r="O17" s="708">
        <v>11.65</v>
      </c>
      <c r="P17" s="708">
        <v>56143.524099999995</v>
      </c>
      <c r="Q17" s="708">
        <v>0</v>
      </c>
      <c r="R17" s="708">
        <v>1.59</v>
      </c>
      <c r="S17" s="708">
        <v>0</v>
      </c>
      <c r="T17" s="708">
        <v>300.51</v>
      </c>
      <c r="U17" s="708">
        <v>783.11590000000001</v>
      </c>
      <c r="V17" s="708">
        <v>107.72</v>
      </c>
      <c r="W17" s="708">
        <v>10.99</v>
      </c>
      <c r="X17" s="708">
        <v>0</v>
      </c>
      <c r="Y17" s="708">
        <v>74.94</v>
      </c>
      <c r="Z17" s="708">
        <v>35.03</v>
      </c>
      <c r="AA17" s="708">
        <v>23.38</v>
      </c>
      <c r="AB17" s="708">
        <v>55.44</v>
      </c>
      <c r="AC17" s="708">
        <v>0</v>
      </c>
      <c r="AD17" s="708">
        <v>418.1</v>
      </c>
      <c r="AE17" s="708">
        <v>176.24</v>
      </c>
      <c r="AF17" s="708">
        <v>6.3599999999999994</v>
      </c>
      <c r="AG17" s="708">
        <v>2.29</v>
      </c>
      <c r="AH17" s="708">
        <v>0.22</v>
      </c>
      <c r="AI17" s="708">
        <v>6.4399999999999986</v>
      </c>
      <c r="AJ17" s="708">
        <v>8.7099999999999991</v>
      </c>
      <c r="AK17" s="708">
        <v>74.169999999999987</v>
      </c>
      <c r="AL17" s="708">
        <v>0.41999999999999993</v>
      </c>
      <c r="AM17" s="708">
        <v>0</v>
      </c>
      <c r="AN17" s="708">
        <v>67.42</v>
      </c>
      <c r="AO17" s="708">
        <v>49.949999999999996</v>
      </c>
      <c r="AP17" s="708">
        <v>0</v>
      </c>
      <c r="AQ17" s="708">
        <v>20.59</v>
      </c>
      <c r="AR17" s="708">
        <v>0</v>
      </c>
      <c r="AS17" s="708">
        <v>3.25</v>
      </c>
      <c r="AT17" s="708">
        <v>2.04</v>
      </c>
      <c r="AU17" s="708">
        <v>1.02</v>
      </c>
      <c r="AV17" s="708">
        <v>3.37</v>
      </c>
      <c r="AW17" s="708">
        <v>1.92</v>
      </c>
      <c r="AX17" s="708">
        <v>25.120899999999999</v>
      </c>
      <c r="AY17" s="708">
        <v>7.93</v>
      </c>
      <c r="AZ17" s="708">
        <v>3.42</v>
      </c>
      <c r="BA17" s="708">
        <v>0</v>
      </c>
      <c r="BB17" s="708">
        <v>0</v>
      </c>
      <c r="BC17" s="708">
        <v>0</v>
      </c>
      <c r="BD17" s="708">
        <v>0</v>
      </c>
      <c r="BE17" s="708">
        <v>0.28500000000000003</v>
      </c>
      <c r="BF17" s="708">
        <v>5.43</v>
      </c>
      <c r="BG17" s="708">
        <v>0</v>
      </c>
      <c r="BH17" s="708">
        <v>9.0199999999999978</v>
      </c>
      <c r="BI17" s="708">
        <v>0</v>
      </c>
      <c r="BJ17" s="708">
        <v>2348.9359000000004</v>
      </c>
      <c r="BK17" s="708">
        <v>-2241.0559000000003</v>
      </c>
      <c r="BL17" s="708">
        <v>0</v>
      </c>
      <c r="BM17" s="708">
        <v>56251.4041</v>
      </c>
      <c r="BN17" s="709"/>
    </row>
    <row r="18" spans="1:69" s="710" customFormat="1" ht="27" hidden="1" customHeight="1">
      <c r="A18" s="711"/>
      <c r="B18" s="712" t="s">
        <v>196</v>
      </c>
      <c r="C18" s="769" t="s">
        <v>189</v>
      </c>
      <c r="D18" s="707">
        <v>0</v>
      </c>
      <c r="E18" s="708">
        <v>0</v>
      </c>
      <c r="F18" s="708">
        <v>0</v>
      </c>
      <c r="G18" s="708">
        <v>0</v>
      </c>
      <c r="H18" s="708">
        <v>0</v>
      </c>
      <c r="I18" s="708">
        <v>0</v>
      </c>
      <c r="J18" s="708">
        <v>0</v>
      </c>
      <c r="K18" s="708">
        <v>0</v>
      </c>
      <c r="L18" s="708">
        <v>0</v>
      </c>
      <c r="M18" s="708">
        <v>0</v>
      </c>
      <c r="N18" s="708">
        <v>0</v>
      </c>
      <c r="O18" s="708">
        <v>0</v>
      </c>
      <c r="P18" s="708">
        <v>0</v>
      </c>
      <c r="Q18" s="708">
        <v>0</v>
      </c>
      <c r="R18" s="708">
        <v>0</v>
      </c>
      <c r="S18" s="708">
        <v>0</v>
      </c>
      <c r="T18" s="708">
        <v>0</v>
      </c>
      <c r="U18" s="708">
        <v>0</v>
      </c>
      <c r="V18" s="708">
        <v>0</v>
      </c>
      <c r="W18" s="708">
        <v>0</v>
      </c>
      <c r="X18" s="708">
        <v>0</v>
      </c>
      <c r="Y18" s="708">
        <v>0</v>
      </c>
      <c r="Z18" s="708">
        <v>0</v>
      </c>
      <c r="AA18" s="708">
        <v>0</v>
      </c>
      <c r="AB18" s="708">
        <v>0</v>
      </c>
      <c r="AC18" s="708">
        <v>0</v>
      </c>
      <c r="AD18" s="708">
        <v>0</v>
      </c>
      <c r="AE18" s="708">
        <v>0</v>
      </c>
      <c r="AF18" s="708">
        <v>0</v>
      </c>
      <c r="AG18" s="708">
        <v>0</v>
      </c>
      <c r="AH18" s="708">
        <v>0</v>
      </c>
      <c r="AI18" s="708">
        <v>0</v>
      </c>
      <c r="AJ18" s="708">
        <v>0</v>
      </c>
      <c r="AK18" s="708">
        <v>0</v>
      </c>
      <c r="AL18" s="708">
        <v>0</v>
      </c>
      <c r="AM18" s="708">
        <v>0</v>
      </c>
      <c r="AN18" s="708">
        <v>0</v>
      </c>
      <c r="AO18" s="708">
        <v>0</v>
      </c>
      <c r="AP18" s="708">
        <v>0</v>
      </c>
      <c r="AQ18" s="708">
        <v>0</v>
      </c>
      <c r="AR18" s="708">
        <v>0</v>
      </c>
      <c r="AS18" s="708">
        <v>0</v>
      </c>
      <c r="AT18" s="708">
        <v>0</v>
      </c>
      <c r="AU18" s="708">
        <v>0</v>
      </c>
      <c r="AV18" s="708">
        <v>0</v>
      </c>
      <c r="AW18" s="708">
        <v>0</v>
      </c>
      <c r="AX18" s="708">
        <v>0</v>
      </c>
      <c r="AY18" s="708">
        <v>0</v>
      </c>
      <c r="AZ18" s="708">
        <v>0</v>
      </c>
      <c r="BA18" s="708">
        <v>0</v>
      </c>
      <c r="BB18" s="708">
        <v>0</v>
      </c>
      <c r="BC18" s="708">
        <v>0</v>
      </c>
      <c r="BD18" s="708">
        <v>0</v>
      </c>
      <c r="BE18" s="708">
        <v>0</v>
      </c>
      <c r="BF18" s="708">
        <v>0</v>
      </c>
      <c r="BG18" s="708">
        <v>0</v>
      </c>
      <c r="BH18" s="708">
        <v>0</v>
      </c>
      <c r="BI18" s="708">
        <v>0</v>
      </c>
      <c r="BJ18" s="708">
        <v>0</v>
      </c>
      <c r="BK18" s="708">
        <v>0</v>
      </c>
      <c r="BL18" s="708">
        <v>0</v>
      </c>
      <c r="BM18" s="708">
        <v>0</v>
      </c>
      <c r="BN18" s="709"/>
    </row>
    <row r="19" spans="1:69" s="710" customFormat="1" ht="24" customHeight="1">
      <c r="A19" s="705" t="s">
        <v>73</v>
      </c>
      <c r="B19" s="715" t="s">
        <v>2882</v>
      </c>
      <c r="C19" s="716" t="s">
        <v>19</v>
      </c>
      <c r="D19" s="707">
        <v>288.79000000000002</v>
      </c>
      <c r="E19" s="708">
        <v>2.4800000000000004</v>
      </c>
      <c r="F19" s="708">
        <v>0</v>
      </c>
      <c r="G19" s="708">
        <v>0</v>
      </c>
      <c r="H19" s="708">
        <v>0</v>
      </c>
      <c r="I19" s="708">
        <v>0</v>
      </c>
      <c r="J19" s="708">
        <v>0.8</v>
      </c>
      <c r="K19" s="708">
        <v>0.73000000000000009</v>
      </c>
      <c r="L19" s="708">
        <v>0</v>
      </c>
      <c r="M19" s="708">
        <v>0</v>
      </c>
      <c r="N19" s="708">
        <v>0</v>
      </c>
      <c r="O19" s="708">
        <v>0</v>
      </c>
      <c r="P19" s="708">
        <v>0</v>
      </c>
      <c r="Q19" s="708">
        <v>0</v>
      </c>
      <c r="R19" s="708">
        <v>268.65000000000003</v>
      </c>
      <c r="S19" s="708">
        <v>0</v>
      </c>
      <c r="T19" s="708">
        <v>0.95000000000000007</v>
      </c>
      <c r="U19" s="708">
        <v>17.66</v>
      </c>
      <c r="V19" s="708">
        <v>0.05</v>
      </c>
      <c r="W19" s="708">
        <v>0.01</v>
      </c>
      <c r="X19" s="708">
        <v>0</v>
      </c>
      <c r="Y19" s="708">
        <v>1.93</v>
      </c>
      <c r="Z19" s="708">
        <v>1.1900000000000002</v>
      </c>
      <c r="AA19" s="708">
        <v>0.48</v>
      </c>
      <c r="AB19" s="708">
        <v>3.19</v>
      </c>
      <c r="AC19" s="708">
        <v>0</v>
      </c>
      <c r="AD19" s="708">
        <v>3.43</v>
      </c>
      <c r="AE19" s="708">
        <v>1.2700000000000002</v>
      </c>
      <c r="AF19" s="708">
        <v>0.21000000000000002</v>
      </c>
      <c r="AG19" s="708">
        <v>0.15</v>
      </c>
      <c r="AH19" s="708">
        <v>0</v>
      </c>
      <c r="AI19" s="708">
        <v>0.59000000000000008</v>
      </c>
      <c r="AJ19" s="708">
        <v>0.03</v>
      </c>
      <c r="AK19" s="708">
        <v>0.02</v>
      </c>
      <c r="AL19" s="708">
        <v>0</v>
      </c>
      <c r="AM19" s="708">
        <v>0</v>
      </c>
      <c r="AN19" s="708">
        <v>0.51</v>
      </c>
      <c r="AO19" s="708">
        <v>0.35000000000000003</v>
      </c>
      <c r="AP19" s="708">
        <v>0</v>
      </c>
      <c r="AQ19" s="708">
        <v>0</v>
      </c>
      <c r="AR19" s="708">
        <v>0</v>
      </c>
      <c r="AS19" s="708">
        <v>0</v>
      </c>
      <c r="AT19" s="708">
        <v>0.3</v>
      </c>
      <c r="AU19" s="708">
        <v>0</v>
      </c>
      <c r="AV19" s="708">
        <v>0</v>
      </c>
      <c r="AW19" s="708">
        <v>0.15</v>
      </c>
      <c r="AX19" s="708">
        <v>4.8899999999999997</v>
      </c>
      <c r="AY19" s="708">
        <v>1.35</v>
      </c>
      <c r="AZ19" s="708">
        <v>0</v>
      </c>
      <c r="BA19" s="708">
        <v>0</v>
      </c>
      <c r="BB19" s="708">
        <v>0</v>
      </c>
      <c r="BC19" s="708">
        <v>0</v>
      </c>
      <c r="BD19" s="708">
        <v>0</v>
      </c>
      <c r="BE19" s="708">
        <v>0.05</v>
      </c>
      <c r="BF19" s="708">
        <v>0.82</v>
      </c>
      <c r="BG19" s="708">
        <v>0.02</v>
      </c>
      <c r="BH19" s="708">
        <v>0.1</v>
      </c>
      <c r="BI19" s="708">
        <v>0</v>
      </c>
      <c r="BJ19" s="708">
        <v>20.14</v>
      </c>
      <c r="BK19" s="708">
        <v>-13.32</v>
      </c>
      <c r="BL19" s="708">
        <v>0</v>
      </c>
      <c r="BM19" s="708">
        <v>275.47000000000003</v>
      </c>
      <c r="BN19" s="709"/>
    </row>
    <row r="20" spans="1:69" s="710" customFormat="1" ht="24" customHeight="1">
      <c r="A20" s="705" t="s">
        <v>86</v>
      </c>
      <c r="B20" s="715" t="s">
        <v>2749</v>
      </c>
      <c r="C20" s="716" t="s">
        <v>2752</v>
      </c>
      <c r="D20" s="707">
        <v>0</v>
      </c>
      <c r="E20" s="708">
        <v>0</v>
      </c>
      <c r="F20" s="708">
        <v>0</v>
      </c>
      <c r="G20" s="708">
        <v>0</v>
      </c>
      <c r="H20" s="708">
        <v>0</v>
      </c>
      <c r="I20" s="708">
        <v>0</v>
      </c>
      <c r="J20" s="708">
        <v>0</v>
      </c>
      <c r="K20" s="708">
        <v>0</v>
      </c>
      <c r="L20" s="708">
        <v>0</v>
      </c>
      <c r="M20" s="708">
        <v>0</v>
      </c>
      <c r="N20" s="708">
        <v>0</v>
      </c>
      <c r="O20" s="708">
        <v>0</v>
      </c>
      <c r="P20" s="708">
        <v>0</v>
      </c>
      <c r="Q20" s="708">
        <v>0</v>
      </c>
      <c r="R20" s="708">
        <v>0</v>
      </c>
      <c r="S20" s="708">
        <v>0</v>
      </c>
      <c r="T20" s="708">
        <v>0</v>
      </c>
      <c r="U20" s="708">
        <v>0</v>
      </c>
      <c r="V20" s="708">
        <v>0</v>
      </c>
      <c r="W20" s="708">
        <v>0</v>
      </c>
      <c r="X20" s="708">
        <v>0</v>
      </c>
      <c r="Y20" s="708">
        <v>0</v>
      </c>
      <c r="Z20" s="708">
        <v>0</v>
      </c>
      <c r="AA20" s="708">
        <v>0</v>
      </c>
      <c r="AB20" s="708">
        <v>0</v>
      </c>
      <c r="AC20" s="708">
        <v>0</v>
      </c>
      <c r="AD20" s="708">
        <v>0</v>
      </c>
      <c r="AE20" s="708">
        <v>0</v>
      </c>
      <c r="AF20" s="708">
        <v>0</v>
      </c>
      <c r="AG20" s="708">
        <v>0</v>
      </c>
      <c r="AH20" s="708">
        <v>0</v>
      </c>
      <c r="AI20" s="708">
        <v>0</v>
      </c>
      <c r="AJ20" s="708">
        <v>0</v>
      </c>
      <c r="AK20" s="708">
        <v>0</v>
      </c>
      <c r="AL20" s="708">
        <v>0</v>
      </c>
      <c r="AM20" s="708">
        <v>0</v>
      </c>
      <c r="AN20" s="708">
        <v>0</v>
      </c>
      <c r="AO20" s="708">
        <v>0</v>
      </c>
      <c r="AP20" s="708">
        <v>0</v>
      </c>
      <c r="AQ20" s="708">
        <v>0</v>
      </c>
      <c r="AR20" s="708">
        <v>0</v>
      </c>
      <c r="AS20" s="708">
        <v>0</v>
      </c>
      <c r="AT20" s="708">
        <v>0</v>
      </c>
      <c r="AU20" s="708">
        <v>0</v>
      </c>
      <c r="AV20" s="708">
        <v>0</v>
      </c>
      <c r="AW20" s="708">
        <v>0</v>
      </c>
      <c r="AX20" s="708">
        <v>0</v>
      </c>
      <c r="AY20" s="708">
        <v>0</v>
      </c>
      <c r="AZ20" s="708">
        <v>0</v>
      </c>
      <c r="BA20" s="708">
        <v>0</v>
      </c>
      <c r="BB20" s="708">
        <v>0</v>
      </c>
      <c r="BC20" s="708">
        <v>0</v>
      </c>
      <c r="BD20" s="708">
        <v>0</v>
      </c>
      <c r="BE20" s="708">
        <v>0</v>
      </c>
      <c r="BF20" s="708">
        <v>0</v>
      </c>
      <c r="BG20" s="708">
        <v>0</v>
      </c>
      <c r="BH20" s="708">
        <v>0</v>
      </c>
      <c r="BI20" s="708">
        <v>0</v>
      </c>
      <c r="BJ20" s="708">
        <v>0</v>
      </c>
      <c r="BK20" s="708">
        <v>0</v>
      </c>
      <c r="BL20" s="708">
        <v>0</v>
      </c>
      <c r="BM20" s="708">
        <v>0</v>
      </c>
      <c r="BN20" s="709"/>
    </row>
    <row r="21" spans="1:69" s="710" customFormat="1" ht="24" customHeight="1">
      <c r="A21" s="705" t="s">
        <v>2756</v>
      </c>
      <c r="B21" s="715" t="s">
        <v>89</v>
      </c>
      <c r="C21" s="716" t="s">
        <v>20</v>
      </c>
      <c r="D21" s="707">
        <v>1.31</v>
      </c>
      <c r="E21" s="708">
        <v>0</v>
      </c>
      <c r="F21" s="708">
        <v>0</v>
      </c>
      <c r="G21" s="708">
        <v>0</v>
      </c>
      <c r="H21" s="708">
        <v>0</v>
      </c>
      <c r="I21" s="708">
        <v>0</v>
      </c>
      <c r="J21" s="708">
        <v>0</v>
      </c>
      <c r="K21" s="708">
        <v>0</v>
      </c>
      <c r="L21" s="708">
        <v>0</v>
      </c>
      <c r="M21" s="708">
        <v>0</v>
      </c>
      <c r="N21" s="708">
        <v>0</v>
      </c>
      <c r="O21" s="708">
        <v>0</v>
      </c>
      <c r="P21" s="708">
        <v>0</v>
      </c>
      <c r="Q21" s="708">
        <v>0</v>
      </c>
      <c r="R21" s="708">
        <v>0</v>
      </c>
      <c r="S21" s="708">
        <v>0</v>
      </c>
      <c r="T21" s="708">
        <v>1.31</v>
      </c>
      <c r="U21" s="708">
        <v>0</v>
      </c>
      <c r="V21" s="708">
        <v>0</v>
      </c>
      <c r="W21" s="708">
        <v>0</v>
      </c>
      <c r="X21" s="708">
        <v>0</v>
      </c>
      <c r="Y21" s="708">
        <v>0</v>
      </c>
      <c r="Z21" s="708">
        <v>0</v>
      </c>
      <c r="AA21" s="708">
        <v>0</v>
      </c>
      <c r="AB21" s="708">
        <v>0</v>
      </c>
      <c r="AC21" s="708">
        <v>0</v>
      </c>
      <c r="AD21" s="708">
        <v>0</v>
      </c>
      <c r="AE21" s="708">
        <v>0</v>
      </c>
      <c r="AF21" s="708">
        <v>0</v>
      </c>
      <c r="AG21" s="708">
        <v>0</v>
      </c>
      <c r="AH21" s="708">
        <v>0</v>
      </c>
      <c r="AI21" s="708">
        <v>0</v>
      </c>
      <c r="AJ21" s="708">
        <v>0</v>
      </c>
      <c r="AK21" s="708">
        <v>0</v>
      </c>
      <c r="AL21" s="708">
        <v>0</v>
      </c>
      <c r="AM21" s="708">
        <v>0</v>
      </c>
      <c r="AN21" s="708">
        <v>0</v>
      </c>
      <c r="AO21" s="708">
        <v>0</v>
      </c>
      <c r="AP21" s="708">
        <v>0</v>
      </c>
      <c r="AQ21" s="708">
        <v>0</v>
      </c>
      <c r="AR21" s="708">
        <v>0</v>
      </c>
      <c r="AS21" s="708">
        <v>0</v>
      </c>
      <c r="AT21" s="708">
        <v>0</v>
      </c>
      <c r="AU21" s="708">
        <v>0</v>
      </c>
      <c r="AV21" s="708">
        <v>0</v>
      </c>
      <c r="AW21" s="708">
        <v>0</v>
      </c>
      <c r="AX21" s="708">
        <v>0</v>
      </c>
      <c r="AY21" s="708">
        <v>0</v>
      </c>
      <c r="AZ21" s="708">
        <v>0</v>
      </c>
      <c r="BA21" s="708">
        <v>0</v>
      </c>
      <c r="BB21" s="708">
        <v>0</v>
      </c>
      <c r="BC21" s="708">
        <v>0</v>
      </c>
      <c r="BD21" s="708">
        <v>0</v>
      </c>
      <c r="BE21" s="708">
        <v>0</v>
      </c>
      <c r="BF21" s="708">
        <v>0</v>
      </c>
      <c r="BG21" s="708">
        <v>0</v>
      </c>
      <c r="BH21" s="708">
        <v>0</v>
      </c>
      <c r="BI21" s="708">
        <v>0</v>
      </c>
      <c r="BJ21" s="708">
        <v>0</v>
      </c>
      <c r="BK21" s="708">
        <v>340.78</v>
      </c>
      <c r="BL21" s="708">
        <v>0</v>
      </c>
      <c r="BM21" s="708">
        <v>342.09</v>
      </c>
      <c r="BN21" s="709"/>
    </row>
    <row r="22" spans="1:69" s="694" customFormat="1" ht="32.25" customHeight="1">
      <c r="A22" s="717" t="s">
        <v>2858</v>
      </c>
      <c r="B22" s="718" t="s">
        <v>2883</v>
      </c>
      <c r="C22" s="719" t="s">
        <v>22</v>
      </c>
      <c r="D22" s="698">
        <v>8216.66</v>
      </c>
      <c r="E22" s="700">
        <v>0.25</v>
      </c>
      <c r="F22" s="700">
        <v>0</v>
      </c>
      <c r="G22" s="700">
        <v>0</v>
      </c>
      <c r="H22" s="700">
        <v>0</v>
      </c>
      <c r="I22" s="700">
        <v>0</v>
      </c>
      <c r="J22" s="700">
        <v>7.0000000000000007E-2</v>
      </c>
      <c r="K22" s="700">
        <v>0</v>
      </c>
      <c r="L22" s="700">
        <v>0</v>
      </c>
      <c r="M22" s="700">
        <v>0</v>
      </c>
      <c r="N22" s="700">
        <v>0.03</v>
      </c>
      <c r="O22" s="700">
        <v>0</v>
      </c>
      <c r="P22" s="700">
        <v>0.03</v>
      </c>
      <c r="Q22" s="700">
        <v>0</v>
      </c>
      <c r="R22" s="700">
        <v>0.03</v>
      </c>
      <c r="S22" s="700">
        <v>0</v>
      </c>
      <c r="T22" s="700">
        <v>0.12</v>
      </c>
      <c r="U22" s="700">
        <v>8216.41</v>
      </c>
      <c r="V22" s="700">
        <v>0.87000000000000011</v>
      </c>
      <c r="W22" s="700">
        <v>0.52000000000000013</v>
      </c>
      <c r="X22" s="700">
        <v>0</v>
      </c>
      <c r="Y22" s="700">
        <v>5.96</v>
      </c>
      <c r="Z22" s="700">
        <v>7.48</v>
      </c>
      <c r="AA22" s="700">
        <v>53.07</v>
      </c>
      <c r="AB22" s="700">
        <v>20.99</v>
      </c>
      <c r="AC22" s="700">
        <v>0</v>
      </c>
      <c r="AD22" s="700">
        <v>51.06</v>
      </c>
      <c r="AE22" s="700">
        <v>16.190000000000001</v>
      </c>
      <c r="AF22" s="700">
        <v>3.0700000000000003</v>
      </c>
      <c r="AG22" s="700">
        <v>2.7700000000000005</v>
      </c>
      <c r="AH22" s="700">
        <v>7.0000000000000007E-2</v>
      </c>
      <c r="AI22" s="700">
        <v>8.23</v>
      </c>
      <c r="AJ22" s="700">
        <v>1.26</v>
      </c>
      <c r="AK22" s="700">
        <v>3.49</v>
      </c>
      <c r="AL22" s="700">
        <v>0.01</v>
      </c>
      <c r="AM22" s="700">
        <v>0</v>
      </c>
      <c r="AN22" s="700">
        <v>40.450000000000003</v>
      </c>
      <c r="AO22" s="700">
        <v>7.71</v>
      </c>
      <c r="AP22" s="700">
        <v>0</v>
      </c>
      <c r="AQ22" s="700">
        <v>0.05</v>
      </c>
      <c r="AR22" s="700">
        <v>0</v>
      </c>
      <c r="AS22" s="700">
        <v>0.02</v>
      </c>
      <c r="AT22" s="700">
        <v>2.02</v>
      </c>
      <c r="AU22" s="700">
        <v>0.25</v>
      </c>
      <c r="AV22" s="700">
        <v>12.78</v>
      </c>
      <c r="AW22" s="700">
        <v>4.415</v>
      </c>
      <c r="AX22" s="700">
        <v>4.37</v>
      </c>
      <c r="AY22" s="700">
        <v>4.71</v>
      </c>
      <c r="AZ22" s="700">
        <v>0.52</v>
      </c>
      <c r="BA22" s="700">
        <v>0</v>
      </c>
      <c r="BB22" s="700">
        <v>0</v>
      </c>
      <c r="BC22" s="700">
        <v>0</v>
      </c>
      <c r="BD22" s="700">
        <v>0</v>
      </c>
      <c r="BE22" s="700">
        <v>0.08</v>
      </c>
      <c r="BF22" s="700">
        <v>4.4200000000000008</v>
      </c>
      <c r="BG22" s="700">
        <v>1.73</v>
      </c>
      <c r="BH22" s="700">
        <v>0.5</v>
      </c>
      <c r="BI22" s="700">
        <v>0</v>
      </c>
      <c r="BJ22" s="700">
        <v>0.25</v>
      </c>
      <c r="BK22" s="700">
        <v>1770.3073200000001</v>
      </c>
      <c r="BL22" s="700">
        <v>0</v>
      </c>
      <c r="BM22" s="700">
        <v>9986.9673199999997</v>
      </c>
      <c r="BN22" s="375"/>
      <c r="BO22" s="730"/>
    </row>
    <row r="23" spans="1:69" s="710" customFormat="1" ht="22.5" customHeight="1">
      <c r="A23" s="720" t="s">
        <v>23</v>
      </c>
      <c r="B23" s="721" t="s">
        <v>65</v>
      </c>
      <c r="C23" s="770" t="s">
        <v>26</v>
      </c>
      <c r="D23" s="707">
        <v>1736.52</v>
      </c>
      <c r="E23" s="708">
        <v>0</v>
      </c>
      <c r="F23" s="708">
        <v>0</v>
      </c>
      <c r="G23" s="708">
        <v>0</v>
      </c>
      <c r="H23" s="708">
        <v>0</v>
      </c>
      <c r="I23" s="708">
        <v>0</v>
      </c>
      <c r="J23" s="708">
        <v>0</v>
      </c>
      <c r="K23" s="708">
        <v>0</v>
      </c>
      <c r="L23" s="708">
        <v>0</v>
      </c>
      <c r="M23" s="708">
        <v>0</v>
      </c>
      <c r="N23" s="708">
        <v>0</v>
      </c>
      <c r="O23" s="708">
        <v>0</v>
      </c>
      <c r="P23" s="708">
        <v>0</v>
      </c>
      <c r="Q23" s="708">
        <v>0</v>
      </c>
      <c r="R23" s="708">
        <v>0</v>
      </c>
      <c r="S23" s="708">
        <v>0</v>
      </c>
      <c r="T23" s="708">
        <v>0</v>
      </c>
      <c r="U23" s="708">
        <v>0.25</v>
      </c>
      <c r="V23" s="708">
        <v>1736.27</v>
      </c>
      <c r="W23" s="708">
        <v>0</v>
      </c>
      <c r="X23" s="708">
        <v>0</v>
      </c>
      <c r="Y23" s="708">
        <v>0</v>
      </c>
      <c r="Z23" s="708">
        <v>0</v>
      </c>
      <c r="AA23" s="708">
        <v>0</v>
      </c>
      <c r="AB23" s="708">
        <v>0</v>
      </c>
      <c r="AC23" s="708">
        <v>0</v>
      </c>
      <c r="AD23" s="708">
        <v>0.25</v>
      </c>
      <c r="AE23" s="708">
        <v>0</v>
      </c>
      <c r="AF23" s="708">
        <v>0</v>
      </c>
      <c r="AG23" s="708">
        <v>0</v>
      </c>
      <c r="AH23" s="708">
        <v>0</v>
      </c>
      <c r="AI23" s="708">
        <v>0</v>
      </c>
      <c r="AJ23" s="708">
        <v>0</v>
      </c>
      <c r="AK23" s="708">
        <v>0</v>
      </c>
      <c r="AL23" s="708">
        <v>0</v>
      </c>
      <c r="AM23" s="708">
        <v>0</v>
      </c>
      <c r="AN23" s="708">
        <v>0.25</v>
      </c>
      <c r="AO23" s="708">
        <v>0</v>
      </c>
      <c r="AP23" s="708">
        <v>0</v>
      </c>
      <c r="AQ23" s="708">
        <v>0</v>
      </c>
      <c r="AR23" s="708">
        <v>0</v>
      </c>
      <c r="AS23" s="708">
        <v>0</v>
      </c>
      <c r="AT23" s="708">
        <v>0</v>
      </c>
      <c r="AU23" s="708">
        <v>0</v>
      </c>
      <c r="AV23" s="708">
        <v>0</v>
      </c>
      <c r="AW23" s="708">
        <v>0</v>
      </c>
      <c r="AX23" s="708">
        <v>0</v>
      </c>
      <c r="AY23" s="708">
        <v>0</v>
      </c>
      <c r="AZ23" s="708">
        <v>0</v>
      </c>
      <c r="BA23" s="708">
        <v>0</v>
      </c>
      <c r="BB23" s="708">
        <v>0</v>
      </c>
      <c r="BC23" s="708">
        <v>0</v>
      </c>
      <c r="BD23" s="708">
        <v>0</v>
      </c>
      <c r="BE23" s="708">
        <v>0</v>
      </c>
      <c r="BF23" s="708">
        <v>0</v>
      </c>
      <c r="BG23" s="708">
        <v>0</v>
      </c>
      <c r="BH23" s="708">
        <v>0</v>
      </c>
      <c r="BI23" s="708">
        <v>0</v>
      </c>
      <c r="BJ23" s="708">
        <v>0.25</v>
      </c>
      <c r="BK23" s="708">
        <v>115.83</v>
      </c>
      <c r="BL23" s="708">
        <v>0</v>
      </c>
      <c r="BM23" s="708">
        <v>1852.35</v>
      </c>
      <c r="BN23" s="709"/>
      <c r="BQ23" s="723"/>
    </row>
    <row r="24" spans="1:69" s="710" customFormat="1" ht="22.5" customHeight="1">
      <c r="A24" s="722" t="s">
        <v>25</v>
      </c>
      <c r="B24" s="721" t="s">
        <v>66</v>
      </c>
      <c r="C24" s="770" t="s">
        <v>28</v>
      </c>
      <c r="D24" s="707">
        <v>8.0200000000000014</v>
      </c>
      <c r="E24" s="708">
        <v>0</v>
      </c>
      <c r="F24" s="708">
        <v>0</v>
      </c>
      <c r="G24" s="708">
        <v>0</v>
      </c>
      <c r="H24" s="708">
        <v>0</v>
      </c>
      <c r="I24" s="708">
        <v>0</v>
      </c>
      <c r="J24" s="708">
        <v>0</v>
      </c>
      <c r="K24" s="708">
        <v>0</v>
      </c>
      <c r="L24" s="708">
        <v>0</v>
      </c>
      <c r="M24" s="708">
        <v>0</v>
      </c>
      <c r="N24" s="708">
        <v>0</v>
      </c>
      <c r="O24" s="708">
        <v>0</v>
      </c>
      <c r="P24" s="708">
        <v>0</v>
      </c>
      <c r="Q24" s="708">
        <v>0</v>
      </c>
      <c r="R24" s="708">
        <v>0</v>
      </c>
      <c r="S24" s="708">
        <v>0</v>
      </c>
      <c r="T24" s="708">
        <v>0</v>
      </c>
      <c r="U24" s="708">
        <v>4.6399999999999997</v>
      </c>
      <c r="V24" s="708">
        <v>0</v>
      </c>
      <c r="W24" s="708">
        <v>3.3800000000000017</v>
      </c>
      <c r="X24" s="708">
        <v>0</v>
      </c>
      <c r="Y24" s="708">
        <v>0</v>
      </c>
      <c r="Z24" s="708">
        <v>0</v>
      </c>
      <c r="AA24" s="708">
        <v>0</v>
      </c>
      <c r="AB24" s="708">
        <v>0</v>
      </c>
      <c r="AC24" s="708">
        <v>0</v>
      </c>
      <c r="AD24" s="708">
        <v>1.78</v>
      </c>
      <c r="AE24" s="708">
        <v>1.48</v>
      </c>
      <c r="AF24" s="708">
        <v>0</v>
      </c>
      <c r="AG24" s="708">
        <v>0.14000000000000001</v>
      </c>
      <c r="AH24" s="708">
        <v>0</v>
      </c>
      <c r="AI24" s="708">
        <v>0</v>
      </c>
      <c r="AJ24" s="708">
        <v>0</v>
      </c>
      <c r="AK24" s="708">
        <v>0</v>
      </c>
      <c r="AL24" s="708">
        <v>0</v>
      </c>
      <c r="AM24" s="708">
        <v>0</v>
      </c>
      <c r="AN24" s="708">
        <v>0.16</v>
      </c>
      <c r="AO24" s="708">
        <v>0</v>
      </c>
      <c r="AP24" s="708">
        <v>0</v>
      </c>
      <c r="AQ24" s="708">
        <v>0</v>
      </c>
      <c r="AR24" s="708">
        <v>0</v>
      </c>
      <c r="AS24" s="708">
        <v>0</v>
      </c>
      <c r="AT24" s="708">
        <v>0</v>
      </c>
      <c r="AU24" s="708">
        <v>0</v>
      </c>
      <c r="AV24" s="708">
        <v>0</v>
      </c>
      <c r="AW24" s="708">
        <v>0</v>
      </c>
      <c r="AX24" s="708">
        <v>0</v>
      </c>
      <c r="AY24" s="708">
        <v>2.86</v>
      </c>
      <c r="AZ24" s="708">
        <v>0</v>
      </c>
      <c r="BA24" s="708">
        <v>0</v>
      </c>
      <c r="BB24" s="708">
        <v>0</v>
      </c>
      <c r="BC24" s="708">
        <v>0</v>
      </c>
      <c r="BD24" s="708">
        <v>0</v>
      </c>
      <c r="BE24" s="708">
        <v>0</v>
      </c>
      <c r="BF24" s="708">
        <v>0</v>
      </c>
      <c r="BG24" s="708">
        <v>0</v>
      </c>
      <c r="BH24" s="708">
        <v>0</v>
      </c>
      <c r="BI24" s="708">
        <v>0</v>
      </c>
      <c r="BJ24" s="708">
        <v>4.6399999999999997</v>
      </c>
      <c r="BK24" s="708">
        <v>8.0300000000000011</v>
      </c>
      <c r="BL24" s="708">
        <v>0</v>
      </c>
      <c r="BM24" s="708">
        <v>16.050000000000004</v>
      </c>
      <c r="BN24" s="709"/>
      <c r="BQ24" s="723"/>
    </row>
    <row r="25" spans="1:69" s="710" customFormat="1" ht="22.5" customHeight="1">
      <c r="A25" s="720" t="s">
        <v>27</v>
      </c>
      <c r="B25" s="721" t="s">
        <v>67</v>
      </c>
      <c r="C25" s="770" t="s">
        <v>30</v>
      </c>
      <c r="D25" s="707">
        <v>0</v>
      </c>
      <c r="E25" s="708">
        <v>0</v>
      </c>
      <c r="F25" s="708">
        <v>0</v>
      </c>
      <c r="G25" s="708">
        <v>0</v>
      </c>
      <c r="H25" s="708">
        <v>0</v>
      </c>
      <c r="I25" s="708">
        <v>0</v>
      </c>
      <c r="J25" s="708">
        <v>0</v>
      </c>
      <c r="K25" s="708">
        <v>0</v>
      </c>
      <c r="L25" s="708">
        <v>0</v>
      </c>
      <c r="M25" s="708">
        <v>0</v>
      </c>
      <c r="N25" s="708">
        <v>0</v>
      </c>
      <c r="O25" s="708">
        <v>0</v>
      </c>
      <c r="P25" s="708">
        <v>0</v>
      </c>
      <c r="Q25" s="708">
        <v>0</v>
      </c>
      <c r="R25" s="708">
        <v>0</v>
      </c>
      <c r="S25" s="708">
        <v>0</v>
      </c>
      <c r="T25" s="708">
        <v>0</v>
      </c>
      <c r="U25" s="708">
        <v>0</v>
      </c>
      <c r="V25" s="708">
        <v>0</v>
      </c>
      <c r="W25" s="708">
        <v>0</v>
      </c>
      <c r="X25" s="708">
        <v>0</v>
      </c>
      <c r="Y25" s="708">
        <v>0</v>
      </c>
      <c r="Z25" s="708">
        <v>0</v>
      </c>
      <c r="AA25" s="708">
        <v>0</v>
      </c>
      <c r="AB25" s="708">
        <v>0</v>
      </c>
      <c r="AC25" s="708">
        <v>0</v>
      </c>
      <c r="AD25" s="708">
        <v>0</v>
      </c>
      <c r="AE25" s="708">
        <v>0</v>
      </c>
      <c r="AF25" s="708">
        <v>0</v>
      </c>
      <c r="AG25" s="708">
        <v>0</v>
      </c>
      <c r="AH25" s="708">
        <v>0</v>
      </c>
      <c r="AI25" s="708">
        <v>0</v>
      </c>
      <c r="AJ25" s="708">
        <v>0</v>
      </c>
      <c r="AK25" s="708">
        <v>0</v>
      </c>
      <c r="AL25" s="708">
        <v>0</v>
      </c>
      <c r="AM25" s="708">
        <v>0</v>
      </c>
      <c r="AN25" s="708">
        <v>0</v>
      </c>
      <c r="AO25" s="708">
        <v>0</v>
      </c>
      <c r="AP25" s="708">
        <v>0</v>
      </c>
      <c r="AQ25" s="708">
        <v>0</v>
      </c>
      <c r="AR25" s="708">
        <v>0</v>
      </c>
      <c r="AS25" s="708">
        <v>0</v>
      </c>
      <c r="AT25" s="708">
        <v>0</v>
      </c>
      <c r="AU25" s="708">
        <v>0</v>
      </c>
      <c r="AV25" s="708">
        <v>0</v>
      </c>
      <c r="AW25" s="708">
        <v>0</v>
      </c>
      <c r="AX25" s="708">
        <v>0</v>
      </c>
      <c r="AY25" s="708">
        <v>0</v>
      </c>
      <c r="AZ25" s="708">
        <v>0</v>
      </c>
      <c r="BA25" s="708">
        <v>0</v>
      </c>
      <c r="BB25" s="708">
        <v>0</v>
      </c>
      <c r="BC25" s="708">
        <v>0</v>
      </c>
      <c r="BD25" s="708">
        <v>0</v>
      </c>
      <c r="BE25" s="708">
        <v>0</v>
      </c>
      <c r="BF25" s="708">
        <v>0</v>
      </c>
      <c r="BG25" s="708">
        <v>0</v>
      </c>
      <c r="BH25" s="708">
        <v>0</v>
      </c>
      <c r="BI25" s="708">
        <v>0</v>
      </c>
      <c r="BJ25" s="708">
        <v>0</v>
      </c>
      <c r="BK25" s="708">
        <v>0</v>
      </c>
      <c r="BL25" s="708">
        <v>0</v>
      </c>
      <c r="BM25" s="708">
        <v>0</v>
      </c>
      <c r="BN25" s="709"/>
      <c r="BQ25" s="723"/>
    </row>
    <row r="26" spans="1:69" s="710" customFormat="1" ht="22.5" customHeight="1">
      <c r="A26" s="722" t="s">
        <v>29</v>
      </c>
      <c r="B26" s="721" t="s">
        <v>90</v>
      </c>
      <c r="C26" s="770" t="s">
        <v>91</v>
      </c>
      <c r="D26" s="707">
        <v>3.25</v>
      </c>
      <c r="E26" s="708">
        <v>0</v>
      </c>
      <c r="F26" s="708">
        <v>0</v>
      </c>
      <c r="G26" s="708">
        <v>0</v>
      </c>
      <c r="H26" s="708">
        <v>0</v>
      </c>
      <c r="I26" s="708">
        <v>0</v>
      </c>
      <c r="J26" s="708">
        <v>0</v>
      </c>
      <c r="K26" s="708">
        <v>0</v>
      </c>
      <c r="L26" s="708">
        <v>0</v>
      </c>
      <c r="M26" s="708">
        <v>0</v>
      </c>
      <c r="N26" s="708">
        <v>0</v>
      </c>
      <c r="O26" s="708">
        <v>0</v>
      </c>
      <c r="P26" s="708">
        <v>0</v>
      </c>
      <c r="Q26" s="708">
        <v>0</v>
      </c>
      <c r="R26" s="708">
        <v>0</v>
      </c>
      <c r="S26" s="708">
        <v>0</v>
      </c>
      <c r="T26" s="708">
        <v>0</v>
      </c>
      <c r="U26" s="708">
        <v>0</v>
      </c>
      <c r="V26" s="708">
        <v>0</v>
      </c>
      <c r="W26" s="708">
        <v>0</v>
      </c>
      <c r="X26" s="708">
        <v>0</v>
      </c>
      <c r="Y26" s="708">
        <v>3.25</v>
      </c>
      <c r="Z26" s="708">
        <v>0</v>
      </c>
      <c r="AA26" s="708">
        <v>0</v>
      </c>
      <c r="AB26" s="708">
        <v>0</v>
      </c>
      <c r="AC26" s="708">
        <v>0</v>
      </c>
      <c r="AD26" s="708">
        <v>0</v>
      </c>
      <c r="AE26" s="708">
        <v>0</v>
      </c>
      <c r="AF26" s="708">
        <v>0</v>
      </c>
      <c r="AG26" s="708">
        <v>0</v>
      </c>
      <c r="AH26" s="708">
        <v>0</v>
      </c>
      <c r="AI26" s="708">
        <v>0</v>
      </c>
      <c r="AJ26" s="708">
        <v>0</v>
      </c>
      <c r="AK26" s="708">
        <v>0</v>
      </c>
      <c r="AL26" s="708">
        <v>0</v>
      </c>
      <c r="AM26" s="708">
        <v>0</v>
      </c>
      <c r="AN26" s="708">
        <v>0</v>
      </c>
      <c r="AO26" s="708">
        <v>0</v>
      </c>
      <c r="AP26" s="708">
        <v>0</v>
      </c>
      <c r="AQ26" s="708">
        <v>0</v>
      </c>
      <c r="AR26" s="708">
        <v>0</v>
      </c>
      <c r="AS26" s="708">
        <v>0</v>
      </c>
      <c r="AT26" s="708">
        <v>0</v>
      </c>
      <c r="AU26" s="708">
        <v>0</v>
      </c>
      <c r="AV26" s="708">
        <v>0</v>
      </c>
      <c r="AW26" s="708">
        <v>0</v>
      </c>
      <c r="AX26" s="708">
        <v>0</v>
      </c>
      <c r="AY26" s="708">
        <v>0</v>
      </c>
      <c r="AZ26" s="708">
        <v>0</v>
      </c>
      <c r="BA26" s="708">
        <v>0</v>
      </c>
      <c r="BB26" s="708">
        <v>0</v>
      </c>
      <c r="BC26" s="708">
        <v>0</v>
      </c>
      <c r="BD26" s="708">
        <v>0</v>
      </c>
      <c r="BE26" s="708">
        <v>0</v>
      </c>
      <c r="BF26" s="708">
        <v>0</v>
      </c>
      <c r="BG26" s="708">
        <v>0</v>
      </c>
      <c r="BH26" s="708">
        <v>0</v>
      </c>
      <c r="BI26" s="708">
        <v>0</v>
      </c>
      <c r="BJ26" s="708">
        <v>0</v>
      </c>
      <c r="BK26" s="708">
        <v>122.1</v>
      </c>
      <c r="BL26" s="708">
        <v>0</v>
      </c>
      <c r="BM26" s="708">
        <v>125.35</v>
      </c>
      <c r="BN26" s="709"/>
      <c r="BQ26" s="723"/>
    </row>
    <row r="27" spans="1:69" s="710" customFormat="1" ht="22.5" customHeight="1">
      <c r="A27" s="720" t="s">
        <v>31</v>
      </c>
      <c r="B27" s="721" t="s">
        <v>379</v>
      </c>
      <c r="C27" s="770" t="s">
        <v>93</v>
      </c>
      <c r="D27" s="707">
        <v>19.97</v>
      </c>
      <c r="E27" s="708">
        <v>0</v>
      </c>
      <c r="F27" s="708">
        <v>0</v>
      </c>
      <c r="G27" s="708">
        <v>0</v>
      </c>
      <c r="H27" s="708">
        <v>0</v>
      </c>
      <c r="I27" s="708">
        <v>0</v>
      </c>
      <c r="J27" s="708">
        <v>0</v>
      </c>
      <c r="K27" s="708">
        <v>0</v>
      </c>
      <c r="L27" s="708">
        <v>0</v>
      </c>
      <c r="M27" s="708">
        <v>0</v>
      </c>
      <c r="N27" s="708">
        <v>0</v>
      </c>
      <c r="O27" s="708">
        <v>0</v>
      </c>
      <c r="P27" s="708">
        <v>0</v>
      </c>
      <c r="Q27" s="708">
        <v>0</v>
      </c>
      <c r="R27" s="708">
        <v>0</v>
      </c>
      <c r="S27" s="708">
        <v>0</v>
      </c>
      <c r="T27" s="708">
        <v>0</v>
      </c>
      <c r="U27" s="708">
        <v>10.130000000000001</v>
      </c>
      <c r="V27" s="708">
        <v>0</v>
      </c>
      <c r="W27" s="708">
        <v>0</v>
      </c>
      <c r="X27" s="708">
        <v>0</v>
      </c>
      <c r="Y27" s="708">
        <v>0</v>
      </c>
      <c r="Z27" s="708">
        <v>9.8399999999999981</v>
      </c>
      <c r="AA27" s="708">
        <v>0</v>
      </c>
      <c r="AB27" s="708">
        <v>0</v>
      </c>
      <c r="AC27" s="708">
        <v>0</v>
      </c>
      <c r="AD27" s="708">
        <v>10.130000000000001</v>
      </c>
      <c r="AE27" s="708">
        <v>0</v>
      </c>
      <c r="AF27" s="708">
        <v>0</v>
      </c>
      <c r="AG27" s="708">
        <v>0</v>
      </c>
      <c r="AH27" s="708">
        <v>0</v>
      </c>
      <c r="AI27" s="708">
        <v>0</v>
      </c>
      <c r="AJ27" s="708">
        <v>0</v>
      </c>
      <c r="AK27" s="708">
        <v>0</v>
      </c>
      <c r="AL27" s="708">
        <v>0</v>
      </c>
      <c r="AM27" s="708">
        <v>0</v>
      </c>
      <c r="AN27" s="708">
        <v>10.130000000000001</v>
      </c>
      <c r="AO27" s="708">
        <v>0</v>
      </c>
      <c r="AP27" s="708">
        <v>0</v>
      </c>
      <c r="AQ27" s="708">
        <v>0</v>
      </c>
      <c r="AR27" s="708">
        <v>0</v>
      </c>
      <c r="AS27" s="708">
        <v>0</v>
      </c>
      <c r="AT27" s="708">
        <v>0</v>
      </c>
      <c r="AU27" s="708">
        <v>0</v>
      </c>
      <c r="AV27" s="708">
        <v>0</v>
      </c>
      <c r="AW27" s="708">
        <v>0</v>
      </c>
      <c r="AX27" s="708">
        <v>0</v>
      </c>
      <c r="AY27" s="708">
        <v>0</v>
      </c>
      <c r="AZ27" s="708">
        <v>0</v>
      </c>
      <c r="BA27" s="708">
        <v>0</v>
      </c>
      <c r="BB27" s="708">
        <v>0</v>
      </c>
      <c r="BC27" s="708">
        <v>0</v>
      </c>
      <c r="BD27" s="708">
        <v>0</v>
      </c>
      <c r="BE27" s="708">
        <v>0</v>
      </c>
      <c r="BF27" s="708">
        <v>0</v>
      </c>
      <c r="BG27" s="708">
        <v>0</v>
      </c>
      <c r="BH27" s="708">
        <v>0</v>
      </c>
      <c r="BI27" s="708">
        <v>0</v>
      </c>
      <c r="BJ27" s="708">
        <v>10.130000000000001</v>
      </c>
      <c r="BK27" s="708">
        <v>52.089999999999996</v>
      </c>
      <c r="BL27" s="708">
        <v>0</v>
      </c>
      <c r="BM27" s="708">
        <v>72.06</v>
      </c>
      <c r="BN27" s="709"/>
      <c r="BQ27" s="723"/>
    </row>
    <row r="28" spans="1:69" s="710" customFormat="1" ht="29.25" customHeight="1">
      <c r="A28" s="722" t="s">
        <v>33</v>
      </c>
      <c r="B28" s="721" t="s">
        <v>94</v>
      </c>
      <c r="C28" s="770" t="s">
        <v>32</v>
      </c>
      <c r="D28" s="707">
        <v>54.080000000000005</v>
      </c>
      <c r="E28" s="708">
        <v>0</v>
      </c>
      <c r="F28" s="708">
        <v>0</v>
      </c>
      <c r="G28" s="708">
        <v>0</v>
      </c>
      <c r="H28" s="708">
        <v>0</v>
      </c>
      <c r="I28" s="708">
        <v>0</v>
      </c>
      <c r="J28" s="708">
        <v>0</v>
      </c>
      <c r="K28" s="708">
        <v>0</v>
      </c>
      <c r="L28" s="708">
        <v>0</v>
      </c>
      <c r="M28" s="708">
        <v>0</v>
      </c>
      <c r="N28" s="708">
        <v>0</v>
      </c>
      <c r="O28" s="708">
        <v>0</v>
      </c>
      <c r="P28" s="708">
        <v>0</v>
      </c>
      <c r="Q28" s="708">
        <v>0</v>
      </c>
      <c r="R28" s="708">
        <v>0</v>
      </c>
      <c r="S28" s="708">
        <v>0</v>
      </c>
      <c r="T28" s="708">
        <v>0</v>
      </c>
      <c r="U28" s="708">
        <v>5.51</v>
      </c>
      <c r="V28" s="708">
        <v>0</v>
      </c>
      <c r="W28" s="708">
        <v>0</v>
      </c>
      <c r="X28" s="708">
        <v>0</v>
      </c>
      <c r="Y28" s="708">
        <v>0.37</v>
      </c>
      <c r="Z28" s="708">
        <v>2.68</v>
      </c>
      <c r="AA28" s="708">
        <v>48.570000000000007</v>
      </c>
      <c r="AB28" s="708">
        <v>0</v>
      </c>
      <c r="AC28" s="708">
        <v>0</v>
      </c>
      <c r="AD28" s="708">
        <v>1.54</v>
      </c>
      <c r="AE28" s="708">
        <v>0.84000000000000008</v>
      </c>
      <c r="AF28" s="708">
        <v>0.02</v>
      </c>
      <c r="AG28" s="708">
        <v>0.05</v>
      </c>
      <c r="AH28" s="708">
        <v>0</v>
      </c>
      <c r="AI28" s="708">
        <v>0</v>
      </c>
      <c r="AJ28" s="708">
        <v>0</v>
      </c>
      <c r="AK28" s="708">
        <v>0</v>
      </c>
      <c r="AL28" s="708">
        <v>0</v>
      </c>
      <c r="AM28" s="708">
        <v>0</v>
      </c>
      <c r="AN28" s="708">
        <v>0.63</v>
      </c>
      <c r="AO28" s="708">
        <v>0</v>
      </c>
      <c r="AP28" s="708">
        <v>0</v>
      </c>
      <c r="AQ28" s="708">
        <v>0</v>
      </c>
      <c r="AR28" s="708">
        <v>0</v>
      </c>
      <c r="AS28" s="708">
        <v>0</v>
      </c>
      <c r="AT28" s="708">
        <v>0</v>
      </c>
      <c r="AU28" s="708">
        <v>0</v>
      </c>
      <c r="AV28" s="708">
        <v>0</v>
      </c>
      <c r="AW28" s="708">
        <v>0</v>
      </c>
      <c r="AX28" s="708">
        <v>0.69</v>
      </c>
      <c r="AY28" s="708">
        <v>0.23</v>
      </c>
      <c r="AZ28" s="708">
        <v>0</v>
      </c>
      <c r="BA28" s="708">
        <v>0</v>
      </c>
      <c r="BB28" s="708">
        <v>0</v>
      </c>
      <c r="BC28" s="708">
        <v>0</v>
      </c>
      <c r="BD28" s="708">
        <v>0</v>
      </c>
      <c r="BE28" s="708">
        <v>0</v>
      </c>
      <c r="BF28" s="708">
        <v>0</v>
      </c>
      <c r="BG28" s="708">
        <v>0</v>
      </c>
      <c r="BH28" s="708">
        <v>0</v>
      </c>
      <c r="BI28" s="708">
        <v>0</v>
      </c>
      <c r="BJ28" s="708">
        <v>5.51</v>
      </c>
      <c r="BK28" s="708">
        <v>88.759999999999991</v>
      </c>
      <c r="BL28" s="708">
        <v>0</v>
      </c>
      <c r="BM28" s="708">
        <v>142.84</v>
      </c>
      <c r="BN28" s="709"/>
      <c r="BQ28" s="723"/>
    </row>
    <row r="29" spans="1:69" s="710" customFormat="1" ht="29.25" customHeight="1">
      <c r="A29" s="720" t="s">
        <v>68</v>
      </c>
      <c r="B29" s="721" t="s">
        <v>106</v>
      </c>
      <c r="C29" s="770" t="s">
        <v>35</v>
      </c>
      <c r="D29" s="707">
        <v>255.28000000000003</v>
      </c>
      <c r="E29" s="708">
        <v>0</v>
      </c>
      <c r="F29" s="708">
        <v>0</v>
      </c>
      <c r="G29" s="708">
        <v>0</v>
      </c>
      <c r="H29" s="708">
        <v>0</v>
      </c>
      <c r="I29" s="708">
        <v>0</v>
      </c>
      <c r="J29" s="708">
        <v>0</v>
      </c>
      <c r="K29" s="708">
        <v>0</v>
      </c>
      <c r="L29" s="708">
        <v>0</v>
      </c>
      <c r="M29" s="708">
        <v>0</v>
      </c>
      <c r="N29" s="708">
        <v>0</v>
      </c>
      <c r="O29" s="708">
        <v>0</v>
      </c>
      <c r="P29" s="708">
        <v>0</v>
      </c>
      <c r="Q29" s="708">
        <v>0</v>
      </c>
      <c r="R29" s="708">
        <v>0</v>
      </c>
      <c r="S29" s="708">
        <v>0</v>
      </c>
      <c r="T29" s="708">
        <v>0</v>
      </c>
      <c r="U29" s="708">
        <v>2.88</v>
      </c>
      <c r="V29" s="708">
        <v>0</v>
      </c>
      <c r="W29" s="708">
        <v>0</v>
      </c>
      <c r="X29" s="708">
        <v>0</v>
      </c>
      <c r="Y29" s="708">
        <v>0</v>
      </c>
      <c r="Z29" s="708">
        <v>0</v>
      </c>
      <c r="AA29" s="708">
        <v>0.3</v>
      </c>
      <c r="AB29" s="708">
        <v>252.40000000000003</v>
      </c>
      <c r="AC29" s="708">
        <v>0</v>
      </c>
      <c r="AD29" s="708">
        <v>2.58</v>
      </c>
      <c r="AE29" s="708">
        <v>0</v>
      </c>
      <c r="AF29" s="708">
        <v>0</v>
      </c>
      <c r="AG29" s="708">
        <v>0.02</v>
      </c>
      <c r="AH29" s="708">
        <v>0</v>
      </c>
      <c r="AI29" s="708">
        <v>0</v>
      </c>
      <c r="AJ29" s="708">
        <v>0</v>
      </c>
      <c r="AK29" s="708">
        <v>0.05</v>
      </c>
      <c r="AL29" s="708">
        <v>0</v>
      </c>
      <c r="AM29" s="708">
        <v>0</v>
      </c>
      <c r="AN29" s="708">
        <v>0.3</v>
      </c>
      <c r="AO29" s="708">
        <v>2.0499999999999998</v>
      </c>
      <c r="AP29" s="708">
        <v>0</v>
      </c>
      <c r="AQ29" s="708">
        <v>0</v>
      </c>
      <c r="AR29" s="708">
        <v>0</v>
      </c>
      <c r="AS29" s="708">
        <v>0</v>
      </c>
      <c r="AT29" s="708">
        <v>0.16</v>
      </c>
      <c r="AU29" s="708">
        <v>0</v>
      </c>
      <c r="AV29" s="708">
        <v>0</v>
      </c>
      <c r="AW29" s="708">
        <v>0</v>
      </c>
      <c r="AX29" s="708">
        <v>0</v>
      </c>
      <c r="AY29" s="708">
        <v>0</v>
      </c>
      <c r="AZ29" s="708">
        <v>0</v>
      </c>
      <c r="BA29" s="708">
        <v>0</v>
      </c>
      <c r="BB29" s="708">
        <v>0</v>
      </c>
      <c r="BC29" s="708">
        <v>0</v>
      </c>
      <c r="BD29" s="708">
        <v>0</v>
      </c>
      <c r="BE29" s="708">
        <v>0</v>
      </c>
      <c r="BF29" s="708">
        <v>0</v>
      </c>
      <c r="BG29" s="708">
        <v>0</v>
      </c>
      <c r="BH29" s="708">
        <v>0</v>
      </c>
      <c r="BI29" s="708">
        <v>0</v>
      </c>
      <c r="BJ29" s="708">
        <v>2.88</v>
      </c>
      <c r="BK29" s="708">
        <v>203.47</v>
      </c>
      <c r="BL29" s="708">
        <v>0</v>
      </c>
      <c r="BM29" s="708">
        <v>458.75</v>
      </c>
      <c r="BN29" s="709"/>
      <c r="BQ29" s="723"/>
    </row>
    <row r="30" spans="1:69" s="710" customFormat="1" ht="29.25" customHeight="1">
      <c r="A30" s="720"/>
      <c r="B30" s="721"/>
      <c r="C30" s="770" t="s">
        <v>34</v>
      </c>
      <c r="D30" s="707">
        <v>0</v>
      </c>
      <c r="E30" s="708">
        <v>0</v>
      </c>
      <c r="F30" s="708">
        <v>0</v>
      </c>
      <c r="G30" s="708">
        <v>0</v>
      </c>
      <c r="H30" s="708">
        <v>0</v>
      </c>
      <c r="I30" s="708">
        <v>0</v>
      </c>
      <c r="J30" s="708">
        <v>0</v>
      </c>
      <c r="K30" s="708">
        <v>0</v>
      </c>
      <c r="L30" s="708">
        <v>0</v>
      </c>
      <c r="M30" s="708">
        <v>0</v>
      </c>
      <c r="N30" s="708">
        <v>0</v>
      </c>
      <c r="O30" s="708">
        <v>0</v>
      </c>
      <c r="P30" s="708">
        <v>0</v>
      </c>
      <c r="Q30" s="708">
        <v>0</v>
      </c>
      <c r="R30" s="708">
        <v>0</v>
      </c>
      <c r="S30" s="708">
        <v>0</v>
      </c>
      <c r="T30" s="708">
        <v>0</v>
      </c>
      <c r="U30" s="708">
        <v>0</v>
      </c>
      <c r="V30" s="708">
        <v>0</v>
      </c>
      <c r="W30" s="708">
        <v>0</v>
      </c>
      <c r="X30" s="708">
        <v>0</v>
      </c>
      <c r="Y30" s="708">
        <v>0</v>
      </c>
      <c r="Z30" s="708">
        <v>0</v>
      </c>
      <c r="AA30" s="708">
        <v>0</v>
      </c>
      <c r="AB30" s="708">
        <v>0</v>
      </c>
      <c r="AC30" s="708">
        <v>0</v>
      </c>
      <c r="AD30" s="708">
        <v>0</v>
      </c>
      <c r="AE30" s="708">
        <v>0</v>
      </c>
      <c r="AF30" s="708">
        <v>0</v>
      </c>
      <c r="AG30" s="708">
        <v>0</v>
      </c>
      <c r="AH30" s="708">
        <v>0</v>
      </c>
      <c r="AI30" s="708">
        <v>0</v>
      </c>
      <c r="AJ30" s="708">
        <v>0</v>
      </c>
      <c r="AK30" s="708">
        <v>0</v>
      </c>
      <c r="AL30" s="708">
        <v>0</v>
      </c>
      <c r="AM30" s="708">
        <v>0</v>
      </c>
      <c r="AN30" s="708">
        <v>0</v>
      </c>
      <c r="AO30" s="708">
        <v>0</v>
      </c>
      <c r="AP30" s="708">
        <v>0</v>
      </c>
      <c r="AQ30" s="708">
        <v>0</v>
      </c>
      <c r="AR30" s="708">
        <v>0</v>
      </c>
      <c r="AS30" s="708">
        <v>0</v>
      </c>
      <c r="AT30" s="708">
        <v>0</v>
      </c>
      <c r="AU30" s="708">
        <v>0</v>
      </c>
      <c r="AV30" s="708">
        <v>0</v>
      </c>
      <c r="AW30" s="708">
        <v>0</v>
      </c>
      <c r="AX30" s="708">
        <v>0</v>
      </c>
      <c r="AY30" s="708">
        <v>0</v>
      </c>
      <c r="AZ30" s="708">
        <v>0</v>
      </c>
      <c r="BA30" s="708">
        <v>0</v>
      </c>
      <c r="BB30" s="708">
        <v>0</v>
      </c>
      <c r="BC30" s="708">
        <v>0</v>
      </c>
      <c r="BD30" s="708">
        <v>0</v>
      </c>
      <c r="BE30" s="708">
        <v>0</v>
      </c>
      <c r="BF30" s="708">
        <v>0</v>
      </c>
      <c r="BG30" s="708">
        <v>0</v>
      </c>
      <c r="BH30" s="708">
        <v>0</v>
      </c>
      <c r="BI30" s="708">
        <v>0</v>
      </c>
      <c r="BJ30" s="708">
        <v>0</v>
      </c>
      <c r="BK30" s="708">
        <v>0</v>
      </c>
      <c r="BL30" s="708">
        <v>0</v>
      </c>
      <c r="BM30" s="708">
        <v>0</v>
      </c>
      <c r="BN30" s="709"/>
      <c r="BQ30" s="723"/>
    </row>
    <row r="31" spans="1:69" s="710" customFormat="1" ht="42.75" customHeight="1">
      <c r="A31" s="722" t="s">
        <v>70</v>
      </c>
      <c r="B31" s="721" t="s">
        <v>125</v>
      </c>
      <c r="C31" s="770" t="s">
        <v>43</v>
      </c>
      <c r="D31" s="707">
        <v>2629.6700000000005</v>
      </c>
      <c r="E31" s="708">
        <v>0.21000000000000002</v>
      </c>
      <c r="F31" s="708">
        <v>0</v>
      </c>
      <c r="G31" s="708">
        <v>0</v>
      </c>
      <c r="H31" s="708">
        <v>0</v>
      </c>
      <c r="I31" s="708">
        <v>0</v>
      </c>
      <c r="J31" s="708">
        <v>0.04</v>
      </c>
      <c r="K31" s="708">
        <v>0</v>
      </c>
      <c r="L31" s="708">
        <v>0</v>
      </c>
      <c r="M31" s="708">
        <v>0</v>
      </c>
      <c r="N31" s="708">
        <v>0.03</v>
      </c>
      <c r="O31" s="708">
        <v>0</v>
      </c>
      <c r="P31" s="708">
        <v>0.03</v>
      </c>
      <c r="Q31" s="708">
        <v>0</v>
      </c>
      <c r="R31" s="708">
        <v>0.03</v>
      </c>
      <c r="S31" s="708">
        <v>0</v>
      </c>
      <c r="T31" s="708">
        <v>0.11</v>
      </c>
      <c r="U31" s="708">
        <v>120.6</v>
      </c>
      <c r="V31" s="708">
        <v>0.65000000000000013</v>
      </c>
      <c r="W31" s="708">
        <v>0.4900000000000001</v>
      </c>
      <c r="X31" s="708">
        <v>0</v>
      </c>
      <c r="Y31" s="708">
        <v>4.76</v>
      </c>
      <c r="Z31" s="708">
        <v>1.5900000000000005</v>
      </c>
      <c r="AA31" s="708">
        <v>52.660000000000004</v>
      </c>
      <c r="AB31" s="708">
        <v>14.299999999999999</v>
      </c>
      <c r="AC31" s="708">
        <v>0</v>
      </c>
      <c r="AD31" s="708">
        <v>2543.1400000000008</v>
      </c>
      <c r="AE31" s="708">
        <v>2.37</v>
      </c>
      <c r="AF31" s="708">
        <v>2.0500000000000003</v>
      </c>
      <c r="AG31" s="708">
        <v>2.0700000000000003</v>
      </c>
      <c r="AH31" s="708">
        <v>0.05</v>
      </c>
      <c r="AI31" s="708">
        <v>7.3999999999999995</v>
      </c>
      <c r="AJ31" s="708">
        <v>0.77</v>
      </c>
      <c r="AK31" s="708">
        <v>1.95</v>
      </c>
      <c r="AL31" s="708">
        <v>0</v>
      </c>
      <c r="AM31" s="708">
        <v>0</v>
      </c>
      <c r="AN31" s="708">
        <v>11.879999999999999</v>
      </c>
      <c r="AO31" s="708">
        <v>4.66</v>
      </c>
      <c r="AP31" s="708">
        <v>0</v>
      </c>
      <c r="AQ31" s="708">
        <v>0.05</v>
      </c>
      <c r="AR31" s="708">
        <v>0</v>
      </c>
      <c r="AS31" s="708">
        <v>0.02</v>
      </c>
      <c r="AT31" s="708">
        <v>1.01</v>
      </c>
      <c r="AU31" s="708">
        <v>0.22</v>
      </c>
      <c r="AV31" s="708">
        <v>0.18</v>
      </c>
      <c r="AW31" s="708">
        <v>2.21</v>
      </c>
      <c r="AX31" s="708">
        <v>3.32</v>
      </c>
      <c r="AY31" s="708">
        <v>1.3</v>
      </c>
      <c r="AZ31" s="708">
        <v>0.29000000000000004</v>
      </c>
      <c r="BA31" s="708">
        <v>0</v>
      </c>
      <c r="BB31" s="708">
        <v>0</v>
      </c>
      <c r="BC31" s="708">
        <v>0</v>
      </c>
      <c r="BD31" s="708">
        <v>0</v>
      </c>
      <c r="BE31" s="708">
        <v>0.05</v>
      </c>
      <c r="BF31" s="708">
        <v>3.7900000000000005</v>
      </c>
      <c r="BG31" s="708">
        <v>0.14000000000000001</v>
      </c>
      <c r="BH31" s="708">
        <v>0.37</v>
      </c>
      <c r="BI31" s="708">
        <v>0</v>
      </c>
      <c r="BJ31" s="708">
        <v>86.53</v>
      </c>
      <c r="BK31" s="708">
        <v>1001.7279999999998</v>
      </c>
      <c r="BL31" s="708">
        <v>0</v>
      </c>
      <c r="BM31" s="708">
        <v>3631.3980000000001</v>
      </c>
      <c r="BN31" s="709"/>
      <c r="BQ31" s="723"/>
    </row>
    <row r="32" spans="1:69" s="710" customFormat="1" ht="23.25" customHeight="1">
      <c r="A32" s="724" t="s">
        <v>193</v>
      </c>
      <c r="B32" s="725" t="s">
        <v>122</v>
      </c>
      <c r="C32" s="726" t="s">
        <v>44</v>
      </c>
      <c r="D32" s="707">
        <v>1751.56</v>
      </c>
      <c r="E32" s="708">
        <v>0.21000000000000002</v>
      </c>
      <c r="F32" s="708">
        <v>0</v>
      </c>
      <c r="G32" s="708">
        <v>0</v>
      </c>
      <c r="H32" s="708">
        <v>0</v>
      </c>
      <c r="I32" s="708">
        <v>0</v>
      </c>
      <c r="J32" s="708">
        <v>0.04</v>
      </c>
      <c r="K32" s="708">
        <v>0</v>
      </c>
      <c r="L32" s="708">
        <v>0</v>
      </c>
      <c r="M32" s="708">
        <v>0</v>
      </c>
      <c r="N32" s="708">
        <v>0.03</v>
      </c>
      <c r="O32" s="708">
        <v>0</v>
      </c>
      <c r="P32" s="708">
        <v>0.03</v>
      </c>
      <c r="Q32" s="708">
        <v>0</v>
      </c>
      <c r="R32" s="708">
        <v>0.03</v>
      </c>
      <c r="S32" s="708">
        <v>0</v>
      </c>
      <c r="T32" s="708">
        <v>0.11</v>
      </c>
      <c r="U32" s="708">
        <v>44.289999999999992</v>
      </c>
      <c r="V32" s="708">
        <v>0.6100000000000001</v>
      </c>
      <c r="W32" s="708">
        <v>0.01</v>
      </c>
      <c r="X32" s="708">
        <v>0</v>
      </c>
      <c r="Y32" s="708">
        <v>4.6399999999999997</v>
      </c>
      <c r="Z32" s="708">
        <v>1.2800000000000002</v>
      </c>
      <c r="AA32" s="708">
        <v>0.25</v>
      </c>
      <c r="AB32" s="708">
        <v>9.9899999999999984</v>
      </c>
      <c r="AC32" s="708">
        <v>0</v>
      </c>
      <c r="AD32" s="708">
        <v>19.419999999999998</v>
      </c>
      <c r="AE32" s="708">
        <v>1707.06</v>
      </c>
      <c r="AF32" s="708">
        <v>1.87</v>
      </c>
      <c r="AG32" s="708">
        <v>9.9999999999999992E-2</v>
      </c>
      <c r="AH32" s="708">
        <v>0</v>
      </c>
      <c r="AI32" s="708">
        <v>0.89000000000000012</v>
      </c>
      <c r="AJ32" s="708">
        <v>0.09</v>
      </c>
      <c r="AK32" s="708">
        <v>0.77</v>
      </c>
      <c r="AL32" s="708">
        <v>0</v>
      </c>
      <c r="AM32" s="708">
        <v>0</v>
      </c>
      <c r="AN32" s="708">
        <v>10.969999999999999</v>
      </c>
      <c r="AO32" s="708">
        <v>4.05</v>
      </c>
      <c r="AP32" s="708">
        <v>0</v>
      </c>
      <c r="AQ32" s="708">
        <v>0.05</v>
      </c>
      <c r="AR32" s="708">
        <v>0</v>
      </c>
      <c r="AS32" s="708">
        <v>0.02</v>
      </c>
      <c r="AT32" s="708">
        <v>0.61</v>
      </c>
      <c r="AU32" s="708">
        <v>0</v>
      </c>
      <c r="AV32" s="708">
        <v>0.18</v>
      </c>
      <c r="AW32" s="708">
        <v>0.9900000000000001</v>
      </c>
      <c r="AX32" s="708">
        <v>2.81</v>
      </c>
      <c r="AY32" s="708">
        <v>0.59</v>
      </c>
      <c r="AZ32" s="708">
        <v>0.06</v>
      </c>
      <c r="BA32" s="708">
        <v>0</v>
      </c>
      <c r="BB32" s="708">
        <v>0</v>
      </c>
      <c r="BC32" s="708">
        <v>0</v>
      </c>
      <c r="BD32" s="708">
        <v>0</v>
      </c>
      <c r="BE32" s="708">
        <v>0.05</v>
      </c>
      <c r="BF32" s="708">
        <v>3.1900000000000004</v>
      </c>
      <c r="BG32" s="708">
        <v>7.0000000000000007E-2</v>
      </c>
      <c r="BH32" s="708">
        <v>0.15</v>
      </c>
      <c r="BI32" s="708">
        <v>0</v>
      </c>
      <c r="BJ32" s="708">
        <v>44.499999999999993</v>
      </c>
      <c r="BK32" s="708">
        <v>277.37100000000004</v>
      </c>
      <c r="BL32" s="708">
        <v>0</v>
      </c>
      <c r="BM32" s="708">
        <v>2028.931</v>
      </c>
      <c r="BN32" s="709"/>
      <c r="BQ32" s="723"/>
    </row>
    <row r="33" spans="1:69" s="710" customFormat="1" ht="23.25" customHeight="1">
      <c r="A33" s="724" t="s">
        <v>193</v>
      </c>
      <c r="B33" s="725" t="s">
        <v>2895</v>
      </c>
      <c r="C33" s="726" t="s">
        <v>45</v>
      </c>
      <c r="D33" s="707">
        <v>129.73999999999998</v>
      </c>
      <c r="E33" s="708">
        <v>0</v>
      </c>
      <c r="F33" s="708">
        <v>0</v>
      </c>
      <c r="G33" s="708">
        <v>0</v>
      </c>
      <c r="H33" s="708">
        <v>0</v>
      </c>
      <c r="I33" s="708">
        <v>0</v>
      </c>
      <c r="J33" s="708">
        <v>0</v>
      </c>
      <c r="K33" s="708">
        <v>0</v>
      </c>
      <c r="L33" s="708">
        <v>0</v>
      </c>
      <c r="M33" s="708">
        <v>0</v>
      </c>
      <c r="N33" s="708">
        <v>0</v>
      </c>
      <c r="O33" s="708">
        <v>0</v>
      </c>
      <c r="P33" s="708">
        <v>0</v>
      </c>
      <c r="Q33" s="708">
        <v>0</v>
      </c>
      <c r="R33" s="708">
        <v>0</v>
      </c>
      <c r="S33" s="708">
        <v>0</v>
      </c>
      <c r="T33" s="708">
        <v>0</v>
      </c>
      <c r="U33" s="708">
        <v>5.19</v>
      </c>
      <c r="V33" s="708">
        <v>0.04</v>
      </c>
      <c r="W33" s="708">
        <v>0</v>
      </c>
      <c r="X33" s="708">
        <v>0</v>
      </c>
      <c r="Y33" s="708">
        <v>0.09</v>
      </c>
      <c r="Z33" s="708">
        <v>0.14000000000000001</v>
      </c>
      <c r="AA33" s="708">
        <v>0.03</v>
      </c>
      <c r="AB33" s="708">
        <v>1.81</v>
      </c>
      <c r="AC33" s="708">
        <v>0</v>
      </c>
      <c r="AD33" s="708">
        <v>1.78</v>
      </c>
      <c r="AE33" s="708">
        <v>1.23</v>
      </c>
      <c r="AF33" s="708">
        <v>124.54999999999998</v>
      </c>
      <c r="AG33" s="708">
        <v>0.01</v>
      </c>
      <c r="AH33" s="708">
        <v>0</v>
      </c>
      <c r="AI33" s="708">
        <v>0.01</v>
      </c>
      <c r="AJ33" s="708">
        <v>0</v>
      </c>
      <c r="AK33" s="708">
        <v>0</v>
      </c>
      <c r="AL33" s="708">
        <v>0</v>
      </c>
      <c r="AM33" s="708">
        <v>0</v>
      </c>
      <c r="AN33" s="708">
        <v>0.11</v>
      </c>
      <c r="AO33" s="708">
        <v>0.41000000000000003</v>
      </c>
      <c r="AP33" s="708">
        <v>0</v>
      </c>
      <c r="AQ33" s="708">
        <v>0</v>
      </c>
      <c r="AR33" s="708">
        <v>0</v>
      </c>
      <c r="AS33" s="708">
        <v>0</v>
      </c>
      <c r="AT33" s="708">
        <v>0.01</v>
      </c>
      <c r="AU33" s="708">
        <v>0.22</v>
      </c>
      <c r="AV33" s="708">
        <v>0</v>
      </c>
      <c r="AW33" s="708">
        <v>0.25</v>
      </c>
      <c r="AX33" s="708">
        <v>0.13</v>
      </c>
      <c r="AY33" s="708">
        <v>0.11</v>
      </c>
      <c r="AZ33" s="708">
        <v>0</v>
      </c>
      <c r="BA33" s="708">
        <v>0</v>
      </c>
      <c r="BB33" s="708">
        <v>0</v>
      </c>
      <c r="BC33" s="708">
        <v>0</v>
      </c>
      <c r="BD33" s="708">
        <v>0</v>
      </c>
      <c r="BE33" s="708">
        <v>0</v>
      </c>
      <c r="BF33" s="708">
        <v>0.52</v>
      </c>
      <c r="BG33" s="708">
        <v>7.0000000000000007E-2</v>
      </c>
      <c r="BH33" s="708">
        <v>0</v>
      </c>
      <c r="BI33" s="708">
        <v>0</v>
      </c>
      <c r="BJ33" s="708">
        <v>5.19</v>
      </c>
      <c r="BK33" s="708">
        <v>18.330000000000002</v>
      </c>
      <c r="BL33" s="708">
        <v>0</v>
      </c>
      <c r="BM33" s="708">
        <v>148.07</v>
      </c>
      <c r="BN33" s="709"/>
      <c r="BQ33" s="723"/>
    </row>
    <row r="34" spans="1:69" s="710" customFormat="1" ht="27.75" customHeight="1">
      <c r="A34" s="724" t="s">
        <v>193</v>
      </c>
      <c r="B34" s="725" t="s">
        <v>127</v>
      </c>
      <c r="C34" s="726" t="s">
        <v>48</v>
      </c>
      <c r="D34" s="707">
        <v>14.56</v>
      </c>
      <c r="E34" s="708">
        <v>0</v>
      </c>
      <c r="F34" s="708">
        <v>0</v>
      </c>
      <c r="G34" s="708">
        <v>0</v>
      </c>
      <c r="H34" s="708">
        <v>0</v>
      </c>
      <c r="I34" s="708">
        <v>0</v>
      </c>
      <c r="J34" s="708">
        <v>0</v>
      </c>
      <c r="K34" s="708">
        <v>0</v>
      </c>
      <c r="L34" s="708">
        <v>0</v>
      </c>
      <c r="M34" s="708">
        <v>0</v>
      </c>
      <c r="N34" s="708">
        <v>0</v>
      </c>
      <c r="O34" s="708">
        <v>0</v>
      </c>
      <c r="P34" s="708">
        <v>0</v>
      </c>
      <c r="Q34" s="708">
        <v>0</v>
      </c>
      <c r="R34" s="708">
        <v>0</v>
      </c>
      <c r="S34" s="708">
        <v>0</v>
      </c>
      <c r="T34" s="708">
        <v>0</v>
      </c>
      <c r="U34" s="708">
        <v>0.85000000000000009</v>
      </c>
      <c r="V34" s="708">
        <v>0</v>
      </c>
      <c r="W34" s="708">
        <v>0.16</v>
      </c>
      <c r="X34" s="708">
        <v>0</v>
      </c>
      <c r="Y34" s="708">
        <v>0</v>
      </c>
      <c r="Z34" s="708">
        <v>0</v>
      </c>
      <c r="AA34" s="708">
        <v>0</v>
      </c>
      <c r="AB34" s="708">
        <v>0</v>
      </c>
      <c r="AC34" s="708">
        <v>0</v>
      </c>
      <c r="AD34" s="708">
        <v>0.64</v>
      </c>
      <c r="AE34" s="708">
        <v>0.1</v>
      </c>
      <c r="AF34" s="708">
        <v>0</v>
      </c>
      <c r="AG34" s="708">
        <v>13.71</v>
      </c>
      <c r="AH34" s="708">
        <v>0</v>
      </c>
      <c r="AI34" s="708">
        <v>0.23</v>
      </c>
      <c r="AJ34" s="708">
        <v>0.26</v>
      </c>
      <c r="AK34" s="708">
        <v>0</v>
      </c>
      <c r="AL34" s="708">
        <v>0</v>
      </c>
      <c r="AM34" s="708">
        <v>0</v>
      </c>
      <c r="AN34" s="708">
        <v>0.05</v>
      </c>
      <c r="AO34" s="708">
        <v>0</v>
      </c>
      <c r="AP34" s="708">
        <v>0</v>
      </c>
      <c r="AQ34" s="708">
        <v>0</v>
      </c>
      <c r="AR34" s="708">
        <v>0</v>
      </c>
      <c r="AS34" s="708">
        <v>0</v>
      </c>
      <c r="AT34" s="708">
        <v>0</v>
      </c>
      <c r="AU34" s="708">
        <v>0</v>
      </c>
      <c r="AV34" s="708">
        <v>0</v>
      </c>
      <c r="AW34" s="708">
        <v>0</v>
      </c>
      <c r="AX34" s="708">
        <v>0.02</v>
      </c>
      <c r="AY34" s="708">
        <v>0.03</v>
      </c>
      <c r="AZ34" s="708">
        <v>0</v>
      </c>
      <c r="BA34" s="708">
        <v>0</v>
      </c>
      <c r="BB34" s="708">
        <v>0</v>
      </c>
      <c r="BC34" s="708">
        <v>0</v>
      </c>
      <c r="BD34" s="708">
        <v>0</v>
      </c>
      <c r="BE34" s="708">
        <v>0</v>
      </c>
      <c r="BF34" s="708">
        <v>0</v>
      </c>
      <c r="BG34" s="708">
        <v>0</v>
      </c>
      <c r="BH34" s="708">
        <v>0</v>
      </c>
      <c r="BI34" s="708">
        <v>0</v>
      </c>
      <c r="BJ34" s="708">
        <v>0.85000000000000009</v>
      </c>
      <c r="BK34" s="708">
        <v>8.1570000000000018</v>
      </c>
      <c r="BL34" s="708">
        <v>0</v>
      </c>
      <c r="BM34" s="708">
        <v>22.717000000000002</v>
      </c>
      <c r="BN34" s="709"/>
      <c r="BQ34" s="723"/>
    </row>
    <row r="35" spans="1:69" s="710" customFormat="1" ht="21" customHeight="1">
      <c r="A35" s="724" t="s">
        <v>193</v>
      </c>
      <c r="B35" s="725" t="s">
        <v>129</v>
      </c>
      <c r="C35" s="726" t="s">
        <v>49</v>
      </c>
      <c r="D35" s="707">
        <v>8</v>
      </c>
      <c r="E35" s="708">
        <v>0</v>
      </c>
      <c r="F35" s="708">
        <v>0</v>
      </c>
      <c r="G35" s="708">
        <v>0</v>
      </c>
      <c r="H35" s="708">
        <v>0</v>
      </c>
      <c r="I35" s="708">
        <v>0</v>
      </c>
      <c r="J35" s="708">
        <v>0</v>
      </c>
      <c r="K35" s="708">
        <v>0</v>
      </c>
      <c r="L35" s="708">
        <v>0</v>
      </c>
      <c r="M35" s="708">
        <v>0</v>
      </c>
      <c r="N35" s="708">
        <v>0</v>
      </c>
      <c r="O35" s="708">
        <v>0</v>
      </c>
      <c r="P35" s="708">
        <v>0</v>
      </c>
      <c r="Q35" s="708">
        <v>0</v>
      </c>
      <c r="R35" s="708">
        <v>0</v>
      </c>
      <c r="S35" s="708">
        <v>0</v>
      </c>
      <c r="T35" s="708">
        <v>0</v>
      </c>
      <c r="U35" s="708">
        <v>0.96</v>
      </c>
      <c r="V35" s="708">
        <v>0</v>
      </c>
      <c r="W35" s="708">
        <v>0.12</v>
      </c>
      <c r="X35" s="708">
        <v>0</v>
      </c>
      <c r="Y35" s="708">
        <v>0</v>
      </c>
      <c r="Z35" s="708">
        <v>0.1</v>
      </c>
      <c r="AA35" s="708">
        <v>0</v>
      </c>
      <c r="AB35" s="708">
        <v>0</v>
      </c>
      <c r="AC35" s="708">
        <v>0</v>
      </c>
      <c r="AD35" s="708">
        <v>0.53</v>
      </c>
      <c r="AE35" s="708">
        <v>0.02</v>
      </c>
      <c r="AF35" s="708">
        <v>0</v>
      </c>
      <c r="AG35" s="708">
        <v>0.25</v>
      </c>
      <c r="AH35" s="708">
        <v>7.04</v>
      </c>
      <c r="AI35" s="708">
        <v>0.11</v>
      </c>
      <c r="AJ35" s="708">
        <v>0.03</v>
      </c>
      <c r="AK35" s="708">
        <v>0</v>
      </c>
      <c r="AL35" s="708">
        <v>0</v>
      </c>
      <c r="AM35" s="708">
        <v>0</v>
      </c>
      <c r="AN35" s="708">
        <v>0.01</v>
      </c>
      <c r="AO35" s="708">
        <v>0</v>
      </c>
      <c r="AP35" s="708">
        <v>0</v>
      </c>
      <c r="AQ35" s="708">
        <v>0</v>
      </c>
      <c r="AR35" s="708">
        <v>0</v>
      </c>
      <c r="AS35" s="708">
        <v>0</v>
      </c>
      <c r="AT35" s="708">
        <v>0.11</v>
      </c>
      <c r="AU35" s="708">
        <v>0</v>
      </c>
      <c r="AV35" s="708">
        <v>0</v>
      </c>
      <c r="AW35" s="708">
        <v>0</v>
      </c>
      <c r="AX35" s="708">
        <v>0</v>
      </c>
      <c r="AY35" s="708">
        <v>0</v>
      </c>
      <c r="AZ35" s="708">
        <v>0.21000000000000002</v>
      </c>
      <c r="BA35" s="708">
        <v>0</v>
      </c>
      <c r="BB35" s="708">
        <v>0</v>
      </c>
      <c r="BC35" s="708">
        <v>0</v>
      </c>
      <c r="BD35" s="708">
        <v>0</v>
      </c>
      <c r="BE35" s="708">
        <v>0</v>
      </c>
      <c r="BF35" s="708">
        <v>0</v>
      </c>
      <c r="BG35" s="708">
        <v>0</v>
      </c>
      <c r="BH35" s="708">
        <v>0</v>
      </c>
      <c r="BI35" s="708">
        <v>0</v>
      </c>
      <c r="BJ35" s="708">
        <v>0.96</v>
      </c>
      <c r="BK35" s="708">
        <v>-0.47999999999999993</v>
      </c>
      <c r="BL35" s="708">
        <v>0</v>
      </c>
      <c r="BM35" s="708">
        <v>7.5200000000000005</v>
      </c>
      <c r="BN35" s="709"/>
      <c r="BQ35" s="723"/>
    </row>
    <row r="36" spans="1:69" s="710" customFormat="1" ht="27.75" customHeight="1">
      <c r="A36" s="724" t="s">
        <v>193</v>
      </c>
      <c r="B36" s="725" t="s">
        <v>2738</v>
      </c>
      <c r="C36" s="726" t="s">
        <v>50</v>
      </c>
      <c r="D36" s="707">
        <v>60.670000000000009</v>
      </c>
      <c r="E36" s="708">
        <v>0</v>
      </c>
      <c r="F36" s="708">
        <v>0</v>
      </c>
      <c r="G36" s="708">
        <v>0</v>
      </c>
      <c r="H36" s="708">
        <v>0</v>
      </c>
      <c r="I36" s="708">
        <v>0</v>
      </c>
      <c r="J36" s="708">
        <v>0</v>
      </c>
      <c r="K36" s="708">
        <v>0</v>
      </c>
      <c r="L36" s="708">
        <v>0</v>
      </c>
      <c r="M36" s="708">
        <v>0</v>
      </c>
      <c r="N36" s="708">
        <v>0</v>
      </c>
      <c r="O36" s="708">
        <v>0</v>
      </c>
      <c r="P36" s="708">
        <v>0</v>
      </c>
      <c r="Q36" s="708">
        <v>0</v>
      </c>
      <c r="R36" s="708">
        <v>0</v>
      </c>
      <c r="S36" s="708">
        <v>0</v>
      </c>
      <c r="T36" s="708">
        <v>0</v>
      </c>
      <c r="U36" s="708">
        <v>3.3600000000000003</v>
      </c>
      <c r="V36" s="708">
        <v>0</v>
      </c>
      <c r="W36" s="708">
        <v>0.02</v>
      </c>
      <c r="X36" s="708">
        <v>0</v>
      </c>
      <c r="Y36" s="708">
        <v>0</v>
      </c>
      <c r="Z36" s="708">
        <v>0</v>
      </c>
      <c r="AA36" s="708">
        <v>0</v>
      </c>
      <c r="AB36" s="708">
        <v>0</v>
      </c>
      <c r="AC36" s="708">
        <v>0</v>
      </c>
      <c r="AD36" s="708">
        <v>2.35</v>
      </c>
      <c r="AE36" s="708">
        <v>0.06</v>
      </c>
      <c r="AF36" s="708">
        <v>0</v>
      </c>
      <c r="AG36" s="708">
        <v>1.5600000000000003</v>
      </c>
      <c r="AH36" s="708">
        <v>0</v>
      </c>
      <c r="AI36" s="708">
        <v>57.310000000000009</v>
      </c>
      <c r="AJ36" s="708">
        <v>0.38999999999999996</v>
      </c>
      <c r="AK36" s="708">
        <v>0</v>
      </c>
      <c r="AL36" s="708">
        <v>0</v>
      </c>
      <c r="AM36" s="708">
        <v>0</v>
      </c>
      <c r="AN36" s="708">
        <v>0.33999999999999997</v>
      </c>
      <c r="AO36" s="708">
        <v>0</v>
      </c>
      <c r="AP36" s="708">
        <v>0</v>
      </c>
      <c r="AQ36" s="708">
        <v>0</v>
      </c>
      <c r="AR36" s="708">
        <v>0</v>
      </c>
      <c r="AS36" s="708">
        <v>0</v>
      </c>
      <c r="AT36" s="708">
        <v>0</v>
      </c>
      <c r="AU36" s="708">
        <v>0</v>
      </c>
      <c r="AV36" s="708">
        <v>0</v>
      </c>
      <c r="AW36" s="708">
        <v>0.47</v>
      </c>
      <c r="AX36" s="708">
        <v>0.29000000000000004</v>
      </c>
      <c r="AY36" s="708">
        <v>0.23</v>
      </c>
      <c r="AZ36" s="708">
        <v>0</v>
      </c>
      <c r="BA36" s="708">
        <v>0</v>
      </c>
      <c r="BB36" s="708">
        <v>0</v>
      </c>
      <c r="BC36" s="708">
        <v>0</v>
      </c>
      <c r="BD36" s="708">
        <v>0</v>
      </c>
      <c r="BE36" s="708">
        <v>0</v>
      </c>
      <c r="BF36" s="708">
        <v>0</v>
      </c>
      <c r="BG36" s="708">
        <v>0</v>
      </c>
      <c r="BH36" s="708">
        <v>0</v>
      </c>
      <c r="BI36" s="708">
        <v>0</v>
      </c>
      <c r="BJ36" s="708">
        <v>3.3600000000000003</v>
      </c>
      <c r="BK36" s="708">
        <v>24.770000000000003</v>
      </c>
      <c r="BL36" s="708">
        <v>0</v>
      </c>
      <c r="BM36" s="708">
        <v>85.440000000000012</v>
      </c>
      <c r="BN36" s="709"/>
      <c r="BQ36" s="723"/>
    </row>
    <row r="37" spans="1:69" s="710" customFormat="1" ht="27.75" customHeight="1">
      <c r="A37" s="724" t="s">
        <v>193</v>
      </c>
      <c r="B37" s="725" t="s">
        <v>2896</v>
      </c>
      <c r="C37" s="726" t="s">
        <v>51</v>
      </c>
      <c r="D37" s="707">
        <v>21.15</v>
      </c>
      <c r="E37" s="708">
        <v>0</v>
      </c>
      <c r="F37" s="708">
        <v>0</v>
      </c>
      <c r="G37" s="708">
        <v>0</v>
      </c>
      <c r="H37" s="708">
        <v>0</v>
      </c>
      <c r="I37" s="708">
        <v>0</v>
      </c>
      <c r="J37" s="708">
        <v>0</v>
      </c>
      <c r="K37" s="708">
        <v>0</v>
      </c>
      <c r="L37" s="708">
        <v>0</v>
      </c>
      <c r="M37" s="708">
        <v>0</v>
      </c>
      <c r="N37" s="708">
        <v>0</v>
      </c>
      <c r="O37" s="708">
        <v>0</v>
      </c>
      <c r="P37" s="708">
        <v>0</v>
      </c>
      <c r="Q37" s="708">
        <v>0</v>
      </c>
      <c r="R37" s="708">
        <v>0</v>
      </c>
      <c r="S37" s="708">
        <v>0</v>
      </c>
      <c r="T37" s="708">
        <v>0</v>
      </c>
      <c r="U37" s="708">
        <v>1.2600000000000002</v>
      </c>
      <c r="V37" s="708">
        <v>0</v>
      </c>
      <c r="W37" s="708">
        <v>0</v>
      </c>
      <c r="X37" s="708">
        <v>0</v>
      </c>
      <c r="Y37" s="708">
        <v>0</v>
      </c>
      <c r="Z37" s="708">
        <v>0.06</v>
      </c>
      <c r="AA37" s="708">
        <v>0</v>
      </c>
      <c r="AB37" s="708">
        <v>0</v>
      </c>
      <c r="AC37" s="708">
        <v>0</v>
      </c>
      <c r="AD37" s="708">
        <v>1.06</v>
      </c>
      <c r="AE37" s="708">
        <v>0.14000000000000001</v>
      </c>
      <c r="AF37" s="708">
        <v>0</v>
      </c>
      <c r="AG37" s="708">
        <v>0.15000000000000002</v>
      </c>
      <c r="AH37" s="708">
        <v>0</v>
      </c>
      <c r="AI37" s="708">
        <v>0.48</v>
      </c>
      <c r="AJ37" s="708">
        <v>19.889999999999997</v>
      </c>
      <c r="AK37" s="708">
        <v>0</v>
      </c>
      <c r="AL37" s="708">
        <v>0</v>
      </c>
      <c r="AM37" s="708">
        <v>0</v>
      </c>
      <c r="AN37" s="708">
        <v>0</v>
      </c>
      <c r="AO37" s="708">
        <v>0.2</v>
      </c>
      <c r="AP37" s="708">
        <v>0</v>
      </c>
      <c r="AQ37" s="708">
        <v>0</v>
      </c>
      <c r="AR37" s="708">
        <v>0</v>
      </c>
      <c r="AS37" s="708">
        <v>0</v>
      </c>
      <c r="AT37" s="708">
        <v>0.09</v>
      </c>
      <c r="AU37" s="708">
        <v>0</v>
      </c>
      <c r="AV37" s="708">
        <v>0</v>
      </c>
      <c r="AW37" s="708">
        <v>0</v>
      </c>
      <c r="AX37" s="708">
        <v>0</v>
      </c>
      <c r="AY37" s="708">
        <v>0.14000000000000001</v>
      </c>
      <c r="AZ37" s="708">
        <v>0</v>
      </c>
      <c r="BA37" s="708">
        <v>0</v>
      </c>
      <c r="BB37" s="708">
        <v>0</v>
      </c>
      <c r="BC37" s="708">
        <v>0</v>
      </c>
      <c r="BD37" s="708">
        <v>0</v>
      </c>
      <c r="BE37" s="708">
        <v>0</v>
      </c>
      <c r="BF37" s="708">
        <v>0</v>
      </c>
      <c r="BG37" s="708">
        <v>0</v>
      </c>
      <c r="BH37" s="708">
        <v>0</v>
      </c>
      <c r="BI37" s="708">
        <v>0</v>
      </c>
      <c r="BJ37" s="708">
        <v>1.2600000000000002</v>
      </c>
      <c r="BK37" s="708">
        <v>14.399999999999999</v>
      </c>
      <c r="BL37" s="708">
        <v>0</v>
      </c>
      <c r="BM37" s="708">
        <v>35.549999999999997</v>
      </c>
      <c r="BN37" s="709"/>
      <c r="BQ37" s="723"/>
    </row>
    <row r="38" spans="1:69" s="710" customFormat="1" ht="21.75" customHeight="1">
      <c r="A38" s="724" t="s">
        <v>193</v>
      </c>
      <c r="B38" s="725" t="s">
        <v>134</v>
      </c>
      <c r="C38" s="726" t="s">
        <v>46</v>
      </c>
      <c r="D38" s="707">
        <v>30.37</v>
      </c>
      <c r="E38" s="708">
        <v>0</v>
      </c>
      <c r="F38" s="708">
        <v>0</v>
      </c>
      <c r="G38" s="708">
        <v>0</v>
      </c>
      <c r="H38" s="708">
        <v>0</v>
      </c>
      <c r="I38" s="708">
        <v>0</v>
      </c>
      <c r="J38" s="708">
        <v>0</v>
      </c>
      <c r="K38" s="708">
        <v>0</v>
      </c>
      <c r="L38" s="708">
        <v>0</v>
      </c>
      <c r="M38" s="708">
        <v>0</v>
      </c>
      <c r="N38" s="708">
        <v>0</v>
      </c>
      <c r="O38" s="708">
        <v>0</v>
      </c>
      <c r="P38" s="708">
        <v>0</v>
      </c>
      <c r="Q38" s="708">
        <v>0</v>
      </c>
      <c r="R38" s="708">
        <v>0</v>
      </c>
      <c r="S38" s="708">
        <v>0</v>
      </c>
      <c r="T38" s="708">
        <v>0</v>
      </c>
      <c r="U38" s="708">
        <v>0.09</v>
      </c>
      <c r="V38" s="708">
        <v>0</v>
      </c>
      <c r="W38" s="708">
        <v>0</v>
      </c>
      <c r="X38" s="708">
        <v>0</v>
      </c>
      <c r="Y38" s="708">
        <v>0</v>
      </c>
      <c r="Z38" s="708">
        <v>0.01</v>
      </c>
      <c r="AA38" s="708">
        <v>0</v>
      </c>
      <c r="AB38" s="708">
        <v>0</v>
      </c>
      <c r="AC38" s="708">
        <v>0</v>
      </c>
      <c r="AD38" s="708">
        <v>0.08</v>
      </c>
      <c r="AE38" s="708">
        <v>0</v>
      </c>
      <c r="AF38" s="708">
        <v>0</v>
      </c>
      <c r="AG38" s="708">
        <v>0</v>
      </c>
      <c r="AH38" s="708">
        <v>0</v>
      </c>
      <c r="AI38" s="708">
        <v>0</v>
      </c>
      <c r="AJ38" s="708">
        <v>0</v>
      </c>
      <c r="AK38" s="708">
        <v>30.28</v>
      </c>
      <c r="AL38" s="708">
        <v>0</v>
      </c>
      <c r="AM38" s="708">
        <v>0</v>
      </c>
      <c r="AN38" s="708">
        <v>0.08</v>
      </c>
      <c r="AO38" s="708">
        <v>0</v>
      </c>
      <c r="AP38" s="708">
        <v>0</v>
      </c>
      <c r="AQ38" s="708">
        <v>0</v>
      </c>
      <c r="AR38" s="708">
        <v>0</v>
      </c>
      <c r="AS38" s="708">
        <v>0</v>
      </c>
      <c r="AT38" s="708">
        <v>0</v>
      </c>
      <c r="AU38" s="708">
        <v>0</v>
      </c>
      <c r="AV38" s="708">
        <v>0</v>
      </c>
      <c r="AW38" s="708">
        <v>0</v>
      </c>
      <c r="AX38" s="708">
        <v>0</v>
      </c>
      <c r="AY38" s="708">
        <v>0</v>
      </c>
      <c r="AZ38" s="708">
        <v>0</v>
      </c>
      <c r="BA38" s="708">
        <v>0</v>
      </c>
      <c r="BB38" s="708">
        <v>0</v>
      </c>
      <c r="BC38" s="708">
        <v>0</v>
      </c>
      <c r="BD38" s="708">
        <v>0</v>
      </c>
      <c r="BE38" s="708">
        <v>0</v>
      </c>
      <c r="BF38" s="708">
        <v>0</v>
      </c>
      <c r="BG38" s="708">
        <v>0</v>
      </c>
      <c r="BH38" s="708">
        <v>0</v>
      </c>
      <c r="BI38" s="708">
        <v>0</v>
      </c>
      <c r="BJ38" s="708">
        <v>0.09</v>
      </c>
      <c r="BK38" s="708">
        <v>147.57999999999998</v>
      </c>
      <c r="BL38" s="708">
        <v>0</v>
      </c>
      <c r="BM38" s="708">
        <v>177.95</v>
      </c>
      <c r="BN38" s="709"/>
      <c r="BQ38" s="723"/>
    </row>
    <row r="39" spans="1:69" s="710" customFormat="1" ht="27.75" customHeight="1">
      <c r="A39" s="724" t="s">
        <v>193</v>
      </c>
      <c r="B39" s="725" t="s">
        <v>135</v>
      </c>
      <c r="C39" s="726" t="s">
        <v>47</v>
      </c>
      <c r="D39" s="707">
        <v>1.4400000000000002</v>
      </c>
      <c r="E39" s="708">
        <v>0</v>
      </c>
      <c r="F39" s="708">
        <v>0</v>
      </c>
      <c r="G39" s="708">
        <v>0</v>
      </c>
      <c r="H39" s="708">
        <v>0</v>
      </c>
      <c r="I39" s="708">
        <v>0</v>
      </c>
      <c r="J39" s="708">
        <v>0</v>
      </c>
      <c r="K39" s="708">
        <v>0</v>
      </c>
      <c r="L39" s="708">
        <v>0</v>
      </c>
      <c r="M39" s="708">
        <v>0</v>
      </c>
      <c r="N39" s="708">
        <v>0</v>
      </c>
      <c r="O39" s="708">
        <v>0</v>
      </c>
      <c r="P39" s="708">
        <v>0</v>
      </c>
      <c r="Q39" s="708">
        <v>0</v>
      </c>
      <c r="R39" s="708">
        <v>0</v>
      </c>
      <c r="S39" s="708">
        <v>0</v>
      </c>
      <c r="T39" s="708">
        <v>0</v>
      </c>
      <c r="U39" s="708">
        <v>0.53</v>
      </c>
      <c r="V39" s="708">
        <v>0</v>
      </c>
      <c r="W39" s="708">
        <v>0.15</v>
      </c>
      <c r="X39" s="708">
        <v>0</v>
      </c>
      <c r="Y39" s="708">
        <v>0</v>
      </c>
      <c r="Z39" s="708">
        <v>0</v>
      </c>
      <c r="AA39" s="708">
        <v>0</v>
      </c>
      <c r="AB39" s="708">
        <v>0</v>
      </c>
      <c r="AC39" s="708">
        <v>0</v>
      </c>
      <c r="AD39" s="708">
        <v>0.37</v>
      </c>
      <c r="AE39" s="708">
        <v>0</v>
      </c>
      <c r="AF39" s="708">
        <v>0</v>
      </c>
      <c r="AG39" s="708">
        <v>0</v>
      </c>
      <c r="AH39" s="708">
        <v>0</v>
      </c>
      <c r="AI39" s="708">
        <v>0.03</v>
      </c>
      <c r="AJ39" s="708">
        <v>0</v>
      </c>
      <c r="AK39" s="708">
        <v>0</v>
      </c>
      <c r="AL39" s="708">
        <v>0.91000000000000014</v>
      </c>
      <c r="AM39" s="708">
        <v>0</v>
      </c>
      <c r="AN39" s="708">
        <v>0.25</v>
      </c>
      <c r="AO39" s="708">
        <v>0</v>
      </c>
      <c r="AP39" s="708">
        <v>0</v>
      </c>
      <c r="AQ39" s="708">
        <v>0</v>
      </c>
      <c r="AR39" s="708">
        <v>0</v>
      </c>
      <c r="AS39" s="708">
        <v>0</v>
      </c>
      <c r="AT39" s="708">
        <v>0.09</v>
      </c>
      <c r="AU39" s="708">
        <v>0</v>
      </c>
      <c r="AV39" s="708">
        <v>0</v>
      </c>
      <c r="AW39" s="708">
        <v>0</v>
      </c>
      <c r="AX39" s="708">
        <v>0</v>
      </c>
      <c r="AY39" s="708">
        <v>0</v>
      </c>
      <c r="AZ39" s="708">
        <v>0.01</v>
      </c>
      <c r="BA39" s="708">
        <v>0</v>
      </c>
      <c r="BB39" s="708">
        <v>0</v>
      </c>
      <c r="BC39" s="708">
        <v>0</v>
      </c>
      <c r="BD39" s="708">
        <v>0</v>
      </c>
      <c r="BE39" s="708">
        <v>0</v>
      </c>
      <c r="BF39" s="708">
        <v>0</v>
      </c>
      <c r="BG39" s="708">
        <v>0</v>
      </c>
      <c r="BH39" s="708">
        <v>0</v>
      </c>
      <c r="BI39" s="708">
        <v>0</v>
      </c>
      <c r="BJ39" s="708">
        <v>0.53</v>
      </c>
      <c r="BK39" s="708">
        <v>0.34999999999999976</v>
      </c>
      <c r="BL39" s="708">
        <v>0</v>
      </c>
      <c r="BM39" s="708">
        <v>1.79</v>
      </c>
      <c r="BN39" s="709"/>
      <c r="BQ39" s="723"/>
    </row>
    <row r="40" spans="1:69" s="710" customFormat="1" ht="31.5" customHeight="1">
      <c r="A40" s="724" t="s">
        <v>193</v>
      </c>
      <c r="B40" s="725" t="s">
        <v>2761</v>
      </c>
      <c r="C40" s="726" t="s">
        <v>2762</v>
      </c>
      <c r="D40" s="707">
        <v>0</v>
      </c>
      <c r="E40" s="708">
        <v>0</v>
      </c>
      <c r="F40" s="708">
        <v>0</v>
      </c>
      <c r="G40" s="708">
        <v>0</v>
      </c>
      <c r="H40" s="708">
        <v>0</v>
      </c>
      <c r="I40" s="708">
        <v>0</v>
      </c>
      <c r="J40" s="708">
        <v>0</v>
      </c>
      <c r="K40" s="708">
        <v>0</v>
      </c>
      <c r="L40" s="708">
        <v>0</v>
      </c>
      <c r="M40" s="708">
        <v>0</v>
      </c>
      <c r="N40" s="708">
        <v>0</v>
      </c>
      <c r="O40" s="708">
        <v>0</v>
      </c>
      <c r="P40" s="708">
        <v>0</v>
      </c>
      <c r="Q40" s="708">
        <v>0</v>
      </c>
      <c r="R40" s="708">
        <v>0</v>
      </c>
      <c r="S40" s="708">
        <v>0</v>
      </c>
      <c r="T40" s="708">
        <v>0</v>
      </c>
      <c r="U40" s="708">
        <v>0</v>
      </c>
      <c r="V40" s="708">
        <v>0</v>
      </c>
      <c r="W40" s="708">
        <v>0</v>
      </c>
      <c r="X40" s="708">
        <v>0</v>
      </c>
      <c r="Y40" s="708">
        <v>0</v>
      </c>
      <c r="Z40" s="708">
        <v>0</v>
      </c>
      <c r="AA40" s="708">
        <v>0</v>
      </c>
      <c r="AB40" s="708">
        <v>0</v>
      </c>
      <c r="AC40" s="708">
        <v>0</v>
      </c>
      <c r="AD40" s="708">
        <v>0</v>
      </c>
      <c r="AE40" s="708">
        <v>0</v>
      </c>
      <c r="AF40" s="708">
        <v>0</v>
      </c>
      <c r="AG40" s="708">
        <v>0</v>
      </c>
      <c r="AH40" s="708">
        <v>0</v>
      </c>
      <c r="AI40" s="708">
        <v>0</v>
      </c>
      <c r="AJ40" s="708">
        <v>0</v>
      </c>
      <c r="AK40" s="708">
        <v>0</v>
      </c>
      <c r="AL40" s="708">
        <v>0</v>
      </c>
      <c r="AM40" s="708">
        <v>0</v>
      </c>
      <c r="AN40" s="708">
        <v>0</v>
      </c>
      <c r="AO40" s="708">
        <v>0</v>
      </c>
      <c r="AP40" s="708">
        <v>0</v>
      </c>
      <c r="AQ40" s="708">
        <v>0</v>
      </c>
      <c r="AR40" s="708">
        <v>0</v>
      </c>
      <c r="AS40" s="708">
        <v>0</v>
      </c>
      <c r="AT40" s="708">
        <v>0</v>
      </c>
      <c r="AU40" s="708">
        <v>0</v>
      </c>
      <c r="AV40" s="708">
        <v>0</v>
      </c>
      <c r="AW40" s="708">
        <v>0</v>
      </c>
      <c r="AX40" s="708">
        <v>0</v>
      </c>
      <c r="AY40" s="708">
        <v>0</v>
      </c>
      <c r="AZ40" s="708">
        <v>0</v>
      </c>
      <c r="BA40" s="708">
        <v>0</v>
      </c>
      <c r="BB40" s="708">
        <v>0</v>
      </c>
      <c r="BC40" s="708">
        <v>0</v>
      </c>
      <c r="BD40" s="708">
        <v>0</v>
      </c>
      <c r="BE40" s="708">
        <v>0</v>
      </c>
      <c r="BF40" s="708">
        <v>0</v>
      </c>
      <c r="BG40" s="708">
        <v>0</v>
      </c>
      <c r="BH40" s="708">
        <v>0</v>
      </c>
      <c r="BI40" s="708">
        <v>0</v>
      </c>
      <c r="BJ40" s="708">
        <v>0</v>
      </c>
      <c r="BK40" s="708">
        <v>0</v>
      </c>
      <c r="BL40" s="708">
        <v>0</v>
      </c>
      <c r="BM40" s="708">
        <v>0</v>
      </c>
      <c r="BN40" s="709"/>
      <c r="BQ40" s="723"/>
    </row>
    <row r="41" spans="1:69" s="710" customFormat="1" ht="27.75" customHeight="1">
      <c r="A41" s="724" t="s">
        <v>193</v>
      </c>
      <c r="B41" s="725" t="s">
        <v>2763</v>
      </c>
      <c r="C41" s="726" t="s">
        <v>2764</v>
      </c>
      <c r="D41" s="707">
        <v>1.1699999999999995</v>
      </c>
      <c r="E41" s="708">
        <v>0</v>
      </c>
      <c r="F41" s="708">
        <v>0</v>
      </c>
      <c r="G41" s="708">
        <v>0</v>
      </c>
      <c r="H41" s="708">
        <v>0</v>
      </c>
      <c r="I41" s="708">
        <v>0</v>
      </c>
      <c r="J41" s="708">
        <v>0</v>
      </c>
      <c r="K41" s="708">
        <v>0</v>
      </c>
      <c r="L41" s="708">
        <v>0</v>
      </c>
      <c r="M41" s="708">
        <v>0</v>
      </c>
      <c r="N41" s="708">
        <v>0</v>
      </c>
      <c r="O41" s="708">
        <v>0</v>
      </c>
      <c r="P41" s="708">
        <v>0</v>
      </c>
      <c r="Q41" s="708">
        <v>0</v>
      </c>
      <c r="R41" s="708">
        <v>0</v>
      </c>
      <c r="S41" s="708">
        <v>0</v>
      </c>
      <c r="T41" s="708">
        <v>0</v>
      </c>
      <c r="U41" s="708">
        <v>0</v>
      </c>
      <c r="V41" s="708">
        <v>0</v>
      </c>
      <c r="W41" s="708">
        <v>0</v>
      </c>
      <c r="X41" s="708">
        <v>0</v>
      </c>
      <c r="Y41" s="708">
        <v>0</v>
      </c>
      <c r="Z41" s="708">
        <v>0</v>
      </c>
      <c r="AA41" s="708">
        <v>0</v>
      </c>
      <c r="AB41" s="708">
        <v>0</v>
      </c>
      <c r="AC41" s="708">
        <v>0</v>
      </c>
      <c r="AD41" s="708">
        <v>0</v>
      </c>
      <c r="AE41" s="708">
        <v>0</v>
      </c>
      <c r="AF41" s="708">
        <v>0</v>
      </c>
      <c r="AG41" s="708">
        <v>0</v>
      </c>
      <c r="AH41" s="708">
        <v>0</v>
      </c>
      <c r="AI41" s="708">
        <v>0</v>
      </c>
      <c r="AJ41" s="708">
        <v>0</v>
      </c>
      <c r="AK41" s="708">
        <v>0</v>
      </c>
      <c r="AL41" s="708">
        <v>0</v>
      </c>
      <c r="AM41" s="708">
        <v>0</v>
      </c>
      <c r="AN41" s="708">
        <v>1.1699999999999995</v>
      </c>
      <c r="AO41" s="708">
        <v>0</v>
      </c>
      <c r="AP41" s="708">
        <v>0</v>
      </c>
      <c r="AQ41" s="708">
        <v>0</v>
      </c>
      <c r="AR41" s="708">
        <v>0</v>
      </c>
      <c r="AS41" s="708">
        <v>0</v>
      </c>
      <c r="AT41" s="708">
        <v>0</v>
      </c>
      <c r="AU41" s="708">
        <v>0</v>
      </c>
      <c r="AV41" s="708">
        <v>0</v>
      </c>
      <c r="AW41" s="708">
        <v>0</v>
      </c>
      <c r="AX41" s="708">
        <v>0</v>
      </c>
      <c r="AY41" s="708">
        <v>0</v>
      </c>
      <c r="AZ41" s="708">
        <v>0</v>
      </c>
      <c r="BA41" s="708">
        <v>0</v>
      </c>
      <c r="BB41" s="708">
        <v>0</v>
      </c>
      <c r="BC41" s="708">
        <v>0</v>
      </c>
      <c r="BD41" s="708">
        <v>0</v>
      </c>
      <c r="BE41" s="708">
        <v>0</v>
      </c>
      <c r="BF41" s="708">
        <v>0</v>
      </c>
      <c r="BG41" s="708">
        <v>0</v>
      </c>
      <c r="BH41" s="708">
        <v>0</v>
      </c>
      <c r="BI41" s="708">
        <v>0</v>
      </c>
      <c r="BJ41" s="708">
        <v>0</v>
      </c>
      <c r="BK41" s="708">
        <v>451.22999999999996</v>
      </c>
      <c r="BL41" s="708">
        <v>0</v>
      </c>
      <c r="BM41" s="708">
        <v>452.4</v>
      </c>
      <c r="BN41" s="709"/>
      <c r="BQ41" s="723"/>
    </row>
    <row r="42" spans="1:69" s="710" customFormat="1" ht="23.25" customHeight="1">
      <c r="A42" s="724" t="s">
        <v>193</v>
      </c>
      <c r="B42" s="679" t="s">
        <v>2765</v>
      </c>
      <c r="C42" s="726" t="s">
        <v>37</v>
      </c>
      <c r="D42" s="707">
        <v>500.91000000000008</v>
      </c>
      <c r="E42" s="708">
        <v>0</v>
      </c>
      <c r="F42" s="708">
        <v>0</v>
      </c>
      <c r="G42" s="708">
        <v>0</v>
      </c>
      <c r="H42" s="708">
        <v>0</v>
      </c>
      <c r="I42" s="708">
        <v>0</v>
      </c>
      <c r="J42" s="708">
        <v>0</v>
      </c>
      <c r="K42" s="708">
        <v>0</v>
      </c>
      <c r="L42" s="708">
        <v>0</v>
      </c>
      <c r="M42" s="708">
        <v>0</v>
      </c>
      <c r="N42" s="708">
        <v>0</v>
      </c>
      <c r="O42" s="708">
        <v>0</v>
      </c>
      <c r="P42" s="708">
        <v>0</v>
      </c>
      <c r="Q42" s="708">
        <v>0</v>
      </c>
      <c r="R42" s="708">
        <v>0</v>
      </c>
      <c r="S42" s="708">
        <v>0</v>
      </c>
      <c r="T42" s="708">
        <v>0</v>
      </c>
      <c r="U42" s="708">
        <v>59.17</v>
      </c>
      <c r="V42" s="708">
        <v>0</v>
      </c>
      <c r="W42" s="708">
        <v>0</v>
      </c>
      <c r="X42" s="708">
        <v>0</v>
      </c>
      <c r="Y42" s="708">
        <v>0</v>
      </c>
      <c r="Z42" s="708">
        <v>0</v>
      </c>
      <c r="AA42" s="708">
        <v>52.38</v>
      </c>
      <c r="AB42" s="708">
        <v>0</v>
      </c>
      <c r="AC42" s="708">
        <v>0</v>
      </c>
      <c r="AD42" s="708">
        <v>6.79</v>
      </c>
      <c r="AE42" s="708">
        <v>0</v>
      </c>
      <c r="AF42" s="708">
        <v>0</v>
      </c>
      <c r="AG42" s="708">
        <v>0</v>
      </c>
      <c r="AH42" s="708">
        <v>0</v>
      </c>
      <c r="AI42" s="708">
        <v>5.62</v>
      </c>
      <c r="AJ42" s="708">
        <v>0</v>
      </c>
      <c r="AK42" s="708">
        <v>1.17</v>
      </c>
      <c r="AL42" s="708">
        <v>0</v>
      </c>
      <c r="AM42" s="708">
        <v>0</v>
      </c>
      <c r="AN42" s="708">
        <v>0</v>
      </c>
      <c r="AO42" s="708">
        <v>441.74000000000007</v>
      </c>
      <c r="AP42" s="708">
        <v>0</v>
      </c>
      <c r="AQ42" s="708">
        <v>0</v>
      </c>
      <c r="AR42" s="708">
        <v>0</v>
      </c>
      <c r="AS42" s="708">
        <v>0</v>
      </c>
      <c r="AT42" s="708">
        <v>0</v>
      </c>
      <c r="AU42" s="708">
        <v>0</v>
      </c>
      <c r="AV42" s="708">
        <v>0</v>
      </c>
      <c r="AW42" s="708">
        <v>0</v>
      </c>
      <c r="AX42" s="708">
        <v>0</v>
      </c>
      <c r="AY42" s="708">
        <v>0</v>
      </c>
      <c r="AZ42" s="708">
        <v>0</v>
      </c>
      <c r="BA42" s="708">
        <v>0</v>
      </c>
      <c r="BB42" s="708">
        <v>0</v>
      </c>
      <c r="BC42" s="708">
        <v>0</v>
      </c>
      <c r="BD42" s="708">
        <v>0</v>
      </c>
      <c r="BE42" s="708">
        <v>0</v>
      </c>
      <c r="BF42" s="708">
        <v>0</v>
      </c>
      <c r="BG42" s="708">
        <v>0</v>
      </c>
      <c r="BH42" s="708">
        <v>0</v>
      </c>
      <c r="BI42" s="708">
        <v>0</v>
      </c>
      <c r="BJ42" s="708">
        <v>59.17</v>
      </c>
      <c r="BK42" s="708">
        <v>28.239999999999995</v>
      </c>
      <c r="BL42" s="708">
        <v>0</v>
      </c>
      <c r="BM42" s="708">
        <v>529.15000000000009</v>
      </c>
      <c r="BN42" s="709"/>
      <c r="BQ42" s="723"/>
    </row>
    <row r="43" spans="1:69" s="710" customFormat="1" ht="21.75" customHeight="1">
      <c r="A43" s="724" t="s">
        <v>193</v>
      </c>
      <c r="B43" s="725" t="s">
        <v>111</v>
      </c>
      <c r="C43" s="726" t="s">
        <v>38</v>
      </c>
      <c r="D43" s="707">
        <v>1.38</v>
      </c>
      <c r="E43" s="708">
        <v>0</v>
      </c>
      <c r="F43" s="708">
        <v>0</v>
      </c>
      <c r="G43" s="708">
        <v>0</v>
      </c>
      <c r="H43" s="708">
        <v>0</v>
      </c>
      <c r="I43" s="708">
        <v>0</v>
      </c>
      <c r="J43" s="708">
        <v>0</v>
      </c>
      <c r="K43" s="708">
        <v>0</v>
      </c>
      <c r="L43" s="708">
        <v>0</v>
      </c>
      <c r="M43" s="708">
        <v>0</v>
      </c>
      <c r="N43" s="708">
        <v>0</v>
      </c>
      <c r="O43" s="708">
        <v>0</v>
      </c>
      <c r="P43" s="708">
        <v>0</v>
      </c>
      <c r="Q43" s="708">
        <v>0</v>
      </c>
      <c r="R43" s="708">
        <v>0</v>
      </c>
      <c r="S43" s="708">
        <v>0</v>
      </c>
      <c r="T43" s="708">
        <v>0</v>
      </c>
      <c r="U43" s="708">
        <v>0</v>
      </c>
      <c r="V43" s="708">
        <v>0</v>
      </c>
      <c r="W43" s="708">
        <v>0</v>
      </c>
      <c r="X43" s="708">
        <v>0</v>
      </c>
      <c r="Y43" s="708">
        <v>0</v>
      </c>
      <c r="Z43" s="708">
        <v>0</v>
      </c>
      <c r="AA43" s="708">
        <v>0</v>
      </c>
      <c r="AB43" s="708">
        <v>0</v>
      </c>
      <c r="AC43" s="708">
        <v>0</v>
      </c>
      <c r="AD43" s="708">
        <v>0</v>
      </c>
      <c r="AE43" s="708">
        <v>0</v>
      </c>
      <c r="AF43" s="708">
        <v>0</v>
      </c>
      <c r="AG43" s="708">
        <v>0</v>
      </c>
      <c r="AH43" s="708">
        <v>0</v>
      </c>
      <c r="AI43" s="708">
        <v>0</v>
      </c>
      <c r="AJ43" s="708">
        <v>0</v>
      </c>
      <c r="AK43" s="708">
        <v>0</v>
      </c>
      <c r="AL43" s="708">
        <v>0</v>
      </c>
      <c r="AM43" s="708">
        <v>0</v>
      </c>
      <c r="AN43" s="708">
        <v>0</v>
      </c>
      <c r="AO43" s="708">
        <v>0</v>
      </c>
      <c r="AP43" s="708">
        <v>1.38</v>
      </c>
      <c r="AQ43" s="708">
        <v>0</v>
      </c>
      <c r="AR43" s="708">
        <v>0</v>
      </c>
      <c r="AS43" s="708">
        <v>0</v>
      </c>
      <c r="AT43" s="708">
        <v>0</v>
      </c>
      <c r="AU43" s="708">
        <v>0</v>
      </c>
      <c r="AV43" s="708">
        <v>0</v>
      </c>
      <c r="AW43" s="708">
        <v>0</v>
      </c>
      <c r="AX43" s="708">
        <v>0</v>
      </c>
      <c r="AY43" s="708">
        <v>0</v>
      </c>
      <c r="AZ43" s="708">
        <v>0</v>
      </c>
      <c r="BA43" s="708">
        <v>0</v>
      </c>
      <c r="BB43" s="708">
        <v>0</v>
      </c>
      <c r="BC43" s="708">
        <v>0</v>
      </c>
      <c r="BD43" s="708">
        <v>0</v>
      </c>
      <c r="BE43" s="708">
        <v>0</v>
      </c>
      <c r="BF43" s="708">
        <v>0</v>
      </c>
      <c r="BG43" s="708">
        <v>0</v>
      </c>
      <c r="BH43" s="708">
        <v>0</v>
      </c>
      <c r="BI43" s="708">
        <v>0</v>
      </c>
      <c r="BJ43" s="708">
        <v>0</v>
      </c>
      <c r="BK43" s="708">
        <v>0</v>
      </c>
      <c r="BL43" s="708">
        <v>0</v>
      </c>
      <c r="BM43" s="708">
        <v>1.38</v>
      </c>
      <c r="BN43" s="709"/>
      <c r="BQ43" s="723"/>
    </row>
    <row r="44" spans="1:69" s="710" customFormat="1" ht="36.75" customHeight="1">
      <c r="A44" s="724" t="s">
        <v>193</v>
      </c>
      <c r="B44" s="725" t="s">
        <v>2818</v>
      </c>
      <c r="C44" s="726" t="s">
        <v>40</v>
      </c>
      <c r="D44" s="707">
        <v>105.94</v>
      </c>
      <c r="E44" s="708">
        <v>0</v>
      </c>
      <c r="F44" s="708">
        <v>0</v>
      </c>
      <c r="G44" s="708">
        <v>0</v>
      </c>
      <c r="H44" s="708">
        <v>0</v>
      </c>
      <c r="I44" s="708">
        <v>0</v>
      </c>
      <c r="J44" s="708">
        <v>0</v>
      </c>
      <c r="K44" s="708">
        <v>0</v>
      </c>
      <c r="L44" s="708">
        <v>0</v>
      </c>
      <c r="M44" s="708">
        <v>0</v>
      </c>
      <c r="N44" s="708">
        <v>0</v>
      </c>
      <c r="O44" s="708">
        <v>0</v>
      </c>
      <c r="P44" s="708">
        <v>0</v>
      </c>
      <c r="Q44" s="708">
        <v>0</v>
      </c>
      <c r="R44" s="708">
        <v>0</v>
      </c>
      <c r="S44" s="708">
        <v>0</v>
      </c>
      <c r="T44" s="708">
        <v>0</v>
      </c>
      <c r="U44" s="708">
        <v>4.62</v>
      </c>
      <c r="V44" s="708">
        <v>0</v>
      </c>
      <c r="W44" s="708">
        <v>0.03</v>
      </c>
      <c r="X44" s="708">
        <v>0</v>
      </c>
      <c r="Y44" s="708">
        <v>0.03</v>
      </c>
      <c r="Z44" s="708">
        <v>0</v>
      </c>
      <c r="AA44" s="708">
        <v>0</v>
      </c>
      <c r="AB44" s="708">
        <v>2.5</v>
      </c>
      <c r="AC44" s="708">
        <v>0</v>
      </c>
      <c r="AD44" s="708">
        <v>1.1500000000000004</v>
      </c>
      <c r="AE44" s="708">
        <v>0.73000000000000009</v>
      </c>
      <c r="AF44" s="708">
        <v>0.18</v>
      </c>
      <c r="AG44" s="708">
        <v>0</v>
      </c>
      <c r="AH44" s="708">
        <v>0.05</v>
      </c>
      <c r="AI44" s="708">
        <v>0.01</v>
      </c>
      <c r="AJ44" s="708">
        <v>0</v>
      </c>
      <c r="AK44" s="708">
        <v>0.01</v>
      </c>
      <c r="AL44" s="708">
        <v>0</v>
      </c>
      <c r="AM44" s="708">
        <v>0</v>
      </c>
      <c r="AN44" s="708">
        <v>7.0000000000000007E-2</v>
      </c>
      <c r="AO44" s="708">
        <v>0</v>
      </c>
      <c r="AP44" s="708">
        <v>0</v>
      </c>
      <c r="AQ44" s="708">
        <v>101.32</v>
      </c>
      <c r="AR44" s="708">
        <v>0</v>
      </c>
      <c r="AS44" s="708">
        <v>0</v>
      </c>
      <c r="AT44" s="708">
        <v>0.1</v>
      </c>
      <c r="AU44" s="708">
        <v>0</v>
      </c>
      <c r="AV44" s="708">
        <v>0</v>
      </c>
      <c r="AW44" s="708">
        <v>0.32999999999999996</v>
      </c>
      <c r="AX44" s="708">
        <v>7.0000000000000007E-2</v>
      </c>
      <c r="AY44" s="708">
        <v>0.2</v>
      </c>
      <c r="AZ44" s="708">
        <v>0.01</v>
      </c>
      <c r="BA44" s="708">
        <v>0</v>
      </c>
      <c r="BB44" s="708">
        <v>0</v>
      </c>
      <c r="BC44" s="708">
        <v>0</v>
      </c>
      <c r="BD44" s="708">
        <v>0</v>
      </c>
      <c r="BE44" s="708">
        <v>0</v>
      </c>
      <c r="BF44" s="708">
        <v>0.08</v>
      </c>
      <c r="BG44" s="708">
        <v>0</v>
      </c>
      <c r="BH44" s="708">
        <v>0.22</v>
      </c>
      <c r="BI44" s="708">
        <v>0</v>
      </c>
      <c r="BJ44" s="708">
        <v>4.62</v>
      </c>
      <c r="BK44" s="708">
        <v>16.41</v>
      </c>
      <c r="BL44" s="708">
        <v>0</v>
      </c>
      <c r="BM44" s="708">
        <v>122.35</v>
      </c>
      <c r="BN44" s="709"/>
      <c r="BQ44" s="723"/>
    </row>
    <row r="45" spans="1:69" s="710" customFormat="1" ht="27.75" customHeight="1">
      <c r="A45" s="724" t="s">
        <v>193</v>
      </c>
      <c r="B45" s="725" t="s">
        <v>2819</v>
      </c>
      <c r="C45" s="726" t="s">
        <v>52</v>
      </c>
      <c r="D45" s="707">
        <v>0</v>
      </c>
      <c r="E45" s="708">
        <v>0</v>
      </c>
      <c r="F45" s="708">
        <v>0</v>
      </c>
      <c r="G45" s="708">
        <v>0</v>
      </c>
      <c r="H45" s="708">
        <v>0</v>
      </c>
      <c r="I45" s="708">
        <v>0</v>
      </c>
      <c r="J45" s="708">
        <v>0</v>
      </c>
      <c r="K45" s="708">
        <v>0</v>
      </c>
      <c r="L45" s="708">
        <v>0</v>
      </c>
      <c r="M45" s="708">
        <v>0</v>
      </c>
      <c r="N45" s="708">
        <v>0</v>
      </c>
      <c r="O45" s="708">
        <v>0</v>
      </c>
      <c r="P45" s="708">
        <v>0</v>
      </c>
      <c r="Q45" s="708">
        <v>0</v>
      </c>
      <c r="R45" s="708">
        <v>0</v>
      </c>
      <c r="S45" s="708">
        <v>0</v>
      </c>
      <c r="T45" s="708">
        <v>0</v>
      </c>
      <c r="U45" s="708">
        <v>0</v>
      </c>
      <c r="V45" s="708">
        <v>0</v>
      </c>
      <c r="W45" s="708">
        <v>0</v>
      </c>
      <c r="X45" s="708">
        <v>0</v>
      </c>
      <c r="Y45" s="708">
        <v>0</v>
      </c>
      <c r="Z45" s="708">
        <v>0</v>
      </c>
      <c r="AA45" s="708">
        <v>0</v>
      </c>
      <c r="AB45" s="708">
        <v>0</v>
      </c>
      <c r="AC45" s="708">
        <v>0</v>
      </c>
      <c r="AD45" s="708">
        <v>0</v>
      </c>
      <c r="AE45" s="708">
        <v>0</v>
      </c>
      <c r="AF45" s="708">
        <v>0</v>
      </c>
      <c r="AG45" s="708">
        <v>0</v>
      </c>
      <c r="AH45" s="708">
        <v>0</v>
      </c>
      <c r="AI45" s="708">
        <v>0</v>
      </c>
      <c r="AJ45" s="708">
        <v>0</v>
      </c>
      <c r="AK45" s="708">
        <v>0</v>
      </c>
      <c r="AL45" s="708">
        <v>0</v>
      </c>
      <c r="AM45" s="708">
        <v>0</v>
      </c>
      <c r="AN45" s="708">
        <v>0</v>
      </c>
      <c r="AO45" s="708">
        <v>0</v>
      </c>
      <c r="AP45" s="708">
        <v>0</v>
      </c>
      <c r="AQ45" s="708">
        <v>0</v>
      </c>
      <c r="AR45" s="708">
        <v>0</v>
      </c>
      <c r="AS45" s="708">
        <v>0</v>
      </c>
      <c r="AT45" s="708">
        <v>0</v>
      </c>
      <c r="AU45" s="708">
        <v>0</v>
      </c>
      <c r="AV45" s="708">
        <v>0</v>
      </c>
      <c r="AW45" s="708">
        <v>0</v>
      </c>
      <c r="AX45" s="708">
        <v>0</v>
      </c>
      <c r="AY45" s="708">
        <v>0</v>
      </c>
      <c r="AZ45" s="708">
        <v>0</v>
      </c>
      <c r="BA45" s="708">
        <v>0</v>
      </c>
      <c r="BB45" s="708">
        <v>0</v>
      </c>
      <c r="BC45" s="708">
        <v>0</v>
      </c>
      <c r="BD45" s="708">
        <v>0</v>
      </c>
      <c r="BE45" s="708">
        <v>0</v>
      </c>
      <c r="BF45" s="708">
        <v>0</v>
      </c>
      <c r="BG45" s="708">
        <v>0</v>
      </c>
      <c r="BH45" s="708">
        <v>0</v>
      </c>
      <c r="BI45" s="708">
        <v>0</v>
      </c>
      <c r="BJ45" s="708">
        <v>0</v>
      </c>
      <c r="BK45" s="708">
        <v>0</v>
      </c>
      <c r="BL45" s="708">
        <v>0</v>
      </c>
      <c r="BM45" s="708">
        <v>0</v>
      </c>
      <c r="BN45" s="709"/>
      <c r="BQ45" s="723"/>
    </row>
    <row r="46" spans="1:69" s="710" customFormat="1" ht="21" customHeight="1">
      <c r="A46" s="724" t="s">
        <v>193</v>
      </c>
      <c r="B46" s="725" t="s">
        <v>2897</v>
      </c>
      <c r="C46" s="726" t="s">
        <v>53</v>
      </c>
      <c r="D46" s="707">
        <v>0</v>
      </c>
      <c r="E46" s="708">
        <v>0</v>
      </c>
      <c r="F46" s="708">
        <v>0</v>
      </c>
      <c r="G46" s="708">
        <v>0</v>
      </c>
      <c r="H46" s="708">
        <v>0</v>
      </c>
      <c r="I46" s="708">
        <v>0</v>
      </c>
      <c r="J46" s="708">
        <v>0</v>
      </c>
      <c r="K46" s="708">
        <v>0</v>
      </c>
      <c r="L46" s="708">
        <v>0</v>
      </c>
      <c r="M46" s="708">
        <v>0</v>
      </c>
      <c r="N46" s="708">
        <v>0</v>
      </c>
      <c r="O46" s="708">
        <v>0</v>
      </c>
      <c r="P46" s="708">
        <v>0</v>
      </c>
      <c r="Q46" s="708">
        <v>0</v>
      </c>
      <c r="R46" s="708">
        <v>0</v>
      </c>
      <c r="S46" s="708">
        <v>0</v>
      </c>
      <c r="T46" s="708">
        <v>0</v>
      </c>
      <c r="U46" s="708">
        <v>0</v>
      </c>
      <c r="V46" s="708">
        <v>0</v>
      </c>
      <c r="W46" s="708">
        <v>0</v>
      </c>
      <c r="X46" s="708">
        <v>0</v>
      </c>
      <c r="Y46" s="708">
        <v>0</v>
      </c>
      <c r="Z46" s="708">
        <v>0</v>
      </c>
      <c r="AA46" s="708">
        <v>0</v>
      </c>
      <c r="AB46" s="708">
        <v>0</v>
      </c>
      <c r="AC46" s="708">
        <v>0</v>
      </c>
      <c r="AD46" s="708">
        <v>0</v>
      </c>
      <c r="AE46" s="708">
        <v>0</v>
      </c>
      <c r="AF46" s="708">
        <v>0</v>
      </c>
      <c r="AG46" s="708">
        <v>0</v>
      </c>
      <c r="AH46" s="708">
        <v>0</v>
      </c>
      <c r="AI46" s="708">
        <v>0</v>
      </c>
      <c r="AJ46" s="708">
        <v>0</v>
      </c>
      <c r="AK46" s="708">
        <v>0</v>
      </c>
      <c r="AL46" s="708">
        <v>0</v>
      </c>
      <c r="AM46" s="708">
        <v>0</v>
      </c>
      <c r="AN46" s="708">
        <v>0</v>
      </c>
      <c r="AO46" s="708">
        <v>0</v>
      </c>
      <c r="AP46" s="708">
        <v>0</v>
      </c>
      <c r="AQ46" s="708">
        <v>0</v>
      </c>
      <c r="AR46" s="708">
        <v>0</v>
      </c>
      <c r="AS46" s="708">
        <v>0</v>
      </c>
      <c r="AT46" s="708">
        <v>0</v>
      </c>
      <c r="AU46" s="708">
        <v>0</v>
      </c>
      <c r="AV46" s="708">
        <v>0</v>
      </c>
      <c r="AW46" s="708">
        <v>0</v>
      </c>
      <c r="AX46" s="708">
        <v>0</v>
      </c>
      <c r="AY46" s="708">
        <v>0</v>
      </c>
      <c r="AZ46" s="708">
        <v>0</v>
      </c>
      <c r="BA46" s="708">
        <v>0</v>
      </c>
      <c r="BB46" s="708">
        <v>0</v>
      </c>
      <c r="BC46" s="708">
        <v>0</v>
      </c>
      <c r="BD46" s="708">
        <v>0</v>
      </c>
      <c r="BE46" s="708">
        <v>0</v>
      </c>
      <c r="BF46" s="708">
        <v>0</v>
      </c>
      <c r="BG46" s="708">
        <v>0</v>
      </c>
      <c r="BH46" s="708">
        <v>0</v>
      </c>
      <c r="BI46" s="708">
        <v>0</v>
      </c>
      <c r="BJ46" s="708">
        <v>0</v>
      </c>
      <c r="BK46" s="708">
        <v>3.3</v>
      </c>
      <c r="BL46" s="708">
        <v>0</v>
      </c>
      <c r="BM46" s="708">
        <v>3.3</v>
      </c>
      <c r="BN46" s="709"/>
      <c r="BQ46" s="723"/>
    </row>
    <row r="47" spans="1:69" s="710" customFormat="1" ht="16.5" customHeight="1">
      <c r="A47" s="724" t="s">
        <v>193</v>
      </c>
      <c r="B47" s="725" t="s">
        <v>124</v>
      </c>
      <c r="C47" s="726" t="s">
        <v>54</v>
      </c>
      <c r="D47" s="707">
        <v>2.2700000000000005</v>
      </c>
      <c r="E47" s="708">
        <v>0</v>
      </c>
      <c r="F47" s="708">
        <v>0</v>
      </c>
      <c r="G47" s="708">
        <v>0</v>
      </c>
      <c r="H47" s="708">
        <v>0</v>
      </c>
      <c r="I47" s="708">
        <v>0</v>
      </c>
      <c r="J47" s="708">
        <v>0</v>
      </c>
      <c r="K47" s="708">
        <v>0</v>
      </c>
      <c r="L47" s="708">
        <v>0</v>
      </c>
      <c r="M47" s="708">
        <v>0</v>
      </c>
      <c r="N47" s="708">
        <v>0</v>
      </c>
      <c r="O47" s="708">
        <v>0</v>
      </c>
      <c r="P47" s="708">
        <v>0</v>
      </c>
      <c r="Q47" s="708">
        <v>0</v>
      </c>
      <c r="R47" s="708">
        <v>0</v>
      </c>
      <c r="S47" s="708">
        <v>0</v>
      </c>
      <c r="T47" s="708">
        <v>0</v>
      </c>
      <c r="U47" s="708">
        <v>0.28000000000000003</v>
      </c>
      <c r="V47" s="708">
        <v>0</v>
      </c>
      <c r="W47" s="708">
        <v>0</v>
      </c>
      <c r="X47" s="708">
        <v>0</v>
      </c>
      <c r="Y47" s="708">
        <v>0</v>
      </c>
      <c r="Z47" s="708">
        <v>0</v>
      </c>
      <c r="AA47" s="708">
        <v>0</v>
      </c>
      <c r="AB47" s="708">
        <v>0</v>
      </c>
      <c r="AC47" s="708">
        <v>0</v>
      </c>
      <c r="AD47" s="708">
        <v>0.11</v>
      </c>
      <c r="AE47" s="708">
        <v>0.09</v>
      </c>
      <c r="AF47" s="708">
        <v>0</v>
      </c>
      <c r="AG47" s="708">
        <v>0</v>
      </c>
      <c r="AH47" s="708">
        <v>0</v>
      </c>
      <c r="AI47" s="708">
        <v>0.02</v>
      </c>
      <c r="AJ47" s="708">
        <v>0</v>
      </c>
      <c r="AK47" s="708">
        <v>0</v>
      </c>
      <c r="AL47" s="708">
        <v>0</v>
      </c>
      <c r="AM47" s="708">
        <v>0</v>
      </c>
      <c r="AN47" s="708">
        <v>0</v>
      </c>
      <c r="AO47" s="708">
        <v>0</v>
      </c>
      <c r="AP47" s="708">
        <v>0</v>
      </c>
      <c r="AQ47" s="708">
        <v>0</v>
      </c>
      <c r="AR47" s="708">
        <v>0</v>
      </c>
      <c r="AS47" s="708">
        <v>0</v>
      </c>
      <c r="AT47" s="708">
        <v>1.9900000000000004</v>
      </c>
      <c r="AU47" s="708">
        <v>0</v>
      </c>
      <c r="AV47" s="708">
        <v>0</v>
      </c>
      <c r="AW47" s="708">
        <v>0.17</v>
      </c>
      <c r="AX47" s="708">
        <v>0</v>
      </c>
      <c r="AY47" s="708">
        <v>0</v>
      </c>
      <c r="AZ47" s="708">
        <v>0</v>
      </c>
      <c r="BA47" s="708">
        <v>0</v>
      </c>
      <c r="BB47" s="708">
        <v>0</v>
      </c>
      <c r="BC47" s="708">
        <v>0</v>
      </c>
      <c r="BD47" s="708">
        <v>0</v>
      </c>
      <c r="BE47" s="708">
        <v>0</v>
      </c>
      <c r="BF47" s="708">
        <v>0</v>
      </c>
      <c r="BG47" s="708">
        <v>0</v>
      </c>
      <c r="BH47" s="708">
        <v>0</v>
      </c>
      <c r="BI47" s="708">
        <v>0</v>
      </c>
      <c r="BJ47" s="708">
        <v>0.28000000000000003</v>
      </c>
      <c r="BK47" s="708">
        <v>12.070000000000002</v>
      </c>
      <c r="BL47" s="708">
        <v>0</v>
      </c>
      <c r="BM47" s="708">
        <v>14.340000000000003</v>
      </c>
      <c r="BN47" s="709"/>
      <c r="BQ47" s="723"/>
    </row>
    <row r="48" spans="1:69" s="710" customFormat="1" ht="25.5">
      <c r="A48" s="722" t="s">
        <v>71</v>
      </c>
      <c r="B48" s="721" t="s">
        <v>2770</v>
      </c>
      <c r="C48" s="770" t="s">
        <v>2771</v>
      </c>
      <c r="D48" s="707">
        <v>0.33</v>
      </c>
      <c r="E48" s="708">
        <v>0</v>
      </c>
      <c r="F48" s="708">
        <v>0</v>
      </c>
      <c r="G48" s="708">
        <v>0</v>
      </c>
      <c r="H48" s="708">
        <v>0</v>
      </c>
      <c r="I48" s="708">
        <v>0</v>
      </c>
      <c r="J48" s="708">
        <v>0</v>
      </c>
      <c r="K48" s="708">
        <v>0</v>
      </c>
      <c r="L48" s="708">
        <v>0</v>
      </c>
      <c r="M48" s="708">
        <v>0</v>
      </c>
      <c r="N48" s="708">
        <v>0</v>
      </c>
      <c r="O48" s="708">
        <v>0</v>
      </c>
      <c r="P48" s="708">
        <v>0</v>
      </c>
      <c r="Q48" s="708">
        <v>0</v>
      </c>
      <c r="R48" s="708">
        <v>0</v>
      </c>
      <c r="S48" s="708">
        <v>0</v>
      </c>
      <c r="T48" s="708">
        <v>0</v>
      </c>
      <c r="U48" s="708">
        <v>0</v>
      </c>
      <c r="V48" s="708">
        <v>0</v>
      </c>
      <c r="W48" s="708">
        <v>0</v>
      </c>
      <c r="X48" s="708">
        <v>0</v>
      </c>
      <c r="Y48" s="708">
        <v>0</v>
      </c>
      <c r="Z48" s="708">
        <v>0</v>
      </c>
      <c r="AA48" s="708">
        <v>0</v>
      </c>
      <c r="AB48" s="708">
        <v>0</v>
      </c>
      <c r="AC48" s="708">
        <v>0</v>
      </c>
      <c r="AD48" s="708">
        <v>0</v>
      </c>
      <c r="AE48" s="708">
        <v>0</v>
      </c>
      <c r="AF48" s="708">
        <v>0</v>
      </c>
      <c r="AG48" s="708">
        <v>0</v>
      </c>
      <c r="AH48" s="708">
        <v>0</v>
      </c>
      <c r="AI48" s="708">
        <v>0</v>
      </c>
      <c r="AJ48" s="708">
        <v>0</v>
      </c>
      <c r="AK48" s="708">
        <v>0</v>
      </c>
      <c r="AL48" s="708">
        <v>0</v>
      </c>
      <c r="AM48" s="708">
        <v>0</v>
      </c>
      <c r="AN48" s="708">
        <v>0</v>
      </c>
      <c r="AO48" s="708">
        <v>0</v>
      </c>
      <c r="AP48" s="708">
        <v>0</v>
      </c>
      <c r="AQ48" s="708">
        <v>0</v>
      </c>
      <c r="AR48" s="708">
        <v>0</v>
      </c>
      <c r="AS48" s="708">
        <v>0</v>
      </c>
      <c r="AT48" s="708">
        <v>0</v>
      </c>
      <c r="AU48" s="708">
        <v>0.33</v>
      </c>
      <c r="AV48" s="708">
        <v>0</v>
      </c>
      <c r="AW48" s="708">
        <v>0</v>
      </c>
      <c r="AX48" s="708">
        <v>0</v>
      </c>
      <c r="AY48" s="708">
        <v>0</v>
      </c>
      <c r="AZ48" s="708">
        <v>0</v>
      </c>
      <c r="BA48" s="708">
        <v>0</v>
      </c>
      <c r="BB48" s="708">
        <v>0</v>
      </c>
      <c r="BC48" s="708">
        <v>0</v>
      </c>
      <c r="BD48" s="708">
        <v>0</v>
      </c>
      <c r="BE48" s="708">
        <v>0</v>
      </c>
      <c r="BF48" s="708">
        <v>0</v>
      </c>
      <c r="BG48" s="708">
        <v>0</v>
      </c>
      <c r="BH48" s="708">
        <v>0</v>
      </c>
      <c r="BI48" s="708">
        <v>0</v>
      </c>
      <c r="BJ48" s="708">
        <v>0</v>
      </c>
      <c r="BK48" s="708">
        <v>2.9299999999999997</v>
      </c>
      <c r="BL48" s="708">
        <v>0</v>
      </c>
      <c r="BM48" s="708">
        <v>3.26</v>
      </c>
      <c r="BN48" s="709"/>
      <c r="BQ48" s="723"/>
    </row>
    <row r="49" spans="1:69" s="710" customFormat="1" ht="24" customHeight="1">
      <c r="A49" s="722" t="s">
        <v>74</v>
      </c>
      <c r="B49" s="681" t="s">
        <v>2772</v>
      </c>
      <c r="C49" s="770" t="s">
        <v>2773</v>
      </c>
      <c r="D49" s="707">
        <v>0</v>
      </c>
      <c r="E49" s="708">
        <v>0</v>
      </c>
      <c r="F49" s="708">
        <v>0</v>
      </c>
      <c r="G49" s="708">
        <v>0</v>
      </c>
      <c r="H49" s="708">
        <v>0</v>
      </c>
      <c r="I49" s="708">
        <v>0</v>
      </c>
      <c r="J49" s="708">
        <v>0</v>
      </c>
      <c r="K49" s="708">
        <v>0</v>
      </c>
      <c r="L49" s="708">
        <v>0</v>
      </c>
      <c r="M49" s="708">
        <v>0</v>
      </c>
      <c r="N49" s="708">
        <v>0</v>
      </c>
      <c r="O49" s="708">
        <v>0</v>
      </c>
      <c r="P49" s="708">
        <v>0</v>
      </c>
      <c r="Q49" s="708">
        <v>0</v>
      </c>
      <c r="R49" s="708">
        <v>0</v>
      </c>
      <c r="S49" s="708">
        <v>0</v>
      </c>
      <c r="T49" s="708">
        <v>0</v>
      </c>
      <c r="U49" s="708">
        <v>0</v>
      </c>
      <c r="V49" s="708">
        <v>0</v>
      </c>
      <c r="W49" s="708">
        <v>0</v>
      </c>
      <c r="X49" s="708">
        <v>0</v>
      </c>
      <c r="Y49" s="708">
        <v>0</v>
      </c>
      <c r="Z49" s="708">
        <v>0</v>
      </c>
      <c r="AA49" s="708">
        <v>0</v>
      </c>
      <c r="AB49" s="708">
        <v>0</v>
      </c>
      <c r="AC49" s="708">
        <v>0</v>
      </c>
      <c r="AD49" s="708">
        <v>0</v>
      </c>
      <c r="AE49" s="708">
        <v>0</v>
      </c>
      <c r="AF49" s="708">
        <v>0</v>
      </c>
      <c r="AG49" s="708">
        <v>0</v>
      </c>
      <c r="AH49" s="708">
        <v>0</v>
      </c>
      <c r="AI49" s="708">
        <v>0</v>
      </c>
      <c r="AJ49" s="708">
        <v>0</v>
      </c>
      <c r="AK49" s="708">
        <v>0</v>
      </c>
      <c r="AL49" s="708">
        <v>0</v>
      </c>
      <c r="AM49" s="708">
        <v>0</v>
      </c>
      <c r="AN49" s="708">
        <v>0</v>
      </c>
      <c r="AO49" s="708">
        <v>0</v>
      </c>
      <c r="AP49" s="708">
        <v>0</v>
      </c>
      <c r="AQ49" s="708">
        <v>0</v>
      </c>
      <c r="AR49" s="708">
        <v>0</v>
      </c>
      <c r="AS49" s="708">
        <v>0</v>
      </c>
      <c r="AT49" s="708">
        <v>0</v>
      </c>
      <c r="AU49" s="708">
        <v>0</v>
      </c>
      <c r="AV49" s="708">
        <v>0</v>
      </c>
      <c r="AW49" s="708">
        <v>0</v>
      </c>
      <c r="AX49" s="708">
        <v>0</v>
      </c>
      <c r="AY49" s="708">
        <v>0</v>
      </c>
      <c r="AZ49" s="708">
        <v>0</v>
      </c>
      <c r="BA49" s="708">
        <v>0</v>
      </c>
      <c r="BB49" s="708">
        <v>0</v>
      </c>
      <c r="BC49" s="708">
        <v>0</v>
      </c>
      <c r="BD49" s="708">
        <v>0</v>
      </c>
      <c r="BE49" s="708">
        <v>0</v>
      </c>
      <c r="BF49" s="708">
        <v>0</v>
      </c>
      <c r="BG49" s="708">
        <v>0</v>
      </c>
      <c r="BH49" s="708">
        <v>0</v>
      </c>
      <c r="BI49" s="708">
        <v>0</v>
      </c>
      <c r="BJ49" s="708">
        <v>0</v>
      </c>
      <c r="BK49" s="708">
        <v>18.349999999999998</v>
      </c>
      <c r="BL49" s="708">
        <v>0</v>
      </c>
      <c r="BM49" s="708">
        <v>18.349999999999998</v>
      </c>
      <c r="BN49" s="709"/>
      <c r="BQ49" s="723"/>
    </row>
    <row r="50" spans="1:69" s="710" customFormat="1" ht="24" customHeight="1">
      <c r="A50" s="722" t="s">
        <v>75</v>
      </c>
      <c r="B50" s="721" t="s">
        <v>1251</v>
      </c>
      <c r="C50" s="770" t="s">
        <v>113</v>
      </c>
      <c r="D50" s="707">
        <v>2.08</v>
      </c>
      <c r="E50" s="708">
        <v>0</v>
      </c>
      <c r="F50" s="708">
        <v>0</v>
      </c>
      <c r="G50" s="708">
        <v>0</v>
      </c>
      <c r="H50" s="708">
        <v>0</v>
      </c>
      <c r="I50" s="708">
        <v>0</v>
      </c>
      <c r="J50" s="708">
        <v>0</v>
      </c>
      <c r="K50" s="708">
        <v>0</v>
      </c>
      <c r="L50" s="708">
        <v>0</v>
      </c>
      <c r="M50" s="708">
        <v>0</v>
      </c>
      <c r="N50" s="708">
        <v>0</v>
      </c>
      <c r="O50" s="708">
        <v>0</v>
      </c>
      <c r="P50" s="708">
        <v>0</v>
      </c>
      <c r="Q50" s="708">
        <v>0</v>
      </c>
      <c r="R50" s="708">
        <v>0</v>
      </c>
      <c r="S50" s="708">
        <v>0</v>
      </c>
      <c r="T50" s="708">
        <v>0</v>
      </c>
      <c r="U50" s="708">
        <v>0</v>
      </c>
      <c r="V50" s="708">
        <v>0</v>
      </c>
      <c r="W50" s="708">
        <v>0</v>
      </c>
      <c r="X50" s="708">
        <v>0</v>
      </c>
      <c r="Y50" s="708">
        <v>0</v>
      </c>
      <c r="Z50" s="708">
        <v>0</v>
      </c>
      <c r="AA50" s="708">
        <v>0</v>
      </c>
      <c r="AB50" s="708">
        <v>0</v>
      </c>
      <c r="AC50" s="708">
        <v>0</v>
      </c>
      <c r="AD50" s="708">
        <v>0</v>
      </c>
      <c r="AE50" s="708">
        <v>0</v>
      </c>
      <c r="AF50" s="708">
        <v>0</v>
      </c>
      <c r="AG50" s="708">
        <v>0</v>
      </c>
      <c r="AH50" s="708">
        <v>0</v>
      </c>
      <c r="AI50" s="708">
        <v>0</v>
      </c>
      <c r="AJ50" s="708">
        <v>0</v>
      </c>
      <c r="AK50" s="708">
        <v>0</v>
      </c>
      <c r="AL50" s="708">
        <v>0</v>
      </c>
      <c r="AM50" s="708">
        <v>0</v>
      </c>
      <c r="AN50" s="708">
        <v>0</v>
      </c>
      <c r="AO50" s="708">
        <v>0</v>
      </c>
      <c r="AP50" s="708">
        <v>0</v>
      </c>
      <c r="AQ50" s="708">
        <v>0</v>
      </c>
      <c r="AR50" s="708">
        <v>0</v>
      </c>
      <c r="AS50" s="708">
        <v>0</v>
      </c>
      <c r="AT50" s="708">
        <v>0</v>
      </c>
      <c r="AU50" s="708">
        <v>0</v>
      </c>
      <c r="AV50" s="708">
        <v>0</v>
      </c>
      <c r="AW50" s="708">
        <v>2.08</v>
      </c>
      <c r="AX50" s="708">
        <v>0</v>
      </c>
      <c r="AY50" s="708">
        <v>0</v>
      </c>
      <c r="AZ50" s="708">
        <v>0</v>
      </c>
      <c r="BA50" s="708">
        <v>0</v>
      </c>
      <c r="BB50" s="708">
        <v>0</v>
      </c>
      <c r="BC50" s="708">
        <v>0</v>
      </c>
      <c r="BD50" s="708">
        <v>0</v>
      </c>
      <c r="BE50" s="708">
        <v>0</v>
      </c>
      <c r="BF50" s="708">
        <v>0</v>
      </c>
      <c r="BG50" s="708">
        <v>0</v>
      </c>
      <c r="BH50" s="708">
        <v>0</v>
      </c>
      <c r="BI50" s="708">
        <v>0</v>
      </c>
      <c r="BJ50" s="708">
        <v>0</v>
      </c>
      <c r="BK50" s="708">
        <v>13.765000000000001</v>
      </c>
      <c r="BL50" s="708">
        <v>0</v>
      </c>
      <c r="BM50" s="708">
        <v>15.845000000000001</v>
      </c>
      <c r="BN50" s="709"/>
      <c r="BQ50" s="723"/>
    </row>
    <row r="51" spans="1:69" s="710" customFormat="1" ht="24" customHeight="1">
      <c r="A51" s="722" t="s">
        <v>76</v>
      </c>
      <c r="B51" s="721" t="s">
        <v>107</v>
      </c>
      <c r="C51" s="770" t="s">
        <v>59</v>
      </c>
      <c r="D51" s="707">
        <v>955.12999999999988</v>
      </c>
      <c r="E51" s="708">
        <v>0.04</v>
      </c>
      <c r="F51" s="708">
        <v>0</v>
      </c>
      <c r="G51" s="708">
        <v>0</v>
      </c>
      <c r="H51" s="708">
        <v>0</v>
      </c>
      <c r="I51" s="708">
        <v>0</v>
      </c>
      <c r="J51" s="708">
        <v>0.03</v>
      </c>
      <c r="K51" s="708">
        <v>0</v>
      </c>
      <c r="L51" s="708">
        <v>0</v>
      </c>
      <c r="M51" s="708">
        <v>0</v>
      </c>
      <c r="N51" s="708">
        <v>0</v>
      </c>
      <c r="O51" s="708">
        <v>0</v>
      </c>
      <c r="P51" s="708">
        <v>0</v>
      </c>
      <c r="Q51" s="708">
        <v>0</v>
      </c>
      <c r="R51" s="708">
        <v>0</v>
      </c>
      <c r="S51" s="708">
        <v>0</v>
      </c>
      <c r="T51" s="708">
        <v>0.01</v>
      </c>
      <c r="U51" s="708">
        <v>18.755000000000003</v>
      </c>
      <c r="V51" s="708">
        <v>0.2</v>
      </c>
      <c r="W51" s="708">
        <v>0.03</v>
      </c>
      <c r="X51" s="708">
        <v>0</v>
      </c>
      <c r="Y51" s="708">
        <v>0.83000000000000007</v>
      </c>
      <c r="Z51" s="708">
        <v>1.3900000000000001</v>
      </c>
      <c r="AA51" s="708">
        <v>0.11000000000000001</v>
      </c>
      <c r="AB51" s="708">
        <v>4</v>
      </c>
      <c r="AC51" s="708">
        <v>0</v>
      </c>
      <c r="AD51" s="708">
        <v>9.58</v>
      </c>
      <c r="AE51" s="708">
        <v>4.6900000000000004</v>
      </c>
      <c r="AF51" s="708">
        <v>0.19</v>
      </c>
      <c r="AG51" s="708">
        <v>0.1</v>
      </c>
      <c r="AH51" s="708">
        <v>0</v>
      </c>
      <c r="AI51" s="708">
        <v>0.01</v>
      </c>
      <c r="AJ51" s="708">
        <v>0</v>
      </c>
      <c r="AK51" s="708">
        <v>1</v>
      </c>
      <c r="AL51" s="708">
        <v>0</v>
      </c>
      <c r="AM51" s="708">
        <v>0</v>
      </c>
      <c r="AN51" s="708">
        <v>2.9299999999999997</v>
      </c>
      <c r="AO51" s="708">
        <v>0.57000000000000006</v>
      </c>
      <c r="AP51" s="708">
        <v>0</v>
      </c>
      <c r="AQ51" s="708">
        <v>0</v>
      </c>
      <c r="AR51" s="708">
        <v>0</v>
      </c>
      <c r="AS51" s="708">
        <v>0</v>
      </c>
      <c r="AT51" s="708">
        <v>0.09</v>
      </c>
      <c r="AU51" s="708">
        <v>0</v>
      </c>
      <c r="AV51" s="708">
        <v>0</v>
      </c>
      <c r="AW51" s="708">
        <v>1.2950000000000002</v>
      </c>
      <c r="AX51" s="708">
        <v>936.33499999999992</v>
      </c>
      <c r="AY51" s="708">
        <v>0</v>
      </c>
      <c r="AZ51" s="708">
        <v>0.06</v>
      </c>
      <c r="BA51" s="708">
        <v>0</v>
      </c>
      <c r="BB51" s="708">
        <v>0</v>
      </c>
      <c r="BC51" s="708">
        <v>0</v>
      </c>
      <c r="BD51" s="708">
        <v>0</v>
      </c>
      <c r="BE51" s="708">
        <v>0</v>
      </c>
      <c r="BF51" s="708">
        <v>0.63000000000000012</v>
      </c>
      <c r="BG51" s="708">
        <v>0.5</v>
      </c>
      <c r="BH51" s="708">
        <v>0.13</v>
      </c>
      <c r="BI51" s="708">
        <v>0</v>
      </c>
      <c r="BJ51" s="708">
        <v>18.795000000000002</v>
      </c>
      <c r="BK51" s="708">
        <v>63.054320000000004</v>
      </c>
      <c r="BL51" s="708">
        <v>0</v>
      </c>
      <c r="BM51" s="708">
        <v>1018.1843199999998</v>
      </c>
      <c r="BN51" s="709"/>
      <c r="BQ51" s="723"/>
    </row>
    <row r="52" spans="1:69" s="710" customFormat="1" ht="24" customHeight="1">
      <c r="A52" s="722" t="s">
        <v>82</v>
      </c>
      <c r="B52" s="721" t="s">
        <v>108</v>
      </c>
      <c r="C52" s="770" t="s">
        <v>57</v>
      </c>
      <c r="D52" s="707">
        <v>170.34</v>
      </c>
      <c r="E52" s="708">
        <v>0</v>
      </c>
      <c r="F52" s="708">
        <v>0</v>
      </c>
      <c r="G52" s="708">
        <v>0</v>
      </c>
      <c r="H52" s="708">
        <v>0</v>
      </c>
      <c r="I52" s="708">
        <v>0</v>
      </c>
      <c r="J52" s="708">
        <v>0</v>
      </c>
      <c r="K52" s="708">
        <v>0</v>
      </c>
      <c r="L52" s="708">
        <v>0</v>
      </c>
      <c r="M52" s="708">
        <v>0</v>
      </c>
      <c r="N52" s="708">
        <v>0</v>
      </c>
      <c r="O52" s="708">
        <v>0</v>
      </c>
      <c r="P52" s="708">
        <v>0</v>
      </c>
      <c r="Q52" s="708">
        <v>0</v>
      </c>
      <c r="R52" s="708">
        <v>0</v>
      </c>
      <c r="S52" s="708">
        <v>0</v>
      </c>
      <c r="T52" s="708">
        <v>0</v>
      </c>
      <c r="U52" s="708">
        <v>4.1700000000000008</v>
      </c>
      <c r="V52" s="708">
        <v>0</v>
      </c>
      <c r="W52" s="708">
        <v>0</v>
      </c>
      <c r="X52" s="708">
        <v>0</v>
      </c>
      <c r="Y52" s="708">
        <v>0</v>
      </c>
      <c r="Z52" s="708">
        <v>0</v>
      </c>
      <c r="AA52" s="708">
        <v>0</v>
      </c>
      <c r="AB52" s="708">
        <v>0</v>
      </c>
      <c r="AC52" s="708">
        <v>0</v>
      </c>
      <c r="AD52" s="708">
        <v>3.6800000000000006</v>
      </c>
      <c r="AE52" s="708">
        <v>2.44</v>
      </c>
      <c r="AF52" s="708">
        <v>0</v>
      </c>
      <c r="AG52" s="708">
        <v>0</v>
      </c>
      <c r="AH52" s="708">
        <v>0</v>
      </c>
      <c r="AI52" s="708">
        <v>0.41000000000000003</v>
      </c>
      <c r="AJ52" s="708">
        <v>0</v>
      </c>
      <c r="AK52" s="708">
        <v>0.34000000000000008</v>
      </c>
      <c r="AL52" s="708">
        <v>0</v>
      </c>
      <c r="AM52" s="708">
        <v>0</v>
      </c>
      <c r="AN52" s="708">
        <v>0</v>
      </c>
      <c r="AO52" s="708">
        <v>0</v>
      </c>
      <c r="AP52" s="708">
        <v>0</v>
      </c>
      <c r="AQ52" s="708">
        <v>0</v>
      </c>
      <c r="AR52" s="708">
        <v>0</v>
      </c>
      <c r="AS52" s="708">
        <v>0</v>
      </c>
      <c r="AT52" s="708">
        <v>0.49</v>
      </c>
      <c r="AU52" s="708">
        <v>0</v>
      </c>
      <c r="AV52" s="708">
        <v>0.31</v>
      </c>
      <c r="AW52" s="708">
        <v>0.01</v>
      </c>
      <c r="AX52" s="708">
        <v>0</v>
      </c>
      <c r="AY52" s="708">
        <v>166.17000000000002</v>
      </c>
      <c r="AZ52" s="708">
        <v>0.17</v>
      </c>
      <c r="BA52" s="708">
        <v>0</v>
      </c>
      <c r="BB52" s="708">
        <v>0</v>
      </c>
      <c r="BC52" s="708">
        <v>0</v>
      </c>
      <c r="BD52" s="708">
        <v>0</v>
      </c>
      <c r="BE52" s="708">
        <v>0</v>
      </c>
      <c r="BF52" s="708">
        <v>0</v>
      </c>
      <c r="BG52" s="708">
        <v>0</v>
      </c>
      <c r="BH52" s="708">
        <v>0</v>
      </c>
      <c r="BI52" s="708">
        <v>0</v>
      </c>
      <c r="BJ52" s="708">
        <v>4.1700000000000008</v>
      </c>
      <c r="BK52" s="708">
        <v>46.66</v>
      </c>
      <c r="BL52" s="708">
        <v>0</v>
      </c>
      <c r="BM52" s="708">
        <v>217</v>
      </c>
      <c r="BN52" s="709"/>
      <c r="BQ52" s="723"/>
    </row>
    <row r="53" spans="1:69" s="710" customFormat="1" ht="27" customHeight="1">
      <c r="A53" s="722" t="s">
        <v>83</v>
      </c>
      <c r="B53" s="721" t="s">
        <v>2772</v>
      </c>
      <c r="C53" s="770" t="s">
        <v>24</v>
      </c>
      <c r="D53" s="707">
        <v>15.440000000000003</v>
      </c>
      <c r="E53" s="708">
        <v>0</v>
      </c>
      <c r="F53" s="708">
        <v>0</v>
      </c>
      <c r="G53" s="708">
        <v>0</v>
      </c>
      <c r="H53" s="708">
        <v>0</v>
      </c>
      <c r="I53" s="708">
        <v>0</v>
      </c>
      <c r="J53" s="708">
        <v>0</v>
      </c>
      <c r="K53" s="708">
        <v>0</v>
      </c>
      <c r="L53" s="708">
        <v>0</v>
      </c>
      <c r="M53" s="708">
        <v>0</v>
      </c>
      <c r="N53" s="708">
        <v>0</v>
      </c>
      <c r="O53" s="708">
        <v>0</v>
      </c>
      <c r="P53" s="708">
        <v>0</v>
      </c>
      <c r="Q53" s="708">
        <v>0</v>
      </c>
      <c r="R53" s="708">
        <v>0</v>
      </c>
      <c r="S53" s="708">
        <v>0</v>
      </c>
      <c r="T53" s="708">
        <v>0</v>
      </c>
      <c r="U53" s="708">
        <v>1.42</v>
      </c>
      <c r="V53" s="708">
        <v>0</v>
      </c>
      <c r="W53" s="708">
        <v>0</v>
      </c>
      <c r="X53" s="708">
        <v>0</v>
      </c>
      <c r="Y53" s="708">
        <v>0</v>
      </c>
      <c r="Z53" s="708">
        <v>7.0000000000000007E-2</v>
      </c>
      <c r="AA53" s="708">
        <v>0</v>
      </c>
      <c r="AB53" s="708">
        <v>0</v>
      </c>
      <c r="AC53" s="708">
        <v>0</v>
      </c>
      <c r="AD53" s="708">
        <v>1.17</v>
      </c>
      <c r="AE53" s="708">
        <v>9.9999999999999992E-2</v>
      </c>
      <c r="AF53" s="708">
        <v>0</v>
      </c>
      <c r="AG53" s="708">
        <v>0.37</v>
      </c>
      <c r="AH53" s="708">
        <v>0</v>
      </c>
      <c r="AI53" s="708">
        <v>0.4</v>
      </c>
      <c r="AJ53" s="708">
        <v>0.16</v>
      </c>
      <c r="AK53" s="708">
        <v>0</v>
      </c>
      <c r="AL53" s="708">
        <v>0.01</v>
      </c>
      <c r="AM53" s="708">
        <v>0</v>
      </c>
      <c r="AN53" s="708">
        <v>0.13</v>
      </c>
      <c r="AO53" s="708">
        <v>0</v>
      </c>
      <c r="AP53" s="708">
        <v>0</v>
      </c>
      <c r="AQ53" s="708">
        <v>0</v>
      </c>
      <c r="AR53" s="708">
        <v>0</v>
      </c>
      <c r="AS53" s="708">
        <v>0</v>
      </c>
      <c r="AT53" s="708">
        <v>0</v>
      </c>
      <c r="AU53" s="708">
        <v>0</v>
      </c>
      <c r="AV53" s="708">
        <v>0.05</v>
      </c>
      <c r="AW53" s="708">
        <v>0</v>
      </c>
      <c r="AX53" s="708">
        <v>0.13</v>
      </c>
      <c r="AY53" s="708">
        <v>0</v>
      </c>
      <c r="AZ53" s="708">
        <v>14.020000000000003</v>
      </c>
      <c r="BA53" s="708">
        <v>0</v>
      </c>
      <c r="BB53" s="708">
        <v>0</v>
      </c>
      <c r="BC53" s="708">
        <v>0</v>
      </c>
      <c r="BD53" s="708">
        <v>0</v>
      </c>
      <c r="BE53" s="708">
        <v>0</v>
      </c>
      <c r="BF53" s="708">
        <v>0</v>
      </c>
      <c r="BG53" s="708">
        <v>0</v>
      </c>
      <c r="BH53" s="708">
        <v>0</v>
      </c>
      <c r="BI53" s="708">
        <v>0</v>
      </c>
      <c r="BJ53" s="708">
        <v>1.4200000000000002</v>
      </c>
      <c r="BK53" s="708">
        <v>9.0300000000000011</v>
      </c>
      <c r="BL53" s="708">
        <v>0</v>
      </c>
      <c r="BM53" s="708">
        <v>24.470000000000006</v>
      </c>
      <c r="BN53" s="709"/>
      <c r="BQ53" s="723"/>
    </row>
    <row r="54" spans="1:69" s="710" customFormat="1" ht="27" customHeight="1">
      <c r="A54" s="722" t="s">
        <v>84</v>
      </c>
      <c r="B54" s="721" t="s">
        <v>2775</v>
      </c>
      <c r="C54" s="770" t="s">
        <v>2776</v>
      </c>
      <c r="D54" s="707">
        <v>0.18</v>
      </c>
      <c r="E54" s="708">
        <v>0</v>
      </c>
      <c r="F54" s="708">
        <v>0</v>
      </c>
      <c r="G54" s="708">
        <v>0</v>
      </c>
      <c r="H54" s="708">
        <v>0</v>
      </c>
      <c r="I54" s="708">
        <v>0</v>
      </c>
      <c r="J54" s="708">
        <v>0</v>
      </c>
      <c r="K54" s="708">
        <v>0</v>
      </c>
      <c r="L54" s="708">
        <v>0</v>
      </c>
      <c r="M54" s="708">
        <v>0</v>
      </c>
      <c r="N54" s="708">
        <v>0</v>
      </c>
      <c r="O54" s="708">
        <v>0</v>
      </c>
      <c r="P54" s="708">
        <v>0</v>
      </c>
      <c r="Q54" s="708">
        <v>0</v>
      </c>
      <c r="R54" s="708">
        <v>0</v>
      </c>
      <c r="S54" s="708">
        <v>0</v>
      </c>
      <c r="T54" s="708">
        <v>0</v>
      </c>
      <c r="U54" s="708">
        <v>0.18</v>
      </c>
      <c r="V54" s="708">
        <v>0</v>
      </c>
      <c r="W54" s="708">
        <v>0</v>
      </c>
      <c r="X54" s="708">
        <v>0</v>
      </c>
      <c r="Y54" s="708">
        <v>0</v>
      </c>
      <c r="Z54" s="708">
        <v>0</v>
      </c>
      <c r="AA54" s="708">
        <v>0</v>
      </c>
      <c r="AB54" s="708">
        <v>0</v>
      </c>
      <c r="AC54" s="708">
        <v>0</v>
      </c>
      <c r="AD54" s="708">
        <v>0.18</v>
      </c>
      <c r="AE54" s="708">
        <v>0</v>
      </c>
      <c r="AF54" s="708">
        <v>0</v>
      </c>
      <c r="AG54" s="708">
        <v>0</v>
      </c>
      <c r="AH54" s="708">
        <v>0</v>
      </c>
      <c r="AI54" s="708">
        <v>0</v>
      </c>
      <c r="AJ54" s="708">
        <v>0</v>
      </c>
      <c r="AK54" s="708">
        <v>0</v>
      </c>
      <c r="AL54" s="708">
        <v>0</v>
      </c>
      <c r="AM54" s="708">
        <v>0</v>
      </c>
      <c r="AN54" s="708">
        <v>0.18</v>
      </c>
      <c r="AO54" s="708">
        <v>0</v>
      </c>
      <c r="AP54" s="708">
        <v>0</v>
      </c>
      <c r="AQ54" s="708">
        <v>0</v>
      </c>
      <c r="AR54" s="708">
        <v>0</v>
      </c>
      <c r="AS54" s="708">
        <v>0</v>
      </c>
      <c r="AT54" s="708">
        <v>0</v>
      </c>
      <c r="AU54" s="708">
        <v>0</v>
      </c>
      <c r="AV54" s="708">
        <v>0</v>
      </c>
      <c r="AW54" s="708">
        <v>0</v>
      </c>
      <c r="AX54" s="708">
        <v>0</v>
      </c>
      <c r="AY54" s="708">
        <v>0</v>
      </c>
      <c r="AZ54" s="708">
        <v>0</v>
      </c>
      <c r="BA54" s="708">
        <v>0</v>
      </c>
      <c r="BB54" s="708">
        <v>0</v>
      </c>
      <c r="BC54" s="708">
        <v>0</v>
      </c>
      <c r="BD54" s="708">
        <v>0</v>
      </c>
      <c r="BE54" s="708">
        <v>0</v>
      </c>
      <c r="BF54" s="708">
        <v>0</v>
      </c>
      <c r="BG54" s="708">
        <v>0</v>
      </c>
      <c r="BH54" s="708">
        <v>0</v>
      </c>
      <c r="BI54" s="708">
        <v>0</v>
      </c>
      <c r="BJ54" s="708">
        <v>0.18</v>
      </c>
      <c r="BK54" s="708">
        <v>2.0000000000000018E-2</v>
      </c>
      <c r="BL54" s="708">
        <v>0</v>
      </c>
      <c r="BM54" s="708">
        <v>0.2</v>
      </c>
      <c r="BN54" s="709"/>
      <c r="BQ54" s="723"/>
    </row>
    <row r="55" spans="1:69" s="710" customFormat="1" ht="24" customHeight="1">
      <c r="A55" s="722" t="s">
        <v>100</v>
      </c>
      <c r="B55" s="727" t="s">
        <v>109</v>
      </c>
      <c r="C55" s="770" t="s">
        <v>110</v>
      </c>
      <c r="D55" s="707">
        <v>0</v>
      </c>
      <c r="E55" s="708">
        <v>0</v>
      </c>
      <c r="F55" s="708">
        <v>0</v>
      </c>
      <c r="G55" s="708">
        <v>0</v>
      </c>
      <c r="H55" s="708">
        <v>0</v>
      </c>
      <c r="I55" s="708">
        <v>0</v>
      </c>
      <c r="J55" s="708">
        <v>0</v>
      </c>
      <c r="K55" s="708">
        <v>0</v>
      </c>
      <c r="L55" s="708">
        <v>0</v>
      </c>
      <c r="M55" s="708">
        <v>0</v>
      </c>
      <c r="N55" s="708">
        <v>0</v>
      </c>
      <c r="O55" s="708">
        <v>0</v>
      </c>
      <c r="P55" s="708">
        <v>0</v>
      </c>
      <c r="Q55" s="708">
        <v>0</v>
      </c>
      <c r="R55" s="708">
        <v>0</v>
      </c>
      <c r="S55" s="708">
        <v>0</v>
      </c>
      <c r="T55" s="708">
        <v>0</v>
      </c>
      <c r="U55" s="708">
        <v>0</v>
      </c>
      <c r="V55" s="708">
        <v>0</v>
      </c>
      <c r="W55" s="708">
        <v>0</v>
      </c>
      <c r="X55" s="708">
        <v>0</v>
      </c>
      <c r="Y55" s="708">
        <v>0</v>
      </c>
      <c r="Z55" s="708">
        <v>0</v>
      </c>
      <c r="AA55" s="708">
        <v>0</v>
      </c>
      <c r="AB55" s="708">
        <v>0</v>
      </c>
      <c r="AC55" s="708">
        <v>0</v>
      </c>
      <c r="AD55" s="708">
        <v>0</v>
      </c>
      <c r="AE55" s="708">
        <v>0</v>
      </c>
      <c r="AF55" s="708">
        <v>0</v>
      </c>
      <c r="AG55" s="708">
        <v>0</v>
      </c>
      <c r="AH55" s="708">
        <v>0</v>
      </c>
      <c r="AI55" s="708">
        <v>0</v>
      </c>
      <c r="AJ55" s="708">
        <v>0</v>
      </c>
      <c r="AK55" s="708">
        <v>0</v>
      </c>
      <c r="AL55" s="708">
        <v>0</v>
      </c>
      <c r="AM55" s="708">
        <v>0</v>
      </c>
      <c r="AN55" s="708">
        <v>0</v>
      </c>
      <c r="AO55" s="708">
        <v>0</v>
      </c>
      <c r="AP55" s="708">
        <v>0</v>
      </c>
      <c r="AQ55" s="708">
        <v>0</v>
      </c>
      <c r="AR55" s="708">
        <v>0</v>
      </c>
      <c r="AS55" s="708">
        <v>0</v>
      </c>
      <c r="AT55" s="708">
        <v>0</v>
      </c>
      <c r="AU55" s="708">
        <v>0</v>
      </c>
      <c r="AV55" s="708">
        <v>0</v>
      </c>
      <c r="AW55" s="708">
        <v>0</v>
      </c>
      <c r="AX55" s="708">
        <v>0</v>
      </c>
      <c r="AY55" s="708">
        <v>0</v>
      </c>
      <c r="AZ55" s="708">
        <v>0</v>
      </c>
      <c r="BA55" s="708">
        <v>0</v>
      </c>
      <c r="BB55" s="708">
        <v>0</v>
      </c>
      <c r="BC55" s="708">
        <v>0</v>
      </c>
      <c r="BD55" s="708">
        <v>0</v>
      </c>
      <c r="BE55" s="708">
        <v>0</v>
      </c>
      <c r="BF55" s="708">
        <v>0</v>
      </c>
      <c r="BG55" s="708">
        <v>0</v>
      </c>
      <c r="BH55" s="708">
        <v>0</v>
      </c>
      <c r="BI55" s="708">
        <v>0</v>
      </c>
      <c r="BJ55" s="708">
        <v>0</v>
      </c>
      <c r="BK55" s="708">
        <v>0</v>
      </c>
      <c r="BL55" s="708">
        <v>0</v>
      </c>
      <c r="BM55" s="708">
        <v>0</v>
      </c>
      <c r="BN55" s="709"/>
      <c r="BQ55" s="723"/>
    </row>
    <row r="56" spans="1:69" s="710" customFormat="1" ht="24" customHeight="1">
      <c r="A56" s="722" t="s">
        <v>101</v>
      </c>
      <c r="B56" s="721" t="s">
        <v>133</v>
      </c>
      <c r="C56" s="770" t="s">
        <v>137</v>
      </c>
      <c r="D56" s="707">
        <v>0.02</v>
      </c>
      <c r="E56" s="708">
        <v>0</v>
      </c>
      <c r="F56" s="708">
        <v>0</v>
      </c>
      <c r="G56" s="708">
        <v>0</v>
      </c>
      <c r="H56" s="708">
        <v>0</v>
      </c>
      <c r="I56" s="708">
        <v>0</v>
      </c>
      <c r="J56" s="708">
        <v>0</v>
      </c>
      <c r="K56" s="708">
        <v>0</v>
      </c>
      <c r="L56" s="708">
        <v>0</v>
      </c>
      <c r="M56" s="708">
        <v>0</v>
      </c>
      <c r="N56" s="708">
        <v>0</v>
      </c>
      <c r="O56" s="708">
        <v>0</v>
      </c>
      <c r="P56" s="708">
        <v>0</v>
      </c>
      <c r="Q56" s="708">
        <v>0</v>
      </c>
      <c r="R56" s="708">
        <v>0</v>
      </c>
      <c r="S56" s="708">
        <v>0</v>
      </c>
      <c r="T56" s="708">
        <v>0</v>
      </c>
      <c r="U56" s="708">
        <v>0</v>
      </c>
      <c r="V56" s="708">
        <v>0</v>
      </c>
      <c r="W56" s="708">
        <v>0</v>
      </c>
      <c r="X56" s="708">
        <v>0</v>
      </c>
      <c r="Y56" s="708">
        <v>0</v>
      </c>
      <c r="Z56" s="708">
        <v>0</v>
      </c>
      <c r="AA56" s="708">
        <v>0</v>
      </c>
      <c r="AB56" s="708">
        <v>0</v>
      </c>
      <c r="AC56" s="708">
        <v>0</v>
      </c>
      <c r="AD56" s="708">
        <v>0</v>
      </c>
      <c r="AE56" s="708">
        <v>0</v>
      </c>
      <c r="AF56" s="708">
        <v>0</v>
      </c>
      <c r="AG56" s="708">
        <v>0</v>
      </c>
      <c r="AH56" s="708">
        <v>0</v>
      </c>
      <c r="AI56" s="708">
        <v>0</v>
      </c>
      <c r="AJ56" s="708">
        <v>0</v>
      </c>
      <c r="AK56" s="708">
        <v>0</v>
      </c>
      <c r="AL56" s="708">
        <v>0</v>
      </c>
      <c r="AM56" s="708">
        <v>0</v>
      </c>
      <c r="AN56" s="708">
        <v>0</v>
      </c>
      <c r="AO56" s="708">
        <v>0</v>
      </c>
      <c r="AP56" s="708">
        <v>0</v>
      </c>
      <c r="AQ56" s="708">
        <v>0</v>
      </c>
      <c r="AR56" s="708">
        <v>0</v>
      </c>
      <c r="AS56" s="708">
        <v>0</v>
      </c>
      <c r="AT56" s="708">
        <v>0</v>
      </c>
      <c r="AU56" s="708">
        <v>0</v>
      </c>
      <c r="AV56" s="708">
        <v>0</v>
      </c>
      <c r="AW56" s="708">
        <v>0</v>
      </c>
      <c r="AX56" s="708">
        <v>0</v>
      </c>
      <c r="AY56" s="708">
        <v>0</v>
      </c>
      <c r="AZ56" s="708">
        <v>0</v>
      </c>
      <c r="BA56" s="708">
        <v>0</v>
      </c>
      <c r="BB56" s="708">
        <v>0</v>
      </c>
      <c r="BC56" s="708">
        <v>0.02</v>
      </c>
      <c r="BD56" s="708">
        <v>0</v>
      </c>
      <c r="BE56" s="708">
        <v>0</v>
      </c>
      <c r="BF56" s="708">
        <v>0</v>
      </c>
      <c r="BG56" s="708">
        <v>0</v>
      </c>
      <c r="BH56" s="708">
        <v>0</v>
      </c>
      <c r="BI56" s="708">
        <v>0</v>
      </c>
      <c r="BJ56" s="708">
        <v>0</v>
      </c>
      <c r="BK56" s="708">
        <v>0</v>
      </c>
      <c r="BL56" s="708">
        <v>0</v>
      </c>
      <c r="BM56" s="708">
        <v>0.02</v>
      </c>
      <c r="BN56" s="709"/>
      <c r="BQ56" s="723"/>
    </row>
    <row r="57" spans="1:69" s="710" customFormat="1" ht="24" customHeight="1">
      <c r="A57" s="722" t="s">
        <v>102</v>
      </c>
      <c r="B57" s="721" t="s">
        <v>136</v>
      </c>
      <c r="C57" s="770" t="s">
        <v>138</v>
      </c>
      <c r="D57" s="707">
        <v>0</v>
      </c>
      <c r="E57" s="708">
        <v>0</v>
      </c>
      <c r="F57" s="708">
        <v>0</v>
      </c>
      <c r="G57" s="708">
        <v>0</v>
      </c>
      <c r="H57" s="708">
        <v>0</v>
      </c>
      <c r="I57" s="708">
        <v>0</v>
      </c>
      <c r="J57" s="708">
        <v>0</v>
      </c>
      <c r="K57" s="708">
        <v>0</v>
      </c>
      <c r="L57" s="708">
        <v>0</v>
      </c>
      <c r="M57" s="708">
        <v>0</v>
      </c>
      <c r="N57" s="708">
        <v>0</v>
      </c>
      <c r="O57" s="708">
        <v>0</v>
      </c>
      <c r="P57" s="708">
        <v>0</v>
      </c>
      <c r="Q57" s="708">
        <v>0</v>
      </c>
      <c r="R57" s="708">
        <v>0</v>
      </c>
      <c r="S57" s="708">
        <v>0</v>
      </c>
      <c r="T57" s="708">
        <v>0</v>
      </c>
      <c r="U57" s="708">
        <v>0</v>
      </c>
      <c r="V57" s="708">
        <v>0</v>
      </c>
      <c r="W57" s="708">
        <v>0</v>
      </c>
      <c r="X57" s="708">
        <v>0</v>
      </c>
      <c r="Y57" s="708">
        <v>0</v>
      </c>
      <c r="Z57" s="708">
        <v>0</v>
      </c>
      <c r="AA57" s="708">
        <v>0</v>
      </c>
      <c r="AB57" s="708">
        <v>0</v>
      </c>
      <c r="AC57" s="708">
        <v>0</v>
      </c>
      <c r="AD57" s="708">
        <v>0</v>
      </c>
      <c r="AE57" s="708">
        <v>0</v>
      </c>
      <c r="AF57" s="708">
        <v>0</v>
      </c>
      <c r="AG57" s="708">
        <v>0</v>
      </c>
      <c r="AH57" s="708">
        <v>0</v>
      </c>
      <c r="AI57" s="708">
        <v>0</v>
      </c>
      <c r="AJ57" s="708">
        <v>0</v>
      </c>
      <c r="AK57" s="708">
        <v>0</v>
      </c>
      <c r="AL57" s="708">
        <v>0</v>
      </c>
      <c r="AM57" s="708">
        <v>0</v>
      </c>
      <c r="AN57" s="708">
        <v>0</v>
      </c>
      <c r="AO57" s="708">
        <v>0</v>
      </c>
      <c r="AP57" s="708">
        <v>0</v>
      </c>
      <c r="AQ57" s="708">
        <v>0</v>
      </c>
      <c r="AR57" s="708">
        <v>0</v>
      </c>
      <c r="AS57" s="708">
        <v>0</v>
      </c>
      <c r="AT57" s="708">
        <v>0</v>
      </c>
      <c r="AU57" s="708">
        <v>0</v>
      </c>
      <c r="AV57" s="708">
        <v>0</v>
      </c>
      <c r="AW57" s="708">
        <v>0</v>
      </c>
      <c r="AX57" s="708">
        <v>0</v>
      </c>
      <c r="AY57" s="708">
        <v>0</v>
      </c>
      <c r="AZ57" s="708">
        <v>0</v>
      </c>
      <c r="BA57" s="708">
        <v>0</v>
      </c>
      <c r="BB57" s="708">
        <v>0</v>
      </c>
      <c r="BC57" s="708">
        <v>0</v>
      </c>
      <c r="BD57" s="708">
        <v>0</v>
      </c>
      <c r="BE57" s="708">
        <v>0</v>
      </c>
      <c r="BF57" s="708">
        <v>0</v>
      </c>
      <c r="BG57" s="708">
        <v>0</v>
      </c>
      <c r="BH57" s="708">
        <v>0</v>
      </c>
      <c r="BI57" s="708">
        <v>0</v>
      </c>
      <c r="BJ57" s="708">
        <v>0</v>
      </c>
      <c r="BK57" s="708">
        <v>0</v>
      </c>
      <c r="BL57" s="708">
        <v>0</v>
      </c>
      <c r="BM57" s="708">
        <v>0</v>
      </c>
      <c r="BN57" s="709"/>
      <c r="BQ57" s="723"/>
    </row>
    <row r="58" spans="1:69" s="710" customFormat="1" ht="24" customHeight="1">
      <c r="A58" s="722" t="s">
        <v>103</v>
      </c>
      <c r="B58" s="721" t="s">
        <v>114</v>
      </c>
      <c r="C58" s="770" t="s">
        <v>39</v>
      </c>
      <c r="D58" s="707">
        <v>23.46</v>
      </c>
      <c r="E58" s="708">
        <v>0</v>
      </c>
      <c r="F58" s="708">
        <v>0</v>
      </c>
      <c r="G58" s="708">
        <v>0</v>
      </c>
      <c r="H58" s="708">
        <v>0</v>
      </c>
      <c r="I58" s="708">
        <v>0</v>
      </c>
      <c r="J58" s="708">
        <v>0</v>
      </c>
      <c r="K58" s="708">
        <v>0</v>
      </c>
      <c r="L58" s="708">
        <v>0</v>
      </c>
      <c r="M58" s="708">
        <v>0</v>
      </c>
      <c r="N58" s="708">
        <v>0</v>
      </c>
      <c r="O58" s="708">
        <v>0</v>
      </c>
      <c r="P58" s="708">
        <v>0</v>
      </c>
      <c r="Q58" s="708">
        <v>0</v>
      </c>
      <c r="R58" s="708">
        <v>0</v>
      </c>
      <c r="S58" s="708">
        <v>0</v>
      </c>
      <c r="T58" s="708">
        <v>0</v>
      </c>
      <c r="U58" s="708">
        <v>1.27</v>
      </c>
      <c r="V58" s="708">
        <v>0</v>
      </c>
      <c r="W58" s="708">
        <v>0</v>
      </c>
      <c r="X58" s="708">
        <v>0</v>
      </c>
      <c r="Y58" s="708">
        <v>0</v>
      </c>
      <c r="Z58" s="708">
        <v>0.45999999999999996</v>
      </c>
      <c r="AA58" s="708">
        <v>0</v>
      </c>
      <c r="AB58" s="708">
        <v>0</v>
      </c>
      <c r="AC58" s="708">
        <v>0</v>
      </c>
      <c r="AD58" s="708">
        <v>0.49</v>
      </c>
      <c r="AE58" s="708">
        <v>0.06</v>
      </c>
      <c r="AF58" s="708">
        <v>0.03</v>
      </c>
      <c r="AG58" s="708">
        <v>0.01</v>
      </c>
      <c r="AH58" s="708">
        <v>0</v>
      </c>
      <c r="AI58" s="708">
        <v>0</v>
      </c>
      <c r="AJ58" s="708">
        <v>0.33</v>
      </c>
      <c r="AK58" s="708">
        <v>0</v>
      </c>
      <c r="AL58" s="708">
        <v>0</v>
      </c>
      <c r="AM58" s="708">
        <v>0</v>
      </c>
      <c r="AN58" s="708">
        <v>0.06</v>
      </c>
      <c r="AO58" s="708">
        <v>0</v>
      </c>
      <c r="AP58" s="708">
        <v>0</v>
      </c>
      <c r="AQ58" s="708">
        <v>0</v>
      </c>
      <c r="AR58" s="708">
        <v>0</v>
      </c>
      <c r="AS58" s="708">
        <v>0</v>
      </c>
      <c r="AT58" s="708">
        <v>0</v>
      </c>
      <c r="AU58" s="708">
        <v>0</v>
      </c>
      <c r="AV58" s="708">
        <v>0.04</v>
      </c>
      <c r="AW58" s="708">
        <v>0.16</v>
      </c>
      <c r="AX58" s="708">
        <v>0.12</v>
      </c>
      <c r="AY58" s="708">
        <v>0</v>
      </c>
      <c r="AZ58" s="708">
        <v>0</v>
      </c>
      <c r="BA58" s="708">
        <v>0</v>
      </c>
      <c r="BB58" s="708">
        <v>0</v>
      </c>
      <c r="BC58" s="708">
        <v>0</v>
      </c>
      <c r="BD58" s="708">
        <v>0</v>
      </c>
      <c r="BE58" s="708">
        <v>22.19</v>
      </c>
      <c r="BF58" s="708">
        <v>0</v>
      </c>
      <c r="BG58" s="708">
        <v>0</v>
      </c>
      <c r="BH58" s="708">
        <v>0</v>
      </c>
      <c r="BI58" s="708">
        <v>0</v>
      </c>
      <c r="BJ58" s="708">
        <v>1.27</v>
      </c>
      <c r="BK58" s="708">
        <v>0.38000000000000034</v>
      </c>
      <c r="BL58" s="708">
        <v>0</v>
      </c>
      <c r="BM58" s="708">
        <v>23.84</v>
      </c>
      <c r="BN58" s="709"/>
      <c r="BQ58" s="723"/>
    </row>
    <row r="59" spans="1:69" s="710" customFormat="1" ht="24" customHeight="1">
      <c r="A59" s="722" t="s">
        <v>104</v>
      </c>
      <c r="B59" s="721" t="s">
        <v>115</v>
      </c>
      <c r="C59" s="770" t="s">
        <v>42</v>
      </c>
      <c r="D59" s="707">
        <v>1376.1999999999998</v>
      </c>
      <c r="E59" s="708">
        <v>0</v>
      </c>
      <c r="F59" s="708">
        <v>0</v>
      </c>
      <c r="G59" s="708">
        <v>0</v>
      </c>
      <c r="H59" s="708">
        <v>0</v>
      </c>
      <c r="I59" s="708">
        <v>0</v>
      </c>
      <c r="J59" s="708">
        <v>0</v>
      </c>
      <c r="K59" s="708">
        <v>0</v>
      </c>
      <c r="L59" s="708">
        <v>0</v>
      </c>
      <c r="M59" s="708">
        <v>0</v>
      </c>
      <c r="N59" s="708">
        <v>0</v>
      </c>
      <c r="O59" s="708">
        <v>0</v>
      </c>
      <c r="P59" s="708">
        <v>0</v>
      </c>
      <c r="Q59" s="708">
        <v>0</v>
      </c>
      <c r="R59" s="708">
        <v>0</v>
      </c>
      <c r="S59" s="708">
        <v>0</v>
      </c>
      <c r="T59" s="708">
        <v>0</v>
      </c>
      <c r="U59" s="708">
        <v>38.11999999999999</v>
      </c>
      <c r="V59" s="708">
        <v>0.02</v>
      </c>
      <c r="W59" s="708">
        <v>0</v>
      </c>
      <c r="X59" s="708">
        <v>0</v>
      </c>
      <c r="Y59" s="708">
        <v>0</v>
      </c>
      <c r="Z59" s="708">
        <v>1.29</v>
      </c>
      <c r="AA59" s="708">
        <v>0</v>
      </c>
      <c r="AB59" s="708">
        <v>2.69</v>
      </c>
      <c r="AC59" s="708">
        <v>0</v>
      </c>
      <c r="AD59" s="708">
        <v>19.679999999999996</v>
      </c>
      <c r="AE59" s="708">
        <v>4.2099999999999991</v>
      </c>
      <c r="AF59" s="708">
        <v>0.77999999999999992</v>
      </c>
      <c r="AG59" s="708">
        <v>0.01</v>
      </c>
      <c r="AH59" s="708">
        <v>0.02</v>
      </c>
      <c r="AI59" s="708">
        <v>0.01</v>
      </c>
      <c r="AJ59" s="708">
        <v>0</v>
      </c>
      <c r="AK59" s="708">
        <v>0.15</v>
      </c>
      <c r="AL59" s="708">
        <v>0</v>
      </c>
      <c r="AM59" s="708">
        <v>0</v>
      </c>
      <c r="AN59" s="708">
        <v>13.799999999999999</v>
      </c>
      <c r="AO59" s="708">
        <v>0.43</v>
      </c>
      <c r="AP59" s="708">
        <v>0</v>
      </c>
      <c r="AQ59" s="708">
        <v>0</v>
      </c>
      <c r="AR59" s="708">
        <v>0</v>
      </c>
      <c r="AS59" s="708">
        <v>0</v>
      </c>
      <c r="AT59" s="708">
        <v>0.27</v>
      </c>
      <c r="AU59" s="708">
        <v>0.03</v>
      </c>
      <c r="AV59" s="708">
        <v>12.2</v>
      </c>
      <c r="AW59" s="708">
        <v>0.65999999999999992</v>
      </c>
      <c r="AX59" s="708">
        <v>0.11</v>
      </c>
      <c r="AY59" s="708">
        <v>0.32</v>
      </c>
      <c r="AZ59" s="708">
        <v>0</v>
      </c>
      <c r="BA59" s="708">
        <v>0</v>
      </c>
      <c r="BB59" s="708">
        <v>0</v>
      </c>
      <c r="BC59" s="708">
        <v>0</v>
      </c>
      <c r="BD59" s="708">
        <v>0</v>
      </c>
      <c r="BE59" s="708">
        <v>0.03</v>
      </c>
      <c r="BF59" s="708">
        <v>1338.08</v>
      </c>
      <c r="BG59" s="708">
        <v>1.0899999999999999</v>
      </c>
      <c r="BH59" s="708">
        <v>0</v>
      </c>
      <c r="BI59" s="708">
        <v>0</v>
      </c>
      <c r="BJ59" s="708">
        <v>38.11999999999999</v>
      </c>
      <c r="BK59" s="708">
        <v>9.3900000000000219</v>
      </c>
      <c r="BL59" s="708">
        <v>0</v>
      </c>
      <c r="BM59" s="708">
        <v>1385.59</v>
      </c>
      <c r="BN59" s="709"/>
      <c r="BQ59" s="723"/>
    </row>
    <row r="60" spans="1:69" s="710" customFormat="1" ht="24" customHeight="1">
      <c r="A60" s="722" t="s">
        <v>2820</v>
      </c>
      <c r="B60" s="721" t="s">
        <v>77</v>
      </c>
      <c r="C60" s="770" t="s">
        <v>41</v>
      </c>
      <c r="D60" s="707">
        <v>965.68999999999983</v>
      </c>
      <c r="E60" s="708">
        <v>0</v>
      </c>
      <c r="F60" s="708">
        <v>0</v>
      </c>
      <c r="G60" s="708">
        <v>0</v>
      </c>
      <c r="H60" s="708">
        <v>0</v>
      </c>
      <c r="I60" s="708">
        <v>0</v>
      </c>
      <c r="J60" s="708">
        <v>0</v>
      </c>
      <c r="K60" s="708">
        <v>0</v>
      </c>
      <c r="L60" s="708">
        <v>0</v>
      </c>
      <c r="M60" s="708">
        <v>0</v>
      </c>
      <c r="N60" s="708">
        <v>0</v>
      </c>
      <c r="O60" s="708">
        <v>0</v>
      </c>
      <c r="P60" s="708">
        <v>0</v>
      </c>
      <c r="Q60" s="708">
        <v>0</v>
      </c>
      <c r="R60" s="708">
        <v>0</v>
      </c>
      <c r="S60" s="708">
        <v>0</v>
      </c>
      <c r="T60" s="708">
        <v>0</v>
      </c>
      <c r="U60" s="708">
        <v>0.08</v>
      </c>
      <c r="V60" s="708">
        <v>0</v>
      </c>
      <c r="W60" s="708">
        <v>0</v>
      </c>
      <c r="X60" s="708">
        <v>0</v>
      </c>
      <c r="Y60" s="708">
        <v>0</v>
      </c>
      <c r="Z60" s="708">
        <v>0</v>
      </c>
      <c r="AA60" s="708">
        <v>0</v>
      </c>
      <c r="AB60" s="708">
        <v>0</v>
      </c>
      <c r="AC60" s="708">
        <v>0</v>
      </c>
      <c r="AD60" s="708">
        <v>0</v>
      </c>
      <c r="AE60" s="708">
        <v>0</v>
      </c>
      <c r="AF60" s="708">
        <v>0</v>
      </c>
      <c r="AG60" s="708">
        <v>0</v>
      </c>
      <c r="AH60" s="708">
        <v>0</v>
      </c>
      <c r="AI60" s="708">
        <v>0</v>
      </c>
      <c r="AJ60" s="708">
        <v>0</v>
      </c>
      <c r="AK60" s="708">
        <v>0</v>
      </c>
      <c r="AL60" s="708">
        <v>0</v>
      </c>
      <c r="AM60" s="708">
        <v>0</v>
      </c>
      <c r="AN60" s="708">
        <v>0</v>
      </c>
      <c r="AO60" s="708">
        <v>0</v>
      </c>
      <c r="AP60" s="708">
        <v>0</v>
      </c>
      <c r="AQ60" s="708">
        <v>0</v>
      </c>
      <c r="AR60" s="708">
        <v>0</v>
      </c>
      <c r="AS60" s="708">
        <v>0</v>
      </c>
      <c r="AT60" s="708">
        <v>0</v>
      </c>
      <c r="AU60" s="708">
        <v>0</v>
      </c>
      <c r="AV60" s="708">
        <v>0</v>
      </c>
      <c r="AW60" s="708">
        <v>0.08</v>
      </c>
      <c r="AX60" s="708">
        <v>0</v>
      </c>
      <c r="AY60" s="708">
        <v>0</v>
      </c>
      <c r="AZ60" s="708">
        <v>0</v>
      </c>
      <c r="BA60" s="708">
        <v>0</v>
      </c>
      <c r="BB60" s="708">
        <v>0</v>
      </c>
      <c r="BC60" s="708">
        <v>0</v>
      </c>
      <c r="BD60" s="708">
        <v>0</v>
      </c>
      <c r="BE60" s="708">
        <v>0</v>
      </c>
      <c r="BF60" s="708">
        <v>0</v>
      </c>
      <c r="BG60" s="708">
        <v>965.60999999999979</v>
      </c>
      <c r="BH60" s="708">
        <v>0</v>
      </c>
      <c r="BI60" s="708">
        <v>0</v>
      </c>
      <c r="BJ60" s="708">
        <v>0.08</v>
      </c>
      <c r="BK60" s="708">
        <v>2.23</v>
      </c>
      <c r="BL60" s="708">
        <v>0</v>
      </c>
      <c r="BM60" s="708">
        <v>967.91999999999985</v>
      </c>
      <c r="BN60" s="709"/>
      <c r="BQ60" s="723"/>
    </row>
    <row r="61" spans="1:69" s="710" customFormat="1" ht="27" customHeight="1">
      <c r="A61" s="722" t="s">
        <v>105</v>
      </c>
      <c r="B61" s="721" t="s">
        <v>116</v>
      </c>
      <c r="C61" s="770" t="s">
        <v>55</v>
      </c>
      <c r="D61" s="707">
        <v>1.51</v>
      </c>
      <c r="E61" s="708">
        <v>0</v>
      </c>
      <c r="F61" s="708">
        <v>0</v>
      </c>
      <c r="G61" s="708">
        <v>0</v>
      </c>
      <c r="H61" s="708">
        <v>0</v>
      </c>
      <c r="I61" s="708">
        <v>0</v>
      </c>
      <c r="J61" s="708">
        <v>0</v>
      </c>
      <c r="K61" s="708">
        <v>0</v>
      </c>
      <c r="L61" s="708">
        <v>0</v>
      </c>
      <c r="M61" s="708">
        <v>0</v>
      </c>
      <c r="N61" s="708">
        <v>0</v>
      </c>
      <c r="O61" s="708">
        <v>0</v>
      </c>
      <c r="P61" s="708">
        <v>0</v>
      </c>
      <c r="Q61" s="708">
        <v>0</v>
      </c>
      <c r="R61" s="708">
        <v>0</v>
      </c>
      <c r="S61" s="708">
        <v>0</v>
      </c>
      <c r="T61" s="708">
        <v>0</v>
      </c>
      <c r="U61" s="708">
        <v>0</v>
      </c>
      <c r="V61" s="708">
        <v>0</v>
      </c>
      <c r="W61" s="708">
        <v>0</v>
      </c>
      <c r="X61" s="708">
        <v>0</v>
      </c>
      <c r="Y61" s="708">
        <v>0</v>
      </c>
      <c r="Z61" s="708">
        <v>0</v>
      </c>
      <c r="AA61" s="708">
        <v>0</v>
      </c>
      <c r="AB61" s="708">
        <v>0</v>
      </c>
      <c r="AC61" s="708">
        <v>0</v>
      </c>
      <c r="AD61" s="708">
        <v>0</v>
      </c>
      <c r="AE61" s="708">
        <v>0</v>
      </c>
      <c r="AF61" s="708">
        <v>0</v>
      </c>
      <c r="AG61" s="708">
        <v>0</v>
      </c>
      <c r="AH61" s="708">
        <v>0</v>
      </c>
      <c r="AI61" s="708">
        <v>0</v>
      </c>
      <c r="AJ61" s="708">
        <v>0</v>
      </c>
      <c r="AK61" s="708">
        <v>0</v>
      </c>
      <c r="AL61" s="708">
        <v>0</v>
      </c>
      <c r="AM61" s="708">
        <v>0</v>
      </c>
      <c r="AN61" s="708">
        <v>0</v>
      </c>
      <c r="AO61" s="708">
        <v>0</v>
      </c>
      <c r="AP61" s="708">
        <v>0</v>
      </c>
      <c r="AQ61" s="708">
        <v>0</v>
      </c>
      <c r="AR61" s="708">
        <v>0</v>
      </c>
      <c r="AS61" s="708">
        <v>0</v>
      </c>
      <c r="AT61" s="708">
        <v>0</v>
      </c>
      <c r="AU61" s="708">
        <v>0</v>
      </c>
      <c r="AV61" s="708">
        <v>0</v>
      </c>
      <c r="AW61" s="708">
        <v>0</v>
      </c>
      <c r="AX61" s="708">
        <v>0</v>
      </c>
      <c r="AY61" s="708">
        <v>0</v>
      </c>
      <c r="AZ61" s="708">
        <v>0</v>
      </c>
      <c r="BA61" s="708">
        <v>0</v>
      </c>
      <c r="BB61" s="708">
        <v>0</v>
      </c>
      <c r="BC61" s="708">
        <v>0</v>
      </c>
      <c r="BD61" s="708">
        <v>0</v>
      </c>
      <c r="BE61" s="708">
        <v>0</v>
      </c>
      <c r="BF61" s="708">
        <v>0</v>
      </c>
      <c r="BG61" s="708">
        <v>0</v>
      </c>
      <c r="BH61" s="708">
        <v>1.51</v>
      </c>
      <c r="BI61" s="708">
        <v>0</v>
      </c>
      <c r="BJ61" s="708">
        <v>0</v>
      </c>
      <c r="BK61" s="708">
        <v>12.489999999999998</v>
      </c>
      <c r="BL61" s="708">
        <v>0</v>
      </c>
      <c r="BM61" s="708">
        <v>13.999999999999998</v>
      </c>
      <c r="BN61" s="709"/>
      <c r="BQ61" s="723"/>
    </row>
    <row r="62" spans="1:69" s="704" customFormat="1" ht="24.75" customHeight="1">
      <c r="A62" s="728">
        <v>3</v>
      </c>
      <c r="B62" s="729" t="s">
        <v>56</v>
      </c>
      <c r="C62" s="771" t="s">
        <v>81</v>
      </c>
      <c r="D62" s="698">
        <v>1509.92</v>
      </c>
      <c r="E62" s="700">
        <v>99.08</v>
      </c>
      <c r="F62" s="700">
        <v>0</v>
      </c>
      <c r="G62" s="700">
        <v>0</v>
      </c>
      <c r="H62" s="700">
        <v>0</v>
      </c>
      <c r="I62" s="700">
        <v>0</v>
      </c>
      <c r="J62" s="700">
        <v>0.28000000000000003</v>
      </c>
      <c r="K62" s="700">
        <v>0</v>
      </c>
      <c r="L62" s="700">
        <v>0</v>
      </c>
      <c r="M62" s="700">
        <v>0</v>
      </c>
      <c r="N62" s="700">
        <v>95.21</v>
      </c>
      <c r="O62" s="700">
        <v>0</v>
      </c>
      <c r="P62" s="700">
        <v>95.21</v>
      </c>
      <c r="Q62" s="700">
        <v>0</v>
      </c>
      <c r="R62" s="700">
        <v>0</v>
      </c>
      <c r="S62" s="700">
        <v>0</v>
      </c>
      <c r="T62" s="700">
        <v>3.59</v>
      </c>
      <c r="U62" s="700">
        <v>38.540000000000006</v>
      </c>
      <c r="V62" s="700">
        <v>0.72</v>
      </c>
      <c r="W62" s="700">
        <v>0.01</v>
      </c>
      <c r="X62" s="700">
        <v>0</v>
      </c>
      <c r="Y62" s="700">
        <v>3.17</v>
      </c>
      <c r="Z62" s="700">
        <v>0.94000000000000006</v>
      </c>
      <c r="AA62" s="700">
        <v>0.95</v>
      </c>
      <c r="AB62" s="700">
        <v>5.8800000000000008</v>
      </c>
      <c r="AC62" s="700">
        <v>0</v>
      </c>
      <c r="AD62" s="700">
        <v>21.810000000000002</v>
      </c>
      <c r="AE62" s="700">
        <v>7.0000000000000009</v>
      </c>
      <c r="AF62" s="700">
        <v>1.03</v>
      </c>
      <c r="AG62" s="700">
        <v>0.42999999999999994</v>
      </c>
      <c r="AH62" s="700">
        <v>0</v>
      </c>
      <c r="AI62" s="700">
        <v>0.33</v>
      </c>
      <c r="AJ62" s="700">
        <v>0.47</v>
      </c>
      <c r="AK62" s="700">
        <v>3.6400000000000006</v>
      </c>
      <c r="AL62" s="700">
        <v>7.0000000000000007E-2</v>
      </c>
      <c r="AM62" s="700">
        <v>0</v>
      </c>
      <c r="AN62" s="700">
        <v>5.29</v>
      </c>
      <c r="AO62" s="700">
        <v>3.1599999999999997</v>
      </c>
      <c r="AP62" s="700">
        <v>0</v>
      </c>
      <c r="AQ62" s="700">
        <v>0</v>
      </c>
      <c r="AR62" s="700">
        <v>0</v>
      </c>
      <c r="AS62" s="700">
        <v>0.02</v>
      </c>
      <c r="AT62" s="700">
        <v>0.37</v>
      </c>
      <c r="AU62" s="700">
        <v>0.01</v>
      </c>
      <c r="AV62" s="700">
        <v>0.28999999999999998</v>
      </c>
      <c r="AW62" s="700">
        <v>1.2200000000000002</v>
      </c>
      <c r="AX62" s="700">
        <v>0.64</v>
      </c>
      <c r="AY62" s="700">
        <v>0.47000000000000003</v>
      </c>
      <c r="AZ62" s="700">
        <v>0.13</v>
      </c>
      <c r="BA62" s="700">
        <v>0</v>
      </c>
      <c r="BB62" s="700">
        <v>0</v>
      </c>
      <c r="BC62" s="700">
        <v>0</v>
      </c>
      <c r="BD62" s="700">
        <v>0</v>
      </c>
      <c r="BE62" s="700">
        <v>0.03</v>
      </c>
      <c r="BF62" s="700">
        <v>0.78</v>
      </c>
      <c r="BG62" s="700">
        <v>0.01</v>
      </c>
      <c r="BH62" s="700">
        <v>1.48</v>
      </c>
      <c r="BI62" s="700">
        <v>1372.3000000000002</v>
      </c>
      <c r="BJ62" s="700">
        <v>137.62</v>
      </c>
      <c r="BK62" s="700">
        <v>-137.62</v>
      </c>
      <c r="BL62" s="700">
        <v>0</v>
      </c>
      <c r="BM62" s="700">
        <v>1372.3000000000002</v>
      </c>
      <c r="BN62" s="375"/>
      <c r="BQ62" s="730"/>
    </row>
    <row r="63" spans="1:69" s="704" customFormat="1" ht="24" customHeight="1">
      <c r="A63" s="731"/>
      <c r="B63" s="732" t="s">
        <v>145</v>
      </c>
      <c r="C63" s="732"/>
      <c r="D63" s="733"/>
      <c r="E63" s="700">
        <v>99.33</v>
      </c>
      <c r="F63" s="700">
        <v>50.08</v>
      </c>
      <c r="G63" s="700">
        <v>27.68</v>
      </c>
      <c r="H63" s="700">
        <v>50.08</v>
      </c>
      <c r="I63" s="700">
        <v>0</v>
      </c>
      <c r="J63" s="700">
        <v>67.679999999999993</v>
      </c>
      <c r="K63" s="700">
        <v>1071.0500000000002</v>
      </c>
      <c r="L63" s="700">
        <v>157.99999999999997</v>
      </c>
      <c r="M63" s="700">
        <v>0</v>
      </c>
      <c r="N63" s="700">
        <v>107.88</v>
      </c>
      <c r="O63" s="700">
        <v>11.65</v>
      </c>
      <c r="P63" s="700">
        <v>107.88</v>
      </c>
      <c r="Q63" s="700">
        <v>0</v>
      </c>
      <c r="R63" s="700">
        <v>6.8199999999999994</v>
      </c>
      <c r="S63" s="700">
        <v>0</v>
      </c>
      <c r="T63" s="700">
        <v>340.78</v>
      </c>
      <c r="U63" s="700">
        <v>1770.5573200000001</v>
      </c>
      <c r="V63" s="700">
        <v>116.08</v>
      </c>
      <c r="W63" s="700">
        <v>12.67</v>
      </c>
      <c r="X63" s="700">
        <v>0</v>
      </c>
      <c r="Y63" s="700">
        <v>122.1</v>
      </c>
      <c r="Z63" s="700">
        <v>62.22</v>
      </c>
      <c r="AA63" s="700">
        <v>94.27</v>
      </c>
      <c r="AB63" s="700">
        <v>206.35</v>
      </c>
      <c r="AC63" s="700">
        <v>0</v>
      </c>
      <c r="AD63" s="700">
        <v>1088.2579999999998</v>
      </c>
      <c r="AE63" s="700">
        <v>321.87100000000004</v>
      </c>
      <c r="AF63" s="700">
        <v>23.520000000000003</v>
      </c>
      <c r="AG63" s="700">
        <v>9.0070000000000014</v>
      </c>
      <c r="AH63" s="700">
        <v>0.48000000000000004</v>
      </c>
      <c r="AI63" s="700">
        <v>28.130000000000003</v>
      </c>
      <c r="AJ63" s="700">
        <v>15.659999999999998</v>
      </c>
      <c r="AK63" s="700">
        <v>147.66999999999999</v>
      </c>
      <c r="AL63" s="700">
        <v>0.87999999999999978</v>
      </c>
      <c r="AM63" s="700">
        <v>0</v>
      </c>
      <c r="AN63" s="700">
        <v>451.22999999999996</v>
      </c>
      <c r="AO63" s="700">
        <v>87.41</v>
      </c>
      <c r="AP63" s="700">
        <v>0</v>
      </c>
      <c r="AQ63" s="700">
        <v>21.03</v>
      </c>
      <c r="AR63" s="700">
        <v>0</v>
      </c>
      <c r="AS63" s="700">
        <v>3.3</v>
      </c>
      <c r="AT63" s="700">
        <v>12.350000000000001</v>
      </c>
      <c r="AU63" s="700">
        <v>2.9299999999999997</v>
      </c>
      <c r="AV63" s="700">
        <v>18.349999999999998</v>
      </c>
      <c r="AW63" s="700">
        <v>13.765000000000001</v>
      </c>
      <c r="AX63" s="700">
        <v>81.849320000000006</v>
      </c>
      <c r="AY63" s="700">
        <v>50.83</v>
      </c>
      <c r="AZ63" s="700">
        <v>10.450000000000001</v>
      </c>
      <c r="BA63" s="700">
        <v>0.2</v>
      </c>
      <c r="BB63" s="700">
        <v>0</v>
      </c>
      <c r="BC63" s="700">
        <v>0</v>
      </c>
      <c r="BD63" s="700">
        <v>0</v>
      </c>
      <c r="BE63" s="700">
        <v>1.6500000000000004</v>
      </c>
      <c r="BF63" s="700">
        <v>47.510000000000012</v>
      </c>
      <c r="BG63" s="700">
        <v>2.31</v>
      </c>
      <c r="BH63" s="700">
        <v>12.489999999999998</v>
      </c>
      <c r="BI63" s="700">
        <v>0</v>
      </c>
      <c r="BJ63" s="700">
        <v>1869.88732</v>
      </c>
      <c r="BK63" s="700">
        <v>0</v>
      </c>
      <c r="BL63" s="700">
        <v>0</v>
      </c>
      <c r="BM63" s="700">
        <v>0</v>
      </c>
      <c r="BN63" s="375"/>
    </row>
    <row r="64" spans="1:69" s="694" customFormat="1" ht="25.5">
      <c r="A64" s="696"/>
      <c r="B64" s="734" t="s">
        <v>2898</v>
      </c>
      <c r="C64" s="734"/>
      <c r="D64" s="698"/>
      <c r="E64" s="700">
        <v>87283.652680000014</v>
      </c>
      <c r="F64" s="700">
        <v>5851.5017499999985</v>
      </c>
      <c r="G64" s="700">
        <v>3201.2949999999996</v>
      </c>
      <c r="H64" s="700">
        <v>2650.2067500000007</v>
      </c>
      <c r="I64" s="700">
        <v>0</v>
      </c>
      <c r="J64" s="700">
        <v>4526.2847000000011</v>
      </c>
      <c r="K64" s="700">
        <v>2566.4021300000004</v>
      </c>
      <c r="L64" s="700">
        <v>9729.9</v>
      </c>
      <c r="M64" s="700">
        <v>2208.1999999999998</v>
      </c>
      <c r="N64" s="700">
        <v>61783.804100000001</v>
      </c>
      <c r="O64" s="700">
        <v>5532.4</v>
      </c>
      <c r="P64" s="700">
        <v>56251.404099999992</v>
      </c>
      <c r="Q64" s="700">
        <v>0</v>
      </c>
      <c r="R64" s="700">
        <v>275.47000000000003</v>
      </c>
      <c r="S64" s="700">
        <v>0</v>
      </c>
      <c r="T64" s="700">
        <v>342.09</v>
      </c>
      <c r="U64" s="700">
        <v>9986.9673199999997</v>
      </c>
      <c r="V64" s="700">
        <v>1852.35</v>
      </c>
      <c r="W64" s="700">
        <v>16.05</v>
      </c>
      <c r="X64" s="700">
        <v>0</v>
      </c>
      <c r="Y64" s="700">
        <v>125.35</v>
      </c>
      <c r="Z64" s="700">
        <v>72.06</v>
      </c>
      <c r="AA64" s="700">
        <v>142.84</v>
      </c>
      <c r="AB64" s="700">
        <v>458.75</v>
      </c>
      <c r="AC64" s="700">
        <v>0</v>
      </c>
      <c r="AD64" s="700">
        <v>3631.3980000000006</v>
      </c>
      <c r="AE64" s="700">
        <v>2028.931</v>
      </c>
      <c r="AF64" s="700">
        <v>148.07</v>
      </c>
      <c r="AG64" s="700">
        <v>22.717000000000002</v>
      </c>
      <c r="AH64" s="700">
        <v>7.5200000000000005</v>
      </c>
      <c r="AI64" s="700">
        <v>85.440000000000012</v>
      </c>
      <c r="AJ64" s="700">
        <v>35.549999999999997</v>
      </c>
      <c r="AK64" s="700">
        <v>177.95</v>
      </c>
      <c r="AL64" s="700">
        <v>1.79</v>
      </c>
      <c r="AM64" s="700">
        <v>0</v>
      </c>
      <c r="AN64" s="700">
        <v>452.4</v>
      </c>
      <c r="AO64" s="700">
        <v>529.15000000000009</v>
      </c>
      <c r="AP64" s="700">
        <v>1.38</v>
      </c>
      <c r="AQ64" s="700">
        <v>122.35</v>
      </c>
      <c r="AR64" s="700">
        <v>0</v>
      </c>
      <c r="AS64" s="700">
        <v>3.3</v>
      </c>
      <c r="AT64" s="700">
        <v>14.340000000000002</v>
      </c>
      <c r="AU64" s="700">
        <v>3.26</v>
      </c>
      <c r="AV64" s="700">
        <v>18.349999999999998</v>
      </c>
      <c r="AW64" s="700">
        <v>15.845000000000001</v>
      </c>
      <c r="AX64" s="700">
        <v>1018.18432</v>
      </c>
      <c r="AY64" s="700">
        <v>217</v>
      </c>
      <c r="AZ64" s="700">
        <v>24.470000000000006</v>
      </c>
      <c r="BA64" s="700">
        <v>0.2</v>
      </c>
      <c r="BB64" s="700">
        <v>0</v>
      </c>
      <c r="BC64" s="700">
        <v>0.02</v>
      </c>
      <c r="BD64" s="700">
        <v>0</v>
      </c>
      <c r="BE64" s="700">
        <v>23.840000000000003</v>
      </c>
      <c r="BF64" s="700">
        <v>1385.59</v>
      </c>
      <c r="BG64" s="700">
        <v>967.91999999999973</v>
      </c>
      <c r="BH64" s="700">
        <v>13.999999999999998</v>
      </c>
      <c r="BI64" s="700">
        <v>1372.3000000000002</v>
      </c>
      <c r="BJ64" s="700">
        <v>0</v>
      </c>
      <c r="BK64" s="700">
        <v>0</v>
      </c>
      <c r="BL64" s="700">
        <v>0</v>
      </c>
      <c r="BM64" s="700">
        <v>0</v>
      </c>
      <c r="BN64" s="375"/>
    </row>
  </sheetData>
  <mergeCells count="11">
    <mergeCell ref="BL3:BL4"/>
    <mergeCell ref="BM3:BM4"/>
    <mergeCell ref="A1:B1"/>
    <mergeCell ref="A2:BK2"/>
    <mergeCell ref="A3:A4"/>
    <mergeCell ref="B3:B4"/>
    <mergeCell ref="C3:C4"/>
    <mergeCell ref="D3:D4"/>
    <mergeCell ref="E3:BI3"/>
    <mergeCell ref="BJ3:BJ4"/>
    <mergeCell ref="BK3:BK4"/>
  </mergeCells>
  <conditionalFormatting sqref="A6:B62">
    <cfRule type="cellIs" dxfId="133" priority="17" stopIfTrue="1" operator="equal">
      <formula>0</formula>
    </cfRule>
  </conditionalFormatting>
  <conditionalFormatting sqref="C6:C62">
    <cfRule type="cellIs" dxfId="132" priority="4" stopIfTrue="1" operator="equal">
      <formula>0</formula>
    </cfRule>
  </conditionalFormatting>
  <conditionalFormatting sqref="C23:C61">
    <cfRule type="cellIs" dxfId="131" priority="3" stopIfTrue="1" operator="equal">
      <formula>0</formula>
    </cfRule>
  </conditionalFormatting>
  <conditionalFormatting sqref="C56:C57">
    <cfRule type="cellIs" dxfId="130" priority="1" stopIfTrue="1" operator="equal">
      <formula>0</formula>
    </cfRule>
    <cfRule type="cellIs" dxfId="129" priority="2" stopIfTrue="1" operator="equal">
      <formula>0</formula>
    </cfRule>
  </conditionalFormatting>
  <conditionalFormatting sqref="C1:IX1 A1:A2 BL2:BM2 BO2:IX2">
    <cfRule type="cellIs" dxfId="128" priority="29" stopIfTrue="1" operator="between">
      <formula>-0.0001</formula>
      <formula>0.0001</formula>
    </cfRule>
    <cfRule type="cellIs" dxfId="127" priority="30" stopIfTrue="1" operator="between">
      <formula>-0.0001</formula>
      <formula>0.00001</formula>
    </cfRule>
    <cfRule type="cellIs" dxfId="126" priority="31" stopIfTrue="1" operator="equal">
      <formula>0</formula>
    </cfRule>
    <cfRule type="cellIs" dxfId="125" priority="32" stopIfTrue="1" operator="equal">
      <formula>0</formula>
    </cfRule>
    <cfRule type="cellIs" dxfId="124" priority="33" stopIfTrue="1" operator="equal">
      <formula>0</formula>
    </cfRule>
    <cfRule type="cellIs" dxfId="123" priority="34" stopIfTrue="1" operator="between">
      <formula>-0.0001</formula>
      <formula>0.0001</formula>
    </cfRule>
    <cfRule type="cellIs" dxfId="122" priority="35" stopIfTrue="1" operator="equal">
      <formula>0</formula>
    </cfRule>
    <cfRule type="cellIs" dxfId="121" priority="36" stopIfTrue="1" operator="equal">
      <formula>0</formula>
    </cfRule>
    <cfRule type="cellIs" dxfId="120" priority="37" stopIfTrue="1" operator="equal">
      <formula>0</formula>
    </cfRule>
    <cfRule type="cellIs" dxfId="119" priority="38" stopIfTrue="1" operator="equal">
      <formula>0</formula>
    </cfRule>
    <cfRule type="cellIs" dxfId="118" priority="39" stopIfTrue="1" operator="equal">
      <formula>0</formula>
    </cfRule>
  </conditionalFormatting>
  <conditionalFormatting sqref="E3 A3:D4 A63:C64">
    <cfRule type="cellIs" dxfId="117" priority="28" stopIfTrue="1" operator="equal">
      <formula>0</formula>
    </cfRule>
  </conditionalFormatting>
  <conditionalFormatting sqref="E3">
    <cfRule type="cellIs" dxfId="116" priority="27" stopIfTrue="1" operator="equal">
      <formula>0</formula>
    </cfRule>
  </conditionalFormatting>
  <conditionalFormatting sqref="E4:N4">
    <cfRule type="cellIs" dxfId="115" priority="12" stopIfTrue="1" operator="equal">
      <formula>0</formula>
    </cfRule>
    <cfRule type="cellIs" dxfId="114" priority="13" stopIfTrue="1" operator="equal">
      <formula>0</formula>
    </cfRule>
  </conditionalFormatting>
  <conditionalFormatting sqref="E6:BM64">
    <cfRule type="cellIs" dxfId="113" priority="18" stopIfTrue="1" operator="equal">
      <formula>0</formula>
    </cfRule>
    <cfRule type="cellIs" dxfId="112" priority="19" stopIfTrue="1" operator="equal">
      <formula>0</formula>
    </cfRule>
  </conditionalFormatting>
  <conditionalFormatting sqref="O4:Q4">
    <cfRule type="cellIs" dxfId="111" priority="9" stopIfTrue="1" operator="equal">
      <formula>0</formula>
    </cfRule>
  </conditionalFormatting>
  <conditionalFormatting sqref="R4:BI4">
    <cfRule type="cellIs" dxfId="110" priority="10" stopIfTrue="1" operator="equal">
      <formula>0</formula>
    </cfRule>
    <cfRule type="cellIs" dxfId="109" priority="11" stopIfTrue="1" operator="equal">
      <formula>0</formula>
    </cfRule>
  </conditionalFormatting>
  <conditionalFormatting sqref="BC4:BD4">
    <cfRule type="cellIs" dxfId="108" priority="7" stopIfTrue="1" operator="equal">
      <formula>0</formula>
    </cfRule>
    <cfRule type="cellIs" dxfId="107" priority="8" stopIfTrue="1" operator="equal">
      <formula>0</formula>
    </cfRule>
  </conditionalFormatting>
  <conditionalFormatting sqref="BJ3:BL4 B23:B62">
    <cfRule type="cellIs" dxfId="106" priority="16" stopIfTrue="1" operator="equal">
      <formula>0</formula>
    </cfRule>
  </conditionalFormatting>
  <conditionalFormatting sqref="BJ3:BM4 A5:C5">
    <cfRule type="cellIs" dxfId="105" priority="21" stopIfTrue="1" operator="equal">
      <formula>0</formula>
    </cfRule>
  </conditionalFormatting>
  <conditionalFormatting sqref="BK5:BM5">
    <cfRule type="cellIs" dxfId="104" priority="22" stopIfTrue="1" operator="equal">
      <formula>0</formula>
    </cfRule>
    <cfRule type="cellIs" dxfId="103" priority="23" stopIfTrue="1" operator="equal">
      <formula>0</formula>
    </cfRule>
  </conditionalFormatting>
  <pageMargins left="0.56000000000000005" right="0.17" top="0.75" bottom="0.61" header="0.3" footer="0.3"/>
  <pageSetup paperSize="8" scale="4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G66"/>
  <sheetViews>
    <sheetView showZeros="0" zoomScaleNormal="100" workbookViewId="0">
      <pane xSplit="3" ySplit="4" topLeftCell="D5" activePane="bottomRight" state="frozen"/>
      <selection activeCell="K42" sqref="K42"/>
      <selection pane="topRight" activeCell="K42" sqref="K42"/>
      <selection pane="bottomLeft" activeCell="K42" sqref="K42"/>
      <selection pane="bottomRight" activeCell="F8" sqref="F8"/>
    </sheetView>
  </sheetViews>
  <sheetFormatPr defaultColWidth="8.625" defaultRowHeight="15"/>
  <cols>
    <col min="1" max="1" width="4.125" style="688" bestFit="1" customWidth="1"/>
    <col min="2" max="2" width="29.375" style="374" customWidth="1"/>
    <col min="3" max="3" width="5" style="374" bestFit="1" customWidth="1"/>
    <col min="4" max="4" width="7.375" style="374" customWidth="1"/>
    <col min="5" max="5" width="7" style="374" customWidth="1"/>
    <col min="6" max="7" width="8.375" style="374" bestFit="1" customWidth="1"/>
    <col min="8" max="8" width="9.125" style="374" customWidth="1"/>
    <col min="9" max="9" width="7.625" style="374" customWidth="1"/>
    <col min="10" max="10" width="9.125" style="374" customWidth="1"/>
    <col min="11" max="11" width="7.625" style="374" customWidth="1"/>
    <col min="12" max="12" width="10.375" style="374" customWidth="1"/>
    <col min="13" max="13" width="7.375" style="374" customWidth="1"/>
    <col min="14" max="14" width="9.625" style="374" customWidth="1"/>
    <col min="15" max="15" width="7.625" style="374" bestFit="1" customWidth="1"/>
    <col min="16" max="16" width="8.375" style="374" bestFit="1" customWidth="1"/>
    <col min="17" max="17" width="7.125" style="374" customWidth="1"/>
    <col min="18" max="19" width="7.625" style="374" customWidth="1"/>
    <col min="20" max="20" width="7.125" style="374" customWidth="1"/>
    <col min="21" max="22" width="7.625" style="374" customWidth="1"/>
    <col min="23" max="23" width="7.625" style="374" bestFit="1" customWidth="1"/>
    <col min="24" max="24" width="7.875" style="374" customWidth="1"/>
    <col min="25" max="25" width="7.625" style="374" customWidth="1"/>
    <col min="26" max="26" width="9.125" style="374" customWidth="1"/>
    <col min="27" max="27" width="7.625" style="374" customWidth="1"/>
    <col min="28" max="28" width="7.125" style="374" customWidth="1"/>
    <col min="29" max="29" width="7.625" style="374" customWidth="1"/>
    <col min="30" max="16384" width="8.625" style="374"/>
  </cols>
  <sheetData>
    <row r="1" spans="1:33" s="634" customFormat="1" ht="12.75">
      <c r="A1" s="1568" t="s">
        <v>254</v>
      </c>
      <c r="B1" s="1568"/>
      <c r="C1" s="633"/>
    </row>
    <row r="2" spans="1:33" s="634" customFormat="1" ht="12.75">
      <c r="A2" s="1569" t="s">
        <v>2877</v>
      </c>
      <c r="B2" s="1569"/>
      <c r="C2" s="1569"/>
      <c r="D2" s="1569"/>
      <c r="E2" s="1569"/>
      <c r="F2" s="1569"/>
      <c r="G2" s="1569"/>
      <c r="H2" s="1569"/>
      <c r="I2" s="1569"/>
      <c r="J2" s="1569"/>
      <c r="K2" s="1569"/>
      <c r="L2" s="1569"/>
      <c r="M2" s="1569"/>
      <c r="N2" s="1569"/>
      <c r="O2" s="1569"/>
      <c r="P2" s="1569"/>
      <c r="Q2" s="1569"/>
      <c r="R2" s="1569"/>
      <c r="S2" s="1569"/>
      <c r="T2" s="1569"/>
      <c r="U2" s="1569"/>
      <c r="V2" s="1569"/>
      <c r="W2" s="1569"/>
      <c r="X2" s="1569"/>
      <c r="Y2" s="1569"/>
      <c r="Z2" s="1569"/>
      <c r="AA2" s="1569"/>
      <c r="AB2" s="1569"/>
      <c r="AC2" s="1569"/>
    </row>
    <row r="3" spans="1:33" s="634" customFormat="1" ht="108" customHeight="1">
      <c r="A3" s="1570" t="s">
        <v>170</v>
      </c>
      <c r="B3" s="1570" t="s">
        <v>2851</v>
      </c>
      <c r="C3" s="1570" t="s">
        <v>172</v>
      </c>
      <c r="D3" s="1567" t="s">
        <v>2878</v>
      </c>
      <c r="E3" s="1567"/>
      <c r="F3" s="1567" t="s">
        <v>119</v>
      </c>
      <c r="G3" s="1567"/>
      <c r="H3" s="1567" t="s">
        <v>2</v>
      </c>
      <c r="I3" s="1567"/>
      <c r="J3" s="1567" t="s">
        <v>219</v>
      </c>
      <c r="K3" s="1567"/>
      <c r="L3" s="1567" t="s">
        <v>209</v>
      </c>
      <c r="M3" s="1567"/>
      <c r="N3" s="1567" t="s">
        <v>87</v>
      </c>
      <c r="O3" s="1567"/>
      <c r="P3" s="1567" t="s">
        <v>178</v>
      </c>
      <c r="Q3" s="1567"/>
      <c r="R3" s="1567" t="s">
        <v>210</v>
      </c>
      <c r="S3" s="1567"/>
      <c r="T3" s="1567" t="s">
        <v>211</v>
      </c>
      <c r="U3" s="1567"/>
      <c r="V3" s="1567" t="s">
        <v>179</v>
      </c>
      <c r="W3" s="1567"/>
      <c r="X3" s="1567" t="s">
        <v>212</v>
      </c>
      <c r="Y3" s="1567"/>
      <c r="Z3" s="1567" t="s">
        <v>186</v>
      </c>
      <c r="AA3" s="1567"/>
      <c r="AB3" s="1567" t="s">
        <v>213</v>
      </c>
      <c r="AC3" s="1567"/>
    </row>
    <row r="4" spans="1:33" s="634" customFormat="1" ht="40.5" customHeight="1">
      <c r="A4" s="1570"/>
      <c r="B4" s="1570"/>
      <c r="C4" s="1570"/>
      <c r="D4" s="636" t="s">
        <v>147</v>
      </c>
      <c r="E4" s="636" t="s">
        <v>173</v>
      </c>
      <c r="F4" s="636" t="s">
        <v>147</v>
      </c>
      <c r="G4" s="636" t="s">
        <v>173</v>
      </c>
      <c r="H4" s="636" t="s">
        <v>147</v>
      </c>
      <c r="I4" s="636" t="s">
        <v>173</v>
      </c>
      <c r="J4" s="636" t="s">
        <v>147</v>
      </c>
      <c r="K4" s="636" t="s">
        <v>173</v>
      </c>
      <c r="L4" s="636" t="s">
        <v>147</v>
      </c>
      <c r="M4" s="636" t="s">
        <v>173</v>
      </c>
      <c r="N4" s="636" t="s">
        <v>147</v>
      </c>
      <c r="O4" s="636" t="s">
        <v>173</v>
      </c>
      <c r="P4" s="636" t="s">
        <v>147</v>
      </c>
      <c r="Q4" s="636" t="s">
        <v>173</v>
      </c>
      <c r="R4" s="636" t="s">
        <v>147</v>
      </c>
      <c r="S4" s="636" t="s">
        <v>173</v>
      </c>
      <c r="T4" s="636" t="s">
        <v>147</v>
      </c>
      <c r="U4" s="636" t="s">
        <v>173</v>
      </c>
      <c r="V4" s="636" t="s">
        <v>147</v>
      </c>
      <c r="W4" s="636" t="s">
        <v>173</v>
      </c>
      <c r="X4" s="636" t="s">
        <v>147</v>
      </c>
      <c r="Y4" s="636" t="s">
        <v>173</v>
      </c>
      <c r="Z4" s="636" t="s">
        <v>147</v>
      </c>
      <c r="AA4" s="636" t="s">
        <v>173</v>
      </c>
      <c r="AB4" s="636" t="s">
        <v>147</v>
      </c>
      <c r="AC4" s="636" t="s">
        <v>173</v>
      </c>
    </row>
    <row r="5" spans="1:33" s="642" customFormat="1" ht="17.45" customHeight="1">
      <c r="A5" s="637"/>
      <c r="B5" s="638" t="s">
        <v>146</v>
      </c>
      <c r="C5" s="637"/>
      <c r="D5" s="639">
        <v>0</v>
      </c>
      <c r="E5" s="639">
        <v>0</v>
      </c>
      <c r="F5" s="639">
        <v>7949.4400000000005</v>
      </c>
      <c r="G5" s="640">
        <v>100</v>
      </c>
      <c r="H5" s="639">
        <v>7002.7199999999993</v>
      </c>
      <c r="I5" s="639">
        <v>100</v>
      </c>
      <c r="J5" s="639">
        <v>3329.6151065000004</v>
      </c>
      <c r="K5" s="640">
        <v>100</v>
      </c>
      <c r="L5" s="639">
        <v>73721.904100000014</v>
      </c>
      <c r="M5" s="639">
        <v>100</v>
      </c>
      <c r="N5" s="640">
        <v>2497.2700000000004</v>
      </c>
      <c r="O5" s="639">
        <v>100</v>
      </c>
      <c r="P5" s="639">
        <v>2208.1999999999998</v>
      </c>
      <c r="Q5" s="639">
        <v>100</v>
      </c>
      <c r="R5" s="639">
        <v>125.35</v>
      </c>
      <c r="S5" s="639">
        <v>100</v>
      </c>
      <c r="T5" s="639">
        <v>107.25999999999999</v>
      </c>
      <c r="U5" s="641">
        <v>100</v>
      </c>
      <c r="V5" s="639">
        <v>72.06</v>
      </c>
      <c r="W5" s="641">
        <v>100</v>
      </c>
      <c r="X5" s="639">
        <v>0</v>
      </c>
      <c r="Y5" s="641">
        <v>0</v>
      </c>
      <c r="Z5" s="639">
        <v>2593.2981868000002</v>
      </c>
      <c r="AA5" s="639">
        <v>100</v>
      </c>
      <c r="AB5" s="639">
        <v>0</v>
      </c>
      <c r="AC5" s="641">
        <v>0</v>
      </c>
    </row>
    <row r="6" spans="1:33" s="647" customFormat="1" ht="16.5" customHeight="1">
      <c r="A6" s="643" t="s">
        <v>2879</v>
      </c>
      <c r="B6" s="644" t="s">
        <v>2880</v>
      </c>
      <c r="C6" s="635" t="s">
        <v>4</v>
      </c>
      <c r="D6" s="636"/>
      <c r="E6" s="636"/>
      <c r="F6" s="640">
        <v>7181.3200000000006</v>
      </c>
      <c r="G6" s="636">
        <v>90.337432573866835</v>
      </c>
      <c r="H6" s="636">
        <v>6131.8449999999993</v>
      </c>
      <c r="I6" s="636">
        <v>87.56376093860672</v>
      </c>
      <c r="J6" s="636">
        <v>3329.6151065000004</v>
      </c>
      <c r="K6" s="636">
        <v>100</v>
      </c>
      <c r="L6" s="636">
        <v>73721.904100000014</v>
      </c>
      <c r="M6" s="636">
        <v>100</v>
      </c>
      <c r="N6" s="636">
        <v>1196.6400000000001</v>
      </c>
      <c r="O6" s="636">
        <v>47.917926375602157</v>
      </c>
      <c r="P6" s="636">
        <v>2208.1999999999998</v>
      </c>
      <c r="Q6" s="636">
        <v>100</v>
      </c>
      <c r="R6" s="636"/>
      <c r="S6" s="636"/>
      <c r="T6" s="636"/>
      <c r="U6" s="636"/>
      <c r="V6" s="645"/>
      <c r="W6" s="645"/>
      <c r="X6" s="645"/>
      <c r="Y6" s="645"/>
      <c r="Z6" s="646">
        <v>849.33806679999986</v>
      </c>
      <c r="AA6" s="636">
        <v>32.75126906435856</v>
      </c>
      <c r="AB6" s="645">
        <v>0</v>
      </c>
      <c r="AC6" s="645"/>
    </row>
    <row r="7" spans="1:33" s="651" customFormat="1" ht="16.5" customHeight="1">
      <c r="A7" s="643"/>
      <c r="B7" s="648" t="s">
        <v>190</v>
      </c>
      <c r="C7" s="635"/>
      <c r="D7" s="649"/>
      <c r="E7" s="649"/>
      <c r="F7" s="649"/>
      <c r="G7" s="649">
        <v>0</v>
      </c>
      <c r="H7" s="636">
        <v>0</v>
      </c>
      <c r="I7" s="636">
        <v>0</v>
      </c>
      <c r="J7" s="649"/>
      <c r="K7" s="636">
        <v>0</v>
      </c>
      <c r="L7" s="649"/>
      <c r="M7" s="649"/>
      <c r="N7" s="649"/>
      <c r="O7" s="649"/>
      <c r="P7" s="649"/>
      <c r="Q7" s="649"/>
      <c r="R7" s="649"/>
      <c r="S7" s="649"/>
      <c r="T7" s="649"/>
      <c r="U7" s="649"/>
      <c r="V7" s="650"/>
      <c r="W7" s="650"/>
      <c r="X7" s="650"/>
      <c r="Y7" s="650"/>
      <c r="Z7" s="650"/>
      <c r="AA7" s="650"/>
      <c r="AB7" s="650"/>
      <c r="AC7" s="650"/>
    </row>
    <row r="8" spans="1:33" s="656" customFormat="1" ht="16.5" customHeight="1">
      <c r="A8" s="652" t="s">
        <v>6</v>
      </c>
      <c r="B8" s="653" t="s">
        <v>85</v>
      </c>
      <c r="C8" s="654" t="s">
        <v>5</v>
      </c>
      <c r="D8" s="649"/>
      <c r="E8" s="649"/>
      <c r="F8" s="649">
        <v>670.62000000000012</v>
      </c>
      <c r="G8" s="649">
        <v>8.4360659367200714</v>
      </c>
      <c r="H8" s="649">
        <v>420.78</v>
      </c>
      <c r="I8" s="649">
        <v>6.0088080060319422</v>
      </c>
      <c r="J8" s="649">
        <v>3201.2950000000005</v>
      </c>
      <c r="K8" s="649">
        <v>96.14609790034001</v>
      </c>
      <c r="L8" s="649"/>
      <c r="M8" s="649"/>
      <c r="N8" s="649">
        <v>4</v>
      </c>
      <c r="O8" s="649">
        <v>0.33426928733787936</v>
      </c>
      <c r="P8" s="649"/>
      <c r="Q8" s="649"/>
      <c r="R8" s="649"/>
      <c r="S8" s="649"/>
      <c r="T8" s="649"/>
      <c r="U8" s="649"/>
      <c r="V8" s="655"/>
      <c r="W8" s="655"/>
      <c r="X8" s="655"/>
      <c r="Y8" s="655"/>
      <c r="Z8" s="655"/>
      <c r="AA8" s="655"/>
      <c r="AB8" s="655"/>
      <c r="AC8" s="655"/>
      <c r="AG8" s="656">
        <v>30.41</v>
      </c>
    </row>
    <row r="9" spans="1:33" s="660" customFormat="1" ht="16.5" customHeight="1">
      <c r="A9" s="652" t="s">
        <v>193</v>
      </c>
      <c r="B9" s="648" t="s">
        <v>2811</v>
      </c>
      <c r="C9" s="657" t="s">
        <v>7</v>
      </c>
      <c r="D9" s="658"/>
      <c r="E9" s="649"/>
      <c r="F9" s="658">
        <v>534.74</v>
      </c>
      <c r="G9" s="649">
        <v>6.7267631430641659</v>
      </c>
      <c r="H9" s="649">
        <v>344.82</v>
      </c>
      <c r="I9" s="649">
        <v>4.9240866406196453</v>
      </c>
      <c r="J9" s="649">
        <v>3201.2950000000005</v>
      </c>
      <c r="K9" s="649">
        <v>96.14609790034001</v>
      </c>
      <c r="L9" s="658"/>
      <c r="M9" s="658"/>
      <c r="N9" s="658"/>
      <c r="O9" s="649">
        <v>0</v>
      </c>
      <c r="P9" s="658"/>
      <c r="Q9" s="658"/>
      <c r="R9" s="658"/>
      <c r="S9" s="658"/>
      <c r="T9" s="658"/>
      <c r="U9" s="658"/>
      <c r="V9" s="659"/>
      <c r="W9" s="659"/>
      <c r="X9" s="659"/>
      <c r="Y9" s="659"/>
      <c r="Z9" s="659"/>
      <c r="AA9" s="659"/>
      <c r="AB9" s="659"/>
      <c r="AC9" s="659"/>
      <c r="AG9" s="660">
        <v>13.090000000000002</v>
      </c>
    </row>
    <row r="10" spans="1:33" s="656" customFormat="1" ht="16.5" customHeight="1">
      <c r="A10" s="652" t="s">
        <v>9</v>
      </c>
      <c r="B10" s="661" t="s">
        <v>88</v>
      </c>
      <c r="C10" s="654" t="s">
        <v>12</v>
      </c>
      <c r="D10" s="649"/>
      <c r="E10" s="649"/>
      <c r="F10" s="649">
        <v>377.59999999999997</v>
      </c>
      <c r="G10" s="649">
        <v>4.7500201272039275</v>
      </c>
      <c r="H10" s="649">
        <v>691.00000000000011</v>
      </c>
      <c r="I10" s="649">
        <v>9.867594306212446</v>
      </c>
      <c r="J10" s="649"/>
      <c r="K10" s="649">
        <v>0</v>
      </c>
      <c r="L10" s="649"/>
      <c r="M10" s="649"/>
      <c r="N10" s="649">
        <v>2</v>
      </c>
      <c r="O10" s="649">
        <v>0.16713464366893968</v>
      </c>
      <c r="P10" s="649"/>
      <c r="Q10" s="649"/>
      <c r="R10" s="649"/>
      <c r="S10" s="649"/>
      <c r="T10" s="649"/>
      <c r="U10" s="649"/>
      <c r="V10" s="662"/>
      <c r="W10" s="662"/>
      <c r="X10" s="655"/>
      <c r="Y10" s="655"/>
      <c r="Z10" s="655"/>
      <c r="AA10" s="655">
        <v>0</v>
      </c>
      <c r="AB10" s="655"/>
      <c r="AC10" s="655"/>
      <c r="AG10" s="656">
        <v>4.6500000000000004</v>
      </c>
    </row>
    <row r="11" spans="1:33" s="656" customFormat="1" ht="16.5" customHeight="1">
      <c r="A11" s="652" t="s">
        <v>11</v>
      </c>
      <c r="B11" s="661" t="s">
        <v>60</v>
      </c>
      <c r="C11" s="654" t="s">
        <v>14</v>
      </c>
      <c r="D11" s="649"/>
      <c r="E11" s="649"/>
      <c r="F11" s="649">
        <v>246.89</v>
      </c>
      <c r="G11" s="649">
        <v>3.1057533612430555</v>
      </c>
      <c r="H11" s="649">
        <v>140.56</v>
      </c>
      <c r="I11" s="649">
        <v>2.0072200516370784</v>
      </c>
      <c r="J11" s="649">
        <v>128.32010650000001</v>
      </c>
      <c r="K11" s="649">
        <v>3.8539020996599982</v>
      </c>
      <c r="L11" s="649"/>
      <c r="M11" s="649"/>
      <c r="N11" s="649">
        <v>2.2999999999999998</v>
      </c>
      <c r="O11" s="649">
        <v>0.19220484021928061</v>
      </c>
      <c r="P11" s="649"/>
      <c r="Q11" s="649"/>
      <c r="R11" s="649"/>
      <c r="S11" s="649"/>
      <c r="T11" s="649"/>
      <c r="U11" s="649"/>
      <c r="V11" s="662"/>
      <c r="W11" s="662"/>
      <c r="X11" s="655"/>
      <c r="Y11" s="655"/>
      <c r="Z11" s="655">
        <v>837.04756679999991</v>
      </c>
      <c r="AA11" s="655">
        <v>98.552931926587704</v>
      </c>
      <c r="AB11" s="655"/>
      <c r="AC11" s="655"/>
      <c r="AE11" s="656">
        <v>2917.4548000000004</v>
      </c>
      <c r="AG11" s="656">
        <v>88.15</v>
      </c>
    </row>
    <row r="12" spans="1:33" s="656" customFormat="1" ht="16.5" customHeight="1">
      <c r="A12" s="652" t="s">
        <v>13</v>
      </c>
      <c r="B12" s="653" t="s">
        <v>61</v>
      </c>
      <c r="C12" s="654" t="s">
        <v>16</v>
      </c>
      <c r="D12" s="649"/>
      <c r="E12" s="649"/>
      <c r="F12" s="649">
        <v>44.11</v>
      </c>
      <c r="G12" s="649">
        <v>0.55488185331293771</v>
      </c>
      <c r="H12" s="649">
        <v>432.85</v>
      </c>
      <c r="I12" s="649">
        <v>6.1811696026686782</v>
      </c>
      <c r="J12" s="649"/>
      <c r="K12" s="636">
        <v>0</v>
      </c>
      <c r="L12" s="649">
        <v>9729.9000000000015</v>
      </c>
      <c r="M12" s="649">
        <v>13.198112716679002</v>
      </c>
      <c r="N12" s="649">
        <v>10.81</v>
      </c>
      <c r="O12" s="649">
        <v>0.90336274903061908</v>
      </c>
      <c r="P12" s="649"/>
      <c r="Q12" s="649"/>
      <c r="R12" s="649"/>
      <c r="S12" s="649"/>
      <c r="T12" s="649"/>
      <c r="U12" s="649"/>
      <c r="V12" s="663"/>
      <c r="W12" s="663"/>
      <c r="X12" s="655"/>
      <c r="Y12" s="655"/>
      <c r="Z12" s="655"/>
      <c r="AA12" s="655"/>
      <c r="AB12" s="655"/>
      <c r="AC12" s="655"/>
    </row>
    <row r="13" spans="1:33" s="656" customFormat="1" ht="16.5" customHeight="1">
      <c r="A13" s="652" t="s">
        <v>15</v>
      </c>
      <c r="B13" s="653" t="s">
        <v>62</v>
      </c>
      <c r="C13" s="654" t="s">
        <v>17</v>
      </c>
      <c r="D13" s="649"/>
      <c r="E13" s="649"/>
      <c r="F13" s="649"/>
      <c r="G13" s="649">
        <v>0</v>
      </c>
      <c r="H13" s="649">
        <v>0</v>
      </c>
      <c r="I13" s="649">
        <v>0</v>
      </c>
      <c r="J13" s="649"/>
      <c r="K13" s="636">
        <v>0</v>
      </c>
      <c r="L13" s="649">
        <v>2208.1999999999998</v>
      </c>
      <c r="M13" s="649">
        <v>2.9953105891088883</v>
      </c>
      <c r="N13" s="649"/>
      <c r="O13" s="649">
        <v>0</v>
      </c>
      <c r="P13" s="649">
        <v>2208.1999999999998</v>
      </c>
      <c r="Q13" s="649">
        <v>100</v>
      </c>
      <c r="R13" s="649"/>
      <c r="S13" s="649"/>
      <c r="T13" s="649"/>
      <c r="U13" s="649"/>
      <c r="V13" s="662"/>
      <c r="W13" s="662"/>
      <c r="X13" s="655"/>
      <c r="Y13" s="655"/>
      <c r="Z13" s="655"/>
      <c r="AA13" s="655"/>
      <c r="AB13" s="655"/>
      <c r="AC13" s="655"/>
    </row>
    <row r="14" spans="1:33" s="656" customFormat="1" ht="16.5" customHeight="1">
      <c r="A14" s="652" t="s">
        <v>64</v>
      </c>
      <c r="B14" s="653" t="s">
        <v>63</v>
      </c>
      <c r="C14" s="654" t="s">
        <v>18</v>
      </c>
      <c r="D14" s="649"/>
      <c r="E14" s="649"/>
      <c r="F14" s="649">
        <v>5560.57</v>
      </c>
      <c r="G14" s="649">
        <v>69.949203969084607</v>
      </c>
      <c r="H14" s="649">
        <v>4427.4949999999999</v>
      </c>
      <c r="I14" s="649">
        <v>63.225361002581856</v>
      </c>
      <c r="J14" s="649"/>
      <c r="K14" s="636">
        <v>0</v>
      </c>
      <c r="L14" s="649">
        <v>61783.804100000008</v>
      </c>
      <c r="M14" s="649">
        <v>83.806576694212097</v>
      </c>
      <c r="N14" s="649">
        <v>1177.3700000000001</v>
      </c>
      <c r="O14" s="649">
        <v>98.389657708249771</v>
      </c>
      <c r="P14" s="649"/>
      <c r="Q14" s="649"/>
      <c r="R14" s="649"/>
      <c r="S14" s="649"/>
      <c r="T14" s="649"/>
      <c r="U14" s="649"/>
      <c r="V14" s="662"/>
      <c r="W14" s="662"/>
      <c r="X14" s="655"/>
      <c r="Y14" s="655"/>
      <c r="Z14" s="655"/>
      <c r="AA14" s="655"/>
      <c r="AB14" s="655"/>
      <c r="AC14" s="655"/>
      <c r="AG14" s="656">
        <v>566.97</v>
      </c>
    </row>
    <row r="15" spans="1:33" s="660" customFormat="1" ht="25.5">
      <c r="A15" s="664" t="s">
        <v>193</v>
      </c>
      <c r="B15" s="665" t="s">
        <v>2881</v>
      </c>
      <c r="C15" s="657" t="s">
        <v>187</v>
      </c>
      <c r="D15" s="658"/>
      <c r="E15" s="658"/>
      <c r="F15" s="658">
        <v>24.16</v>
      </c>
      <c r="G15" s="649">
        <v>0.30392077932533612</v>
      </c>
      <c r="H15" s="649">
        <v>38.82</v>
      </c>
      <c r="I15" s="649">
        <v>0.55435602166015496</v>
      </c>
      <c r="J15" s="658"/>
      <c r="K15" s="636">
        <v>0</v>
      </c>
      <c r="L15" s="658">
        <v>5532.4</v>
      </c>
      <c r="M15" s="658">
        <v>7.5044182153727075</v>
      </c>
      <c r="N15" s="658"/>
      <c r="O15" s="649">
        <v>0</v>
      </c>
      <c r="P15" s="658"/>
      <c r="Q15" s="658"/>
      <c r="R15" s="658"/>
      <c r="S15" s="658"/>
      <c r="T15" s="658"/>
      <c r="U15" s="658"/>
      <c r="V15" s="666"/>
      <c r="W15" s="666"/>
      <c r="X15" s="659"/>
      <c r="Y15" s="659"/>
      <c r="Z15" s="659"/>
      <c r="AA15" s="659"/>
      <c r="AB15" s="659"/>
      <c r="AC15" s="659"/>
    </row>
    <row r="16" spans="1:33" s="656" customFormat="1" ht="13.5" customHeight="1">
      <c r="A16" s="652" t="s">
        <v>73</v>
      </c>
      <c r="B16" s="661" t="s">
        <v>2882</v>
      </c>
      <c r="C16" s="654" t="s">
        <v>19</v>
      </c>
      <c r="D16" s="649"/>
      <c r="E16" s="649"/>
      <c r="F16" s="649">
        <v>32.06</v>
      </c>
      <c r="G16" s="649">
        <v>0.40329884872393523</v>
      </c>
      <c r="H16" s="649">
        <v>18.669999999999998</v>
      </c>
      <c r="I16" s="649">
        <v>0.26661068841821467</v>
      </c>
      <c r="J16" s="649"/>
      <c r="K16" s="636">
        <v>0</v>
      </c>
      <c r="L16" s="649"/>
      <c r="M16" s="649"/>
      <c r="N16" s="649">
        <v>0.16</v>
      </c>
      <c r="O16" s="649">
        <v>1.3370771493515175E-2</v>
      </c>
      <c r="P16" s="649"/>
      <c r="Q16" s="649"/>
      <c r="R16" s="649"/>
      <c r="S16" s="649"/>
      <c r="T16" s="649"/>
      <c r="U16" s="649"/>
      <c r="V16" s="662"/>
      <c r="W16" s="662"/>
      <c r="X16" s="655"/>
      <c r="Y16" s="655"/>
      <c r="Z16" s="655">
        <v>12.2905</v>
      </c>
      <c r="AA16" s="655">
        <v>1.4470680734122963</v>
      </c>
      <c r="AB16" s="655"/>
      <c r="AC16" s="655"/>
      <c r="AG16" s="656">
        <v>21.287702770277029</v>
      </c>
    </row>
    <row r="17" spans="1:33" s="656" customFormat="1" ht="13.5" customHeight="1">
      <c r="A17" s="652" t="s">
        <v>86</v>
      </c>
      <c r="B17" s="661" t="s">
        <v>2749</v>
      </c>
      <c r="C17" s="654" t="s">
        <v>2752</v>
      </c>
      <c r="D17" s="649"/>
      <c r="E17" s="649"/>
      <c r="F17" s="649"/>
      <c r="G17" s="649">
        <v>0</v>
      </c>
      <c r="H17" s="649">
        <v>0</v>
      </c>
      <c r="I17" s="649">
        <v>0</v>
      </c>
      <c r="J17" s="649"/>
      <c r="K17" s="636">
        <v>0</v>
      </c>
      <c r="L17" s="649"/>
      <c r="M17" s="649"/>
      <c r="N17" s="649"/>
      <c r="O17" s="649"/>
      <c r="P17" s="649"/>
      <c r="Q17" s="649"/>
      <c r="R17" s="649"/>
      <c r="S17" s="649"/>
      <c r="T17" s="649"/>
      <c r="U17" s="649"/>
      <c r="V17" s="655"/>
      <c r="W17" s="655"/>
      <c r="X17" s="655"/>
      <c r="Y17" s="655"/>
      <c r="Z17" s="655"/>
      <c r="AA17" s="655"/>
      <c r="AB17" s="655"/>
      <c r="AC17" s="655"/>
    </row>
    <row r="18" spans="1:33" s="656" customFormat="1" ht="13.5" customHeight="1">
      <c r="A18" s="652" t="s">
        <v>2756</v>
      </c>
      <c r="B18" s="661" t="s">
        <v>89</v>
      </c>
      <c r="C18" s="654" t="s">
        <v>20</v>
      </c>
      <c r="D18" s="649"/>
      <c r="E18" s="649"/>
      <c r="F18" s="649">
        <v>249.46999999999997</v>
      </c>
      <c r="G18" s="649">
        <v>3.1382084775782944</v>
      </c>
      <c r="H18" s="649">
        <v>0.4900000000000001</v>
      </c>
      <c r="I18" s="649">
        <v>6.9972810565037602E-3</v>
      </c>
      <c r="J18" s="649"/>
      <c r="K18" s="636">
        <v>0</v>
      </c>
      <c r="L18" s="649"/>
      <c r="M18" s="649"/>
      <c r="N18" s="649"/>
      <c r="O18" s="649"/>
      <c r="P18" s="649"/>
      <c r="Q18" s="649"/>
      <c r="R18" s="649"/>
      <c r="S18" s="649"/>
      <c r="T18" s="649"/>
      <c r="U18" s="649"/>
      <c r="V18" s="655"/>
      <c r="W18" s="655"/>
      <c r="X18" s="655"/>
      <c r="Y18" s="655"/>
      <c r="Z18" s="655"/>
      <c r="AA18" s="655"/>
      <c r="AB18" s="655"/>
      <c r="AC18" s="655"/>
    </row>
    <row r="19" spans="1:33" s="647" customFormat="1" ht="13.5" customHeight="1">
      <c r="A19" s="643" t="s">
        <v>2858</v>
      </c>
      <c r="B19" s="667" t="s">
        <v>2883</v>
      </c>
      <c r="C19" s="635" t="s">
        <v>22</v>
      </c>
      <c r="D19" s="636"/>
      <c r="E19" s="636"/>
      <c r="F19" s="636">
        <v>619</v>
      </c>
      <c r="G19" s="636">
        <v>7.7867120199661857</v>
      </c>
      <c r="H19" s="636">
        <v>659.03499999999997</v>
      </c>
      <c r="I19" s="636">
        <v>9.4111288185162341</v>
      </c>
      <c r="J19" s="668">
        <v>0</v>
      </c>
      <c r="K19" s="636">
        <v>0</v>
      </c>
      <c r="L19" s="636"/>
      <c r="M19" s="636"/>
      <c r="N19" s="636">
        <v>1298.6300000000001</v>
      </c>
      <c r="O19" s="636">
        <v>52.00198616889643</v>
      </c>
      <c r="P19" s="636"/>
      <c r="Q19" s="636"/>
      <c r="R19" s="636">
        <v>125.35</v>
      </c>
      <c r="S19" s="636">
        <v>100</v>
      </c>
      <c r="T19" s="636">
        <v>107.25999999999999</v>
      </c>
      <c r="U19" s="636">
        <v>100</v>
      </c>
      <c r="V19" s="646">
        <v>72.06</v>
      </c>
      <c r="W19" s="636">
        <v>100</v>
      </c>
      <c r="X19" s="646"/>
      <c r="Y19" s="646"/>
      <c r="Z19" s="646">
        <v>1743.9601200000002</v>
      </c>
      <c r="AA19" s="636">
        <v>67.248730935641447</v>
      </c>
      <c r="AB19" s="646">
        <v>0</v>
      </c>
      <c r="AC19" s="646"/>
      <c r="AD19" s="647">
        <f>'[6]03ch'!F80</f>
        <v>0</v>
      </c>
      <c r="AE19" s="647">
        <f>AD19-AB19</f>
        <v>0</v>
      </c>
      <c r="AG19" s="647">
        <v>657.94829722972304</v>
      </c>
    </row>
    <row r="20" spans="1:33" s="651" customFormat="1" ht="13.5" customHeight="1">
      <c r="A20" s="669"/>
      <c r="B20" s="670" t="s">
        <v>2814</v>
      </c>
      <c r="C20" s="669"/>
      <c r="D20" s="649"/>
      <c r="E20" s="649"/>
      <c r="F20" s="649"/>
      <c r="G20" s="649">
        <v>0</v>
      </c>
      <c r="H20" s="636">
        <v>0</v>
      </c>
      <c r="I20" s="636">
        <v>0</v>
      </c>
      <c r="J20" s="649"/>
      <c r="K20" s="636">
        <v>0</v>
      </c>
      <c r="L20" s="649"/>
      <c r="M20" s="649"/>
      <c r="N20" s="649"/>
      <c r="O20" s="649">
        <v>0</v>
      </c>
      <c r="P20" s="649"/>
      <c r="Q20" s="649"/>
      <c r="R20" s="649"/>
      <c r="S20" s="649"/>
      <c r="T20" s="636"/>
      <c r="U20" s="649"/>
      <c r="V20" s="650"/>
      <c r="W20" s="650"/>
      <c r="X20" s="646"/>
      <c r="Y20" s="650"/>
      <c r="Z20" s="650"/>
      <c r="AA20" s="650"/>
      <c r="AB20" s="650"/>
      <c r="AC20" s="650"/>
    </row>
    <row r="21" spans="1:33" s="656" customFormat="1" ht="13.5" customHeight="1">
      <c r="A21" s="671" t="s">
        <v>23</v>
      </c>
      <c r="B21" s="670" t="s">
        <v>65</v>
      </c>
      <c r="C21" s="671" t="s">
        <v>26</v>
      </c>
      <c r="D21" s="649"/>
      <c r="E21" s="649"/>
      <c r="F21" s="649">
        <v>67.38</v>
      </c>
      <c r="G21" s="649">
        <v>0.84760687545286195</v>
      </c>
      <c r="H21" s="649">
        <v>23.82</v>
      </c>
      <c r="I21" s="636">
        <v>0.34015354033861134</v>
      </c>
      <c r="J21" s="649"/>
      <c r="K21" s="636">
        <v>0</v>
      </c>
      <c r="L21" s="649"/>
      <c r="M21" s="649"/>
      <c r="N21" s="649"/>
      <c r="O21" s="649">
        <v>0</v>
      </c>
      <c r="P21" s="649"/>
      <c r="Q21" s="649"/>
      <c r="R21" s="649"/>
      <c r="S21" s="649"/>
      <c r="T21" s="649"/>
      <c r="U21" s="649"/>
      <c r="V21" s="655"/>
      <c r="W21" s="655"/>
      <c r="X21" s="655"/>
      <c r="Y21" s="655"/>
      <c r="Z21" s="655"/>
      <c r="AA21" s="655"/>
      <c r="AB21" s="655"/>
      <c r="AC21" s="655"/>
    </row>
    <row r="22" spans="1:33" s="656" customFormat="1" ht="13.5" customHeight="1">
      <c r="A22" s="671" t="s">
        <v>25</v>
      </c>
      <c r="B22" s="670" t="s">
        <v>66</v>
      </c>
      <c r="C22" s="671" t="s">
        <v>28</v>
      </c>
      <c r="D22" s="649"/>
      <c r="E22" s="649"/>
      <c r="F22" s="649">
        <v>0.79</v>
      </c>
      <c r="G22" s="649">
        <v>9.9378069398599143E-3</v>
      </c>
      <c r="H22" s="649">
        <v>0.82999999999999985</v>
      </c>
      <c r="I22" s="649">
        <v>1.185253729979208E-2</v>
      </c>
      <c r="J22" s="649"/>
      <c r="K22" s="636">
        <v>0</v>
      </c>
      <c r="L22" s="649"/>
      <c r="M22" s="649"/>
      <c r="N22" s="649"/>
      <c r="O22" s="649">
        <v>0</v>
      </c>
      <c r="P22" s="649"/>
      <c r="Q22" s="649"/>
      <c r="R22" s="649"/>
      <c r="S22" s="649"/>
      <c r="T22" s="649"/>
      <c r="U22" s="649"/>
      <c r="V22" s="655"/>
      <c r="W22" s="655"/>
      <c r="X22" s="655"/>
      <c r="Y22" s="655"/>
      <c r="Z22" s="655">
        <v>12.229999999999999</v>
      </c>
      <c r="AA22" s="655">
        <v>0.70127750398329047</v>
      </c>
      <c r="AB22" s="655"/>
      <c r="AC22" s="655"/>
    </row>
    <row r="23" spans="1:33" s="656" customFormat="1" ht="13.5" customHeight="1">
      <c r="A23" s="671" t="s">
        <v>27</v>
      </c>
      <c r="B23" s="670" t="s">
        <v>67</v>
      </c>
      <c r="C23" s="671" t="s">
        <v>30</v>
      </c>
      <c r="D23" s="649"/>
      <c r="E23" s="649"/>
      <c r="F23" s="649"/>
      <c r="G23" s="649">
        <v>0</v>
      </c>
      <c r="H23" s="649">
        <v>0</v>
      </c>
      <c r="I23" s="649">
        <v>0</v>
      </c>
      <c r="J23" s="649"/>
      <c r="K23" s="636">
        <v>0</v>
      </c>
      <c r="L23" s="649"/>
      <c r="M23" s="649"/>
      <c r="N23" s="649"/>
      <c r="O23" s="649">
        <v>0</v>
      </c>
      <c r="P23" s="649"/>
      <c r="Q23" s="649"/>
      <c r="R23" s="649">
        <v>0</v>
      </c>
      <c r="S23" s="649">
        <v>0</v>
      </c>
      <c r="T23" s="649"/>
      <c r="U23" s="649"/>
      <c r="V23" s="655"/>
      <c r="W23" s="655"/>
      <c r="X23" s="655"/>
      <c r="Y23" s="655"/>
      <c r="Z23" s="655"/>
      <c r="AA23" s="655">
        <v>0</v>
      </c>
      <c r="AB23" s="655"/>
      <c r="AC23" s="655"/>
    </row>
    <row r="24" spans="1:33" s="656" customFormat="1" ht="13.5" customHeight="1">
      <c r="A24" s="671" t="s">
        <v>29</v>
      </c>
      <c r="B24" s="670" t="s">
        <v>90</v>
      </c>
      <c r="C24" s="671" t="s">
        <v>91</v>
      </c>
      <c r="D24" s="649"/>
      <c r="E24" s="649"/>
      <c r="F24" s="649"/>
      <c r="G24" s="649">
        <v>0</v>
      </c>
      <c r="H24" s="649">
        <v>0</v>
      </c>
      <c r="I24" s="649">
        <v>0</v>
      </c>
      <c r="J24" s="649"/>
      <c r="K24" s="636">
        <v>0</v>
      </c>
      <c r="L24" s="649"/>
      <c r="M24" s="649"/>
      <c r="N24" s="649"/>
      <c r="O24" s="649">
        <v>0</v>
      </c>
      <c r="P24" s="649"/>
      <c r="Q24" s="649"/>
      <c r="R24" s="649">
        <v>125.35</v>
      </c>
      <c r="S24" s="649">
        <v>100</v>
      </c>
      <c r="T24" s="649"/>
      <c r="U24" s="649"/>
      <c r="V24" s="655"/>
      <c r="W24" s="655"/>
      <c r="X24" s="655"/>
      <c r="Y24" s="655"/>
      <c r="Z24" s="655"/>
      <c r="AA24" s="655">
        <v>0</v>
      </c>
      <c r="AB24" s="655"/>
      <c r="AC24" s="655"/>
    </row>
    <row r="25" spans="1:33" s="656" customFormat="1" ht="13.5" customHeight="1">
      <c r="A25" s="671" t="s">
        <v>31</v>
      </c>
      <c r="B25" s="670" t="s">
        <v>379</v>
      </c>
      <c r="C25" s="671" t="s">
        <v>93</v>
      </c>
      <c r="D25" s="649"/>
      <c r="E25" s="649"/>
      <c r="F25" s="649">
        <v>10.69</v>
      </c>
      <c r="G25" s="649">
        <v>0.1344748812494968</v>
      </c>
      <c r="H25" s="649">
        <v>5.0600000000000005</v>
      </c>
      <c r="I25" s="649">
        <v>7.2257637032467403E-2</v>
      </c>
      <c r="J25" s="649"/>
      <c r="K25" s="636">
        <v>0</v>
      </c>
      <c r="L25" s="649"/>
      <c r="M25" s="649"/>
      <c r="N25" s="649">
        <v>35.19</v>
      </c>
      <c r="O25" s="649">
        <v>2.9407340553549934</v>
      </c>
      <c r="P25" s="649"/>
      <c r="Q25" s="649"/>
      <c r="R25" s="649"/>
      <c r="S25" s="649"/>
      <c r="T25" s="649">
        <v>8.01</v>
      </c>
      <c r="U25" s="649">
        <v>7.4678351668842069</v>
      </c>
      <c r="V25" s="655">
        <v>72.06</v>
      </c>
      <c r="W25" s="649">
        <v>100</v>
      </c>
      <c r="X25" s="655"/>
      <c r="Y25" s="655"/>
      <c r="Z25" s="655">
        <v>2.5705000000000005</v>
      </c>
      <c r="AA25" s="655">
        <v>0.14739442551014298</v>
      </c>
      <c r="AB25" s="655"/>
      <c r="AC25" s="655"/>
      <c r="AG25" s="656">
        <v>74.97999999999999</v>
      </c>
    </row>
    <row r="26" spans="1:33" s="656" customFormat="1" ht="13.5" customHeight="1">
      <c r="A26" s="671" t="s">
        <v>33</v>
      </c>
      <c r="B26" s="670" t="s">
        <v>94</v>
      </c>
      <c r="C26" s="671" t="s">
        <v>32</v>
      </c>
      <c r="D26" s="649"/>
      <c r="E26" s="649"/>
      <c r="F26" s="649">
        <v>15.67</v>
      </c>
      <c r="G26" s="649">
        <v>0.19712080347798083</v>
      </c>
      <c r="H26" s="649">
        <v>6.3000000000000007</v>
      </c>
      <c r="I26" s="649">
        <v>8.9965042155048344E-2</v>
      </c>
      <c r="J26" s="649"/>
      <c r="K26" s="636">
        <v>0</v>
      </c>
      <c r="L26" s="649"/>
      <c r="M26" s="649"/>
      <c r="N26" s="649"/>
      <c r="O26" s="649">
        <v>0</v>
      </c>
      <c r="P26" s="649"/>
      <c r="Q26" s="649"/>
      <c r="R26" s="649"/>
      <c r="S26" s="649"/>
      <c r="T26" s="649"/>
      <c r="U26" s="649">
        <v>0</v>
      </c>
      <c r="V26" s="655"/>
      <c r="W26" s="655"/>
      <c r="X26" s="655"/>
      <c r="Y26" s="655"/>
      <c r="Z26" s="655">
        <v>6.1280000000000001</v>
      </c>
      <c r="AA26" s="655">
        <v>0.35138418188140674</v>
      </c>
      <c r="AB26" s="655"/>
      <c r="AC26" s="655"/>
      <c r="AG26" s="656">
        <v>1.73</v>
      </c>
    </row>
    <row r="27" spans="1:33" s="656" customFormat="1" ht="13.5" customHeight="1">
      <c r="A27" s="671" t="s">
        <v>68</v>
      </c>
      <c r="B27" s="670" t="s">
        <v>106</v>
      </c>
      <c r="C27" s="671" t="s">
        <v>35</v>
      </c>
      <c r="D27" s="649"/>
      <c r="E27" s="649"/>
      <c r="F27" s="649"/>
      <c r="G27" s="649">
        <v>0</v>
      </c>
      <c r="H27" s="649">
        <v>4</v>
      </c>
      <c r="I27" s="649">
        <v>5.7120661685744978E-2</v>
      </c>
      <c r="J27" s="649"/>
      <c r="K27" s="636">
        <v>0</v>
      </c>
      <c r="L27" s="649"/>
      <c r="M27" s="649"/>
      <c r="N27" s="649"/>
      <c r="O27" s="649">
        <v>0</v>
      </c>
      <c r="P27" s="649"/>
      <c r="Q27" s="649"/>
      <c r="R27" s="649"/>
      <c r="S27" s="649"/>
      <c r="T27" s="649"/>
      <c r="U27" s="649">
        <v>0</v>
      </c>
      <c r="V27" s="655"/>
      <c r="W27" s="655"/>
      <c r="X27" s="655"/>
      <c r="Y27" s="655"/>
      <c r="Z27" s="655"/>
      <c r="AA27" s="655">
        <v>0</v>
      </c>
      <c r="AB27" s="655"/>
      <c r="AC27" s="655"/>
    </row>
    <row r="28" spans="1:33" s="656" customFormat="1" ht="25.5">
      <c r="A28" s="671" t="s">
        <v>69</v>
      </c>
      <c r="B28" s="670" t="s">
        <v>98</v>
      </c>
      <c r="C28" s="671" t="s">
        <v>34</v>
      </c>
      <c r="D28" s="649"/>
      <c r="E28" s="649"/>
      <c r="F28" s="649">
        <v>0.27</v>
      </c>
      <c r="G28" s="649">
        <v>3.3964656629900973E-3</v>
      </c>
      <c r="H28" s="649">
        <v>0</v>
      </c>
      <c r="I28" s="649">
        <v>0</v>
      </c>
      <c r="J28" s="649"/>
      <c r="K28" s="636">
        <v>0</v>
      </c>
      <c r="L28" s="649"/>
      <c r="M28" s="649"/>
      <c r="N28" s="649">
        <v>0.28999999999999998</v>
      </c>
      <c r="O28" s="649">
        <v>2.4234523331996254E-2</v>
      </c>
      <c r="P28" s="649"/>
      <c r="Q28" s="649"/>
      <c r="R28" s="649"/>
      <c r="S28" s="649"/>
      <c r="T28" s="649"/>
      <c r="U28" s="649">
        <v>0</v>
      </c>
      <c r="V28" s="655"/>
      <c r="W28" s="655"/>
      <c r="X28" s="655"/>
      <c r="Y28" s="655"/>
      <c r="Z28" s="655"/>
      <c r="AA28" s="655">
        <v>0</v>
      </c>
      <c r="AB28" s="655"/>
      <c r="AC28" s="655"/>
    </row>
    <row r="29" spans="1:33" s="651" customFormat="1" ht="25.5">
      <c r="A29" s="671" t="s">
        <v>70</v>
      </c>
      <c r="B29" s="670" t="s">
        <v>125</v>
      </c>
      <c r="C29" s="671" t="s">
        <v>43</v>
      </c>
      <c r="D29" s="649"/>
      <c r="E29" s="649"/>
      <c r="F29" s="649">
        <v>251.22</v>
      </c>
      <c r="G29" s="649">
        <v>3.1602226068754526</v>
      </c>
      <c r="H29" s="649">
        <v>294.06999999999994</v>
      </c>
      <c r="I29" s="649">
        <v>4.1993682454817547</v>
      </c>
      <c r="J29" s="672">
        <v>0</v>
      </c>
      <c r="K29" s="649">
        <v>0</v>
      </c>
      <c r="L29" s="649"/>
      <c r="M29" s="649"/>
      <c r="N29" s="649">
        <v>56.4</v>
      </c>
      <c r="O29" s="649">
        <v>4.7131969514640994</v>
      </c>
      <c r="P29" s="649"/>
      <c r="Q29" s="649"/>
      <c r="R29" s="649"/>
      <c r="S29" s="649"/>
      <c r="T29" s="649">
        <v>32.92</v>
      </c>
      <c r="U29" s="649">
        <v>30.6917769904904</v>
      </c>
      <c r="V29" s="650"/>
      <c r="W29" s="650"/>
      <c r="X29" s="655"/>
      <c r="Y29" s="655"/>
      <c r="Z29" s="655">
        <v>659.89230000000009</v>
      </c>
      <c r="AA29" s="655">
        <v>37.838726495649453</v>
      </c>
      <c r="AB29" s="655">
        <v>0</v>
      </c>
      <c r="AC29" s="655"/>
    </row>
    <row r="30" spans="1:33" s="660" customFormat="1">
      <c r="A30" s="673"/>
      <c r="B30" s="674" t="s">
        <v>2815</v>
      </c>
      <c r="C30" s="673"/>
      <c r="D30" s="658"/>
      <c r="E30" s="658"/>
      <c r="F30" s="658"/>
      <c r="G30" s="649">
        <v>0</v>
      </c>
      <c r="H30" s="649">
        <v>0</v>
      </c>
      <c r="I30" s="649">
        <v>0</v>
      </c>
      <c r="J30" s="672"/>
      <c r="K30" s="649">
        <v>0</v>
      </c>
      <c r="L30" s="658"/>
      <c r="M30" s="658"/>
      <c r="N30" s="658"/>
      <c r="O30" s="649">
        <v>0</v>
      </c>
      <c r="P30" s="658"/>
      <c r="Q30" s="658"/>
      <c r="R30" s="658"/>
      <c r="S30" s="658"/>
      <c r="T30" s="658"/>
      <c r="U30" s="649">
        <v>0</v>
      </c>
      <c r="V30" s="659"/>
      <c r="W30" s="659"/>
      <c r="X30" s="659"/>
      <c r="Y30" s="659"/>
      <c r="Z30" s="659"/>
      <c r="AA30" s="659">
        <v>0</v>
      </c>
      <c r="AB30" s="659"/>
      <c r="AC30" s="655"/>
    </row>
    <row r="31" spans="1:33" s="660" customFormat="1">
      <c r="A31" s="673" t="s">
        <v>193</v>
      </c>
      <c r="B31" s="675" t="s">
        <v>122</v>
      </c>
      <c r="C31" s="676" t="s">
        <v>44</v>
      </c>
      <c r="D31" s="658"/>
      <c r="E31" s="658"/>
      <c r="F31" s="658">
        <v>211.48000000000002</v>
      </c>
      <c r="G31" s="649">
        <v>2.6603131792931327</v>
      </c>
      <c r="H31" s="649">
        <v>223.97000000000003</v>
      </c>
      <c r="I31" s="649">
        <v>3.1983286494390759</v>
      </c>
      <c r="J31" s="672"/>
      <c r="K31" s="649">
        <v>0</v>
      </c>
      <c r="L31" s="658"/>
      <c r="M31" s="658"/>
      <c r="N31" s="677">
        <v>6</v>
      </c>
      <c r="O31" s="649">
        <v>0.50140393100681901</v>
      </c>
      <c r="P31" s="658"/>
      <c r="Q31" s="658"/>
      <c r="R31" s="658"/>
      <c r="S31" s="658"/>
      <c r="T31" s="677">
        <v>28.05</v>
      </c>
      <c r="U31" s="649">
        <v>26.151407794145072</v>
      </c>
      <c r="V31" s="659"/>
      <c r="W31" s="659"/>
      <c r="X31" s="659"/>
      <c r="Y31" s="659"/>
      <c r="Z31" s="655">
        <v>508.72530000000006</v>
      </c>
      <c r="AA31" s="659">
        <v>29.17069571522083</v>
      </c>
      <c r="AB31" s="659"/>
      <c r="AC31" s="659"/>
      <c r="AE31" s="660">
        <v>442.05701999999997</v>
      </c>
      <c r="AG31" s="660">
        <v>36.345999999999997</v>
      </c>
    </row>
    <row r="32" spans="1:33" s="660" customFormat="1">
      <c r="A32" s="673" t="s">
        <v>193</v>
      </c>
      <c r="B32" s="675" t="s">
        <v>123</v>
      </c>
      <c r="C32" s="676" t="s">
        <v>45</v>
      </c>
      <c r="D32" s="658"/>
      <c r="E32" s="658"/>
      <c r="F32" s="658">
        <v>21.95</v>
      </c>
      <c r="G32" s="649">
        <v>0.27612007889863938</v>
      </c>
      <c r="H32" s="649">
        <v>9.2999999999999989</v>
      </c>
      <c r="I32" s="649">
        <v>0.13280553841935705</v>
      </c>
      <c r="J32" s="672"/>
      <c r="K32" s="649">
        <v>0</v>
      </c>
      <c r="L32" s="658"/>
      <c r="M32" s="658"/>
      <c r="N32" s="658">
        <v>3.04</v>
      </c>
      <c r="O32" s="649">
        <v>0.2540446583767883</v>
      </c>
      <c r="P32" s="658"/>
      <c r="Q32" s="658"/>
      <c r="R32" s="658"/>
      <c r="S32" s="658"/>
      <c r="T32" s="658">
        <v>3.16</v>
      </c>
      <c r="U32" s="649">
        <v>2.9461122506060042</v>
      </c>
      <c r="V32" s="659"/>
      <c r="W32" s="659"/>
      <c r="X32" s="659"/>
      <c r="Y32" s="659"/>
      <c r="Z32" s="655">
        <v>13.440000000000001</v>
      </c>
      <c r="AA32" s="659">
        <v>0.77065982449185821</v>
      </c>
      <c r="AB32" s="659"/>
      <c r="AC32" s="659"/>
      <c r="AE32" s="660">
        <v>53.548000000000002</v>
      </c>
      <c r="AG32" s="660">
        <v>62.97</v>
      </c>
    </row>
    <row r="33" spans="1:33" s="660" customFormat="1" ht="12.75">
      <c r="A33" s="673" t="s">
        <v>193</v>
      </c>
      <c r="B33" s="675" t="s">
        <v>127</v>
      </c>
      <c r="C33" s="676" t="s">
        <v>48</v>
      </c>
      <c r="D33" s="658"/>
      <c r="E33" s="658"/>
      <c r="F33" s="658">
        <v>1.97</v>
      </c>
      <c r="G33" s="649">
        <v>2.478161983737219E-2</v>
      </c>
      <c r="H33" s="649">
        <v>1.82</v>
      </c>
      <c r="I33" s="649">
        <v>2.5989901067013963E-2</v>
      </c>
      <c r="J33" s="658"/>
      <c r="K33" s="636">
        <v>0</v>
      </c>
      <c r="L33" s="658"/>
      <c r="M33" s="658"/>
      <c r="N33" s="677"/>
      <c r="O33" s="649">
        <v>0</v>
      </c>
      <c r="P33" s="658"/>
      <c r="Q33" s="658"/>
      <c r="R33" s="658"/>
      <c r="S33" s="658"/>
      <c r="T33" s="677">
        <v>0.14000000000000001</v>
      </c>
      <c r="U33" s="649">
        <v>0.13052396046988626</v>
      </c>
      <c r="V33" s="659"/>
      <c r="W33" s="659"/>
      <c r="X33" s="659"/>
      <c r="Y33" s="659"/>
      <c r="Z33" s="659">
        <v>20.146999999999998</v>
      </c>
      <c r="AA33" s="659">
        <v>1.1552443068480256</v>
      </c>
      <c r="AB33" s="659"/>
      <c r="AC33" s="659"/>
      <c r="AG33" s="660">
        <v>0.80000000000000016</v>
      </c>
    </row>
    <row r="34" spans="1:33" s="660" customFormat="1" ht="12.75">
      <c r="A34" s="673" t="s">
        <v>193</v>
      </c>
      <c r="B34" s="675" t="s">
        <v>129</v>
      </c>
      <c r="C34" s="676" t="s">
        <v>49</v>
      </c>
      <c r="D34" s="658"/>
      <c r="E34" s="658"/>
      <c r="F34" s="658">
        <v>0.52</v>
      </c>
      <c r="G34" s="649">
        <v>6.541341276869817E-3</v>
      </c>
      <c r="H34" s="649">
        <v>2.46</v>
      </c>
      <c r="I34" s="649">
        <v>3.5129206936733159E-2</v>
      </c>
      <c r="J34" s="658"/>
      <c r="K34" s="636">
        <v>0</v>
      </c>
      <c r="L34" s="658"/>
      <c r="M34" s="658"/>
      <c r="N34" s="678"/>
      <c r="O34" s="649">
        <v>0</v>
      </c>
      <c r="P34" s="658"/>
      <c r="Q34" s="658"/>
      <c r="R34" s="658"/>
      <c r="S34" s="658"/>
      <c r="T34" s="658">
        <v>0.11</v>
      </c>
      <c r="U34" s="649">
        <v>0.10255454036919637</v>
      </c>
      <c r="V34" s="659"/>
      <c r="W34" s="659"/>
      <c r="X34" s="659"/>
      <c r="Y34" s="659"/>
      <c r="Z34" s="659">
        <v>4.8900000000000006</v>
      </c>
      <c r="AA34" s="659">
        <v>0.28039632007181448</v>
      </c>
      <c r="AB34" s="659"/>
      <c r="AC34" s="659"/>
      <c r="AG34" s="660">
        <v>0.47000000000000003</v>
      </c>
    </row>
    <row r="35" spans="1:33" s="660" customFormat="1" ht="17.25" customHeight="1">
      <c r="A35" s="673" t="s">
        <v>193</v>
      </c>
      <c r="B35" s="675" t="s">
        <v>220</v>
      </c>
      <c r="C35" s="676" t="s">
        <v>50</v>
      </c>
      <c r="D35" s="658"/>
      <c r="E35" s="658"/>
      <c r="F35" s="658">
        <v>6.87</v>
      </c>
      <c r="G35" s="649">
        <v>8.6421181869414707E-2</v>
      </c>
      <c r="H35" s="649">
        <v>16.84</v>
      </c>
      <c r="I35" s="649">
        <v>0.24047798569698633</v>
      </c>
      <c r="J35" s="658"/>
      <c r="K35" s="636">
        <v>0</v>
      </c>
      <c r="L35" s="658"/>
      <c r="M35" s="658"/>
      <c r="N35" s="677"/>
      <c r="O35" s="649">
        <v>0</v>
      </c>
      <c r="P35" s="658"/>
      <c r="Q35" s="658"/>
      <c r="R35" s="658"/>
      <c r="S35" s="658"/>
      <c r="T35" s="677">
        <v>1.26</v>
      </c>
      <c r="U35" s="649">
        <v>1.1747156442289763</v>
      </c>
      <c r="V35" s="659"/>
      <c r="W35" s="659"/>
      <c r="X35" s="659"/>
      <c r="Y35" s="659"/>
      <c r="Z35" s="659">
        <v>66.320000000000007</v>
      </c>
      <c r="AA35" s="659">
        <v>3.8028392529985147</v>
      </c>
      <c r="AB35" s="659"/>
      <c r="AC35" s="659"/>
      <c r="AG35" s="660">
        <v>3.16</v>
      </c>
    </row>
    <row r="36" spans="1:33" s="660" customFormat="1" ht="12.75">
      <c r="A36" s="673" t="s">
        <v>193</v>
      </c>
      <c r="B36" s="675" t="s">
        <v>131</v>
      </c>
      <c r="C36" s="676" t="s">
        <v>51</v>
      </c>
      <c r="D36" s="658"/>
      <c r="E36" s="658"/>
      <c r="F36" s="658">
        <v>1.9</v>
      </c>
      <c r="G36" s="649">
        <v>2.3901054665485866E-2</v>
      </c>
      <c r="H36" s="649">
        <v>2.9699999999999998</v>
      </c>
      <c r="I36" s="649">
        <v>4.2412091301665636E-2</v>
      </c>
      <c r="J36" s="658"/>
      <c r="K36" s="636">
        <v>0</v>
      </c>
      <c r="L36" s="658"/>
      <c r="M36" s="658"/>
      <c r="N36" s="677"/>
      <c r="O36" s="649">
        <v>0</v>
      </c>
      <c r="P36" s="658"/>
      <c r="Q36" s="658"/>
      <c r="R36" s="658"/>
      <c r="S36" s="658"/>
      <c r="T36" s="658">
        <v>0.2</v>
      </c>
      <c r="U36" s="649">
        <v>0.18646280067126611</v>
      </c>
      <c r="V36" s="659"/>
      <c r="W36" s="659"/>
      <c r="X36" s="659"/>
      <c r="Y36" s="659"/>
      <c r="Z36" s="659">
        <v>31.139999999999997</v>
      </c>
      <c r="AA36" s="659">
        <v>1.7855912897824746</v>
      </c>
      <c r="AB36" s="659"/>
      <c r="AC36" s="659"/>
      <c r="AG36" s="660">
        <v>129.76000000000002</v>
      </c>
    </row>
    <row r="37" spans="1:33" s="660" customFormat="1" ht="12.75">
      <c r="A37" s="673" t="s">
        <v>193</v>
      </c>
      <c r="B37" s="675" t="s">
        <v>134</v>
      </c>
      <c r="C37" s="676" t="s">
        <v>46</v>
      </c>
      <c r="D37" s="658"/>
      <c r="E37" s="658"/>
      <c r="F37" s="658">
        <v>1.1300000000000001</v>
      </c>
      <c r="G37" s="649">
        <v>1.4214837774736335E-2</v>
      </c>
      <c r="H37" s="649">
        <v>2.7899999999999996</v>
      </c>
      <c r="I37" s="649">
        <v>3.9841661525807114E-2</v>
      </c>
      <c r="J37" s="658"/>
      <c r="K37" s="636">
        <v>0</v>
      </c>
      <c r="L37" s="658"/>
      <c r="M37" s="658"/>
      <c r="N37" s="677"/>
      <c r="O37" s="649">
        <v>0</v>
      </c>
      <c r="P37" s="658"/>
      <c r="Q37" s="658"/>
      <c r="R37" s="658"/>
      <c r="S37" s="658"/>
      <c r="T37" s="658"/>
      <c r="U37" s="649">
        <v>0</v>
      </c>
      <c r="V37" s="659"/>
      <c r="W37" s="659"/>
      <c r="X37" s="659"/>
      <c r="Y37" s="659"/>
      <c r="Z37" s="659"/>
      <c r="AA37" s="659">
        <v>0</v>
      </c>
      <c r="AB37" s="659"/>
      <c r="AC37" s="659"/>
    </row>
    <row r="38" spans="1:33" s="660" customFormat="1" ht="12.75">
      <c r="A38" s="673" t="s">
        <v>193</v>
      </c>
      <c r="B38" s="675" t="s">
        <v>2817</v>
      </c>
      <c r="C38" s="676" t="s">
        <v>47</v>
      </c>
      <c r="D38" s="658"/>
      <c r="E38" s="658"/>
      <c r="F38" s="658">
        <v>0.23</v>
      </c>
      <c r="G38" s="649">
        <v>2.8932855647693422E-3</v>
      </c>
      <c r="H38" s="649">
        <v>0.16999999999999998</v>
      </c>
      <c r="I38" s="649">
        <v>2.4276281216441611E-3</v>
      </c>
      <c r="J38" s="658"/>
      <c r="K38" s="636">
        <v>0</v>
      </c>
      <c r="L38" s="658"/>
      <c r="M38" s="658"/>
      <c r="N38" s="658"/>
      <c r="O38" s="649">
        <v>0</v>
      </c>
      <c r="P38" s="658"/>
      <c r="Q38" s="658"/>
      <c r="R38" s="658"/>
      <c r="S38" s="658"/>
      <c r="T38" s="658"/>
      <c r="U38" s="649">
        <v>0</v>
      </c>
      <c r="V38" s="659"/>
      <c r="W38" s="659"/>
      <c r="X38" s="659"/>
      <c r="Y38" s="659"/>
      <c r="Z38" s="659">
        <v>1.3900000000000001</v>
      </c>
      <c r="AA38" s="659">
        <v>7.97036574437264E-2</v>
      </c>
      <c r="AB38" s="659"/>
      <c r="AC38" s="659"/>
    </row>
    <row r="39" spans="1:33" s="660" customFormat="1" ht="12.75">
      <c r="A39" s="673" t="s">
        <v>193</v>
      </c>
      <c r="B39" s="675" t="s">
        <v>2761</v>
      </c>
      <c r="C39" s="676" t="s">
        <v>2762</v>
      </c>
      <c r="D39" s="658"/>
      <c r="E39" s="658"/>
      <c r="F39" s="658"/>
      <c r="G39" s="649">
        <v>0</v>
      </c>
      <c r="H39" s="649">
        <v>0</v>
      </c>
      <c r="I39" s="649">
        <v>0</v>
      </c>
      <c r="J39" s="658"/>
      <c r="K39" s="636">
        <v>0</v>
      </c>
      <c r="L39" s="658"/>
      <c r="M39" s="658"/>
      <c r="N39" s="658"/>
      <c r="O39" s="649">
        <v>0</v>
      </c>
      <c r="P39" s="658"/>
      <c r="Q39" s="658"/>
      <c r="R39" s="658"/>
      <c r="S39" s="658"/>
      <c r="T39" s="658"/>
      <c r="U39" s="649">
        <v>0</v>
      </c>
      <c r="V39" s="659"/>
      <c r="W39" s="659"/>
      <c r="X39" s="659"/>
      <c r="Y39" s="659"/>
      <c r="Z39" s="659">
        <v>0</v>
      </c>
      <c r="AA39" s="659">
        <v>0</v>
      </c>
      <c r="AB39" s="659"/>
      <c r="AC39" s="659"/>
    </row>
    <row r="40" spans="1:33" s="660" customFormat="1" ht="25.5">
      <c r="A40" s="673" t="s">
        <v>193</v>
      </c>
      <c r="B40" s="675" t="s">
        <v>2763</v>
      </c>
      <c r="C40" s="676" t="s">
        <v>2764</v>
      </c>
      <c r="D40" s="658"/>
      <c r="E40" s="658"/>
      <c r="F40" s="658">
        <v>1.07</v>
      </c>
      <c r="G40" s="649">
        <v>1.34600676274052E-2</v>
      </c>
      <c r="H40" s="649">
        <v>0</v>
      </c>
      <c r="I40" s="649">
        <v>0</v>
      </c>
      <c r="J40" s="658"/>
      <c r="K40" s="636">
        <v>0</v>
      </c>
      <c r="L40" s="658"/>
      <c r="M40" s="658"/>
      <c r="N40" s="658">
        <v>47.36</v>
      </c>
      <c r="O40" s="649">
        <v>3.9577483620804919</v>
      </c>
      <c r="P40" s="658"/>
      <c r="Q40" s="658"/>
      <c r="R40" s="658"/>
      <c r="S40" s="658"/>
      <c r="T40" s="658"/>
      <c r="U40" s="649">
        <v>0</v>
      </c>
      <c r="V40" s="659"/>
      <c r="W40" s="659"/>
      <c r="X40" s="659"/>
      <c r="Y40" s="659"/>
      <c r="Z40" s="659"/>
      <c r="AA40" s="659">
        <v>0</v>
      </c>
      <c r="AB40" s="659"/>
      <c r="AC40" s="659"/>
    </row>
    <row r="41" spans="1:33" s="660" customFormat="1">
      <c r="A41" s="673" t="s">
        <v>193</v>
      </c>
      <c r="B41" s="679" t="s">
        <v>2765</v>
      </c>
      <c r="C41" s="676" t="s">
        <v>37</v>
      </c>
      <c r="D41" s="658"/>
      <c r="E41" s="658"/>
      <c r="F41" s="658">
        <v>1</v>
      </c>
      <c r="G41" s="649">
        <v>1.2579502455518877E-2</v>
      </c>
      <c r="H41" s="649">
        <v>11.6</v>
      </c>
      <c r="I41" s="649">
        <v>0.1656499188886604</v>
      </c>
      <c r="J41" s="658"/>
      <c r="K41" s="636">
        <v>0</v>
      </c>
      <c r="L41" s="658"/>
      <c r="M41" s="658"/>
      <c r="N41" s="658"/>
      <c r="O41" s="649">
        <v>0</v>
      </c>
      <c r="P41" s="658"/>
      <c r="Q41" s="658"/>
      <c r="R41" s="658"/>
      <c r="S41" s="658"/>
      <c r="T41" s="658"/>
      <c r="U41" s="649">
        <v>0</v>
      </c>
      <c r="V41" s="659"/>
      <c r="W41" s="659"/>
      <c r="X41" s="659"/>
      <c r="Y41" s="659"/>
      <c r="Z41" s="659"/>
      <c r="AA41" s="659">
        <v>0</v>
      </c>
      <c r="AB41" s="659"/>
      <c r="AC41" s="659"/>
    </row>
    <row r="42" spans="1:33" s="660" customFormat="1">
      <c r="A42" s="673" t="s">
        <v>193</v>
      </c>
      <c r="B42" s="679" t="s">
        <v>2766</v>
      </c>
      <c r="C42" s="676" t="s">
        <v>38</v>
      </c>
      <c r="D42" s="658"/>
      <c r="E42" s="658"/>
      <c r="F42" s="658"/>
      <c r="G42" s="649">
        <v>0</v>
      </c>
      <c r="H42" s="649">
        <v>0.88</v>
      </c>
      <c r="I42" s="649">
        <v>1.2566545570863894E-2</v>
      </c>
      <c r="J42" s="658"/>
      <c r="K42" s="636">
        <v>0</v>
      </c>
      <c r="L42" s="658"/>
      <c r="M42" s="658"/>
      <c r="N42" s="658"/>
      <c r="O42" s="649">
        <v>0</v>
      </c>
      <c r="P42" s="658"/>
      <c r="Q42" s="658"/>
      <c r="R42" s="658"/>
      <c r="S42" s="658"/>
      <c r="T42" s="658"/>
      <c r="U42" s="649">
        <v>0</v>
      </c>
      <c r="V42" s="659"/>
      <c r="W42" s="659"/>
      <c r="X42" s="659"/>
      <c r="Y42" s="659"/>
      <c r="Z42" s="659">
        <v>0.5</v>
      </c>
      <c r="AA42" s="659">
        <v>2.8670380375441153E-2</v>
      </c>
      <c r="AB42" s="659"/>
      <c r="AC42" s="659"/>
    </row>
    <row r="43" spans="1:33" s="660" customFormat="1" ht="25.5">
      <c r="A43" s="673" t="s">
        <v>193</v>
      </c>
      <c r="B43" s="675" t="s">
        <v>2818</v>
      </c>
      <c r="C43" s="676" t="s">
        <v>40</v>
      </c>
      <c r="D43" s="658"/>
      <c r="E43" s="658"/>
      <c r="F43" s="658">
        <v>3.87</v>
      </c>
      <c r="G43" s="649">
        <v>4.8682674502858056E-2</v>
      </c>
      <c r="H43" s="649">
        <v>17.350000000000001</v>
      </c>
      <c r="I43" s="649">
        <v>0.24776087006191885</v>
      </c>
      <c r="J43" s="658"/>
      <c r="K43" s="636">
        <v>0</v>
      </c>
      <c r="L43" s="658"/>
      <c r="M43" s="658"/>
      <c r="N43" s="658"/>
      <c r="O43" s="649">
        <v>0</v>
      </c>
      <c r="P43" s="658"/>
      <c r="Q43" s="658"/>
      <c r="R43" s="658"/>
      <c r="S43" s="658"/>
      <c r="T43" s="658"/>
      <c r="U43" s="649">
        <v>0</v>
      </c>
      <c r="V43" s="659"/>
      <c r="W43" s="659"/>
      <c r="X43" s="659"/>
      <c r="Y43" s="659"/>
      <c r="Z43" s="659"/>
      <c r="AA43" s="659">
        <v>0</v>
      </c>
      <c r="AB43" s="659"/>
      <c r="AC43" s="659"/>
      <c r="AG43" s="660">
        <v>0.04</v>
      </c>
    </row>
    <row r="44" spans="1:33" s="660" customFormat="1" ht="12.75">
      <c r="A44" s="673" t="s">
        <v>193</v>
      </c>
      <c r="B44" s="675" t="s">
        <v>2819</v>
      </c>
      <c r="C44" s="676" t="s">
        <v>52</v>
      </c>
      <c r="D44" s="658"/>
      <c r="E44" s="658"/>
      <c r="F44" s="658"/>
      <c r="G44" s="649">
        <v>0</v>
      </c>
      <c r="H44" s="649">
        <v>0</v>
      </c>
      <c r="I44" s="649">
        <v>0</v>
      </c>
      <c r="J44" s="658"/>
      <c r="K44" s="636">
        <v>0</v>
      </c>
      <c r="L44" s="658"/>
      <c r="M44" s="658"/>
      <c r="N44" s="658"/>
      <c r="O44" s="649">
        <v>0</v>
      </c>
      <c r="P44" s="658"/>
      <c r="Q44" s="658"/>
      <c r="R44" s="658"/>
      <c r="S44" s="658"/>
      <c r="T44" s="658"/>
      <c r="U44" s="649">
        <v>0</v>
      </c>
      <c r="V44" s="659"/>
      <c r="W44" s="659"/>
      <c r="X44" s="659"/>
      <c r="Y44" s="659"/>
      <c r="Z44" s="659"/>
      <c r="AA44" s="659">
        <v>0</v>
      </c>
      <c r="AB44" s="659"/>
      <c r="AC44" s="659"/>
    </row>
    <row r="45" spans="1:33" s="660" customFormat="1" ht="12.75">
      <c r="A45" s="673" t="s">
        <v>193</v>
      </c>
      <c r="B45" s="675" t="s">
        <v>128</v>
      </c>
      <c r="C45" s="676" t="s">
        <v>53</v>
      </c>
      <c r="D45" s="658"/>
      <c r="E45" s="658"/>
      <c r="F45" s="658"/>
      <c r="G45" s="649">
        <v>0</v>
      </c>
      <c r="H45" s="649">
        <v>0</v>
      </c>
      <c r="I45" s="649">
        <v>0</v>
      </c>
      <c r="J45" s="658"/>
      <c r="K45" s="636">
        <v>0</v>
      </c>
      <c r="L45" s="658"/>
      <c r="M45" s="658"/>
      <c r="N45" s="658"/>
      <c r="O45" s="649">
        <v>0</v>
      </c>
      <c r="P45" s="658"/>
      <c r="Q45" s="658"/>
      <c r="R45" s="658"/>
      <c r="S45" s="658"/>
      <c r="T45" s="658"/>
      <c r="U45" s="649">
        <v>0</v>
      </c>
      <c r="V45" s="659"/>
      <c r="W45" s="659"/>
      <c r="X45" s="659"/>
      <c r="Y45" s="659"/>
      <c r="Z45" s="659">
        <v>3.3</v>
      </c>
      <c r="AA45" s="659">
        <v>0.18922451047791158</v>
      </c>
      <c r="AB45" s="659"/>
      <c r="AC45" s="659"/>
    </row>
    <row r="46" spans="1:33" s="660" customFormat="1" ht="12.75">
      <c r="A46" s="673" t="s">
        <v>193</v>
      </c>
      <c r="B46" s="675" t="s">
        <v>124</v>
      </c>
      <c r="C46" s="676" t="s">
        <v>54</v>
      </c>
      <c r="D46" s="658"/>
      <c r="E46" s="658"/>
      <c r="F46" s="658">
        <v>0.5</v>
      </c>
      <c r="G46" s="649">
        <v>6.2897512277594386E-3</v>
      </c>
      <c r="H46" s="649">
        <v>3.8000000000000003</v>
      </c>
      <c r="I46" s="649">
        <v>5.4264628601457726E-2</v>
      </c>
      <c r="J46" s="658"/>
      <c r="K46" s="636">
        <v>0</v>
      </c>
      <c r="L46" s="658"/>
      <c r="M46" s="658"/>
      <c r="N46" s="658"/>
      <c r="O46" s="649">
        <v>0</v>
      </c>
      <c r="P46" s="658"/>
      <c r="Q46" s="658"/>
      <c r="R46" s="658"/>
      <c r="S46" s="658"/>
      <c r="T46" s="658"/>
      <c r="U46" s="649">
        <v>0</v>
      </c>
      <c r="V46" s="659"/>
      <c r="W46" s="659"/>
      <c r="X46" s="659"/>
      <c r="Y46" s="659"/>
      <c r="Z46" s="659">
        <v>10.040000000000001</v>
      </c>
      <c r="AA46" s="659">
        <v>0.57570123793885841</v>
      </c>
      <c r="AB46" s="659"/>
      <c r="AC46" s="659"/>
    </row>
    <row r="47" spans="1:33" s="656" customFormat="1" ht="12.75">
      <c r="A47" s="671" t="s">
        <v>71</v>
      </c>
      <c r="B47" s="670" t="s">
        <v>2770</v>
      </c>
      <c r="C47" s="671" t="s">
        <v>2771</v>
      </c>
      <c r="D47" s="649"/>
      <c r="E47" s="649"/>
      <c r="F47" s="649"/>
      <c r="G47" s="649">
        <v>0</v>
      </c>
      <c r="H47" s="649">
        <v>0.16999999999999998</v>
      </c>
      <c r="I47" s="649">
        <v>2.4276281216441611E-3</v>
      </c>
      <c r="J47" s="649"/>
      <c r="K47" s="636">
        <v>0</v>
      </c>
      <c r="L47" s="649"/>
      <c r="M47" s="649"/>
      <c r="N47" s="649">
        <v>426.8</v>
      </c>
      <c r="O47" s="649">
        <v>35.666532958951727</v>
      </c>
      <c r="P47" s="649"/>
      <c r="Q47" s="649"/>
      <c r="R47" s="649"/>
      <c r="S47" s="649"/>
      <c r="T47" s="649"/>
      <c r="U47" s="649">
        <v>0</v>
      </c>
      <c r="V47" s="655"/>
      <c r="W47" s="655"/>
      <c r="X47" s="655"/>
      <c r="Y47" s="655"/>
      <c r="Z47" s="655"/>
      <c r="AA47" s="655">
        <v>0</v>
      </c>
      <c r="AB47" s="655"/>
      <c r="AC47" s="655"/>
    </row>
    <row r="48" spans="1:33" s="656" customFormat="1">
      <c r="A48" s="671" t="s">
        <v>74</v>
      </c>
      <c r="B48" s="670" t="s">
        <v>2772</v>
      </c>
      <c r="C48" s="671" t="s">
        <v>2773</v>
      </c>
      <c r="D48" s="649"/>
      <c r="E48" s="649"/>
      <c r="F48" s="680"/>
      <c r="G48" s="649">
        <v>0</v>
      </c>
      <c r="H48" s="649">
        <v>8.15</v>
      </c>
      <c r="I48" s="649">
        <v>0.1163833481847054</v>
      </c>
      <c r="J48" s="649"/>
      <c r="K48" s="636">
        <v>0</v>
      </c>
      <c r="L48" s="649"/>
      <c r="M48" s="649"/>
      <c r="N48" s="649"/>
      <c r="O48" s="649">
        <v>0</v>
      </c>
      <c r="P48" s="649"/>
      <c r="Q48" s="649"/>
      <c r="R48" s="649"/>
      <c r="S48" s="649"/>
      <c r="T48" s="649"/>
      <c r="U48" s="649">
        <v>0</v>
      </c>
      <c r="V48" s="655"/>
      <c r="W48" s="655"/>
      <c r="X48" s="655"/>
      <c r="Y48" s="655"/>
      <c r="Z48" s="659">
        <v>10.199999999999999</v>
      </c>
      <c r="AA48" s="655">
        <v>0.58487575965899941</v>
      </c>
      <c r="AB48" s="655"/>
      <c r="AC48" s="655"/>
    </row>
    <row r="49" spans="1:33" s="656" customFormat="1" ht="30">
      <c r="A49" s="671" t="s">
        <v>75</v>
      </c>
      <c r="B49" s="681" t="s">
        <v>2774</v>
      </c>
      <c r="C49" s="671" t="s">
        <v>113</v>
      </c>
      <c r="D49" s="649"/>
      <c r="E49" s="649"/>
      <c r="F49" s="649">
        <v>1.02</v>
      </c>
      <c r="G49" s="649">
        <v>1.2831092504629257E-2</v>
      </c>
      <c r="H49" s="649">
        <v>6.47</v>
      </c>
      <c r="I49" s="649">
        <v>9.2392670276692485E-2</v>
      </c>
      <c r="J49" s="649"/>
      <c r="K49" s="636">
        <v>0</v>
      </c>
      <c r="L49" s="649"/>
      <c r="M49" s="649"/>
      <c r="N49" s="682"/>
      <c r="O49" s="649">
        <v>0</v>
      </c>
      <c r="P49" s="649"/>
      <c r="Q49" s="649"/>
      <c r="R49" s="649"/>
      <c r="S49" s="649"/>
      <c r="T49" s="680">
        <v>6.72</v>
      </c>
      <c r="U49" s="649">
        <v>6.2651501025545411</v>
      </c>
      <c r="V49" s="655"/>
      <c r="W49" s="655"/>
      <c r="X49" s="655"/>
      <c r="Y49" s="655"/>
      <c r="Z49" s="655"/>
      <c r="AA49" s="655">
        <v>0</v>
      </c>
      <c r="AB49" s="655"/>
      <c r="AC49" s="655"/>
      <c r="AG49" s="656">
        <v>21.14</v>
      </c>
    </row>
    <row r="50" spans="1:33" s="656" customFormat="1">
      <c r="A50" s="671" t="s">
        <v>76</v>
      </c>
      <c r="B50" s="670" t="s">
        <v>107</v>
      </c>
      <c r="C50" s="671" t="s">
        <v>59</v>
      </c>
      <c r="D50" s="649"/>
      <c r="E50" s="649"/>
      <c r="F50" s="649">
        <v>101.62</v>
      </c>
      <c r="G50" s="649">
        <v>1.2783290395298286</v>
      </c>
      <c r="H50" s="649">
        <v>62.45</v>
      </c>
      <c r="I50" s="649">
        <v>0.89179633056869356</v>
      </c>
      <c r="J50" s="649"/>
      <c r="K50" s="636">
        <v>0</v>
      </c>
      <c r="L50" s="649"/>
      <c r="M50" s="649"/>
      <c r="N50" s="682">
        <v>0.97</v>
      </c>
      <c r="O50" s="649">
        <v>8.1060302179435745E-2</v>
      </c>
      <c r="P50" s="649"/>
      <c r="Q50" s="649"/>
      <c r="R50" s="649"/>
      <c r="S50" s="649"/>
      <c r="T50" s="680">
        <v>28.84</v>
      </c>
      <c r="U50" s="649">
        <v>26.88793585679657</v>
      </c>
      <c r="V50" s="655"/>
      <c r="W50" s="655"/>
      <c r="X50" s="655"/>
      <c r="Y50" s="655"/>
      <c r="Z50" s="655">
        <v>1018.18432</v>
      </c>
      <c r="AA50" s="655">
        <v>58.383463493419782</v>
      </c>
      <c r="AB50" s="655"/>
      <c r="AC50" s="655"/>
      <c r="AG50" s="656">
        <v>17.239999999999998</v>
      </c>
    </row>
    <row r="51" spans="1:33" s="656" customFormat="1">
      <c r="A51" s="671" t="s">
        <v>82</v>
      </c>
      <c r="B51" s="670" t="s">
        <v>108</v>
      </c>
      <c r="C51" s="671" t="s">
        <v>57</v>
      </c>
      <c r="D51" s="649"/>
      <c r="E51" s="649"/>
      <c r="F51" s="649"/>
      <c r="G51" s="649">
        <v>0</v>
      </c>
      <c r="H51" s="649">
        <v>134</v>
      </c>
      <c r="I51" s="649">
        <v>1.9135421664724568</v>
      </c>
      <c r="J51" s="649"/>
      <c r="K51" s="636">
        <v>0</v>
      </c>
      <c r="L51" s="649"/>
      <c r="M51" s="649"/>
      <c r="N51" s="682">
        <v>1.35</v>
      </c>
      <c r="O51" s="649">
        <v>0.11281588447653429</v>
      </c>
      <c r="P51" s="649"/>
      <c r="Q51" s="649"/>
      <c r="R51" s="649"/>
      <c r="S51" s="649"/>
      <c r="T51" s="680">
        <v>5.32</v>
      </c>
      <c r="U51" s="649">
        <v>4.9599104978556783</v>
      </c>
      <c r="V51" s="655"/>
      <c r="W51" s="655"/>
      <c r="X51" s="655"/>
      <c r="Y51" s="655"/>
      <c r="Z51" s="655"/>
      <c r="AA51" s="655">
        <v>0</v>
      </c>
      <c r="AB51" s="655"/>
      <c r="AC51" s="655"/>
      <c r="AG51" s="656">
        <v>42.57</v>
      </c>
    </row>
    <row r="52" spans="1:33" s="656" customFormat="1">
      <c r="A52" s="671" t="s">
        <v>83</v>
      </c>
      <c r="B52" s="683" t="s">
        <v>95</v>
      </c>
      <c r="C52" s="684" t="s">
        <v>24</v>
      </c>
      <c r="D52" s="649"/>
      <c r="E52" s="649"/>
      <c r="F52" s="649">
        <v>1.77</v>
      </c>
      <c r="G52" s="649">
        <v>2.2265719346268417E-2</v>
      </c>
      <c r="H52" s="649">
        <v>8.19</v>
      </c>
      <c r="I52" s="649">
        <v>0.11695455480156282</v>
      </c>
      <c r="J52" s="649"/>
      <c r="K52" s="636">
        <v>0</v>
      </c>
      <c r="L52" s="649"/>
      <c r="M52" s="649"/>
      <c r="N52" s="649">
        <v>0.11</v>
      </c>
      <c r="O52" s="649">
        <v>9.192405401791684E-3</v>
      </c>
      <c r="P52" s="649"/>
      <c r="Q52" s="649"/>
      <c r="R52" s="649"/>
      <c r="S52" s="649"/>
      <c r="T52" s="680">
        <v>0.23</v>
      </c>
      <c r="U52" s="649">
        <v>0.21443222077195601</v>
      </c>
      <c r="V52" s="655"/>
      <c r="W52" s="655"/>
      <c r="X52" s="655"/>
      <c r="Y52" s="655"/>
      <c r="Z52" s="659">
        <v>14.929999999999998</v>
      </c>
      <c r="AA52" s="655">
        <v>0.85609755801067267</v>
      </c>
      <c r="AB52" s="655"/>
      <c r="AC52" s="655"/>
    </row>
    <row r="53" spans="1:33" s="656" customFormat="1" ht="30">
      <c r="A53" s="671" t="s">
        <v>84</v>
      </c>
      <c r="B53" s="681" t="s">
        <v>2775</v>
      </c>
      <c r="C53" s="671" t="s">
        <v>2776</v>
      </c>
      <c r="D53" s="649"/>
      <c r="E53" s="649"/>
      <c r="F53" s="649">
        <v>7.0000000000000007E-2</v>
      </c>
      <c r="G53" s="649">
        <v>8.8056517188632151E-4</v>
      </c>
      <c r="H53" s="649">
        <v>0</v>
      </c>
      <c r="I53" s="649">
        <v>0</v>
      </c>
      <c r="J53" s="649"/>
      <c r="K53" s="636">
        <v>0</v>
      </c>
      <c r="L53" s="649"/>
      <c r="M53" s="649"/>
      <c r="N53" s="649"/>
      <c r="O53" s="649">
        <v>0</v>
      </c>
      <c r="P53" s="649"/>
      <c r="Q53" s="649"/>
      <c r="R53" s="649"/>
      <c r="S53" s="649"/>
      <c r="T53" s="680"/>
      <c r="U53" s="649">
        <v>0</v>
      </c>
      <c r="V53" s="655"/>
      <c r="W53" s="655"/>
      <c r="X53" s="655"/>
      <c r="Y53" s="655"/>
      <c r="Z53" s="659">
        <v>0.2</v>
      </c>
      <c r="AA53" s="655">
        <v>1.146815215017646E-2</v>
      </c>
      <c r="AB53" s="655"/>
      <c r="AC53" s="655"/>
      <c r="AG53" s="656">
        <v>0.03</v>
      </c>
    </row>
    <row r="54" spans="1:33" s="656" customFormat="1">
      <c r="A54" s="671" t="s">
        <v>100</v>
      </c>
      <c r="B54" s="670" t="s">
        <v>133</v>
      </c>
      <c r="C54" s="671" t="s">
        <v>137</v>
      </c>
      <c r="D54" s="649"/>
      <c r="E54" s="649"/>
      <c r="F54" s="649"/>
      <c r="G54" s="649">
        <v>0</v>
      </c>
      <c r="H54" s="649">
        <v>0</v>
      </c>
      <c r="I54" s="649">
        <v>0</v>
      </c>
      <c r="J54" s="649"/>
      <c r="K54" s="636">
        <v>0</v>
      </c>
      <c r="L54" s="649"/>
      <c r="M54" s="649"/>
      <c r="N54" s="649"/>
      <c r="O54" s="649">
        <v>0</v>
      </c>
      <c r="P54" s="649"/>
      <c r="Q54" s="649"/>
      <c r="R54" s="649"/>
      <c r="S54" s="649"/>
      <c r="T54" s="680"/>
      <c r="U54" s="649">
        <v>0</v>
      </c>
      <c r="V54" s="655"/>
      <c r="W54" s="655"/>
      <c r="X54" s="655"/>
      <c r="Y54" s="655"/>
      <c r="Z54" s="655"/>
      <c r="AA54" s="655"/>
      <c r="AB54" s="655"/>
      <c r="AC54" s="655"/>
    </row>
    <row r="55" spans="1:33" s="656" customFormat="1">
      <c r="A55" s="671" t="s">
        <v>101</v>
      </c>
      <c r="B55" s="685" t="s">
        <v>136</v>
      </c>
      <c r="C55" s="671" t="s">
        <v>138</v>
      </c>
      <c r="D55" s="649"/>
      <c r="E55" s="649"/>
      <c r="F55" s="649"/>
      <c r="G55" s="649">
        <v>0</v>
      </c>
      <c r="H55" s="649">
        <v>0</v>
      </c>
      <c r="I55" s="649">
        <v>0</v>
      </c>
      <c r="J55" s="649"/>
      <c r="K55" s="636">
        <v>0</v>
      </c>
      <c r="L55" s="649"/>
      <c r="M55" s="649"/>
      <c r="N55" s="682"/>
      <c r="O55" s="649">
        <v>0</v>
      </c>
      <c r="P55" s="649"/>
      <c r="Q55" s="649"/>
      <c r="R55" s="649"/>
      <c r="S55" s="649"/>
      <c r="T55" s="680"/>
      <c r="U55" s="649">
        <v>0</v>
      </c>
      <c r="V55" s="655"/>
      <c r="W55" s="655"/>
      <c r="X55" s="655"/>
      <c r="Y55" s="655"/>
      <c r="Z55" s="655"/>
      <c r="AA55" s="655"/>
      <c r="AB55" s="655"/>
      <c r="AC55" s="655"/>
      <c r="AG55" s="656">
        <v>3.5322972297229724</v>
      </c>
    </row>
    <row r="56" spans="1:33" s="656" customFormat="1">
      <c r="A56" s="671" t="s">
        <v>102</v>
      </c>
      <c r="B56" s="670" t="s">
        <v>109</v>
      </c>
      <c r="C56" s="671" t="s">
        <v>110</v>
      </c>
      <c r="D56" s="649"/>
      <c r="E56" s="649"/>
      <c r="F56" s="649"/>
      <c r="G56" s="649">
        <v>0</v>
      </c>
      <c r="H56" s="649">
        <v>0</v>
      </c>
      <c r="I56" s="649">
        <v>0</v>
      </c>
      <c r="J56" s="649"/>
      <c r="K56" s="636">
        <v>0</v>
      </c>
      <c r="L56" s="649"/>
      <c r="M56" s="649"/>
      <c r="N56" s="649"/>
      <c r="O56" s="649">
        <v>0</v>
      </c>
      <c r="P56" s="649"/>
      <c r="Q56" s="649"/>
      <c r="R56" s="649"/>
      <c r="S56" s="649"/>
      <c r="T56" s="680">
        <v>23.02</v>
      </c>
      <c r="U56" s="649">
        <v>21.461868357262727</v>
      </c>
      <c r="V56" s="655"/>
      <c r="W56" s="655"/>
      <c r="X56" s="655"/>
      <c r="Y56" s="655"/>
      <c r="Z56" s="655"/>
      <c r="AA56" s="655">
        <v>0</v>
      </c>
      <c r="AB56" s="655"/>
      <c r="AC56" s="655"/>
    </row>
    <row r="57" spans="1:33" s="656" customFormat="1">
      <c r="A57" s="671" t="s">
        <v>103</v>
      </c>
      <c r="B57" s="670" t="s">
        <v>114</v>
      </c>
      <c r="C57" s="671" t="s">
        <v>39</v>
      </c>
      <c r="D57" s="649"/>
      <c r="E57" s="649"/>
      <c r="F57" s="649">
        <v>1.8</v>
      </c>
      <c r="G57" s="649">
        <v>2.2643104419933984E-2</v>
      </c>
      <c r="H57" s="649">
        <v>2.6750000000000003</v>
      </c>
      <c r="I57" s="649">
        <v>3.8199442502341953E-2</v>
      </c>
      <c r="J57" s="649"/>
      <c r="K57" s="636">
        <v>0</v>
      </c>
      <c r="L57" s="649"/>
      <c r="M57" s="649"/>
      <c r="N57" s="649"/>
      <c r="O57" s="649">
        <v>0</v>
      </c>
      <c r="P57" s="649"/>
      <c r="Q57" s="649"/>
      <c r="R57" s="649"/>
      <c r="S57" s="649"/>
      <c r="T57" s="680">
        <v>0.12</v>
      </c>
      <c r="U57" s="649">
        <v>0.11187768040275967</v>
      </c>
      <c r="V57" s="655"/>
      <c r="W57" s="655"/>
      <c r="X57" s="655"/>
      <c r="Y57" s="655"/>
      <c r="Z57" s="659">
        <v>19.625000000000004</v>
      </c>
      <c r="AA57" s="655">
        <v>1.1253124297360653</v>
      </c>
      <c r="AB57" s="655"/>
      <c r="AC57" s="655"/>
    </row>
    <row r="58" spans="1:33" s="656" customFormat="1">
      <c r="A58" s="671" t="s">
        <v>104</v>
      </c>
      <c r="B58" s="670" t="s">
        <v>115</v>
      </c>
      <c r="C58" s="671" t="s">
        <v>42</v>
      </c>
      <c r="D58" s="649"/>
      <c r="E58" s="649"/>
      <c r="F58" s="649">
        <v>154.32000000000002</v>
      </c>
      <c r="G58" s="649">
        <v>1.9412688189356735</v>
      </c>
      <c r="H58" s="649">
        <v>90.809999999999988</v>
      </c>
      <c r="I58" s="649">
        <v>1.2967818219206251</v>
      </c>
      <c r="J58" s="649"/>
      <c r="K58" s="636">
        <v>0</v>
      </c>
      <c r="L58" s="649"/>
      <c r="M58" s="649"/>
      <c r="N58" s="649">
        <v>55.28</v>
      </c>
      <c r="O58" s="649">
        <v>4.6196015510094934</v>
      </c>
      <c r="P58" s="649"/>
      <c r="Q58" s="649"/>
      <c r="R58" s="649"/>
      <c r="S58" s="649"/>
      <c r="T58" s="680">
        <v>0.35</v>
      </c>
      <c r="U58" s="649">
        <v>0.32630990117471564</v>
      </c>
      <c r="V58" s="655"/>
      <c r="W58" s="655"/>
      <c r="X58" s="655"/>
      <c r="Y58" s="655"/>
      <c r="Z58" s="655"/>
      <c r="AA58" s="655">
        <v>0</v>
      </c>
      <c r="AB58" s="655"/>
      <c r="AC58" s="655"/>
      <c r="AG58" s="656">
        <v>4.76</v>
      </c>
    </row>
    <row r="59" spans="1:33" s="656" customFormat="1">
      <c r="A59" s="671" t="s">
        <v>2820</v>
      </c>
      <c r="B59" s="670" t="s">
        <v>77</v>
      </c>
      <c r="C59" s="671" t="s">
        <v>41</v>
      </c>
      <c r="D59" s="649"/>
      <c r="E59" s="649"/>
      <c r="F59" s="649">
        <v>10.379999999999999</v>
      </c>
      <c r="G59" s="649">
        <v>0.13057523548828595</v>
      </c>
      <c r="H59" s="649">
        <v>10.64</v>
      </c>
      <c r="I59" s="649">
        <v>0.15194096008408164</v>
      </c>
      <c r="J59" s="649"/>
      <c r="K59" s="636">
        <v>0</v>
      </c>
      <c r="L59" s="649"/>
      <c r="M59" s="649"/>
      <c r="N59" s="649">
        <v>722.24</v>
      </c>
      <c r="O59" s="649">
        <v>60.355662521727503</v>
      </c>
      <c r="P59" s="649"/>
      <c r="Q59" s="649"/>
      <c r="R59" s="649"/>
      <c r="S59" s="649"/>
      <c r="T59" s="680">
        <v>1.73</v>
      </c>
      <c r="U59" s="649">
        <v>1.6129032258064515</v>
      </c>
      <c r="V59" s="655"/>
      <c r="W59" s="655"/>
      <c r="X59" s="655"/>
      <c r="Y59" s="655"/>
      <c r="Z59" s="655"/>
      <c r="AA59" s="655">
        <v>0</v>
      </c>
      <c r="AB59" s="655"/>
      <c r="AC59" s="655"/>
      <c r="AG59" s="656">
        <v>258.42</v>
      </c>
    </row>
    <row r="60" spans="1:33" s="656" customFormat="1" ht="12.75">
      <c r="A60" s="671" t="s">
        <v>105</v>
      </c>
      <c r="B60" s="670" t="s">
        <v>116</v>
      </c>
      <c r="C60" s="671" t="s">
        <v>55</v>
      </c>
      <c r="D60" s="649"/>
      <c r="E60" s="649"/>
      <c r="F60" s="649">
        <v>0.23</v>
      </c>
      <c r="G60" s="649">
        <v>2.8932855647693422E-3</v>
      </c>
      <c r="H60" s="649">
        <v>1.52</v>
      </c>
      <c r="I60" s="649">
        <v>2.1705851440583089E-2</v>
      </c>
      <c r="J60" s="649"/>
      <c r="K60" s="636">
        <v>0</v>
      </c>
      <c r="L60" s="649"/>
      <c r="M60" s="649"/>
      <c r="N60" s="649"/>
      <c r="O60" s="649">
        <v>0</v>
      </c>
      <c r="P60" s="649"/>
      <c r="Q60" s="649"/>
      <c r="R60" s="649"/>
      <c r="S60" s="649"/>
      <c r="T60" s="649"/>
      <c r="U60" s="649">
        <v>0</v>
      </c>
      <c r="V60" s="655"/>
      <c r="W60" s="655"/>
      <c r="X60" s="655"/>
      <c r="Y60" s="655"/>
      <c r="Z60" s="655"/>
      <c r="AA60" s="655">
        <v>0</v>
      </c>
      <c r="AB60" s="655"/>
      <c r="AC60" s="655"/>
    </row>
    <row r="61" spans="1:33" s="687" customFormat="1" ht="12.75">
      <c r="A61" s="669">
        <v>3</v>
      </c>
      <c r="B61" s="686" t="s">
        <v>56</v>
      </c>
      <c r="C61" s="669" t="s">
        <v>81</v>
      </c>
      <c r="D61" s="636"/>
      <c r="E61" s="636"/>
      <c r="F61" s="636">
        <v>149.12</v>
      </c>
      <c r="G61" s="636">
        <v>1.8758554061669752</v>
      </c>
      <c r="H61" s="636">
        <v>211.84</v>
      </c>
      <c r="I61" s="636">
        <v>3.0251102428770538</v>
      </c>
      <c r="J61" s="636"/>
      <c r="K61" s="636">
        <v>0</v>
      </c>
      <c r="L61" s="636"/>
      <c r="M61" s="636"/>
      <c r="N61" s="636">
        <v>2</v>
      </c>
      <c r="O61" s="636">
        <v>8.0087455501407515E-2</v>
      </c>
      <c r="P61" s="636"/>
      <c r="Q61" s="636"/>
      <c r="R61" s="636"/>
      <c r="S61" s="636"/>
      <c r="T61" s="636"/>
      <c r="U61" s="636">
        <v>0</v>
      </c>
      <c r="V61" s="646"/>
      <c r="W61" s="646"/>
      <c r="X61" s="646"/>
      <c r="Y61" s="646"/>
      <c r="Z61" s="646"/>
      <c r="AA61" s="646"/>
      <c r="AB61" s="646"/>
      <c r="AC61" s="646"/>
      <c r="AG61" s="687">
        <v>15.893999999999997</v>
      </c>
    </row>
    <row r="63" spans="1:33">
      <c r="H63" s="378">
        <f>H61+H19+H6</f>
        <v>7002.7199999999993</v>
      </c>
    </row>
    <row r="64" spans="1:33">
      <c r="N64" s="378"/>
      <c r="Z64" s="378">
        <f>Z6+Z19</f>
        <v>2593.2981868000002</v>
      </c>
    </row>
    <row r="65" spans="14:26">
      <c r="N65" s="378"/>
      <c r="Z65" s="378">
        <f>'[6]03ch'!F79</f>
        <v>1649.12</v>
      </c>
    </row>
    <row r="66" spans="14:26">
      <c r="Z66" s="378">
        <f>Z65-Z64</f>
        <v>-944.17818680000028</v>
      </c>
    </row>
  </sheetData>
  <mergeCells count="18">
    <mergeCell ref="X3:Y3"/>
    <mergeCell ref="A1:B1"/>
    <mergeCell ref="A2:AC2"/>
    <mergeCell ref="A3:A4"/>
    <mergeCell ref="B3:B4"/>
    <mergeCell ref="C3:C4"/>
    <mergeCell ref="D3:E3"/>
    <mergeCell ref="F3:G3"/>
    <mergeCell ref="H3:I3"/>
    <mergeCell ref="J3:K3"/>
    <mergeCell ref="L3:M3"/>
    <mergeCell ref="Z3:AA3"/>
    <mergeCell ref="AB3:AC3"/>
    <mergeCell ref="N3:O3"/>
    <mergeCell ref="P3:Q3"/>
    <mergeCell ref="R3:S3"/>
    <mergeCell ref="T3:U3"/>
    <mergeCell ref="V3:W3"/>
  </mergeCells>
  <conditionalFormatting sqref="A20:A60">
    <cfRule type="cellIs" dxfId="102" priority="2" stopIfTrue="1" operator="equal">
      <formula>0</formula>
    </cfRule>
  </conditionalFormatting>
  <conditionalFormatting sqref="B57:B60 C57:C61 A61:B61">
    <cfRule type="cellIs" dxfId="101" priority="3" stopIfTrue="1" operator="equal">
      <formula>0</formula>
    </cfRule>
  </conditionalFormatting>
  <conditionalFormatting sqref="B20:C56">
    <cfRule type="cellIs" dxfId="100" priority="1" stopIfTrue="1" operator="equal">
      <formula>0</formula>
    </cfRule>
  </conditionalFormatting>
  <conditionalFormatting sqref="V10:W11 V13:W16">
    <cfRule type="cellIs" dxfId="99" priority="4" stopIfTrue="1" operator="equal">
      <formula>0</formula>
    </cfRule>
  </conditionalFormatting>
  <pageMargins left="0.7" right="0.31" top="0.69" bottom="0.63" header="0.3" footer="0.3"/>
  <pageSetup paperSize="8" scale="8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R62"/>
  <sheetViews>
    <sheetView showZeros="0" zoomScale="85" zoomScaleNormal="85" workbookViewId="0">
      <pane xSplit="4" ySplit="6" topLeftCell="E7" activePane="bottomRight" state="frozen"/>
      <selection activeCell="K42" sqref="K42"/>
      <selection pane="topRight" activeCell="K42" sqref="K42"/>
      <selection pane="bottomLeft" activeCell="K42" sqref="K42"/>
      <selection pane="bottomRight" activeCell="E17" sqref="E17"/>
    </sheetView>
  </sheetViews>
  <sheetFormatPr defaultColWidth="8.375" defaultRowHeight="15"/>
  <cols>
    <col min="1" max="1" width="6" style="374" customWidth="1"/>
    <col min="2" max="2" width="39.125" style="374" customWidth="1"/>
    <col min="3" max="3" width="6.5" style="374" bestFit="1" customWidth="1"/>
    <col min="4" max="4" width="8.375" style="374" customWidth="1"/>
    <col min="5" max="6" width="7.375" style="374" customWidth="1"/>
    <col min="7" max="7" width="6.875" style="374" customWidth="1"/>
    <col min="8" max="8" width="7" style="374" customWidth="1"/>
    <col min="9" max="9" width="8.625" style="374" customWidth="1"/>
    <col min="10" max="11" width="7.375" style="374" customWidth="1"/>
    <col min="12" max="12" width="6.875" style="374" customWidth="1"/>
    <col min="13" max="15" width="7.375" style="374" customWidth="1"/>
    <col min="16" max="16" width="6.875" style="374" customWidth="1"/>
    <col min="17" max="17" width="7.375" style="374" customWidth="1"/>
    <col min="18" max="25" width="6.5" style="374" customWidth="1"/>
    <col min="26" max="26" width="6.625" style="374" customWidth="1"/>
    <col min="27" max="16384" width="8.375" style="374"/>
  </cols>
  <sheetData>
    <row r="1" spans="1:44" s="448" customFormat="1" ht="15.75">
      <c r="A1" s="1539" t="s">
        <v>253</v>
      </c>
      <c r="B1" s="1539"/>
      <c r="E1" s="450"/>
      <c r="F1" s="616"/>
      <c r="G1" s="616"/>
      <c r="H1" s="616"/>
      <c r="I1" s="616"/>
      <c r="J1" s="616"/>
      <c r="K1" s="616"/>
      <c r="L1" s="616"/>
      <c r="M1" s="616"/>
      <c r="N1" s="616"/>
      <c r="O1" s="616"/>
      <c r="P1" s="616"/>
      <c r="Q1" s="616"/>
      <c r="R1" s="616"/>
      <c r="S1" s="616"/>
      <c r="T1" s="616"/>
      <c r="U1" s="616"/>
      <c r="V1" s="616"/>
      <c r="W1" s="616"/>
      <c r="X1" s="616"/>
      <c r="Y1" s="616"/>
      <c r="Z1" s="450"/>
    </row>
    <row r="2" spans="1:44" s="448" customFormat="1" ht="15.75">
      <c r="A2" s="1524" t="s">
        <v>2825</v>
      </c>
      <c r="B2" s="1524"/>
      <c r="C2" s="1524"/>
      <c r="D2" s="1524"/>
      <c r="E2" s="1524"/>
      <c r="F2" s="1524"/>
      <c r="G2" s="1524"/>
      <c r="H2" s="1524"/>
      <c r="I2" s="1524"/>
      <c r="J2" s="1524"/>
      <c r="K2" s="1524"/>
      <c r="L2" s="1524"/>
      <c r="M2" s="1524"/>
      <c r="N2" s="1524"/>
      <c r="O2" s="1524"/>
      <c r="P2" s="1524"/>
      <c r="Q2" s="1524"/>
      <c r="R2" s="1524"/>
      <c r="S2" s="1524"/>
      <c r="T2" s="1524"/>
      <c r="U2" s="1524"/>
      <c r="V2" s="1524"/>
      <c r="W2" s="1524"/>
      <c r="X2" s="1524"/>
      <c r="Y2" s="1524"/>
      <c r="Z2" s="1524"/>
    </row>
    <row r="3" spans="1:44" s="448" customFormat="1" ht="15.6" customHeight="1">
      <c r="A3" s="456"/>
      <c r="B3" s="456"/>
      <c r="C3" s="617"/>
      <c r="D3" s="618"/>
      <c r="E3" s="455"/>
      <c r="F3" s="619"/>
      <c r="G3" s="619"/>
      <c r="H3" s="619"/>
      <c r="I3" s="619"/>
      <c r="J3" s="619"/>
      <c r="K3" s="619"/>
      <c r="L3" s="619"/>
      <c r="M3" s="620"/>
      <c r="N3" s="1571" t="s">
        <v>0</v>
      </c>
      <c r="O3" s="1571"/>
      <c r="P3" s="1571"/>
      <c r="Q3" s="1571"/>
      <c r="R3" s="1571"/>
      <c r="S3" s="1571"/>
      <c r="T3" s="1571"/>
      <c r="U3" s="1571"/>
      <c r="V3" s="1571"/>
      <c r="W3" s="1571"/>
      <c r="X3" s="1571"/>
      <c r="Y3" s="1571"/>
      <c r="Z3" s="1571"/>
    </row>
    <row r="4" spans="1:44" s="448" customFormat="1" ht="15.75">
      <c r="A4" s="1526" t="s">
        <v>170</v>
      </c>
      <c r="B4" s="1526" t="s">
        <v>175</v>
      </c>
      <c r="C4" s="1526" t="s">
        <v>172</v>
      </c>
      <c r="D4" s="1531" t="s">
        <v>146</v>
      </c>
      <c r="E4" s="1536" t="s">
        <v>2836</v>
      </c>
      <c r="F4" s="1536"/>
      <c r="G4" s="1536"/>
      <c r="H4" s="1536"/>
      <c r="I4" s="1536"/>
      <c r="J4" s="1536"/>
      <c r="K4" s="1536"/>
      <c r="L4" s="1536"/>
      <c r="M4" s="1536"/>
      <c r="N4" s="1536"/>
      <c r="O4" s="1536"/>
      <c r="P4" s="1536"/>
      <c r="Q4" s="1536"/>
      <c r="R4" s="1536"/>
      <c r="S4" s="1536"/>
      <c r="T4" s="1536"/>
      <c r="U4" s="1536"/>
      <c r="V4" s="1536"/>
      <c r="W4" s="1536"/>
      <c r="X4" s="1536"/>
      <c r="Y4" s="1536"/>
      <c r="Z4" s="1536"/>
    </row>
    <row r="5" spans="1:44" s="621" customFormat="1" ht="60.75" customHeight="1">
      <c r="A5" s="1526"/>
      <c r="B5" s="1526"/>
      <c r="C5" s="1526"/>
      <c r="D5" s="1532"/>
      <c r="E5" s="503" t="str">
        <f>'[6]01CH'!F5</f>
        <v>Thị trấn Lộc Bình</v>
      </c>
      <c r="F5" s="503" t="str">
        <f>'[6]01CH'!G5</f>
        <v>Thị trấn Na Dương</v>
      </c>
      <c r="G5" s="503" t="str">
        <f>'[6]01CH'!H5</f>
        <v>Xã Ái Quốc</v>
      </c>
      <c r="H5" s="503" t="str">
        <f>'[6]01CH'!I5</f>
        <v>Xã Đồng Bục</v>
      </c>
      <c r="I5" s="503" t="str">
        <f>'[6]01CH'!J5</f>
        <v>Xã Đông Quan</v>
      </c>
      <c r="J5" s="503" t="str">
        <f>'[6]01CH'!K5</f>
        <v>Xã Hữu Khánh</v>
      </c>
      <c r="K5" s="503" t="str">
        <f>'[6]01CH'!L5</f>
        <v>Xã Hữu Lân</v>
      </c>
      <c r="L5" s="503" t="str">
        <f>'[6]01CH'!M5</f>
        <v>Xã Khánh Xuân</v>
      </c>
      <c r="M5" s="503" t="str">
        <f>'[6]01CH'!N5</f>
        <v>Xã Khuất Xá</v>
      </c>
      <c r="N5" s="503" t="str">
        <f>'[6]01CH'!O5</f>
        <v>Xã Lợi Bác</v>
      </c>
      <c r="O5" s="503" t="str">
        <f>'[6]01CH'!P5</f>
        <v>Xã Mẫu Sơn</v>
      </c>
      <c r="P5" s="503" t="str">
        <f>'[6]01CH'!Q5</f>
        <v>Xã Minh Hiệp</v>
      </c>
      <c r="Q5" s="503" t="str">
        <f>'[6]01CH'!R5</f>
        <v>Xã Nam Quan</v>
      </c>
      <c r="R5" s="503" t="str">
        <f>'[6]01CH'!S5</f>
        <v>Xã Sàn Viên</v>
      </c>
      <c r="S5" s="503" t="str">
        <f>'[6]01CH'!T5</f>
        <v>Xã Tam Gia</v>
      </c>
      <c r="T5" s="503" t="str">
        <f>'[6]01CH'!U5</f>
        <v>Xã Thống Nhất</v>
      </c>
      <c r="U5" s="503" t="str">
        <f>'[6]01CH'!V5</f>
        <v>Xã Tĩnh Bắc</v>
      </c>
      <c r="V5" s="503" t="str">
        <f>'[6]01CH'!W5</f>
        <v>Xã Tú Đoạn</v>
      </c>
      <c r="W5" s="503" t="str">
        <f>'[6]01CH'!X5</f>
        <v>Xã Tú Mịch</v>
      </c>
      <c r="X5" s="503" t="str">
        <f>'[6]01CH'!Y5</f>
        <v>Xã Xuân Dương</v>
      </c>
      <c r="Y5" s="503" t="str">
        <f>'[6]01CH'!Z5</f>
        <v>Xã Yên Khoái</v>
      </c>
      <c r="Z5" s="503">
        <f>'[6]01CH'!AA5</f>
        <v>0</v>
      </c>
    </row>
    <row r="6" spans="1:44" s="477" customFormat="1" ht="33.75" customHeight="1">
      <c r="A6" s="464">
        <v>-1</v>
      </c>
      <c r="B6" s="464">
        <v>-2</v>
      </c>
      <c r="C6" s="464">
        <v>-3</v>
      </c>
      <c r="D6" s="464" t="s">
        <v>2856</v>
      </c>
      <c r="E6" s="464">
        <v>-5</v>
      </c>
      <c r="F6" s="570">
        <v>-6</v>
      </c>
      <c r="G6" s="464">
        <v>-7</v>
      </c>
      <c r="H6" s="570">
        <v>-8</v>
      </c>
      <c r="I6" s="464">
        <v>-9</v>
      </c>
      <c r="J6" s="570">
        <v>-10</v>
      </c>
      <c r="K6" s="464">
        <v>-11</v>
      </c>
      <c r="L6" s="570">
        <v>-12</v>
      </c>
      <c r="M6" s="464">
        <v>-13</v>
      </c>
      <c r="N6" s="570">
        <v>-14</v>
      </c>
      <c r="O6" s="464">
        <v>-15</v>
      </c>
      <c r="P6" s="570">
        <v>-16</v>
      </c>
      <c r="Q6" s="464">
        <v>-17</v>
      </c>
      <c r="R6" s="570">
        <v>-18</v>
      </c>
      <c r="S6" s="464">
        <v>-19</v>
      </c>
      <c r="T6" s="570">
        <v>-20</v>
      </c>
      <c r="U6" s="464">
        <v>-21</v>
      </c>
      <c r="V6" s="570">
        <v>-22</v>
      </c>
      <c r="W6" s="464">
        <v>-23</v>
      </c>
      <c r="X6" s="570">
        <v>-24</v>
      </c>
      <c r="Y6" s="464">
        <v>-25</v>
      </c>
      <c r="Z6" s="570">
        <v>-26</v>
      </c>
    </row>
    <row r="7" spans="1:44" s="495" customFormat="1" ht="18" customHeight="1">
      <c r="A7" s="461">
        <v>1</v>
      </c>
      <c r="B7" s="489" t="s">
        <v>3</v>
      </c>
      <c r="C7" s="490" t="s">
        <v>4</v>
      </c>
      <c r="D7" s="622">
        <v>99.08</v>
      </c>
      <c r="E7" s="623">
        <v>0</v>
      </c>
      <c r="F7" s="623">
        <v>0</v>
      </c>
      <c r="G7" s="623">
        <v>0</v>
      </c>
      <c r="H7" s="623">
        <v>0</v>
      </c>
      <c r="I7" s="623">
        <v>23.169999999999998</v>
      </c>
      <c r="J7" s="623">
        <v>0</v>
      </c>
      <c r="K7" s="623">
        <v>0</v>
      </c>
      <c r="L7" s="623">
        <v>0</v>
      </c>
      <c r="M7" s="623">
        <v>0.22</v>
      </c>
      <c r="N7" s="623">
        <v>0</v>
      </c>
      <c r="O7" s="623">
        <v>0</v>
      </c>
      <c r="P7" s="623">
        <v>45.87</v>
      </c>
      <c r="Q7" s="623">
        <v>0.03</v>
      </c>
      <c r="R7" s="623">
        <v>0</v>
      </c>
      <c r="S7" s="623">
        <v>0.04</v>
      </c>
      <c r="T7" s="623">
        <v>0.02</v>
      </c>
      <c r="U7" s="623">
        <v>0</v>
      </c>
      <c r="V7" s="623">
        <v>0</v>
      </c>
      <c r="W7" s="623">
        <v>0</v>
      </c>
      <c r="X7" s="623">
        <v>26.09</v>
      </c>
      <c r="Y7" s="623">
        <v>3.6399999999999997</v>
      </c>
      <c r="Z7" s="623">
        <v>0</v>
      </c>
      <c r="AF7" s="539"/>
    </row>
    <row r="8" spans="1:44" s="495" customFormat="1" ht="18" customHeight="1">
      <c r="A8" s="461"/>
      <c r="B8" s="499" t="s">
        <v>190</v>
      </c>
      <c r="C8" s="490"/>
      <c r="D8" s="622"/>
      <c r="E8" s="624"/>
      <c r="F8" s="624"/>
      <c r="G8" s="624"/>
      <c r="H8" s="624"/>
      <c r="I8" s="624"/>
      <c r="J8" s="624"/>
      <c r="K8" s="624"/>
      <c r="L8" s="624"/>
      <c r="M8" s="624"/>
      <c r="N8" s="624"/>
      <c r="O8" s="624"/>
      <c r="P8" s="624"/>
      <c r="Q8" s="624"/>
      <c r="R8" s="624"/>
      <c r="S8" s="624"/>
      <c r="T8" s="624"/>
      <c r="U8" s="624"/>
      <c r="V8" s="624"/>
      <c r="W8" s="624"/>
      <c r="X8" s="624"/>
      <c r="Y8" s="624"/>
      <c r="Z8" s="624"/>
      <c r="AF8" s="539"/>
    </row>
    <row r="9" spans="1:44" s="448" customFormat="1" ht="18" customHeight="1">
      <c r="A9" s="503" t="s">
        <v>6</v>
      </c>
      <c r="B9" s="504" t="s">
        <v>2811</v>
      </c>
      <c r="C9" s="505" t="s">
        <v>5</v>
      </c>
      <c r="D9" s="625">
        <v>0</v>
      </c>
      <c r="E9" s="626">
        <v>0</v>
      </c>
      <c r="F9" s="626">
        <v>0</v>
      </c>
      <c r="G9" s="626">
        <v>0</v>
      </c>
      <c r="H9" s="626">
        <v>0</v>
      </c>
      <c r="I9" s="626">
        <v>0</v>
      </c>
      <c r="J9" s="626">
        <v>0</v>
      </c>
      <c r="K9" s="626">
        <v>0</v>
      </c>
      <c r="L9" s="626">
        <v>0</v>
      </c>
      <c r="M9" s="626">
        <v>0</v>
      </c>
      <c r="N9" s="626">
        <v>0</v>
      </c>
      <c r="O9" s="626">
        <v>0</v>
      </c>
      <c r="P9" s="626">
        <v>0</v>
      </c>
      <c r="Q9" s="626">
        <v>0</v>
      </c>
      <c r="R9" s="626">
        <v>0</v>
      </c>
      <c r="S9" s="626">
        <v>0</v>
      </c>
      <c r="T9" s="626">
        <v>0</v>
      </c>
      <c r="U9" s="626">
        <v>0</v>
      </c>
      <c r="V9" s="626">
        <v>0</v>
      </c>
      <c r="W9" s="626">
        <v>0</v>
      </c>
      <c r="X9" s="626">
        <v>0</v>
      </c>
      <c r="Y9" s="626">
        <v>0</v>
      </c>
      <c r="Z9" s="626">
        <v>0</v>
      </c>
      <c r="AA9" s="522"/>
      <c r="AF9" s="522"/>
    </row>
    <row r="10" spans="1:44" s="518" customFormat="1" ht="18" customHeight="1">
      <c r="A10" s="513" t="s">
        <v>193</v>
      </c>
      <c r="B10" s="514" t="s">
        <v>2812</v>
      </c>
      <c r="C10" s="513" t="s">
        <v>7</v>
      </c>
      <c r="D10" s="627">
        <v>0</v>
      </c>
      <c r="E10" s="624">
        <v>0</v>
      </c>
      <c r="F10" s="624">
        <v>0</v>
      </c>
      <c r="G10" s="624">
        <v>0</v>
      </c>
      <c r="H10" s="624">
        <v>0</v>
      </c>
      <c r="I10" s="624">
        <v>0</v>
      </c>
      <c r="J10" s="624">
        <v>0</v>
      </c>
      <c r="K10" s="624">
        <v>0</v>
      </c>
      <c r="L10" s="624">
        <v>0</v>
      </c>
      <c r="M10" s="624">
        <v>0</v>
      </c>
      <c r="N10" s="624">
        <v>0</v>
      </c>
      <c r="O10" s="624">
        <v>0</v>
      </c>
      <c r="P10" s="624">
        <v>0</v>
      </c>
      <c r="Q10" s="624">
        <v>0</v>
      </c>
      <c r="R10" s="624">
        <v>0</v>
      </c>
      <c r="S10" s="624">
        <v>0</v>
      </c>
      <c r="T10" s="624">
        <v>0</v>
      </c>
      <c r="U10" s="624">
        <v>0</v>
      </c>
      <c r="V10" s="624">
        <v>0</v>
      </c>
      <c r="W10" s="624">
        <v>0</v>
      </c>
      <c r="X10" s="624">
        <v>0</v>
      </c>
      <c r="Y10" s="624">
        <v>0</v>
      </c>
      <c r="Z10" s="624">
        <v>0</v>
      </c>
      <c r="AF10" s="628"/>
    </row>
    <row r="11" spans="1:44" s="518" customFormat="1" ht="18" customHeight="1">
      <c r="A11" s="503" t="s">
        <v>9</v>
      </c>
      <c r="B11" s="504" t="s">
        <v>88</v>
      </c>
      <c r="C11" s="505" t="s">
        <v>12</v>
      </c>
      <c r="D11" s="625">
        <v>0.28000000000000003</v>
      </c>
      <c r="E11" s="626">
        <v>0</v>
      </c>
      <c r="F11" s="626">
        <v>0</v>
      </c>
      <c r="G11" s="626">
        <v>0</v>
      </c>
      <c r="H11" s="626">
        <v>0</v>
      </c>
      <c r="I11" s="626">
        <v>0</v>
      </c>
      <c r="J11" s="626">
        <v>0</v>
      </c>
      <c r="K11" s="626">
        <v>0</v>
      </c>
      <c r="L11" s="626">
        <v>0</v>
      </c>
      <c r="M11" s="626">
        <v>0.22</v>
      </c>
      <c r="N11" s="626">
        <v>0</v>
      </c>
      <c r="O11" s="626">
        <v>0</v>
      </c>
      <c r="P11" s="626">
        <v>0</v>
      </c>
      <c r="Q11" s="626">
        <v>0</v>
      </c>
      <c r="R11" s="626">
        <v>0</v>
      </c>
      <c r="S11" s="626">
        <v>0.04</v>
      </c>
      <c r="T11" s="626">
        <v>0.02</v>
      </c>
      <c r="U11" s="626">
        <v>0</v>
      </c>
      <c r="V11" s="626">
        <v>0</v>
      </c>
      <c r="W11" s="626">
        <v>0</v>
      </c>
      <c r="X11" s="626">
        <v>0</v>
      </c>
      <c r="Y11" s="626">
        <v>0</v>
      </c>
      <c r="Z11" s="626">
        <v>0</v>
      </c>
      <c r="AF11" s="628"/>
    </row>
    <row r="12" spans="1:44" s="448" customFormat="1" ht="18" customHeight="1">
      <c r="A12" s="503" t="s">
        <v>11</v>
      </c>
      <c r="B12" s="504" t="s">
        <v>60</v>
      </c>
      <c r="C12" s="505" t="s">
        <v>14</v>
      </c>
      <c r="D12" s="625">
        <v>0</v>
      </c>
      <c r="E12" s="626">
        <v>0</v>
      </c>
      <c r="F12" s="626">
        <v>0</v>
      </c>
      <c r="G12" s="626">
        <v>0</v>
      </c>
      <c r="H12" s="626">
        <v>0</v>
      </c>
      <c r="I12" s="626">
        <v>0</v>
      </c>
      <c r="J12" s="626">
        <v>0</v>
      </c>
      <c r="K12" s="626">
        <v>0</v>
      </c>
      <c r="L12" s="626">
        <v>0</v>
      </c>
      <c r="M12" s="626">
        <v>0</v>
      </c>
      <c r="N12" s="626">
        <v>0</v>
      </c>
      <c r="O12" s="626">
        <v>0</v>
      </c>
      <c r="P12" s="626">
        <v>0</v>
      </c>
      <c r="Q12" s="626">
        <v>0</v>
      </c>
      <c r="R12" s="626">
        <v>0</v>
      </c>
      <c r="S12" s="626">
        <v>0</v>
      </c>
      <c r="T12" s="626">
        <v>0</v>
      </c>
      <c r="U12" s="626">
        <v>0</v>
      </c>
      <c r="V12" s="626">
        <v>0</v>
      </c>
      <c r="W12" s="626">
        <v>0</v>
      </c>
      <c r="X12" s="626">
        <v>0</v>
      </c>
      <c r="Y12" s="626">
        <v>0</v>
      </c>
      <c r="Z12" s="626">
        <v>0</v>
      </c>
      <c r="AF12" s="522"/>
      <c r="AR12" s="448">
        <f>3*29+30</f>
        <v>117</v>
      </c>
    </row>
    <row r="13" spans="1:44" s="448" customFormat="1" ht="18" customHeight="1">
      <c r="A13" s="503" t="s">
        <v>13</v>
      </c>
      <c r="B13" s="504" t="s">
        <v>61</v>
      </c>
      <c r="C13" s="505" t="s">
        <v>16</v>
      </c>
      <c r="D13" s="625">
        <v>0</v>
      </c>
      <c r="E13" s="626">
        <v>0</v>
      </c>
      <c r="F13" s="626">
        <v>0</v>
      </c>
      <c r="G13" s="626">
        <v>0</v>
      </c>
      <c r="H13" s="626">
        <v>0</v>
      </c>
      <c r="I13" s="626">
        <v>0</v>
      </c>
      <c r="J13" s="626">
        <v>0</v>
      </c>
      <c r="K13" s="626">
        <v>0</v>
      </c>
      <c r="L13" s="626">
        <v>0</v>
      </c>
      <c r="M13" s="626">
        <v>0</v>
      </c>
      <c r="N13" s="626">
        <v>0</v>
      </c>
      <c r="O13" s="626">
        <v>0</v>
      </c>
      <c r="P13" s="626">
        <v>0</v>
      </c>
      <c r="Q13" s="626">
        <v>0</v>
      </c>
      <c r="R13" s="626">
        <v>0</v>
      </c>
      <c r="S13" s="626">
        <v>0</v>
      </c>
      <c r="T13" s="626">
        <v>0</v>
      </c>
      <c r="U13" s="626">
        <v>0</v>
      </c>
      <c r="V13" s="626">
        <v>0</v>
      </c>
      <c r="W13" s="626">
        <v>0</v>
      </c>
      <c r="X13" s="626">
        <v>0</v>
      </c>
      <c r="Y13" s="626">
        <v>0</v>
      </c>
      <c r="Z13" s="626">
        <v>0</v>
      </c>
      <c r="AF13" s="522"/>
    </row>
    <row r="14" spans="1:44" s="448" customFormat="1" ht="18" customHeight="1">
      <c r="A14" s="503" t="s">
        <v>15</v>
      </c>
      <c r="B14" s="504" t="s">
        <v>62</v>
      </c>
      <c r="C14" s="505" t="s">
        <v>17</v>
      </c>
      <c r="D14" s="625">
        <v>0</v>
      </c>
      <c r="E14" s="626">
        <v>0</v>
      </c>
      <c r="F14" s="626">
        <v>0</v>
      </c>
      <c r="G14" s="626">
        <v>0</v>
      </c>
      <c r="H14" s="626">
        <v>0</v>
      </c>
      <c r="I14" s="626">
        <v>0</v>
      </c>
      <c r="J14" s="626">
        <v>0</v>
      </c>
      <c r="K14" s="626">
        <v>0</v>
      </c>
      <c r="L14" s="626">
        <v>0</v>
      </c>
      <c r="M14" s="626">
        <v>0</v>
      </c>
      <c r="N14" s="626">
        <v>0</v>
      </c>
      <c r="O14" s="626">
        <v>0</v>
      </c>
      <c r="P14" s="626">
        <v>0</v>
      </c>
      <c r="Q14" s="626">
        <v>0</v>
      </c>
      <c r="R14" s="626">
        <v>0</v>
      </c>
      <c r="S14" s="626">
        <v>0</v>
      </c>
      <c r="T14" s="626">
        <v>0</v>
      </c>
      <c r="U14" s="626">
        <v>0</v>
      </c>
      <c r="V14" s="626">
        <v>0</v>
      </c>
      <c r="W14" s="626">
        <v>0</v>
      </c>
      <c r="X14" s="626">
        <v>0</v>
      </c>
      <c r="Y14" s="626">
        <v>0</v>
      </c>
      <c r="Z14" s="626">
        <v>0</v>
      </c>
      <c r="AF14" s="522"/>
    </row>
    <row r="15" spans="1:44" s="448" customFormat="1" ht="18" customHeight="1">
      <c r="A15" s="503" t="s">
        <v>64</v>
      </c>
      <c r="B15" s="504" t="s">
        <v>63</v>
      </c>
      <c r="C15" s="505" t="s">
        <v>18</v>
      </c>
      <c r="D15" s="625">
        <v>95.21</v>
      </c>
      <c r="E15" s="626">
        <v>0</v>
      </c>
      <c r="F15" s="626">
        <v>0</v>
      </c>
      <c r="G15" s="626">
        <v>0</v>
      </c>
      <c r="H15" s="626">
        <v>0</v>
      </c>
      <c r="I15" s="626">
        <v>23.15</v>
      </c>
      <c r="J15" s="626">
        <v>0</v>
      </c>
      <c r="K15" s="626">
        <v>0</v>
      </c>
      <c r="L15" s="626">
        <v>0</v>
      </c>
      <c r="M15" s="626">
        <v>0</v>
      </c>
      <c r="N15" s="626">
        <v>0</v>
      </c>
      <c r="O15" s="626">
        <v>0</v>
      </c>
      <c r="P15" s="626">
        <v>45.87</v>
      </c>
      <c r="Q15" s="626">
        <v>0.03</v>
      </c>
      <c r="R15" s="626">
        <v>0</v>
      </c>
      <c r="S15" s="626">
        <v>0</v>
      </c>
      <c r="T15" s="626">
        <v>0</v>
      </c>
      <c r="U15" s="626">
        <v>0</v>
      </c>
      <c r="V15" s="626">
        <v>0</v>
      </c>
      <c r="W15" s="626">
        <v>0</v>
      </c>
      <c r="X15" s="626">
        <v>26.09</v>
      </c>
      <c r="Y15" s="626">
        <v>7.0000000000000007E-2</v>
      </c>
      <c r="Z15" s="626">
        <v>0</v>
      </c>
      <c r="AA15" s="522"/>
      <c r="AF15" s="522"/>
    </row>
    <row r="16" spans="1:44" s="518" customFormat="1" ht="28.5" customHeight="1">
      <c r="A16" s="513" t="s">
        <v>193</v>
      </c>
      <c r="B16" s="499" t="s">
        <v>2813</v>
      </c>
      <c r="C16" s="582" t="s">
        <v>187</v>
      </c>
      <c r="D16" s="627">
        <v>0</v>
      </c>
      <c r="E16" s="624">
        <v>0</v>
      </c>
      <c r="F16" s="624">
        <v>0</v>
      </c>
      <c r="G16" s="624">
        <v>0</v>
      </c>
      <c r="H16" s="624">
        <v>0</v>
      </c>
      <c r="I16" s="624">
        <v>0</v>
      </c>
      <c r="J16" s="624">
        <v>0</v>
      </c>
      <c r="K16" s="624">
        <v>0</v>
      </c>
      <c r="L16" s="624">
        <v>0</v>
      </c>
      <c r="M16" s="624">
        <v>0</v>
      </c>
      <c r="N16" s="624">
        <v>0</v>
      </c>
      <c r="O16" s="624">
        <v>0</v>
      </c>
      <c r="P16" s="624">
        <v>0</v>
      </c>
      <c r="Q16" s="624">
        <v>0</v>
      </c>
      <c r="R16" s="624">
        <v>0</v>
      </c>
      <c r="S16" s="624">
        <v>0</v>
      </c>
      <c r="T16" s="624">
        <v>0</v>
      </c>
      <c r="U16" s="624">
        <v>0</v>
      </c>
      <c r="V16" s="624">
        <v>0</v>
      </c>
      <c r="W16" s="624">
        <v>0</v>
      </c>
      <c r="X16" s="624">
        <v>0</v>
      </c>
      <c r="Y16" s="624">
        <v>0</v>
      </c>
      <c r="Z16" s="624">
        <v>0</v>
      </c>
      <c r="AA16" s="628"/>
      <c r="AF16" s="628"/>
    </row>
    <row r="17" spans="1:32" s="448" customFormat="1" ht="18" customHeight="1">
      <c r="A17" s="503" t="s">
        <v>73</v>
      </c>
      <c r="B17" s="504" t="s">
        <v>72</v>
      </c>
      <c r="C17" s="505" t="s">
        <v>19</v>
      </c>
      <c r="D17" s="625">
        <v>0</v>
      </c>
      <c r="E17" s="626">
        <v>0</v>
      </c>
      <c r="F17" s="626">
        <v>0</v>
      </c>
      <c r="G17" s="626">
        <v>0</v>
      </c>
      <c r="H17" s="626">
        <v>0</v>
      </c>
      <c r="I17" s="626">
        <v>0</v>
      </c>
      <c r="J17" s="626">
        <v>0</v>
      </c>
      <c r="K17" s="626">
        <v>0</v>
      </c>
      <c r="L17" s="626">
        <v>0</v>
      </c>
      <c r="M17" s="626">
        <v>0</v>
      </c>
      <c r="N17" s="626">
        <v>0</v>
      </c>
      <c r="O17" s="626">
        <v>0</v>
      </c>
      <c r="P17" s="626">
        <v>0</v>
      </c>
      <c r="Q17" s="626">
        <v>0</v>
      </c>
      <c r="R17" s="626">
        <v>0</v>
      </c>
      <c r="S17" s="626">
        <v>0</v>
      </c>
      <c r="T17" s="626">
        <v>0</v>
      </c>
      <c r="U17" s="626">
        <v>0</v>
      </c>
      <c r="V17" s="626">
        <v>0</v>
      </c>
      <c r="W17" s="626">
        <v>0</v>
      </c>
      <c r="X17" s="626">
        <v>0</v>
      </c>
      <c r="Y17" s="626">
        <v>0</v>
      </c>
      <c r="Z17" s="626">
        <v>0</v>
      </c>
      <c r="AF17" s="522"/>
    </row>
    <row r="18" spans="1:32" s="448" customFormat="1" ht="18" customHeight="1">
      <c r="A18" s="503" t="s">
        <v>86</v>
      </c>
      <c r="B18" s="504" t="s">
        <v>2749</v>
      </c>
      <c r="C18" s="505" t="s">
        <v>2752</v>
      </c>
      <c r="D18" s="625">
        <v>0</v>
      </c>
      <c r="E18" s="626">
        <v>0</v>
      </c>
      <c r="F18" s="626">
        <v>0</v>
      </c>
      <c r="G18" s="626">
        <v>0</v>
      </c>
      <c r="H18" s="626">
        <v>0</v>
      </c>
      <c r="I18" s="626">
        <v>0</v>
      </c>
      <c r="J18" s="626">
        <v>0</v>
      </c>
      <c r="K18" s="626">
        <v>0</v>
      </c>
      <c r="L18" s="626">
        <v>0</v>
      </c>
      <c r="M18" s="626">
        <v>0</v>
      </c>
      <c r="N18" s="626">
        <v>0</v>
      </c>
      <c r="O18" s="626">
        <v>0</v>
      </c>
      <c r="P18" s="626">
        <v>0</v>
      </c>
      <c r="Q18" s="626">
        <v>0</v>
      </c>
      <c r="R18" s="626">
        <v>0</v>
      </c>
      <c r="S18" s="626">
        <v>0</v>
      </c>
      <c r="T18" s="626">
        <v>0</v>
      </c>
      <c r="U18" s="626">
        <v>0</v>
      </c>
      <c r="V18" s="626">
        <v>0</v>
      </c>
      <c r="W18" s="626">
        <v>0</v>
      </c>
      <c r="X18" s="626">
        <v>0</v>
      </c>
      <c r="Y18" s="626">
        <v>0</v>
      </c>
      <c r="Z18" s="626">
        <v>0</v>
      </c>
      <c r="AF18" s="522"/>
    </row>
    <row r="19" spans="1:32" s="448" customFormat="1" ht="18" customHeight="1">
      <c r="A19" s="503" t="s">
        <v>2756</v>
      </c>
      <c r="B19" s="504" t="s">
        <v>89</v>
      </c>
      <c r="C19" s="503" t="s">
        <v>20</v>
      </c>
      <c r="D19" s="625">
        <v>3.59</v>
      </c>
      <c r="E19" s="626">
        <v>0</v>
      </c>
      <c r="F19" s="626">
        <v>0</v>
      </c>
      <c r="G19" s="626">
        <v>0</v>
      </c>
      <c r="H19" s="626">
        <v>0</v>
      </c>
      <c r="I19" s="626">
        <v>0.02</v>
      </c>
      <c r="J19" s="626">
        <v>0</v>
      </c>
      <c r="K19" s="626">
        <v>0</v>
      </c>
      <c r="L19" s="626">
        <v>0</v>
      </c>
      <c r="M19" s="626">
        <v>0</v>
      </c>
      <c r="N19" s="626">
        <v>0</v>
      </c>
      <c r="O19" s="626">
        <v>0</v>
      </c>
      <c r="P19" s="626">
        <v>0</v>
      </c>
      <c r="Q19" s="626">
        <v>0</v>
      </c>
      <c r="R19" s="626">
        <v>0</v>
      </c>
      <c r="S19" s="626">
        <v>0</v>
      </c>
      <c r="T19" s="626">
        <v>0</v>
      </c>
      <c r="U19" s="626">
        <v>0</v>
      </c>
      <c r="V19" s="626">
        <v>0</v>
      </c>
      <c r="W19" s="626">
        <v>0</v>
      </c>
      <c r="X19" s="626">
        <v>0</v>
      </c>
      <c r="Y19" s="626">
        <v>3.57</v>
      </c>
      <c r="Z19" s="626">
        <v>0</v>
      </c>
      <c r="AF19" s="522"/>
    </row>
    <row r="20" spans="1:32" s="495" customFormat="1" ht="18" customHeight="1">
      <c r="A20" s="461">
        <v>2</v>
      </c>
      <c r="B20" s="489" t="s">
        <v>21</v>
      </c>
      <c r="C20" s="490" t="s">
        <v>22</v>
      </c>
      <c r="D20" s="622">
        <v>38.54</v>
      </c>
      <c r="E20" s="623">
        <v>0.99</v>
      </c>
      <c r="F20" s="623">
        <v>3.13</v>
      </c>
      <c r="G20" s="623">
        <v>0.39999999999999997</v>
      </c>
      <c r="H20" s="623">
        <v>0.30000000000000004</v>
      </c>
      <c r="I20" s="623">
        <v>5.32</v>
      </c>
      <c r="J20" s="623">
        <v>1.03</v>
      </c>
      <c r="K20" s="623">
        <v>0.56999999999999995</v>
      </c>
      <c r="L20" s="623">
        <v>7.9099999999999993</v>
      </c>
      <c r="M20" s="623">
        <v>2.86</v>
      </c>
      <c r="N20" s="623">
        <v>1.1400000000000001</v>
      </c>
      <c r="O20" s="623">
        <v>4.9800000000000004</v>
      </c>
      <c r="P20" s="623">
        <v>0.16</v>
      </c>
      <c r="Q20" s="623">
        <v>0.08</v>
      </c>
      <c r="R20" s="623">
        <v>2.2599999999999998</v>
      </c>
      <c r="S20" s="623">
        <v>0.13</v>
      </c>
      <c r="T20" s="623">
        <v>0.17</v>
      </c>
      <c r="U20" s="623">
        <v>0.71</v>
      </c>
      <c r="V20" s="623">
        <v>2.46</v>
      </c>
      <c r="W20" s="623">
        <v>1.3900000000000001</v>
      </c>
      <c r="X20" s="623">
        <v>1.53</v>
      </c>
      <c r="Y20" s="623">
        <v>1.02</v>
      </c>
      <c r="Z20" s="623">
        <v>0</v>
      </c>
      <c r="AE20" s="629"/>
      <c r="AF20" s="539"/>
    </row>
    <row r="21" spans="1:32" s="495" customFormat="1" ht="18" customHeight="1">
      <c r="A21" s="461"/>
      <c r="B21" s="499" t="s">
        <v>190</v>
      </c>
      <c r="C21" s="490"/>
      <c r="D21" s="622"/>
      <c r="E21" s="623"/>
      <c r="F21" s="623"/>
      <c r="G21" s="623"/>
      <c r="H21" s="623"/>
      <c r="I21" s="623"/>
      <c r="J21" s="623"/>
      <c r="K21" s="623"/>
      <c r="L21" s="623"/>
      <c r="M21" s="623"/>
      <c r="N21" s="623"/>
      <c r="O21" s="623"/>
      <c r="P21" s="623"/>
      <c r="Q21" s="623"/>
      <c r="R21" s="623"/>
      <c r="S21" s="623"/>
      <c r="T21" s="623"/>
      <c r="U21" s="623"/>
      <c r="V21" s="623"/>
      <c r="W21" s="623"/>
      <c r="X21" s="623"/>
      <c r="Y21" s="623"/>
      <c r="Z21" s="623"/>
      <c r="AE21" s="629"/>
    </row>
    <row r="22" spans="1:32" s="448" customFormat="1" ht="18" customHeight="1">
      <c r="A22" s="503" t="s">
        <v>23</v>
      </c>
      <c r="B22" s="504" t="s">
        <v>65</v>
      </c>
      <c r="C22" s="505" t="s">
        <v>26</v>
      </c>
      <c r="D22" s="622">
        <v>0.72</v>
      </c>
      <c r="E22" s="626">
        <v>0</v>
      </c>
      <c r="F22" s="626">
        <v>0</v>
      </c>
      <c r="G22" s="626">
        <v>0</v>
      </c>
      <c r="H22" s="626">
        <v>0</v>
      </c>
      <c r="I22" s="626">
        <v>0.06</v>
      </c>
      <c r="J22" s="626">
        <v>0</v>
      </c>
      <c r="K22" s="626">
        <v>0</v>
      </c>
      <c r="L22" s="626">
        <v>0</v>
      </c>
      <c r="M22" s="626">
        <v>0</v>
      </c>
      <c r="N22" s="626">
        <v>0</v>
      </c>
      <c r="O22" s="626">
        <v>0</v>
      </c>
      <c r="P22" s="626">
        <v>0</v>
      </c>
      <c r="Q22" s="626">
        <v>0</v>
      </c>
      <c r="R22" s="626">
        <v>0</v>
      </c>
      <c r="S22" s="626">
        <v>0</v>
      </c>
      <c r="T22" s="626">
        <v>0</v>
      </c>
      <c r="U22" s="626">
        <v>0</v>
      </c>
      <c r="V22" s="626">
        <v>0.46</v>
      </c>
      <c r="W22" s="626">
        <v>0</v>
      </c>
      <c r="X22" s="626">
        <v>0</v>
      </c>
      <c r="Y22" s="626">
        <v>0.2</v>
      </c>
      <c r="Z22" s="626">
        <v>0</v>
      </c>
      <c r="AA22" s="522"/>
      <c r="AB22" s="522"/>
      <c r="AE22" s="630"/>
      <c r="AF22" s="522"/>
    </row>
    <row r="23" spans="1:32" s="448" customFormat="1" ht="18" customHeight="1">
      <c r="A23" s="503" t="s">
        <v>25</v>
      </c>
      <c r="B23" s="504" t="s">
        <v>66</v>
      </c>
      <c r="C23" s="505" t="s">
        <v>28</v>
      </c>
      <c r="D23" s="622">
        <v>0.01</v>
      </c>
      <c r="E23" s="626">
        <v>0</v>
      </c>
      <c r="F23" s="626">
        <v>0</v>
      </c>
      <c r="G23" s="626">
        <v>0</v>
      </c>
      <c r="H23" s="626">
        <v>0</v>
      </c>
      <c r="I23" s="626">
        <v>0</v>
      </c>
      <c r="J23" s="626">
        <v>0</v>
      </c>
      <c r="K23" s="626">
        <v>0</v>
      </c>
      <c r="L23" s="626">
        <v>0</v>
      </c>
      <c r="M23" s="626">
        <v>0.01</v>
      </c>
      <c r="N23" s="626">
        <v>0</v>
      </c>
      <c r="O23" s="626">
        <v>0</v>
      </c>
      <c r="P23" s="626">
        <v>0</v>
      </c>
      <c r="Q23" s="626">
        <v>0</v>
      </c>
      <c r="R23" s="626">
        <v>0</v>
      </c>
      <c r="S23" s="626">
        <v>0</v>
      </c>
      <c r="T23" s="626">
        <v>0</v>
      </c>
      <c r="U23" s="626">
        <v>0</v>
      </c>
      <c r="V23" s="626">
        <v>0</v>
      </c>
      <c r="W23" s="626">
        <v>0</v>
      </c>
      <c r="X23" s="626">
        <v>0</v>
      </c>
      <c r="Y23" s="626">
        <v>0</v>
      </c>
      <c r="Z23" s="626">
        <v>0</v>
      </c>
      <c r="AE23" s="630"/>
      <c r="AF23" s="522"/>
    </row>
    <row r="24" spans="1:32" s="448" customFormat="1" ht="18" customHeight="1">
      <c r="A24" s="503" t="s">
        <v>27</v>
      </c>
      <c r="B24" s="504" t="s">
        <v>67</v>
      </c>
      <c r="C24" s="503" t="s">
        <v>30</v>
      </c>
      <c r="D24" s="622">
        <v>0</v>
      </c>
      <c r="E24" s="626">
        <v>0</v>
      </c>
      <c r="F24" s="626">
        <v>0</v>
      </c>
      <c r="G24" s="626">
        <v>0</v>
      </c>
      <c r="H24" s="626">
        <v>0</v>
      </c>
      <c r="I24" s="626">
        <v>0</v>
      </c>
      <c r="J24" s="626">
        <v>0</v>
      </c>
      <c r="K24" s="626">
        <v>0</v>
      </c>
      <c r="L24" s="626">
        <v>0</v>
      </c>
      <c r="M24" s="626">
        <v>0</v>
      </c>
      <c r="N24" s="626">
        <v>0</v>
      </c>
      <c r="O24" s="626">
        <v>0</v>
      </c>
      <c r="P24" s="626">
        <v>0</v>
      </c>
      <c r="Q24" s="626">
        <v>0</v>
      </c>
      <c r="R24" s="626">
        <v>0</v>
      </c>
      <c r="S24" s="626">
        <v>0</v>
      </c>
      <c r="T24" s="626">
        <v>0</v>
      </c>
      <c r="U24" s="626">
        <v>0</v>
      </c>
      <c r="V24" s="626">
        <v>0</v>
      </c>
      <c r="W24" s="626">
        <v>0</v>
      </c>
      <c r="X24" s="626">
        <v>0</v>
      </c>
      <c r="Y24" s="626">
        <v>0</v>
      </c>
      <c r="Z24" s="626">
        <v>0</v>
      </c>
      <c r="AE24" s="630"/>
      <c r="AF24" s="522"/>
    </row>
    <row r="25" spans="1:32" s="448" customFormat="1" ht="18" customHeight="1">
      <c r="A25" s="503" t="s">
        <v>29</v>
      </c>
      <c r="B25" s="504" t="s">
        <v>90</v>
      </c>
      <c r="C25" s="505" t="s">
        <v>91</v>
      </c>
      <c r="D25" s="622">
        <v>3.17</v>
      </c>
      <c r="E25" s="626">
        <v>0</v>
      </c>
      <c r="F25" s="626">
        <v>0</v>
      </c>
      <c r="G25" s="626">
        <v>0</v>
      </c>
      <c r="H25" s="626">
        <v>0</v>
      </c>
      <c r="I25" s="626">
        <v>3.17</v>
      </c>
      <c r="J25" s="626">
        <v>0</v>
      </c>
      <c r="K25" s="626">
        <v>0</v>
      </c>
      <c r="L25" s="626">
        <v>0</v>
      </c>
      <c r="M25" s="626">
        <v>0</v>
      </c>
      <c r="N25" s="626">
        <v>0</v>
      </c>
      <c r="O25" s="626">
        <v>0</v>
      </c>
      <c r="P25" s="626">
        <v>0</v>
      </c>
      <c r="Q25" s="626">
        <v>0</v>
      </c>
      <c r="R25" s="626">
        <v>0</v>
      </c>
      <c r="S25" s="626">
        <v>0</v>
      </c>
      <c r="T25" s="626">
        <v>0</v>
      </c>
      <c r="U25" s="626">
        <v>0</v>
      </c>
      <c r="V25" s="626">
        <v>0</v>
      </c>
      <c r="W25" s="626">
        <v>0</v>
      </c>
      <c r="X25" s="626">
        <v>0</v>
      </c>
      <c r="Y25" s="626">
        <v>0</v>
      </c>
      <c r="Z25" s="626">
        <v>0</v>
      </c>
      <c r="AE25" s="630"/>
      <c r="AF25" s="522"/>
    </row>
    <row r="26" spans="1:32" s="448" customFormat="1" ht="18" customHeight="1">
      <c r="A26" s="503" t="s">
        <v>31</v>
      </c>
      <c r="B26" s="504" t="s">
        <v>379</v>
      </c>
      <c r="C26" s="505" t="s">
        <v>93</v>
      </c>
      <c r="D26" s="625">
        <v>0.94000000000000006</v>
      </c>
      <c r="E26" s="626">
        <v>0</v>
      </c>
      <c r="F26" s="626">
        <v>0.31</v>
      </c>
      <c r="G26" s="626">
        <v>0</v>
      </c>
      <c r="H26" s="626">
        <v>0</v>
      </c>
      <c r="I26" s="626">
        <v>0</v>
      </c>
      <c r="J26" s="626">
        <v>0</v>
      </c>
      <c r="K26" s="626">
        <v>0</v>
      </c>
      <c r="L26" s="626">
        <v>0.21</v>
      </c>
      <c r="M26" s="626">
        <v>0.26</v>
      </c>
      <c r="N26" s="626">
        <v>0</v>
      </c>
      <c r="O26" s="626">
        <v>0</v>
      </c>
      <c r="P26" s="626">
        <v>0</v>
      </c>
      <c r="Q26" s="626">
        <v>0</v>
      </c>
      <c r="R26" s="626">
        <v>0</v>
      </c>
      <c r="S26" s="626">
        <v>0</v>
      </c>
      <c r="T26" s="626">
        <v>0</v>
      </c>
      <c r="U26" s="626">
        <v>0</v>
      </c>
      <c r="V26" s="626">
        <v>0</v>
      </c>
      <c r="W26" s="626">
        <v>0</v>
      </c>
      <c r="X26" s="626">
        <v>0</v>
      </c>
      <c r="Y26" s="626">
        <v>0.16</v>
      </c>
      <c r="Z26" s="626">
        <v>0</v>
      </c>
      <c r="AE26" s="630"/>
      <c r="AF26" s="522"/>
    </row>
    <row r="27" spans="1:32" s="448" customFormat="1" ht="18" customHeight="1">
      <c r="A27" s="503" t="s">
        <v>33</v>
      </c>
      <c r="B27" s="504" t="s">
        <v>94</v>
      </c>
      <c r="C27" s="503" t="s">
        <v>32</v>
      </c>
      <c r="D27" s="625">
        <v>0.95</v>
      </c>
      <c r="E27" s="626">
        <v>0</v>
      </c>
      <c r="F27" s="626">
        <v>0.36</v>
      </c>
      <c r="G27" s="626">
        <v>0</v>
      </c>
      <c r="H27" s="626">
        <v>0.16</v>
      </c>
      <c r="I27" s="626">
        <v>0</v>
      </c>
      <c r="J27" s="626">
        <v>0</v>
      </c>
      <c r="K27" s="626">
        <v>0</v>
      </c>
      <c r="L27" s="626">
        <v>0</v>
      </c>
      <c r="M27" s="626">
        <v>0</v>
      </c>
      <c r="N27" s="626">
        <v>0</v>
      </c>
      <c r="O27" s="626">
        <v>0</v>
      </c>
      <c r="P27" s="626">
        <v>0</v>
      </c>
      <c r="Q27" s="626">
        <v>0.01</v>
      </c>
      <c r="R27" s="626">
        <v>0</v>
      </c>
      <c r="S27" s="626">
        <v>0</v>
      </c>
      <c r="T27" s="626">
        <v>0</v>
      </c>
      <c r="U27" s="626">
        <v>0</v>
      </c>
      <c r="V27" s="626">
        <v>0.13</v>
      </c>
      <c r="W27" s="626">
        <v>0</v>
      </c>
      <c r="X27" s="626">
        <v>0.08</v>
      </c>
      <c r="Y27" s="626">
        <v>0.21000000000000002</v>
      </c>
      <c r="Z27" s="626">
        <v>0</v>
      </c>
      <c r="AE27" s="630"/>
      <c r="AF27" s="522"/>
    </row>
    <row r="28" spans="1:32" s="448" customFormat="1" ht="18" customHeight="1">
      <c r="A28" s="503" t="s">
        <v>68</v>
      </c>
      <c r="B28" s="504" t="s">
        <v>106</v>
      </c>
      <c r="C28" s="526" t="s">
        <v>35</v>
      </c>
      <c r="D28" s="625">
        <v>5.8800000000000008</v>
      </c>
      <c r="E28" s="626">
        <v>0</v>
      </c>
      <c r="F28" s="626">
        <v>0.17</v>
      </c>
      <c r="G28" s="626">
        <v>0</v>
      </c>
      <c r="H28" s="626">
        <v>0</v>
      </c>
      <c r="I28" s="626">
        <v>0.33</v>
      </c>
      <c r="J28" s="626">
        <v>0.02</v>
      </c>
      <c r="K28" s="626">
        <v>0</v>
      </c>
      <c r="L28" s="626">
        <v>4.2299999999999995</v>
      </c>
      <c r="M28" s="626">
        <v>0</v>
      </c>
      <c r="N28" s="626">
        <v>0</v>
      </c>
      <c r="O28" s="626">
        <v>0</v>
      </c>
      <c r="P28" s="626">
        <v>0</v>
      </c>
      <c r="Q28" s="626">
        <v>0</v>
      </c>
      <c r="R28" s="626">
        <v>0.15000000000000002</v>
      </c>
      <c r="S28" s="626">
        <v>0</v>
      </c>
      <c r="T28" s="626">
        <v>0</v>
      </c>
      <c r="U28" s="626">
        <v>0</v>
      </c>
      <c r="V28" s="626">
        <v>0.98</v>
      </c>
      <c r="W28" s="626">
        <v>0</v>
      </c>
      <c r="X28" s="626">
        <v>0</v>
      </c>
      <c r="Y28" s="626">
        <v>0</v>
      </c>
      <c r="Z28" s="626">
        <v>0</v>
      </c>
      <c r="AE28" s="630"/>
      <c r="AF28" s="522"/>
    </row>
    <row r="29" spans="1:32" s="448" customFormat="1" ht="21" customHeight="1">
      <c r="A29" s="503" t="s">
        <v>69</v>
      </c>
      <c r="B29" s="418" t="s">
        <v>98</v>
      </c>
      <c r="C29" s="527" t="s">
        <v>34</v>
      </c>
      <c r="D29" s="625">
        <v>0</v>
      </c>
      <c r="E29" s="626">
        <v>0</v>
      </c>
      <c r="F29" s="626">
        <v>0</v>
      </c>
      <c r="G29" s="626">
        <v>0</v>
      </c>
      <c r="H29" s="626">
        <v>0</v>
      </c>
      <c r="I29" s="626">
        <v>0</v>
      </c>
      <c r="J29" s="626">
        <v>0</v>
      </c>
      <c r="K29" s="626">
        <v>0</v>
      </c>
      <c r="L29" s="626">
        <v>0</v>
      </c>
      <c r="M29" s="626">
        <v>0</v>
      </c>
      <c r="N29" s="626">
        <v>0</v>
      </c>
      <c r="O29" s="626">
        <v>0</v>
      </c>
      <c r="P29" s="626">
        <v>0</v>
      </c>
      <c r="Q29" s="626">
        <v>0</v>
      </c>
      <c r="R29" s="626">
        <v>0</v>
      </c>
      <c r="S29" s="626">
        <v>0</v>
      </c>
      <c r="T29" s="626">
        <v>0</v>
      </c>
      <c r="U29" s="626">
        <v>0</v>
      </c>
      <c r="V29" s="626">
        <v>0</v>
      </c>
      <c r="W29" s="626">
        <v>0</v>
      </c>
      <c r="X29" s="626">
        <v>0</v>
      </c>
      <c r="Y29" s="626">
        <v>0</v>
      </c>
      <c r="Z29" s="626">
        <v>0</v>
      </c>
      <c r="AE29" s="630"/>
      <c r="AF29" s="522"/>
    </row>
    <row r="30" spans="1:32" s="448" customFormat="1" ht="31.5">
      <c r="A30" s="503" t="s">
        <v>70</v>
      </c>
      <c r="B30" s="504" t="s">
        <v>125</v>
      </c>
      <c r="C30" s="503" t="s">
        <v>43</v>
      </c>
      <c r="D30" s="625">
        <v>21.810000000000006</v>
      </c>
      <c r="E30" s="626">
        <v>0.61</v>
      </c>
      <c r="F30" s="626">
        <v>1.83</v>
      </c>
      <c r="G30" s="626">
        <v>0.39999999999999997</v>
      </c>
      <c r="H30" s="626">
        <v>0.11000000000000001</v>
      </c>
      <c r="I30" s="626">
        <v>1.3900000000000001</v>
      </c>
      <c r="J30" s="626">
        <v>1.01</v>
      </c>
      <c r="K30" s="626">
        <v>0.47</v>
      </c>
      <c r="L30" s="626">
        <v>1.8399999999999999</v>
      </c>
      <c r="M30" s="626">
        <v>1.46</v>
      </c>
      <c r="N30" s="626">
        <v>1.1400000000000001</v>
      </c>
      <c r="O30" s="626">
        <v>4.95</v>
      </c>
      <c r="P30" s="626">
        <v>0.14000000000000001</v>
      </c>
      <c r="Q30" s="626">
        <v>7.0000000000000007E-2</v>
      </c>
      <c r="R30" s="626">
        <v>1.75</v>
      </c>
      <c r="S30" s="626">
        <v>0.13</v>
      </c>
      <c r="T30" s="626">
        <v>0.12000000000000001</v>
      </c>
      <c r="U30" s="626">
        <v>0.71</v>
      </c>
      <c r="V30" s="626">
        <v>0.85</v>
      </c>
      <c r="W30" s="626">
        <v>1.1400000000000001</v>
      </c>
      <c r="X30" s="626">
        <v>1.44</v>
      </c>
      <c r="Y30" s="626">
        <v>0.25</v>
      </c>
      <c r="Z30" s="626">
        <v>0</v>
      </c>
      <c r="AE30" s="630"/>
    </row>
    <row r="31" spans="1:32" s="518" customFormat="1" ht="18" customHeight="1">
      <c r="A31" s="513"/>
      <c r="B31" s="499" t="s">
        <v>190</v>
      </c>
      <c r="C31" s="513"/>
      <c r="D31" s="625">
        <v>0</v>
      </c>
      <c r="E31" s="626"/>
      <c r="F31" s="626"/>
      <c r="G31" s="626"/>
      <c r="H31" s="626"/>
      <c r="I31" s="626"/>
      <c r="J31" s="626"/>
      <c r="K31" s="626"/>
      <c r="L31" s="626"/>
      <c r="M31" s="626"/>
      <c r="N31" s="626"/>
      <c r="O31" s="626"/>
      <c r="P31" s="626"/>
      <c r="Q31" s="626"/>
      <c r="R31" s="626"/>
      <c r="S31" s="626"/>
      <c r="T31" s="626"/>
      <c r="U31" s="626"/>
      <c r="V31" s="626"/>
      <c r="W31" s="626"/>
      <c r="X31" s="626"/>
      <c r="Y31" s="626"/>
      <c r="Z31" s="626"/>
      <c r="AE31" s="631"/>
    </row>
    <row r="32" spans="1:32" s="518" customFormat="1" ht="18" customHeight="1">
      <c r="A32" s="513" t="s">
        <v>193</v>
      </c>
      <c r="B32" s="363" t="s">
        <v>122</v>
      </c>
      <c r="C32" s="364" t="s">
        <v>44</v>
      </c>
      <c r="D32" s="627">
        <v>7.0000000000000009</v>
      </c>
      <c r="E32" s="632">
        <v>0.22999999999999998</v>
      </c>
      <c r="F32" s="632">
        <v>0.67</v>
      </c>
      <c r="G32" s="632">
        <v>0.05</v>
      </c>
      <c r="H32" s="632">
        <v>7.0000000000000007E-2</v>
      </c>
      <c r="I32" s="632">
        <v>0.09</v>
      </c>
      <c r="J32" s="632">
        <v>0.36000000000000004</v>
      </c>
      <c r="K32" s="632">
        <v>0.1</v>
      </c>
      <c r="L32" s="632">
        <v>1.29</v>
      </c>
      <c r="M32" s="632">
        <v>0.35</v>
      </c>
      <c r="N32" s="632">
        <v>0.60000000000000009</v>
      </c>
      <c r="O32" s="632">
        <v>0.02</v>
      </c>
      <c r="P32" s="632">
        <v>0.12000000000000001</v>
      </c>
      <c r="Q32" s="632">
        <v>0</v>
      </c>
      <c r="R32" s="632">
        <v>0.56000000000000005</v>
      </c>
      <c r="S32" s="632">
        <v>0</v>
      </c>
      <c r="T32" s="632">
        <v>9.0000000000000011E-2</v>
      </c>
      <c r="U32" s="632">
        <v>0</v>
      </c>
      <c r="V32" s="632">
        <v>0.11</v>
      </c>
      <c r="W32" s="632">
        <v>0.99</v>
      </c>
      <c r="X32" s="632">
        <v>1.1299999999999999</v>
      </c>
      <c r="Y32" s="632">
        <v>0.17</v>
      </c>
      <c r="Z32" s="632">
        <v>0</v>
      </c>
      <c r="AE32" s="631"/>
      <c r="AF32" s="628"/>
    </row>
    <row r="33" spans="1:32" s="518" customFormat="1" ht="18" customHeight="1">
      <c r="A33" s="513" t="s">
        <v>193</v>
      </c>
      <c r="B33" s="363" t="s">
        <v>123</v>
      </c>
      <c r="C33" s="364" t="s">
        <v>45</v>
      </c>
      <c r="D33" s="627">
        <v>1.03</v>
      </c>
      <c r="E33" s="632">
        <v>0</v>
      </c>
      <c r="F33" s="632">
        <v>0</v>
      </c>
      <c r="G33" s="632">
        <v>0</v>
      </c>
      <c r="H33" s="632">
        <v>0</v>
      </c>
      <c r="I33" s="632">
        <v>0.38</v>
      </c>
      <c r="J33" s="632">
        <v>0</v>
      </c>
      <c r="K33" s="632">
        <v>0</v>
      </c>
      <c r="L33" s="632">
        <v>0</v>
      </c>
      <c r="M33" s="632">
        <v>0.26</v>
      </c>
      <c r="N33" s="632">
        <v>0</v>
      </c>
      <c r="O33" s="632">
        <v>0</v>
      </c>
      <c r="P33" s="632">
        <v>0.01</v>
      </c>
      <c r="Q33" s="632">
        <v>0</v>
      </c>
      <c r="R33" s="632">
        <v>0</v>
      </c>
      <c r="S33" s="632">
        <v>0</v>
      </c>
      <c r="T33" s="632">
        <v>0</v>
      </c>
      <c r="U33" s="632">
        <v>0</v>
      </c>
      <c r="V33" s="632">
        <v>0.30999999999999994</v>
      </c>
      <c r="W33" s="632">
        <v>7.0000000000000007E-2</v>
      </c>
      <c r="X33" s="632">
        <v>0</v>
      </c>
      <c r="Y33" s="632">
        <v>0</v>
      </c>
      <c r="Z33" s="632">
        <v>0</v>
      </c>
      <c r="AE33" s="631"/>
      <c r="AF33" s="628"/>
    </row>
    <row r="34" spans="1:32" s="518" customFormat="1" ht="18" customHeight="1">
      <c r="A34" s="513" t="s">
        <v>193</v>
      </c>
      <c r="B34" s="363" t="s">
        <v>127</v>
      </c>
      <c r="C34" s="364" t="s">
        <v>48</v>
      </c>
      <c r="D34" s="627">
        <v>0.42999999999999994</v>
      </c>
      <c r="E34" s="632">
        <v>0.01</v>
      </c>
      <c r="F34" s="632">
        <v>0</v>
      </c>
      <c r="G34" s="632">
        <v>0</v>
      </c>
      <c r="H34" s="632">
        <v>0</v>
      </c>
      <c r="I34" s="632">
        <v>7.0000000000000007E-2</v>
      </c>
      <c r="J34" s="632">
        <v>0.08</v>
      </c>
      <c r="K34" s="632">
        <v>0.15999999999999998</v>
      </c>
      <c r="L34" s="632">
        <v>0</v>
      </c>
      <c r="M34" s="632">
        <v>0.02</v>
      </c>
      <c r="N34" s="632">
        <v>0</v>
      </c>
      <c r="O34" s="632">
        <v>0</v>
      </c>
      <c r="P34" s="632">
        <v>0</v>
      </c>
      <c r="Q34" s="632">
        <v>0.04</v>
      </c>
      <c r="R34" s="632">
        <v>0</v>
      </c>
      <c r="S34" s="632">
        <v>0</v>
      </c>
      <c r="T34" s="632">
        <v>0.01</v>
      </c>
      <c r="U34" s="632">
        <v>0.01</v>
      </c>
      <c r="V34" s="632">
        <v>0.03</v>
      </c>
      <c r="W34" s="632">
        <v>0</v>
      </c>
      <c r="X34" s="632">
        <v>0</v>
      </c>
      <c r="Y34" s="632">
        <v>0</v>
      </c>
      <c r="Z34" s="632">
        <v>0</v>
      </c>
      <c r="AE34" s="631"/>
      <c r="AF34" s="628"/>
    </row>
    <row r="35" spans="1:32" s="518" customFormat="1" ht="18" customHeight="1">
      <c r="A35" s="513" t="s">
        <v>193</v>
      </c>
      <c r="B35" s="363" t="s">
        <v>129</v>
      </c>
      <c r="C35" s="364" t="s">
        <v>49</v>
      </c>
      <c r="D35" s="627">
        <v>0</v>
      </c>
      <c r="E35" s="632">
        <v>0</v>
      </c>
      <c r="F35" s="632">
        <v>0</v>
      </c>
      <c r="G35" s="632">
        <v>0</v>
      </c>
      <c r="H35" s="632">
        <v>0</v>
      </c>
      <c r="I35" s="632">
        <v>0</v>
      </c>
      <c r="J35" s="632">
        <v>0</v>
      </c>
      <c r="K35" s="632">
        <v>0</v>
      </c>
      <c r="L35" s="632">
        <v>0</v>
      </c>
      <c r="M35" s="632">
        <v>0</v>
      </c>
      <c r="N35" s="632">
        <v>0</v>
      </c>
      <c r="O35" s="632">
        <v>0</v>
      </c>
      <c r="P35" s="632">
        <v>0</v>
      </c>
      <c r="Q35" s="632">
        <v>0</v>
      </c>
      <c r="R35" s="632">
        <v>0</v>
      </c>
      <c r="S35" s="632">
        <v>0</v>
      </c>
      <c r="T35" s="632">
        <v>0</v>
      </c>
      <c r="U35" s="632">
        <v>0</v>
      </c>
      <c r="V35" s="632">
        <v>0</v>
      </c>
      <c r="W35" s="632">
        <v>0</v>
      </c>
      <c r="X35" s="632">
        <v>0</v>
      </c>
      <c r="Y35" s="632">
        <v>0</v>
      </c>
      <c r="Z35" s="632">
        <v>0</v>
      </c>
      <c r="AE35" s="631"/>
      <c r="AF35" s="628"/>
    </row>
    <row r="36" spans="1:32" s="518" customFormat="1" ht="18" customHeight="1">
      <c r="A36" s="513" t="s">
        <v>193</v>
      </c>
      <c r="B36" s="363" t="s">
        <v>220</v>
      </c>
      <c r="C36" s="364" t="s">
        <v>50</v>
      </c>
      <c r="D36" s="627">
        <v>0.33</v>
      </c>
      <c r="E36" s="632">
        <v>0.03</v>
      </c>
      <c r="F36" s="632">
        <v>0.05</v>
      </c>
      <c r="G36" s="632">
        <v>0</v>
      </c>
      <c r="H36" s="632">
        <v>0</v>
      </c>
      <c r="I36" s="632">
        <v>0</v>
      </c>
      <c r="J36" s="632">
        <v>0</v>
      </c>
      <c r="K36" s="632">
        <v>0</v>
      </c>
      <c r="L36" s="632">
        <v>0.01</v>
      </c>
      <c r="M36" s="632">
        <v>0.02</v>
      </c>
      <c r="N36" s="632">
        <v>0.05</v>
      </c>
      <c r="O36" s="632">
        <v>7.0000000000000007E-2</v>
      </c>
      <c r="P36" s="632">
        <v>0</v>
      </c>
      <c r="Q36" s="632">
        <v>0</v>
      </c>
      <c r="R36" s="632">
        <v>0</v>
      </c>
      <c r="S36" s="632">
        <v>0</v>
      </c>
      <c r="T36" s="632">
        <v>0.02</v>
      </c>
      <c r="U36" s="632">
        <v>0</v>
      </c>
      <c r="V36" s="632">
        <v>0</v>
      </c>
      <c r="W36" s="632">
        <v>0.08</v>
      </c>
      <c r="X36" s="632">
        <v>0</v>
      </c>
      <c r="Y36" s="632">
        <v>0</v>
      </c>
      <c r="Z36" s="632">
        <v>0</v>
      </c>
      <c r="AE36" s="631"/>
      <c r="AF36" s="628"/>
    </row>
    <row r="37" spans="1:32" s="518" customFormat="1" ht="18" customHeight="1">
      <c r="A37" s="513" t="s">
        <v>193</v>
      </c>
      <c r="B37" s="363" t="s">
        <v>131</v>
      </c>
      <c r="C37" s="364" t="s">
        <v>51</v>
      </c>
      <c r="D37" s="627">
        <v>0.47</v>
      </c>
      <c r="E37" s="632">
        <v>0</v>
      </c>
      <c r="F37" s="632">
        <v>0</v>
      </c>
      <c r="G37" s="632">
        <v>0</v>
      </c>
      <c r="H37" s="632">
        <v>0</v>
      </c>
      <c r="I37" s="632">
        <v>0.11</v>
      </c>
      <c r="J37" s="632">
        <v>0</v>
      </c>
      <c r="K37" s="632">
        <v>0.04</v>
      </c>
      <c r="L37" s="632">
        <v>0.15</v>
      </c>
      <c r="M37" s="632">
        <v>0.11</v>
      </c>
      <c r="N37" s="632">
        <v>0</v>
      </c>
      <c r="O37" s="632">
        <v>0</v>
      </c>
      <c r="P37" s="632">
        <v>0</v>
      </c>
      <c r="Q37" s="632">
        <v>0</v>
      </c>
      <c r="R37" s="632">
        <v>0.03</v>
      </c>
      <c r="S37" s="632">
        <v>0</v>
      </c>
      <c r="T37" s="632">
        <v>0</v>
      </c>
      <c r="U37" s="632">
        <v>0</v>
      </c>
      <c r="V37" s="632">
        <v>0</v>
      </c>
      <c r="W37" s="632">
        <v>0</v>
      </c>
      <c r="X37" s="632">
        <v>0.03</v>
      </c>
      <c r="Y37" s="632">
        <v>0</v>
      </c>
      <c r="Z37" s="632">
        <v>0</v>
      </c>
      <c r="AE37" s="631"/>
      <c r="AF37" s="628"/>
    </row>
    <row r="38" spans="1:32" s="518" customFormat="1" ht="18" customHeight="1">
      <c r="A38" s="513" t="s">
        <v>193</v>
      </c>
      <c r="B38" s="363" t="s">
        <v>134</v>
      </c>
      <c r="C38" s="364" t="s">
        <v>46</v>
      </c>
      <c r="D38" s="627">
        <v>3.6400000000000006</v>
      </c>
      <c r="E38" s="632">
        <v>0.22</v>
      </c>
      <c r="F38" s="632">
        <v>6.0000000000000005E-2</v>
      </c>
      <c r="G38" s="632">
        <v>0.35</v>
      </c>
      <c r="H38" s="632">
        <v>0.04</v>
      </c>
      <c r="I38" s="632">
        <v>6.0000000000000005E-2</v>
      </c>
      <c r="J38" s="632">
        <v>0.14000000000000001</v>
      </c>
      <c r="K38" s="632">
        <v>0.05</v>
      </c>
      <c r="L38" s="632">
        <v>0.03</v>
      </c>
      <c r="M38" s="632">
        <v>0.7</v>
      </c>
      <c r="N38" s="632">
        <v>0.03</v>
      </c>
      <c r="O38" s="632">
        <v>0</v>
      </c>
      <c r="P38" s="632">
        <v>0.01</v>
      </c>
      <c r="Q38" s="632">
        <v>0.03</v>
      </c>
      <c r="R38" s="632">
        <v>0.76</v>
      </c>
      <c r="S38" s="632">
        <v>0</v>
      </c>
      <c r="T38" s="632">
        <v>0</v>
      </c>
      <c r="U38" s="632">
        <v>0.7</v>
      </c>
      <c r="V38" s="632">
        <v>0.17</v>
      </c>
      <c r="W38" s="632">
        <v>0</v>
      </c>
      <c r="X38" s="632">
        <v>0.28000000000000003</v>
      </c>
      <c r="Y38" s="632">
        <v>0.01</v>
      </c>
      <c r="Z38" s="632">
        <v>0</v>
      </c>
      <c r="AE38" s="631"/>
      <c r="AF38" s="628"/>
    </row>
    <row r="39" spans="1:32" s="518" customFormat="1" ht="18" customHeight="1">
      <c r="A39" s="513" t="s">
        <v>193</v>
      </c>
      <c r="B39" s="363" t="s">
        <v>2817</v>
      </c>
      <c r="C39" s="364" t="s">
        <v>47</v>
      </c>
      <c r="D39" s="627">
        <v>7.0000000000000007E-2</v>
      </c>
      <c r="E39" s="632">
        <v>0</v>
      </c>
      <c r="F39" s="632">
        <v>0</v>
      </c>
      <c r="G39" s="632">
        <v>0</v>
      </c>
      <c r="H39" s="632">
        <v>0</v>
      </c>
      <c r="I39" s="632">
        <v>0</v>
      </c>
      <c r="J39" s="632">
        <v>0</v>
      </c>
      <c r="K39" s="632">
        <v>7.0000000000000007E-2</v>
      </c>
      <c r="L39" s="632">
        <v>0</v>
      </c>
      <c r="M39" s="632">
        <v>0</v>
      </c>
      <c r="N39" s="632">
        <v>0</v>
      </c>
      <c r="O39" s="632">
        <v>0</v>
      </c>
      <c r="P39" s="632">
        <v>0</v>
      </c>
      <c r="Q39" s="632">
        <v>0</v>
      </c>
      <c r="R39" s="632">
        <v>0</v>
      </c>
      <c r="S39" s="632">
        <v>0</v>
      </c>
      <c r="T39" s="632">
        <v>0</v>
      </c>
      <c r="U39" s="632">
        <v>0</v>
      </c>
      <c r="V39" s="632">
        <v>0</v>
      </c>
      <c r="W39" s="632">
        <v>0</v>
      </c>
      <c r="X39" s="632">
        <v>0</v>
      </c>
      <c r="Y39" s="632">
        <v>0</v>
      </c>
      <c r="Z39" s="632">
        <v>0</v>
      </c>
      <c r="AE39" s="631"/>
      <c r="AF39" s="628"/>
    </row>
    <row r="40" spans="1:32" s="518" customFormat="1" ht="18" customHeight="1">
      <c r="A40" s="513" t="s">
        <v>193</v>
      </c>
      <c r="B40" s="363" t="s">
        <v>2761</v>
      </c>
      <c r="C40" s="364" t="s">
        <v>2762</v>
      </c>
      <c r="D40" s="627">
        <v>0</v>
      </c>
      <c r="E40" s="632">
        <v>0</v>
      </c>
      <c r="F40" s="632">
        <v>0</v>
      </c>
      <c r="G40" s="632">
        <v>0</v>
      </c>
      <c r="H40" s="632">
        <v>0</v>
      </c>
      <c r="I40" s="632">
        <v>0</v>
      </c>
      <c r="J40" s="632">
        <v>0</v>
      </c>
      <c r="K40" s="632">
        <v>0</v>
      </c>
      <c r="L40" s="632">
        <v>0</v>
      </c>
      <c r="M40" s="632">
        <v>0</v>
      </c>
      <c r="N40" s="632">
        <v>0</v>
      </c>
      <c r="O40" s="632">
        <v>0</v>
      </c>
      <c r="P40" s="632">
        <v>0</v>
      </c>
      <c r="Q40" s="632">
        <v>0</v>
      </c>
      <c r="R40" s="632">
        <v>0</v>
      </c>
      <c r="S40" s="632">
        <v>0</v>
      </c>
      <c r="T40" s="632">
        <v>0</v>
      </c>
      <c r="U40" s="632">
        <v>0</v>
      </c>
      <c r="V40" s="632">
        <v>0</v>
      </c>
      <c r="W40" s="632">
        <v>0</v>
      </c>
      <c r="X40" s="632">
        <v>0</v>
      </c>
      <c r="Y40" s="632">
        <v>0</v>
      </c>
      <c r="Z40" s="632">
        <v>0</v>
      </c>
      <c r="AE40" s="631"/>
      <c r="AF40" s="628"/>
    </row>
    <row r="41" spans="1:32" s="518" customFormat="1" ht="31.5">
      <c r="A41" s="513" t="s">
        <v>193</v>
      </c>
      <c r="B41" s="363" t="s">
        <v>2763</v>
      </c>
      <c r="C41" s="364" t="s">
        <v>2764</v>
      </c>
      <c r="D41" s="627">
        <v>5.29</v>
      </c>
      <c r="E41" s="632">
        <v>0</v>
      </c>
      <c r="F41" s="632">
        <v>0</v>
      </c>
      <c r="G41" s="632">
        <v>0</v>
      </c>
      <c r="H41" s="632">
        <v>0</v>
      </c>
      <c r="I41" s="632">
        <v>0</v>
      </c>
      <c r="J41" s="632">
        <v>0.01</v>
      </c>
      <c r="K41" s="632">
        <v>0</v>
      </c>
      <c r="L41" s="632">
        <v>0.36</v>
      </c>
      <c r="M41" s="632">
        <v>0</v>
      </c>
      <c r="N41" s="632">
        <v>0</v>
      </c>
      <c r="O41" s="632">
        <v>4.8600000000000003</v>
      </c>
      <c r="P41" s="632">
        <v>0</v>
      </c>
      <c r="Q41" s="632">
        <v>0</v>
      </c>
      <c r="R41" s="632">
        <v>0</v>
      </c>
      <c r="S41" s="632">
        <v>0</v>
      </c>
      <c r="T41" s="632">
        <v>0</v>
      </c>
      <c r="U41" s="632">
        <v>0</v>
      </c>
      <c r="V41" s="632">
        <v>0</v>
      </c>
      <c r="W41" s="632">
        <v>0</v>
      </c>
      <c r="X41" s="632">
        <v>0</v>
      </c>
      <c r="Y41" s="632">
        <v>0.06</v>
      </c>
      <c r="Z41" s="632">
        <v>0</v>
      </c>
      <c r="AE41" s="631"/>
      <c r="AF41" s="628"/>
    </row>
    <row r="42" spans="1:32" s="518" customFormat="1" ht="18" customHeight="1">
      <c r="A42" s="513" t="s">
        <v>193</v>
      </c>
      <c r="B42" s="363" t="s">
        <v>2765</v>
      </c>
      <c r="C42" s="364" t="s">
        <v>37</v>
      </c>
      <c r="D42" s="627">
        <v>3.1599999999999997</v>
      </c>
      <c r="E42" s="632">
        <v>0.01</v>
      </c>
      <c r="F42" s="632">
        <v>1.05</v>
      </c>
      <c r="G42" s="632">
        <v>0</v>
      </c>
      <c r="H42" s="632">
        <v>0</v>
      </c>
      <c r="I42" s="632">
        <v>0.6</v>
      </c>
      <c r="J42" s="632">
        <v>0.4</v>
      </c>
      <c r="K42" s="632">
        <v>0</v>
      </c>
      <c r="L42" s="632">
        <v>0</v>
      </c>
      <c r="M42" s="632">
        <v>0</v>
      </c>
      <c r="N42" s="632">
        <v>0.46</v>
      </c>
      <c r="O42" s="632">
        <v>0</v>
      </c>
      <c r="P42" s="632">
        <v>0</v>
      </c>
      <c r="Q42" s="632">
        <v>0</v>
      </c>
      <c r="R42" s="632">
        <v>0.4</v>
      </c>
      <c r="S42" s="632">
        <v>0</v>
      </c>
      <c r="T42" s="632">
        <v>0</v>
      </c>
      <c r="U42" s="632">
        <v>0</v>
      </c>
      <c r="V42" s="632">
        <v>0.23</v>
      </c>
      <c r="W42" s="632">
        <v>0</v>
      </c>
      <c r="X42" s="632">
        <v>0</v>
      </c>
      <c r="Y42" s="632">
        <v>0.01</v>
      </c>
      <c r="Z42" s="632">
        <v>0</v>
      </c>
      <c r="AE42" s="631"/>
      <c r="AF42" s="628"/>
    </row>
    <row r="43" spans="1:32" s="518" customFormat="1" ht="18" customHeight="1">
      <c r="A43" s="513" t="s">
        <v>193</v>
      </c>
      <c r="B43" s="363" t="s">
        <v>111</v>
      </c>
      <c r="C43" s="364" t="s">
        <v>38</v>
      </c>
      <c r="D43" s="627">
        <v>0</v>
      </c>
      <c r="E43" s="632">
        <v>0</v>
      </c>
      <c r="F43" s="632">
        <v>0</v>
      </c>
      <c r="G43" s="632">
        <v>0</v>
      </c>
      <c r="H43" s="632">
        <v>0</v>
      </c>
      <c r="I43" s="632">
        <v>0</v>
      </c>
      <c r="J43" s="632">
        <v>0</v>
      </c>
      <c r="K43" s="632">
        <v>0</v>
      </c>
      <c r="L43" s="632">
        <v>0</v>
      </c>
      <c r="M43" s="632">
        <v>0</v>
      </c>
      <c r="N43" s="632">
        <v>0</v>
      </c>
      <c r="O43" s="632">
        <v>0</v>
      </c>
      <c r="P43" s="632">
        <v>0</v>
      </c>
      <c r="Q43" s="632">
        <v>0</v>
      </c>
      <c r="R43" s="632">
        <v>0</v>
      </c>
      <c r="S43" s="632">
        <v>0</v>
      </c>
      <c r="T43" s="632">
        <v>0</v>
      </c>
      <c r="U43" s="632">
        <v>0</v>
      </c>
      <c r="V43" s="632">
        <v>0</v>
      </c>
      <c r="W43" s="632">
        <v>0</v>
      </c>
      <c r="X43" s="632">
        <v>0</v>
      </c>
      <c r="Y43" s="632">
        <v>0</v>
      </c>
      <c r="Z43" s="632">
        <v>0</v>
      </c>
      <c r="AE43" s="631"/>
      <c r="AF43" s="628"/>
    </row>
    <row r="44" spans="1:32" s="518" customFormat="1" ht="31.5">
      <c r="A44" s="513" t="s">
        <v>193</v>
      </c>
      <c r="B44" s="363" t="s">
        <v>2818</v>
      </c>
      <c r="C44" s="364" t="s">
        <v>40</v>
      </c>
      <c r="D44" s="627">
        <v>0</v>
      </c>
      <c r="E44" s="632">
        <v>0</v>
      </c>
      <c r="F44" s="632">
        <v>0</v>
      </c>
      <c r="G44" s="632">
        <v>0</v>
      </c>
      <c r="H44" s="632">
        <v>0</v>
      </c>
      <c r="I44" s="632">
        <v>0</v>
      </c>
      <c r="J44" s="632">
        <v>0</v>
      </c>
      <c r="K44" s="632">
        <v>0</v>
      </c>
      <c r="L44" s="632">
        <v>0</v>
      </c>
      <c r="M44" s="632">
        <v>0</v>
      </c>
      <c r="N44" s="632">
        <v>0</v>
      </c>
      <c r="O44" s="632">
        <v>0</v>
      </c>
      <c r="P44" s="632">
        <v>0</v>
      </c>
      <c r="Q44" s="632">
        <v>0</v>
      </c>
      <c r="R44" s="632">
        <v>0</v>
      </c>
      <c r="S44" s="632">
        <v>0</v>
      </c>
      <c r="T44" s="632">
        <v>0</v>
      </c>
      <c r="U44" s="632">
        <v>0</v>
      </c>
      <c r="V44" s="632">
        <v>0</v>
      </c>
      <c r="W44" s="632">
        <v>0</v>
      </c>
      <c r="X44" s="632">
        <v>0</v>
      </c>
      <c r="Y44" s="632">
        <v>0</v>
      </c>
      <c r="Z44" s="632">
        <v>0</v>
      </c>
      <c r="AE44" s="631"/>
      <c r="AF44" s="628"/>
    </row>
    <row r="45" spans="1:32" s="518" customFormat="1" ht="18" customHeight="1">
      <c r="A45" s="513" t="s">
        <v>193</v>
      </c>
      <c r="B45" s="363" t="s">
        <v>2819</v>
      </c>
      <c r="C45" s="364" t="s">
        <v>52</v>
      </c>
      <c r="D45" s="627">
        <v>0</v>
      </c>
      <c r="E45" s="632">
        <v>0</v>
      </c>
      <c r="F45" s="632">
        <v>0</v>
      </c>
      <c r="G45" s="632">
        <v>0</v>
      </c>
      <c r="H45" s="632">
        <v>0</v>
      </c>
      <c r="I45" s="632">
        <v>0</v>
      </c>
      <c r="J45" s="632">
        <v>0</v>
      </c>
      <c r="K45" s="632">
        <v>0</v>
      </c>
      <c r="L45" s="632">
        <v>0</v>
      </c>
      <c r="M45" s="632">
        <v>0</v>
      </c>
      <c r="N45" s="632">
        <v>0</v>
      </c>
      <c r="O45" s="632">
        <v>0</v>
      </c>
      <c r="P45" s="632">
        <v>0</v>
      </c>
      <c r="Q45" s="632">
        <v>0</v>
      </c>
      <c r="R45" s="632">
        <v>0</v>
      </c>
      <c r="S45" s="632">
        <v>0</v>
      </c>
      <c r="T45" s="632">
        <v>0</v>
      </c>
      <c r="U45" s="632">
        <v>0</v>
      </c>
      <c r="V45" s="632">
        <v>0</v>
      </c>
      <c r="W45" s="632">
        <v>0</v>
      </c>
      <c r="X45" s="632">
        <v>0</v>
      </c>
      <c r="Y45" s="632">
        <v>0</v>
      </c>
      <c r="Z45" s="632">
        <v>0</v>
      </c>
      <c r="AE45" s="631"/>
      <c r="AF45" s="628"/>
    </row>
    <row r="46" spans="1:32" s="518" customFormat="1" ht="18" customHeight="1">
      <c r="A46" s="513" t="s">
        <v>193</v>
      </c>
      <c r="B46" s="363" t="s">
        <v>128</v>
      </c>
      <c r="C46" s="364" t="s">
        <v>53</v>
      </c>
      <c r="D46" s="627">
        <v>0.02</v>
      </c>
      <c r="E46" s="632">
        <v>0</v>
      </c>
      <c r="F46" s="632">
        <v>0</v>
      </c>
      <c r="G46" s="632">
        <v>0</v>
      </c>
      <c r="H46" s="632">
        <v>0</v>
      </c>
      <c r="I46" s="632">
        <v>0</v>
      </c>
      <c r="J46" s="632">
        <v>0.02</v>
      </c>
      <c r="K46" s="632">
        <v>0</v>
      </c>
      <c r="L46" s="632">
        <v>0</v>
      </c>
      <c r="M46" s="632">
        <v>0</v>
      </c>
      <c r="N46" s="632">
        <v>0</v>
      </c>
      <c r="O46" s="632">
        <v>0</v>
      </c>
      <c r="P46" s="632">
        <v>0</v>
      </c>
      <c r="Q46" s="632">
        <v>0</v>
      </c>
      <c r="R46" s="632">
        <v>0</v>
      </c>
      <c r="S46" s="632">
        <v>0</v>
      </c>
      <c r="T46" s="632">
        <v>0</v>
      </c>
      <c r="U46" s="632">
        <v>0</v>
      </c>
      <c r="V46" s="632">
        <v>0</v>
      </c>
      <c r="W46" s="632">
        <v>0</v>
      </c>
      <c r="X46" s="632">
        <v>0</v>
      </c>
      <c r="Y46" s="632">
        <v>0</v>
      </c>
      <c r="Z46" s="632">
        <v>0</v>
      </c>
      <c r="AE46" s="631"/>
      <c r="AF46" s="628"/>
    </row>
    <row r="47" spans="1:32" s="518" customFormat="1" ht="15.75">
      <c r="A47" s="513" t="s">
        <v>193</v>
      </c>
      <c r="B47" s="363" t="s">
        <v>124</v>
      </c>
      <c r="C47" s="364" t="s">
        <v>54</v>
      </c>
      <c r="D47" s="627">
        <v>0.37</v>
      </c>
      <c r="E47" s="632">
        <v>0.11</v>
      </c>
      <c r="F47" s="632">
        <v>0</v>
      </c>
      <c r="G47" s="632">
        <v>0</v>
      </c>
      <c r="H47" s="632">
        <v>0</v>
      </c>
      <c r="I47" s="632">
        <v>0.08</v>
      </c>
      <c r="J47" s="632">
        <v>0</v>
      </c>
      <c r="K47" s="632">
        <v>0.05</v>
      </c>
      <c r="L47" s="632">
        <v>0</v>
      </c>
      <c r="M47" s="632">
        <v>0</v>
      </c>
      <c r="N47" s="632">
        <v>0</v>
      </c>
      <c r="O47" s="632">
        <v>0</v>
      </c>
      <c r="P47" s="632">
        <v>0</v>
      </c>
      <c r="Q47" s="632">
        <v>0</v>
      </c>
      <c r="R47" s="632">
        <v>0</v>
      </c>
      <c r="S47" s="632">
        <v>0.13</v>
      </c>
      <c r="T47" s="632">
        <v>0</v>
      </c>
      <c r="U47" s="632">
        <v>0</v>
      </c>
      <c r="V47" s="632">
        <v>0</v>
      </c>
      <c r="W47" s="632">
        <v>0</v>
      </c>
      <c r="X47" s="632">
        <v>0</v>
      </c>
      <c r="Y47" s="632">
        <v>0</v>
      </c>
      <c r="Z47" s="632">
        <v>0</v>
      </c>
      <c r="AE47" s="631"/>
      <c r="AF47" s="628"/>
    </row>
    <row r="48" spans="1:32" s="448" customFormat="1" ht="15.75">
      <c r="A48" s="503" t="s">
        <v>71</v>
      </c>
      <c r="B48" s="538" t="s">
        <v>2770</v>
      </c>
      <c r="C48" s="527" t="s">
        <v>2771</v>
      </c>
      <c r="D48" s="625">
        <v>0.01</v>
      </c>
      <c r="E48" s="626">
        <v>0</v>
      </c>
      <c r="F48" s="626">
        <v>0</v>
      </c>
      <c r="G48" s="626">
        <v>0</v>
      </c>
      <c r="H48" s="626">
        <v>0</v>
      </c>
      <c r="I48" s="626">
        <v>0</v>
      </c>
      <c r="J48" s="626">
        <v>0</v>
      </c>
      <c r="K48" s="626">
        <v>0</v>
      </c>
      <c r="L48" s="626">
        <v>0</v>
      </c>
      <c r="M48" s="626">
        <v>0</v>
      </c>
      <c r="N48" s="626">
        <v>0</v>
      </c>
      <c r="O48" s="626">
        <v>0</v>
      </c>
      <c r="P48" s="626">
        <v>0.01</v>
      </c>
      <c r="Q48" s="626">
        <v>0</v>
      </c>
      <c r="R48" s="626">
        <v>0</v>
      </c>
      <c r="S48" s="626">
        <v>0</v>
      </c>
      <c r="T48" s="626">
        <v>0</v>
      </c>
      <c r="U48" s="626">
        <v>0</v>
      </c>
      <c r="V48" s="626">
        <v>0</v>
      </c>
      <c r="W48" s="626">
        <v>0</v>
      </c>
      <c r="X48" s="626">
        <v>0</v>
      </c>
      <c r="Y48" s="626">
        <v>0</v>
      </c>
      <c r="Z48" s="626">
        <v>0</v>
      </c>
      <c r="AA48" s="522"/>
      <c r="AE48" s="630"/>
      <c r="AF48" s="522"/>
    </row>
    <row r="49" spans="1:32" s="448" customFormat="1" ht="18" customHeight="1">
      <c r="A49" s="503" t="s">
        <v>74</v>
      </c>
      <c r="B49" s="538" t="s">
        <v>2772</v>
      </c>
      <c r="C49" s="527" t="s">
        <v>2773</v>
      </c>
      <c r="D49" s="625">
        <v>0.28999999999999998</v>
      </c>
      <c r="E49" s="626">
        <v>0.28999999999999998</v>
      </c>
      <c r="F49" s="626">
        <v>0</v>
      </c>
      <c r="G49" s="626">
        <v>0</v>
      </c>
      <c r="H49" s="626">
        <v>0</v>
      </c>
      <c r="I49" s="626">
        <v>0</v>
      </c>
      <c r="J49" s="626">
        <v>0</v>
      </c>
      <c r="K49" s="626">
        <v>0</v>
      </c>
      <c r="L49" s="626">
        <v>0</v>
      </c>
      <c r="M49" s="626">
        <v>0</v>
      </c>
      <c r="N49" s="626">
        <v>0</v>
      </c>
      <c r="O49" s="626">
        <v>0</v>
      </c>
      <c r="P49" s="626">
        <v>0</v>
      </c>
      <c r="Q49" s="626">
        <v>0</v>
      </c>
      <c r="R49" s="626">
        <v>0</v>
      </c>
      <c r="S49" s="626">
        <v>0</v>
      </c>
      <c r="T49" s="626">
        <v>0</v>
      </c>
      <c r="U49" s="626">
        <v>0</v>
      </c>
      <c r="V49" s="626">
        <v>0</v>
      </c>
      <c r="W49" s="626">
        <v>0</v>
      </c>
      <c r="X49" s="626">
        <v>0</v>
      </c>
      <c r="Y49" s="626">
        <v>0</v>
      </c>
      <c r="Z49" s="626">
        <v>0</v>
      </c>
      <c r="AE49" s="630"/>
      <c r="AF49" s="522"/>
    </row>
    <row r="50" spans="1:32" s="448" customFormat="1" ht="18" customHeight="1">
      <c r="A50" s="503" t="s">
        <v>75</v>
      </c>
      <c r="B50" s="538" t="s">
        <v>1251</v>
      </c>
      <c r="C50" s="527" t="s">
        <v>113</v>
      </c>
      <c r="D50" s="625">
        <v>1.2200000000000002</v>
      </c>
      <c r="E50" s="626">
        <v>0.05</v>
      </c>
      <c r="F50" s="626">
        <v>0</v>
      </c>
      <c r="G50" s="626">
        <v>0</v>
      </c>
      <c r="H50" s="626">
        <v>0.03</v>
      </c>
      <c r="I50" s="626">
        <v>0</v>
      </c>
      <c r="J50" s="626">
        <v>0</v>
      </c>
      <c r="K50" s="626">
        <v>0</v>
      </c>
      <c r="L50" s="626">
        <v>1.1100000000000001</v>
      </c>
      <c r="M50" s="626">
        <v>0</v>
      </c>
      <c r="N50" s="626">
        <v>0</v>
      </c>
      <c r="O50" s="626">
        <v>0.03</v>
      </c>
      <c r="P50" s="626">
        <v>0</v>
      </c>
      <c r="Q50" s="626">
        <v>0</v>
      </c>
      <c r="R50" s="626">
        <v>0</v>
      </c>
      <c r="S50" s="626">
        <v>0</v>
      </c>
      <c r="T50" s="626">
        <v>0</v>
      </c>
      <c r="U50" s="626">
        <v>0</v>
      </c>
      <c r="V50" s="626">
        <v>0</v>
      </c>
      <c r="W50" s="626">
        <v>0</v>
      </c>
      <c r="X50" s="626">
        <v>0</v>
      </c>
      <c r="Y50" s="626">
        <v>0</v>
      </c>
      <c r="Z50" s="626">
        <v>0</v>
      </c>
      <c r="AE50" s="630"/>
      <c r="AF50" s="522"/>
    </row>
    <row r="51" spans="1:32" s="448" customFormat="1" ht="18" customHeight="1">
      <c r="A51" s="503" t="s">
        <v>76</v>
      </c>
      <c r="B51" s="538" t="s">
        <v>107</v>
      </c>
      <c r="C51" s="527" t="s">
        <v>59</v>
      </c>
      <c r="D51" s="625">
        <v>0.64</v>
      </c>
      <c r="E51" s="626">
        <v>0</v>
      </c>
      <c r="F51" s="626">
        <v>0</v>
      </c>
      <c r="G51" s="626">
        <v>0</v>
      </c>
      <c r="H51" s="626">
        <v>0</v>
      </c>
      <c r="I51" s="626">
        <v>0</v>
      </c>
      <c r="J51" s="626">
        <v>0</v>
      </c>
      <c r="K51" s="626">
        <v>0</v>
      </c>
      <c r="L51" s="626">
        <v>0.28999999999999998</v>
      </c>
      <c r="M51" s="626">
        <v>0</v>
      </c>
      <c r="N51" s="626">
        <v>0</v>
      </c>
      <c r="O51" s="626">
        <v>0</v>
      </c>
      <c r="P51" s="626">
        <v>0</v>
      </c>
      <c r="Q51" s="626">
        <v>0</v>
      </c>
      <c r="R51" s="626">
        <v>0</v>
      </c>
      <c r="S51" s="626">
        <v>0</v>
      </c>
      <c r="T51" s="626">
        <v>0.02</v>
      </c>
      <c r="U51" s="626">
        <v>0</v>
      </c>
      <c r="V51" s="626">
        <v>0</v>
      </c>
      <c r="W51" s="626">
        <v>0.13</v>
      </c>
      <c r="X51" s="626">
        <v>0</v>
      </c>
      <c r="Y51" s="626">
        <v>0.2</v>
      </c>
      <c r="Z51" s="626">
        <v>0</v>
      </c>
      <c r="AE51" s="630"/>
      <c r="AF51" s="522"/>
    </row>
    <row r="52" spans="1:32" s="448" customFormat="1" ht="18" customHeight="1">
      <c r="A52" s="503" t="s">
        <v>82</v>
      </c>
      <c r="B52" s="538" t="s">
        <v>108</v>
      </c>
      <c r="C52" s="527" t="s">
        <v>57</v>
      </c>
      <c r="D52" s="625">
        <v>0.47000000000000003</v>
      </c>
      <c r="E52" s="626">
        <v>0.01</v>
      </c>
      <c r="F52" s="626">
        <v>0.46</v>
      </c>
      <c r="G52" s="626">
        <v>0</v>
      </c>
      <c r="H52" s="626">
        <v>0</v>
      </c>
      <c r="I52" s="626">
        <v>0</v>
      </c>
      <c r="J52" s="626">
        <v>0</v>
      </c>
      <c r="K52" s="626">
        <v>0</v>
      </c>
      <c r="L52" s="626">
        <v>0</v>
      </c>
      <c r="M52" s="626">
        <v>0</v>
      </c>
      <c r="N52" s="626">
        <v>0</v>
      </c>
      <c r="O52" s="626">
        <v>0</v>
      </c>
      <c r="P52" s="626">
        <v>0</v>
      </c>
      <c r="Q52" s="626">
        <v>0</v>
      </c>
      <c r="R52" s="626">
        <v>0</v>
      </c>
      <c r="S52" s="626">
        <v>0</v>
      </c>
      <c r="T52" s="626">
        <v>0</v>
      </c>
      <c r="U52" s="626">
        <v>0</v>
      </c>
      <c r="V52" s="626">
        <v>0</v>
      </c>
      <c r="W52" s="626">
        <v>0</v>
      </c>
      <c r="X52" s="626">
        <v>0</v>
      </c>
      <c r="Y52" s="626">
        <v>0</v>
      </c>
      <c r="Z52" s="626">
        <v>0</v>
      </c>
      <c r="AE52" s="630"/>
      <c r="AF52" s="522"/>
    </row>
    <row r="53" spans="1:32" s="448" customFormat="1" ht="18" customHeight="1">
      <c r="A53" s="503" t="s">
        <v>83</v>
      </c>
      <c r="B53" s="538" t="s">
        <v>95</v>
      </c>
      <c r="C53" s="527" t="s">
        <v>24</v>
      </c>
      <c r="D53" s="625">
        <v>0.13</v>
      </c>
      <c r="E53" s="626">
        <v>0.01</v>
      </c>
      <c r="F53" s="626">
        <v>0</v>
      </c>
      <c r="G53" s="626">
        <v>0</v>
      </c>
      <c r="H53" s="626">
        <v>0</v>
      </c>
      <c r="I53" s="626">
        <v>0</v>
      </c>
      <c r="J53" s="626">
        <v>0</v>
      </c>
      <c r="K53" s="626">
        <v>0.1</v>
      </c>
      <c r="L53" s="626">
        <v>0</v>
      </c>
      <c r="M53" s="626">
        <v>0</v>
      </c>
      <c r="N53" s="626">
        <v>0</v>
      </c>
      <c r="O53" s="626">
        <v>0</v>
      </c>
      <c r="P53" s="626">
        <v>0.01</v>
      </c>
      <c r="Q53" s="626">
        <v>0</v>
      </c>
      <c r="R53" s="626">
        <v>0</v>
      </c>
      <c r="S53" s="626">
        <v>0</v>
      </c>
      <c r="T53" s="626">
        <v>0</v>
      </c>
      <c r="U53" s="626">
        <v>0</v>
      </c>
      <c r="V53" s="626">
        <v>0</v>
      </c>
      <c r="W53" s="626">
        <v>0</v>
      </c>
      <c r="X53" s="626">
        <v>0.01</v>
      </c>
      <c r="Y53" s="626">
        <v>0</v>
      </c>
      <c r="Z53" s="626">
        <v>0</v>
      </c>
      <c r="AA53" s="522"/>
      <c r="AE53" s="630"/>
      <c r="AF53" s="522"/>
    </row>
    <row r="54" spans="1:32" s="448" customFormat="1" ht="18" customHeight="1">
      <c r="A54" s="503" t="s">
        <v>84</v>
      </c>
      <c r="B54" s="538" t="s">
        <v>2775</v>
      </c>
      <c r="C54" s="527" t="s">
        <v>2776</v>
      </c>
      <c r="D54" s="625">
        <v>0</v>
      </c>
      <c r="E54" s="626">
        <v>0</v>
      </c>
      <c r="F54" s="626">
        <v>0</v>
      </c>
      <c r="G54" s="626">
        <v>0</v>
      </c>
      <c r="H54" s="626">
        <v>0</v>
      </c>
      <c r="I54" s="626">
        <v>0</v>
      </c>
      <c r="J54" s="626">
        <v>0</v>
      </c>
      <c r="K54" s="626">
        <v>0</v>
      </c>
      <c r="L54" s="626">
        <v>0</v>
      </c>
      <c r="M54" s="626">
        <v>0</v>
      </c>
      <c r="N54" s="626">
        <v>0</v>
      </c>
      <c r="O54" s="626">
        <v>0</v>
      </c>
      <c r="P54" s="626">
        <v>0</v>
      </c>
      <c r="Q54" s="626">
        <v>0</v>
      </c>
      <c r="R54" s="626">
        <v>0</v>
      </c>
      <c r="S54" s="626">
        <v>0</v>
      </c>
      <c r="T54" s="626">
        <v>0</v>
      </c>
      <c r="U54" s="626">
        <v>0</v>
      </c>
      <c r="V54" s="626">
        <v>0</v>
      </c>
      <c r="W54" s="626">
        <v>0</v>
      </c>
      <c r="X54" s="626">
        <v>0</v>
      </c>
      <c r="Y54" s="626">
        <v>0</v>
      </c>
      <c r="Z54" s="626">
        <v>0</v>
      </c>
      <c r="AE54" s="630"/>
      <c r="AF54" s="522"/>
    </row>
    <row r="55" spans="1:32" s="448" customFormat="1" ht="18" customHeight="1">
      <c r="A55" s="503" t="s">
        <v>100</v>
      </c>
      <c r="B55" s="538" t="s">
        <v>109</v>
      </c>
      <c r="C55" s="527" t="s">
        <v>110</v>
      </c>
      <c r="D55" s="625">
        <v>0</v>
      </c>
      <c r="E55" s="626">
        <v>0</v>
      </c>
      <c r="F55" s="626">
        <v>0</v>
      </c>
      <c r="G55" s="626">
        <v>0</v>
      </c>
      <c r="H55" s="626">
        <v>0</v>
      </c>
      <c r="I55" s="626">
        <v>0</v>
      </c>
      <c r="J55" s="626">
        <v>0</v>
      </c>
      <c r="K55" s="626">
        <v>0</v>
      </c>
      <c r="L55" s="626">
        <v>0</v>
      </c>
      <c r="M55" s="626">
        <v>0</v>
      </c>
      <c r="N55" s="626">
        <v>0</v>
      </c>
      <c r="O55" s="626">
        <v>0</v>
      </c>
      <c r="P55" s="626">
        <v>0</v>
      </c>
      <c r="Q55" s="626">
        <v>0</v>
      </c>
      <c r="R55" s="626">
        <v>0</v>
      </c>
      <c r="S55" s="626">
        <v>0</v>
      </c>
      <c r="T55" s="626">
        <v>0</v>
      </c>
      <c r="U55" s="626">
        <v>0</v>
      </c>
      <c r="V55" s="626">
        <v>0</v>
      </c>
      <c r="W55" s="626">
        <v>0</v>
      </c>
      <c r="X55" s="626">
        <v>0</v>
      </c>
      <c r="Y55" s="626">
        <v>0</v>
      </c>
      <c r="Z55" s="626">
        <v>0</v>
      </c>
      <c r="AE55" s="630"/>
      <c r="AF55" s="522"/>
    </row>
    <row r="56" spans="1:32" s="448" customFormat="1" ht="18" customHeight="1">
      <c r="A56" s="503" t="s">
        <v>101</v>
      </c>
      <c r="B56" s="538" t="s">
        <v>133</v>
      </c>
      <c r="C56" s="527" t="s">
        <v>137</v>
      </c>
      <c r="D56" s="625">
        <v>0</v>
      </c>
      <c r="E56" s="626">
        <v>0</v>
      </c>
      <c r="F56" s="626">
        <v>0</v>
      </c>
      <c r="G56" s="626">
        <v>0</v>
      </c>
      <c r="H56" s="626">
        <v>0</v>
      </c>
      <c r="I56" s="626">
        <v>0</v>
      </c>
      <c r="J56" s="626">
        <v>0</v>
      </c>
      <c r="K56" s="626">
        <v>0</v>
      </c>
      <c r="L56" s="626">
        <v>0</v>
      </c>
      <c r="M56" s="626">
        <v>0</v>
      </c>
      <c r="N56" s="626">
        <v>0</v>
      </c>
      <c r="O56" s="626">
        <v>0</v>
      </c>
      <c r="P56" s="626">
        <v>0</v>
      </c>
      <c r="Q56" s="626">
        <v>0</v>
      </c>
      <c r="R56" s="626">
        <v>0</v>
      </c>
      <c r="S56" s="626">
        <v>0</v>
      </c>
      <c r="T56" s="626">
        <v>0</v>
      </c>
      <c r="U56" s="626">
        <v>0</v>
      </c>
      <c r="V56" s="626">
        <v>0</v>
      </c>
      <c r="W56" s="626">
        <v>0</v>
      </c>
      <c r="X56" s="626">
        <v>0</v>
      </c>
      <c r="Y56" s="626">
        <v>0</v>
      </c>
      <c r="Z56" s="626">
        <v>0</v>
      </c>
      <c r="AE56" s="630"/>
      <c r="AF56" s="522"/>
    </row>
    <row r="57" spans="1:32" s="448" customFormat="1" ht="18" customHeight="1">
      <c r="A57" s="503" t="s">
        <v>102</v>
      </c>
      <c r="B57" s="538" t="s">
        <v>136</v>
      </c>
      <c r="C57" s="527" t="s">
        <v>138</v>
      </c>
      <c r="D57" s="625">
        <v>0</v>
      </c>
      <c r="E57" s="626">
        <v>0</v>
      </c>
      <c r="F57" s="626">
        <v>0</v>
      </c>
      <c r="G57" s="626">
        <v>0</v>
      </c>
      <c r="H57" s="626">
        <v>0</v>
      </c>
      <c r="I57" s="626">
        <v>0</v>
      </c>
      <c r="J57" s="626">
        <v>0</v>
      </c>
      <c r="K57" s="626">
        <v>0</v>
      </c>
      <c r="L57" s="626">
        <v>0</v>
      </c>
      <c r="M57" s="626">
        <v>0</v>
      </c>
      <c r="N57" s="626">
        <v>0</v>
      </c>
      <c r="O57" s="626">
        <v>0</v>
      </c>
      <c r="P57" s="626">
        <v>0</v>
      </c>
      <c r="Q57" s="626">
        <v>0</v>
      </c>
      <c r="R57" s="626">
        <v>0</v>
      </c>
      <c r="S57" s="626">
        <v>0</v>
      </c>
      <c r="T57" s="626">
        <v>0</v>
      </c>
      <c r="U57" s="626">
        <v>0</v>
      </c>
      <c r="V57" s="626">
        <v>0</v>
      </c>
      <c r="W57" s="626">
        <v>0</v>
      </c>
      <c r="X57" s="626">
        <v>0</v>
      </c>
      <c r="Y57" s="626">
        <v>0</v>
      </c>
      <c r="Z57" s="626">
        <v>0</v>
      </c>
      <c r="AE57" s="630"/>
      <c r="AF57" s="522"/>
    </row>
    <row r="58" spans="1:32" s="448" customFormat="1" ht="18" customHeight="1">
      <c r="A58" s="503" t="s">
        <v>103</v>
      </c>
      <c r="B58" s="538" t="s">
        <v>114</v>
      </c>
      <c r="C58" s="527" t="s">
        <v>39</v>
      </c>
      <c r="D58" s="625">
        <v>0.03</v>
      </c>
      <c r="E58" s="626">
        <v>0</v>
      </c>
      <c r="F58" s="626">
        <v>0</v>
      </c>
      <c r="G58" s="626">
        <v>0</v>
      </c>
      <c r="H58" s="626">
        <v>0</v>
      </c>
      <c r="I58" s="626">
        <v>0</v>
      </c>
      <c r="J58" s="626">
        <v>0</v>
      </c>
      <c r="K58" s="626">
        <v>0</v>
      </c>
      <c r="L58" s="626">
        <v>0</v>
      </c>
      <c r="M58" s="626">
        <v>0</v>
      </c>
      <c r="N58" s="626">
        <v>0</v>
      </c>
      <c r="O58" s="626">
        <v>0</v>
      </c>
      <c r="P58" s="626">
        <v>0</v>
      </c>
      <c r="Q58" s="626">
        <v>0</v>
      </c>
      <c r="R58" s="626">
        <v>0</v>
      </c>
      <c r="S58" s="626">
        <v>0</v>
      </c>
      <c r="T58" s="626">
        <v>0.03</v>
      </c>
      <c r="U58" s="626">
        <v>0</v>
      </c>
      <c r="V58" s="626">
        <v>0</v>
      </c>
      <c r="W58" s="626">
        <v>0</v>
      </c>
      <c r="X58" s="626">
        <v>0</v>
      </c>
      <c r="Y58" s="626">
        <v>0</v>
      </c>
      <c r="Z58" s="626">
        <v>0</v>
      </c>
      <c r="AE58" s="630"/>
      <c r="AF58" s="522"/>
    </row>
    <row r="59" spans="1:32" s="448" customFormat="1" ht="18" customHeight="1">
      <c r="A59" s="503" t="s">
        <v>104</v>
      </c>
      <c r="B59" s="538" t="s">
        <v>115</v>
      </c>
      <c r="C59" s="527" t="s">
        <v>42</v>
      </c>
      <c r="D59" s="625">
        <v>0.78</v>
      </c>
      <c r="E59" s="626">
        <v>0.01</v>
      </c>
      <c r="F59" s="626">
        <v>0</v>
      </c>
      <c r="G59" s="626">
        <v>0</v>
      </c>
      <c r="H59" s="626">
        <v>0</v>
      </c>
      <c r="I59" s="626">
        <v>0.37</v>
      </c>
      <c r="J59" s="626">
        <v>0</v>
      </c>
      <c r="K59" s="626">
        <v>0</v>
      </c>
      <c r="L59" s="626">
        <v>0</v>
      </c>
      <c r="M59" s="626">
        <v>0</v>
      </c>
      <c r="N59" s="626">
        <v>0</v>
      </c>
      <c r="O59" s="626">
        <v>0</v>
      </c>
      <c r="P59" s="626">
        <v>0</v>
      </c>
      <c r="Q59" s="626">
        <v>0</v>
      </c>
      <c r="R59" s="626">
        <v>0.36</v>
      </c>
      <c r="S59" s="626">
        <v>0</v>
      </c>
      <c r="T59" s="626">
        <v>0</v>
      </c>
      <c r="U59" s="626">
        <v>0</v>
      </c>
      <c r="V59" s="626">
        <v>4.0000000000000008E-2</v>
      </c>
      <c r="W59" s="626">
        <v>0</v>
      </c>
      <c r="X59" s="626">
        <v>0</v>
      </c>
      <c r="Y59" s="626">
        <v>0</v>
      </c>
      <c r="Z59" s="626">
        <v>0</v>
      </c>
      <c r="AE59" s="630"/>
      <c r="AF59" s="522"/>
    </row>
    <row r="60" spans="1:32" s="448" customFormat="1" ht="18" customHeight="1">
      <c r="A60" s="503" t="s">
        <v>2820</v>
      </c>
      <c r="B60" s="538" t="s">
        <v>77</v>
      </c>
      <c r="C60" s="527" t="s">
        <v>41</v>
      </c>
      <c r="D60" s="625">
        <v>0.01</v>
      </c>
      <c r="E60" s="626">
        <v>0.01</v>
      </c>
      <c r="F60" s="626">
        <v>0</v>
      </c>
      <c r="G60" s="626">
        <v>0</v>
      </c>
      <c r="H60" s="626">
        <v>0</v>
      </c>
      <c r="I60" s="626">
        <v>0</v>
      </c>
      <c r="J60" s="626">
        <v>0</v>
      </c>
      <c r="K60" s="626">
        <v>0</v>
      </c>
      <c r="L60" s="626">
        <v>0</v>
      </c>
      <c r="M60" s="626">
        <v>0</v>
      </c>
      <c r="N60" s="626">
        <v>0</v>
      </c>
      <c r="O60" s="626">
        <v>0</v>
      </c>
      <c r="P60" s="626">
        <v>0</v>
      </c>
      <c r="Q60" s="626">
        <v>0</v>
      </c>
      <c r="R60" s="626">
        <v>0</v>
      </c>
      <c r="S60" s="626">
        <v>0</v>
      </c>
      <c r="T60" s="626">
        <v>0</v>
      </c>
      <c r="U60" s="626">
        <v>0</v>
      </c>
      <c r="V60" s="626">
        <v>0</v>
      </c>
      <c r="W60" s="626">
        <v>0</v>
      </c>
      <c r="X60" s="626">
        <v>0</v>
      </c>
      <c r="Y60" s="626">
        <v>0</v>
      </c>
      <c r="Z60" s="626">
        <v>0</v>
      </c>
      <c r="AE60" s="630"/>
      <c r="AF60" s="522"/>
    </row>
    <row r="61" spans="1:32" s="448" customFormat="1" ht="18" customHeight="1">
      <c r="A61" s="503" t="s">
        <v>105</v>
      </c>
      <c r="B61" s="538" t="s">
        <v>116</v>
      </c>
      <c r="C61" s="527" t="s">
        <v>55</v>
      </c>
      <c r="D61" s="625">
        <v>1.48</v>
      </c>
      <c r="E61" s="626">
        <v>0</v>
      </c>
      <c r="F61" s="626">
        <v>0</v>
      </c>
      <c r="G61" s="626">
        <v>0</v>
      </c>
      <c r="H61" s="626">
        <v>0</v>
      </c>
      <c r="I61" s="626">
        <v>0</v>
      </c>
      <c r="J61" s="626">
        <v>0</v>
      </c>
      <c r="K61" s="626">
        <v>0</v>
      </c>
      <c r="L61" s="626">
        <v>0.23</v>
      </c>
      <c r="M61" s="626">
        <v>1.1299999999999999</v>
      </c>
      <c r="N61" s="626">
        <v>0</v>
      </c>
      <c r="O61" s="626">
        <v>0</v>
      </c>
      <c r="P61" s="626">
        <v>0</v>
      </c>
      <c r="Q61" s="626">
        <v>0</v>
      </c>
      <c r="R61" s="626">
        <v>0</v>
      </c>
      <c r="S61" s="626">
        <v>0</v>
      </c>
      <c r="T61" s="626">
        <v>0</v>
      </c>
      <c r="U61" s="626">
        <v>0</v>
      </c>
      <c r="V61" s="626">
        <v>0</v>
      </c>
      <c r="W61" s="626">
        <v>0.12</v>
      </c>
      <c r="X61" s="626">
        <v>0</v>
      </c>
      <c r="Y61" s="626">
        <v>0</v>
      </c>
      <c r="Z61" s="626">
        <v>0</v>
      </c>
      <c r="AE61" s="630"/>
      <c r="AF61" s="522"/>
    </row>
    <row r="62" spans="1:32">
      <c r="D62" s="375">
        <f>D7+D20</f>
        <v>137.62</v>
      </c>
    </row>
  </sheetData>
  <mergeCells count="8">
    <mergeCell ref="A1:B1"/>
    <mergeCell ref="A2:Z2"/>
    <mergeCell ref="N3:Z3"/>
    <mergeCell ref="A4:A5"/>
    <mergeCell ref="B4:B5"/>
    <mergeCell ref="C4:C5"/>
    <mergeCell ref="D4:D5"/>
    <mergeCell ref="E4:Z4"/>
  </mergeCells>
  <conditionalFormatting sqref="A22:A53 A58:A61">
    <cfRule type="cellIs" dxfId="98" priority="11" stopIfTrue="1" operator="equal">
      <formula>0</formula>
    </cfRule>
  </conditionalFormatting>
  <conditionalFormatting sqref="A48:A53 A58:A61">
    <cfRule type="cellIs" dxfId="97" priority="10" stopIfTrue="1" operator="equal">
      <formula>0</formula>
    </cfRule>
  </conditionalFormatting>
  <conditionalFormatting sqref="A48:A61">
    <cfRule type="cellIs" dxfId="96" priority="5" stopIfTrue="1" operator="equal">
      <formula>0</formula>
    </cfRule>
  </conditionalFormatting>
  <conditionalFormatting sqref="A54:A57">
    <cfRule type="cellIs" dxfId="95" priority="3" stopIfTrue="1" operator="equal">
      <formula>0</formula>
    </cfRule>
    <cfRule type="cellIs" dxfId="94" priority="4" stopIfTrue="1" operator="equal">
      <formula>0</formula>
    </cfRule>
  </conditionalFormatting>
  <conditionalFormatting sqref="A11:C21">
    <cfRule type="cellIs" dxfId="93" priority="18" stopIfTrue="1" operator="equal">
      <formula>0</formula>
    </cfRule>
  </conditionalFormatting>
  <conditionalFormatting sqref="B16">
    <cfRule type="cellIs" dxfId="92" priority="16" stopIfTrue="1" operator="equal">
      <formula>0</formula>
    </cfRule>
    <cfRule type="cellIs" dxfId="91" priority="17" stopIfTrue="1" operator="equal">
      <formula>0</formula>
    </cfRule>
  </conditionalFormatting>
  <conditionalFormatting sqref="B22:C28 B30:C30">
    <cfRule type="cellIs" dxfId="90" priority="14" stopIfTrue="1" operator="equal">
      <formula>0</formula>
    </cfRule>
    <cfRule type="cellIs" dxfId="89" priority="15" stopIfTrue="1" operator="equal">
      <formula>0</formula>
    </cfRule>
  </conditionalFormatting>
  <conditionalFormatting sqref="B22:C31">
    <cfRule type="cellIs" dxfId="88" priority="13" stopIfTrue="1" operator="equal">
      <formula>0</formula>
    </cfRule>
  </conditionalFormatting>
  <conditionalFormatting sqref="B31:C31">
    <cfRule type="cellIs" dxfId="87" priority="12" stopIfTrue="1" operator="equal">
      <formula>0</formula>
    </cfRule>
  </conditionalFormatting>
  <conditionalFormatting sqref="B31:C47">
    <cfRule type="cellIs" dxfId="86" priority="9" stopIfTrue="1" operator="equal">
      <formula>0</formula>
    </cfRule>
  </conditionalFormatting>
  <conditionalFormatting sqref="C16">
    <cfRule type="cellIs" dxfId="85" priority="19" stopIfTrue="1" operator="equal">
      <formula>0</formula>
    </cfRule>
    <cfRule type="cellIs" dxfId="84" priority="20" stopIfTrue="1" operator="equal">
      <formula>0</formula>
    </cfRule>
  </conditionalFormatting>
  <conditionalFormatting sqref="C1:Z1 A1:A10 AA1:IY53 E3:Y3 B3:D8 E5:Z6 B9:C10 A11:C15 A16 A17:C21 A22:A47 D9:D53 D58:D61 AA58:IY61">
    <cfRule type="cellIs" dxfId="83" priority="25" stopIfTrue="1" operator="equal">
      <formula>0</formula>
    </cfRule>
  </conditionalFormatting>
  <conditionalFormatting sqref="C1:Z1 A1:A47 AA1:IY53 E3:Y3 B3:D8 E5:Z6 B9:C15 D9:D53 B17:C21 D58:D61 AA58:IY61">
    <cfRule type="cellIs" dxfId="82" priority="26" stopIfTrue="1" operator="equal">
      <formula>0</formula>
    </cfRule>
  </conditionalFormatting>
  <conditionalFormatting sqref="D9:D61 AA54:IY61">
    <cfRule type="cellIs" dxfId="81" priority="8" stopIfTrue="1" operator="equal">
      <formula>0</formula>
    </cfRule>
  </conditionalFormatting>
  <conditionalFormatting sqref="D54:D57 AA54:IY57">
    <cfRule type="cellIs" dxfId="80" priority="6" stopIfTrue="1" operator="equal">
      <formula>0</formula>
    </cfRule>
    <cfRule type="cellIs" dxfId="79" priority="7" stopIfTrue="1" operator="equal">
      <formula>0</formula>
    </cfRule>
  </conditionalFormatting>
  <conditionalFormatting sqref="E6:F6 B17:B18 C18 B20:B21 E4:F4">
    <cfRule type="cellIs" dxfId="78" priority="27" stopIfTrue="1" operator="equal">
      <formula>0</formula>
    </cfRule>
  </conditionalFormatting>
  <conditionalFormatting sqref="E32:Z33">
    <cfRule type="cellIs" dxfId="77" priority="1" stopIfTrue="1" operator="equal">
      <formula>0</formula>
    </cfRule>
  </conditionalFormatting>
  <conditionalFormatting sqref="E40:Z47">
    <cfRule type="cellIs" dxfId="76" priority="2" stopIfTrue="1" operator="equal">
      <formula>0</formula>
    </cfRule>
  </conditionalFormatting>
  <conditionalFormatting sqref="AA1:IY53 C1:Z1 A1:A10 E3:Y3 B3:D8 E5:Z6 B9:C10">
    <cfRule type="cellIs" dxfId="75" priority="24" stopIfTrue="1" operator="equal">
      <formula>0</formula>
    </cfRule>
  </conditionalFormatting>
  <conditionalFormatting sqref="AB30:IY47">
    <cfRule type="cellIs" dxfId="74" priority="21" stopIfTrue="1" operator="equal">
      <formula>0</formula>
    </cfRule>
    <cfRule type="cellIs" dxfId="73" priority="22" stopIfTrue="1" operator="equal">
      <formula>0</formula>
    </cfRule>
    <cfRule type="cellIs" dxfId="72" priority="23" stopIfTrue="1" operator="equal">
      <formula>0</formula>
    </cfRule>
  </conditionalFormatting>
  <pageMargins left="0.43" right="0.37" top="1.02" bottom="0.55000000000000004" header="0.3" footer="0.3"/>
  <pageSetup paperSize="9" scale="75"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75"/>
  <sheetViews>
    <sheetView showZeros="0" view="pageBreakPreview" zoomScale="85" zoomScaleNormal="55" zoomScaleSheetLayoutView="85" workbookViewId="0">
      <pane xSplit="4" ySplit="6" topLeftCell="E7" activePane="bottomRight" state="frozen"/>
      <selection activeCell="C23" sqref="C23"/>
      <selection pane="topRight" activeCell="C23" sqref="C23"/>
      <selection pane="bottomLeft" activeCell="C23" sqref="C23"/>
      <selection pane="bottomRight" activeCell="C23" sqref="C23"/>
    </sheetView>
  </sheetViews>
  <sheetFormatPr defaultColWidth="9" defaultRowHeight="20.25" customHeight="1"/>
  <cols>
    <col min="1" max="1" width="5.125" style="812" customWidth="1"/>
    <col min="2" max="2" width="50.375" style="812" customWidth="1"/>
    <col min="3" max="3" width="5.125" style="842" bestFit="1" customWidth="1"/>
    <col min="4" max="4" width="9.875" style="843" customWidth="1"/>
    <col min="5" max="5" width="9.125" style="844" customWidth="1"/>
    <col min="6" max="7" width="7.875" style="843" customWidth="1"/>
    <col min="8" max="8" width="9.25" style="843" bestFit="1" customWidth="1"/>
    <col min="9" max="9" width="8.875" style="843" customWidth="1"/>
    <col min="10" max="11" width="8.375" style="843" bestFit="1" customWidth="1"/>
    <col min="12" max="12" width="7.875" style="843" customWidth="1"/>
    <col min="13" max="13" width="8.625" style="843" customWidth="1"/>
    <col min="14" max="15" width="7.875" style="843" customWidth="1"/>
    <col min="16" max="16" width="8.125" style="843" bestFit="1" customWidth="1"/>
    <col min="17" max="17" width="7.875" style="843" customWidth="1"/>
    <col min="18" max="18" width="7.875" style="845" customWidth="1"/>
    <col min="19" max="21" width="7.875" style="812" customWidth="1"/>
    <col min="22" max="22" width="7.875" style="845" customWidth="1"/>
    <col min="23" max="23" width="7.875" style="812" customWidth="1"/>
    <col min="24" max="16384" width="9" style="812"/>
  </cols>
  <sheetData>
    <row r="1" spans="1:23" s="816" customFormat="1" ht="22.35" customHeight="1">
      <c r="A1" s="1574" t="s">
        <v>207</v>
      </c>
      <c r="B1" s="1574"/>
      <c r="C1" s="815"/>
      <c r="D1" s="815"/>
      <c r="E1" s="815"/>
      <c r="F1" s="815"/>
      <c r="G1" s="815"/>
      <c r="H1" s="815"/>
      <c r="I1" s="815"/>
      <c r="J1" s="815"/>
      <c r="K1" s="815"/>
      <c r="L1" s="815"/>
      <c r="M1" s="815"/>
      <c r="N1" s="815"/>
      <c r="O1" s="815"/>
      <c r="P1" s="815"/>
      <c r="Q1" s="815"/>
      <c r="R1" s="815"/>
      <c r="S1" s="815"/>
      <c r="T1" s="815"/>
      <c r="U1" s="815"/>
      <c r="V1" s="815"/>
      <c r="W1" s="815"/>
    </row>
    <row r="2" spans="1:23" s="816" customFormat="1" ht="20.25" customHeight="1">
      <c r="A2" s="1572" t="s">
        <v>3009</v>
      </c>
      <c r="B2" s="1572"/>
      <c r="C2" s="1572"/>
      <c r="D2" s="1572"/>
      <c r="E2" s="1572"/>
      <c r="F2" s="1572"/>
      <c r="G2" s="1572"/>
      <c r="H2" s="1572"/>
      <c r="I2" s="1572"/>
      <c r="J2" s="1572"/>
      <c r="K2" s="1572"/>
      <c r="L2" s="1572"/>
      <c r="M2" s="1572"/>
      <c r="N2" s="1572"/>
      <c r="O2" s="1572"/>
      <c r="P2" s="1572"/>
      <c r="Q2" s="1572"/>
      <c r="R2" s="1572"/>
      <c r="S2" s="1572"/>
      <c r="T2" s="1572"/>
      <c r="U2" s="1572"/>
      <c r="V2" s="1572"/>
      <c r="W2" s="1572"/>
    </row>
    <row r="3" spans="1:23" s="816" customFormat="1" ht="20.25" hidden="1" customHeight="1">
      <c r="A3" s="1572"/>
      <c r="B3" s="1572"/>
      <c r="C3" s="1572"/>
      <c r="D3" s="1572"/>
      <c r="E3" s="1572"/>
      <c r="F3" s="1572"/>
      <c r="G3" s="1572"/>
      <c r="H3" s="1572"/>
      <c r="I3" s="1572"/>
      <c r="J3" s="1572"/>
      <c r="K3" s="1572"/>
      <c r="L3" s="1572"/>
      <c r="M3" s="1572"/>
      <c r="N3" s="1572"/>
      <c r="O3" s="1572"/>
      <c r="P3" s="1572"/>
      <c r="Q3" s="1572"/>
      <c r="R3" s="1572"/>
      <c r="S3" s="1572"/>
      <c r="T3" s="1572"/>
      <c r="U3" s="1572"/>
      <c r="V3" s="1572"/>
      <c r="W3" s="1572"/>
    </row>
    <row r="4" spans="1:23" s="816" customFormat="1" ht="20.100000000000001" customHeight="1">
      <c r="B4" s="817"/>
      <c r="C4" s="817"/>
      <c r="D4" s="817"/>
      <c r="E4" s="817"/>
      <c r="F4" s="817"/>
      <c r="G4" s="817"/>
      <c r="H4" s="817"/>
      <c r="I4" s="817"/>
      <c r="J4" s="817"/>
      <c r="K4" s="817"/>
      <c r="L4" s="817"/>
      <c r="M4" s="817"/>
      <c r="N4" s="817"/>
      <c r="O4" s="817"/>
      <c r="P4" s="817"/>
      <c r="Q4" s="817"/>
      <c r="R4" s="817"/>
      <c r="S4" s="817"/>
      <c r="T4" s="817"/>
      <c r="U4" s="817"/>
      <c r="V4" s="1577" t="s">
        <v>0</v>
      </c>
      <c r="W4" s="1577"/>
    </row>
    <row r="5" spans="1:23" s="810" customFormat="1" ht="20.25" customHeight="1">
      <c r="A5" s="1575" t="s">
        <v>1</v>
      </c>
      <c r="B5" s="1575" t="s">
        <v>175</v>
      </c>
      <c r="C5" s="1575" t="s">
        <v>172</v>
      </c>
      <c r="D5" s="1576" t="s">
        <v>146</v>
      </c>
      <c r="E5" s="1573" t="s">
        <v>2836</v>
      </c>
      <c r="F5" s="1573"/>
      <c r="G5" s="1573"/>
      <c r="H5" s="1573"/>
      <c r="I5" s="1573"/>
      <c r="J5" s="1573"/>
      <c r="K5" s="1573"/>
      <c r="L5" s="1573"/>
      <c r="M5" s="1573"/>
      <c r="N5" s="1573"/>
      <c r="O5" s="1573"/>
      <c r="P5" s="1573"/>
      <c r="Q5" s="1573"/>
      <c r="R5" s="1573"/>
      <c r="S5" s="1573"/>
      <c r="T5" s="1573"/>
      <c r="U5" s="1573"/>
      <c r="V5" s="1573"/>
      <c r="W5" s="1573"/>
    </row>
    <row r="6" spans="1:23" s="810" customFormat="1" ht="44.25" customHeight="1">
      <c r="A6" s="1575"/>
      <c r="B6" s="1575"/>
      <c r="C6" s="1575"/>
      <c r="D6" s="1576"/>
      <c r="E6" s="818" t="s">
        <v>3010</v>
      </c>
      <c r="F6" s="818" t="s">
        <v>3011</v>
      </c>
      <c r="G6" s="818" t="s">
        <v>3012</v>
      </c>
      <c r="H6" s="818" t="s">
        <v>3013</v>
      </c>
      <c r="I6" s="818" t="s">
        <v>3014</v>
      </c>
      <c r="J6" s="818" t="s">
        <v>3015</v>
      </c>
      <c r="K6" s="818" t="s">
        <v>3016</v>
      </c>
      <c r="L6" s="818" t="s">
        <v>3017</v>
      </c>
      <c r="M6" s="818" t="s">
        <v>3018</v>
      </c>
      <c r="N6" s="818" t="s">
        <v>3019</v>
      </c>
      <c r="O6" s="818" t="s">
        <v>3020</v>
      </c>
      <c r="P6" s="818" t="s">
        <v>3021</v>
      </c>
      <c r="Q6" s="818" t="s">
        <v>3022</v>
      </c>
      <c r="R6" s="818" t="s">
        <v>3023</v>
      </c>
      <c r="S6" s="818" t="s">
        <v>3024</v>
      </c>
      <c r="T6" s="818" t="s">
        <v>3025</v>
      </c>
      <c r="U6" s="818" t="s">
        <v>3026</v>
      </c>
      <c r="V6" s="818" t="s">
        <v>3027</v>
      </c>
      <c r="W6" s="818" t="s">
        <v>3028</v>
      </c>
    </row>
    <row r="7" spans="1:23" s="826" customFormat="1" ht="29.25" customHeight="1">
      <c r="A7" s="824">
        <v>-1</v>
      </c>
      <c r="B7" s="824">
        <v>-2</v>
      </c>
      <c r="C7" s="824">
        <v>-3</v>
      </c>
      <c r="D7" s="825" t="s">
        <v>3035</v>
      </c>
      <c r="E7" s="824">
        <v>-5</v>
      </c>
      <c r="F7" s="824">
        <v>-6</v>
      </c>
      <c r="G7" s="824">
        <v>-7</v>
      </c>
      <c r="H7" s="824">
        <v>-8</v>
      </c>
      <c r="I7" s="824">
        <v>-9</v>
      </c>
      <c r="J7" s="824">
        <v>-10</v>
      </c>
      <c r="K7" s="824">
        <v>-11</v>
      </c>
      <c r="L7" s="824">
        <v>-12</v>
      </c>
      <c r="M7" s="824">
        <v>-13</v>
      </c>
      <c r="N7" s="824">
        <v>-14</v>
      </c>
      <c r="O7" s="824">
        <v>-15</v>
      </c>
      <c r="P7" s="824">
        <v>-16</v>
      </c>
      <c r="Q7" s="824">
        <v>-17</v>
      </c>
      <c r="R7" s="824">
        <v>-18</v>
      </c>
      <c r="S7" s="824">
        <v>-19</v>
      </c>
      <c r="T7" s="824">
        <v>-20</v>
      </c>
      <c r="U7" s="824">
        <v>-21</v>
      </c>
      <c r="V7" s="824">
        <v>-22</v>
      </c>
      <c r="W7" s="824">
        <v>-23</v>
      </c>
    </row>
    <row r="8" spans="1:23" s="810" customFormat="1" ht="17.45" customHeight="1">
      <c r="A8" s="339"/>
      <c r="B8" s="803" t="s">
        <v>174</v>
      </c>
      <c r="C8" s="339"/>
      <c r="D8" s="438">
        <v>109415.11999999998</v>
      </c>
      <c r="E8" s="438">
        <v>3741.98</v>
      </c>
      <c r="F8" s="438">
        <v>3409.03</v>
      </c>
      <c r="G8" s="438">
        <v>5132.6099999999997</v>
      </c>
      <c r="H8" s="438">
        <v>3301.46</v>
      </c>
      <c r="I8" s="438">
        <v>11310.55</v>
      </c>
      <c r="J8" s="438">
        <v>6984.3799999999992</v>
      </c>
      <c r="K8" s="438">
        <v>3809.3900000000008</v>
      </c>
      <c r="L8" s="438">
        <v>3866.7100000000005</v>
      </c>
      <c r="M8" s="438">
        <v>6313.67</v>
      </c>
      <c r="N8" s="438">
        <v>3455.0300000000007</v>
      </c>
      <c r="O8" s="438">
        <v>5355.46</v>
      </c>
      <c r="P8" s="438">
        <v>7990.6599999999989</v>
      </c>
      <c r="Q8" s="438">
        <v>6100.82</v>
      </c>
      <c r="R8" s="438">
        <v>3988.0699999999993</v>
      </c>
      <c r="S8" s="438">
        <v>8517.2899999999991</v>
      </c>
      <c r="T8" s="438">
        <v>5491.8200000000006</v>
      </c>
      <c r="U8" s="438">
        <v>8095.4800000000005</v>
      </c>
      <c r="V8" s="438">
        <v>5036.6400000000003</v>
      </c>
      <c r="W8" s="438">
        <v>7514.0700000000006</v>
      </c>
    </row>
    <row r="9" spans="1:23" ht="17.25" customHeight="1">
      <c r="A9" s="339">
        <v>1</v>
      </c>
      <c r="B9" s="429" t="s">
        <v>3</v>
      </c>
      <c r="C9" s="339" t="s">
        <v>4</v>
      </c>
      <c r="D9" s="438">
        <v>105229.01</v>
      </c>
      <c r="E9" s="438">
        <v>3460.2200000000003</v>
      </c>
      <c r="F9" s="438">
        <v>3288.8300000000004</v>
      </c>
      <c r="G9" s="438">
        <v>4977.6799999999994</v>
      </c>
      <c r="H9" s="438">
        <v>3118.67</v>
      </c>
      <c r="I9" s="438">
        <v>11010.07</v>
      </c>
      <c r="J9" s="438">
        <v>6580.7999999999993</v>
      </c>
      <c r="K9" s="438">
        <v>3626.4900000000011</v>
      </c>
      <c r="L9" s="438">
        <v>3771.1200000000003</v>
      </c>
      <c r="M9" s="438">
        <v>6183.49</v>
      </c>
      <c r="N9" s="438">
        <v>3344.0800000000004</v>
      </c>
      <c r="O9" s="438">
        <v>5119.2199999999993</v>
      </c>
      <c r="P9" s="438">
        <v>7768.1499999999987</v>
      </c>
      <c r="Q9" s="438">
        <v>5963.4199999999992</v>
      </c>
      <c r="R9" s="438">
        <v>3658.4299999999994</v>
      </c>
      <c r="S9" s="438">
        <v>8197.0399999999991</v>
      </c>
      <c r="T9" s="438">
        <v>5240.8500000000004</v>
      </c>
      <c r="U9" s="438">
        <v>7756.17</v>
      </c>
      <c r="V9" s="438">
        <v>4846.84</v>
      </c>
      <c r="W9" s="438">
        <v>7317.4400000000005</v>
      </c>
    </row>
    <row r="10" spans="1:23" s="827" customFormat="1" ht="15.75" customHeight="1">
      <c r="A10" s="430"/>
      <c r="B10" s="337" t="s">
        <v>190</v>
      </c>
      <c r="C10" s="430"/>
      <c r="D10" s="431"/>
      <c r="E10" s="431"/>
      <c r="F10" s="431"/>
      <c r="G10" s="431"/>
      <c r="H10" s="431"/>
      <c r="I10" s="431"/>
      <c r="J10" s="431"/>
      <c r="K10" s="431"/>
      <c r="L10" s="431"/>
      <c r="M10" s="431"/>
      <c r="N10" s="431"/>
      <c r="O10" s="431"/>
      <c r="P10" s="431"/>
      <c r="Q10" s="431"/>
      <c r="R10" s="431"/>
      <c r="S10" s="431"/>
      <c r="T10" s="431"/>
      <c r="U10" s="431"/>
      <c r="V10" s="431"/>
      <c r="W10" s="431"/>
    </row>
    <row r="11" spans="1:23" ht="17.100000000000001" customHeight="1">
      <c r="A11" s="2" t="s">
        <v>6</v>
      </c>
      <c r="B11" s="336" t="s">
        <v>85</v>
      </c>
      <c r="C11" s="2" t="s">
        <v>5</v>
      </c>
      <c r="D11" s="431">
        <v>3228.55</v>
      </c>
      <c r="E11" s="431">
        <v>267.16999999999996</v>
      </c>
      <c r="F11" s="431">
        <v>125.86</v>
      </c>
      <c r="G11" s="431">
        <v>115.88</v>
      </c>
      <c r="H11" s="431">
        <v>101.41</v>
      </c>
      <c r="I11" s="431">
        <v>305.64</v>
      </c>
      <c r="J11" s="431">
        <v>192.78</v>
      </c>
      <c r="K11" s="431">
        <v>210.64000000000001</v>
      </c>
      <c r="L11" s="431">
        <v>104.93</v>
      </c>
      <c r="M11" s="431">
        <v>197.29000000000002</v>
      </c>
      <c r="N11" s="431">
        <v>127.12</v>
      </c>
      <c r="O11" s="431">
        <v>221.56</v>
      </c>
      <c r="P11" s="431">
        <v>134.83000000000001</v>
      </c>
      <c r="Q11" s="431">
        <v>93.02000000000001</v>
      </c>
      <c r="R11" s="431">
        <v>206.07</v>
      </c>
      <c r="S11" s="431">
        <v>205.1</v>
      </c>
      <c r="T11" s="431">
        <v>196.06</v>
      </c>
      <c r="U11" s="431">
        <v>212.77999999999997</v>
      </c>
      <c r="V11" s="431">
        <v>32.239999999999995</v>
      </c>
      <c r="W11" s="431">
        <v>178.17000000000002</v>
      </c>
    </row>
    <row r="12" spans="1:23" s="827" customFormat="1" ht="15.95" customHeight="1">
      <c r="A12" s="430"/>
      <c r="B12" s="337" t="s">
        <v>2746</v>
      </c>
      <c r="C12" s="430" t="s">
        <v>7</v>
      </c>
      <c r="D12" s="434">
        <v>2086.2599999999998</v>
      </c>
      <c r="E12" s="434">
        <v>202.58999999999997</v>
      </c>
      <c r="F12" s="434">
        <v>125.66</v>
      </c>
      <c r="G12" s="434">
        <v>64.72999999999999</v>
      </c>
      <c r="H12" s="434">
        <v>72.75</v>
      </c>
      <c r="I12" s="434">
        <v>182.81</v>
      </c>
      <c r="J12" s="434">
        <v>90.679999999999993</v>
      </c>
      <c r="K12" s="434">
        <v>156.73000000000002</v>
      </c>
      <c r="L12" s="434">
        <v>76.790000000000006</v>
      </c>
      <c r="M12" s="434">
        <v>133.15</v>
      </c>
      <c r="N12" s="434">
        <v>29.46</v>
      </c>
      <c r="O12" s="434">
        <v>99.83</v>
      </c>
      <c r="P12" s="434">
        <v>61.85</v>
      </c>
      <c r="Q12" s="434">
        <v>58.42</v>
      </c>
      <c r="R12" s="434">
        <v>93.89</v>
      </c>
      <c r="S12" s="434">
        <v>201.95</v>
      </c>
      <c r="T12" s="434">
        <v>137.69999999999999</v>
      </c>
      <c r="U12" s="434">
        <v>146.72999999999999</v>
      </c>
      <c r="V12" s="434">
        <v>26.069999999999997</v>
      </c>
      <c r="W12" s="434">
        <v>124.47</v>
      </c>
    </row>
    <row r="13" spans="1:23" s="827" customFormat="1" ht="16.5" customHeight="1">
      <c r="A13" s="2" t="s">
        <v>9</v>
      </c>
      <c r="B13" s="336" t="s">
        <v>2747</v>
      </c>
      <c r="C13" s="2" t="s">
        <v>12</v>
      </c>
      <c r="D13" s="431">
        <v>2313.31</v>
      </c>
      <c r="E13" s="431">
        <v>133.51</v>
      </c>
      <c r="F13" s="431">
        <v>60.37</v>
      </c>
      <c r="G13" s="431">
        <v>87.169999999999987</v>
      </c>
      <c r="H13" s="431">
        <v>125.14</v>
      </c>
      <c r="I13" s="431">
        <v>156.63</v>
      </c>
      <c r="J13" s="431">
        <v>175.46</v>
      </c>
      <c r="K13" s="431">
        <v>110.25</v>
      </c>
      <c r="L13" s="431">
        <v>44.89</v>
      </c>
      <c r="M13" s="431">
        <v>89.88</v>
      </c>
      <c r="N13" s="431">
        <v>109.96000000000001</v>
      </c>
      <c r="O13" s="431">
        <v>156.22999999999999</v>
      </c>
      <c r="P13" s="431">
        <v>105.9</v>
      </c>
      <c r="Q13" s="431">
        <v>89.419999999999987</v>
      </c>
      <c r="R13" s="431">
        <v>202.93</v>
      </c>
      <c r="S13" s="431">
        <v>143.35999999999999</v>
      </c>
      <c r="T13" s="431">
        <v>141.52000000000001</v>
      </c>
      <c r="U13" s="431">
        <v>235.03</v>
      </c>
      <c r="V13" s="431">
        <v>33.46</v>
      </c>
      <c r="W13" s="431">
        <v>112.2</v>
      </c>
    </row>
    <row r="14" spans="1:23" ht="15.95" customHeight="1">
      <c r="A14" s="2" t="s">
        <v>11</v>
      </c>
      <c r="B14" s="336" t="s">
        <v>60</v>
      </c>
      <c r="C14" s="2" t="s">
        <v>14</v>
      </c>
      <c r="D14" s="431">
        <v>678.03</v>
      </c>
      <c r="E14" s="431">
        <v>41.26</v>
      </c>
      <c r="F14" s="431">
        <v>21.49</v>
      </c>
      <c r="G14" s="431">
        <v>33.090000000000003</v>
      </c>
      <c r="H14" s="431">
        <v>72.010000000000005</v>
      </c>
      <c r="I14" s="431">
        <v>37.440000000000005</v>
      </c>
      <c r="J14" s="431">
        <v>5.0199999999999996</v>
      </c>
      <c r="K14" s="431">
        <v>31.749999999999996</v>
      </c>
      <c r="L14" s="431">
        <v>12.6</v>
      </c>
      <c r="M14" s="431">
        <v>17.239999999999998</v>
      </c>
      <c r="N14" s="431">
        <v>7.82</v>
      </c>
      <c r="O14" s="431">
        <v>51.05</v>
      </c>
      <c r="P14" s="431">
        <v>35.949999999999996</v>
      </c>
      <c r="Q14" s="431">
        <v>12.5</v>
      </c>
      <c r="R14" s="431">
        <v>55.14</v>
      </c>
      <c r="S14" s="431">
        <v>36.4</v>
      </c>
      <c r="T14" s="431">
        <v>57.03</v>
      </c>
      <c r="U14" s="431">
        <v>68.08</v>
      </c>
      <c r="V14" s="431">
        <v>28.97</v>
      </c>
      <c r="W14" s="431">
        <v>53.19</v>
      </c>
    </row>
    <row r="15" spans="1:23" ht="18" customHeight="1">
      <c r="A15" s="2" t="s">
        <v>13</v>
      </c>
      <c r="B15" s="336" t="s">
        <v>61</v>
      </c>
      <c r="C15" s="2" t="s">
        <v>16</v>
      </c>
      <c r="D15" s="431">
        <v>9881.8499999999985</v>
      </c>
      <c r="E15" s="431">
        <v>291.15000000000003</v>
      </c>
      <c r="F15" s="431">
        <v>539.41999999999996</v>
      </c>
      <c r="G15" s="431">
        <v>163.78</v>
      </c>
      <c r="H15" s="431">
        <v>258.93</v>
      </c>
      <c r="I15" s="431">
        <v>844.68</v>
      </c>
      <c r="J15" s="431">
        <v>293.42</v>
      </c>
      <c r="K15" s="431">
        <v>207.26</v>
      </c>
      <c r="L15" s="431">
        <v>423.29</v>
      </c>
      <c r="M15" s="431">
        <v>786.28</v>
      </c>
      <c r="N15" s="431">
        <v>0</v>
      </c>
      <c r="O15" s="431">
        <v>206.89</v>
      </c>
      <c r="P15" s="431">
        <v>1853.73</v>
      </c>
      <c r="Q15" s="431">
        <v>626.79</v>
      </c>
      <c r="R15" s="431">
        <v>0</v>
      </c>
      <c r="S15" s="431">
        <v>1112.06</v>
      </c>
      <c r="T15" s="431">
        <v>541.01</v>
      </c>
      <c r="U15" s="431">
        <v>574.54</v>
      </c>
      <c r="V15" s="431">
        <v>692.98</v>
      </c>
      <c r="W15" s="431">
        <v>465.64</v>
      </c>
    </row>
    <row r="16" spans="1:23" ht="18" hidden="1" customHeight="1">
      <c r="A16" s="2" t="s">
        <v>15</v>
      </c>
      <c r="B16" s="336" t="s">
        <v>62</v>
      </c>
      <c r="C16" s="2" t="s">
        <v>17</v>
      </c>
      <c r="D16" s="431">
        <v>0</v>
      </c>
      <c r="E16" s="431">
        <v>0</v>
      </c>
      <c r="F16" s="431">
        <v>0</v>
      </c>
      <c r="G16" s="431">
        <v>0</v>
      </c>
      <c r="H16" s="431">
        <v>0</v>
      </c>
      <c r="I16" s="431">
        <v>0</v>
      </c>
      <c r="J16" s="431">
        <v>0</v>
      </c>
      <c r="K16" s="431">
        <v>0</v>
      </c>
      <c r="L16" s="431">
        <v>0</v>
      </c>
      <c r="M16" s="431">
        <v>0</v>
      </c>
      <c r="N16" s="431">
        <v>0</v>
      </c>
      <c r="O16" s="431">
        <v>0</v>
      </c>
      <c r="P16" s="431">
        <v>0</v>
      </c>
      <c r="Q16" s="431">
        <v>0</v>
      </c>
      <c r="R16" s="431">
        <v>0</v>
      </c>
      <c r="S16" s="431">
        <v>0</v>
      </c>
      <c r="T16" s="431">
        <v>0</v>
      </c>
      <c r="U16" s="431">
        <v>0</v>
      </c>
      <c r="V16" s="431">
        <v>0</v>
      </c>
      <c r="W16" s="431">
        <v>0</v>
      </c>
    </row>
    <row r="17" spans="1:23" s="827" customFormat="1" ht="18" customHeight="1">
      <c r="A17" s="2" t="s">
        <v>15</v>
      </c>
      <c r="B17" s="336" t="s">
        <v>63</v>
      </c>
      <c r="C17" s="2" t="s">
        <v>18</v>
      </c>
      <c r="D17" s="431">
        <v>89007.890000000014</v>
      </c>
      <c r="E17" s="431">
        <v>2713.3100000000004</v>
      </c>
      <c r="F17" s="431">
        <v>2539.88</v>
      </c>
      <c r="G17" s="431">
        <v>4572.91</v>
      </c>
      <c r="H17" s="431">
        <v>2555.6</v>
      </c>
      <c r="I17" s="431">
        <v>9640.06</v>
      </c>
      <c r="J17" s="431">
        <v>5910.24</v>
      </c>
      <c r="K17" s="431">
        <v>3064.34</v>
      </c>
      <c r="L17" s="431">
        <v>3175.27</v>
      </c>
      <c r="M17" s="431">
        <v>5089.6099999999997</v>
      </c>
      <c r="N17" s="431">
        <v>3097.5</v>
      </c>
      <c r="O17" s="431">
        <v>4481.5499999999993</v>
      </c>
      <c r="P17" s="431">
        <v>5636.2800000000007</v>
      </c>
      <c r="Q17" s="431">
        <v>5139.01</v>
      </c>
      <c r="R17" s="431">
        <v>3190.41</v>
      </c>
      <c r="S17" s="431">
        <v>6691.11</v>
      </c>
      <c r="T17" s="431">
        <v>4287.08</v>
      </c>
      <c r="U17" s="431">
        <v>6661</v>
      </c>
      <c r="V17" s="431">
        <v>4057.5699999999997</v>
      </c>
      <c r="W17" s="431">
        <v>6505.16</v>
      </c>
    </row>
    <row r="18" spans="1:23" s="827" customFormat="1" ht="19.7" customHeight="1">
      <c r="A18" s="430"/>
      <c r="B18" s="804" t="s">
        <v>198</v>
      </c>
      <c r="C18" s="820" t="s">
        <v>187</v>
      </c>
      <c r="D18" s="434">
        <v>56466.229999999996</v>
      </c>
      <c r="E18" s="434">
        <v>513.91</v>
      </c>
      <c r="F18" s="434">
        <v>671.38</v>
      </c>
      <c r="G18" s="434">
        <v>3427.63</v>
      </c>
      <c r="H18" s="434">
        <v>1101.7</v>
      </c>
      <c r="I18" s="434">
        <v>7721.79</v>
      </c>
      <c r="J18" s="434">
        <v>3969.33</v>
      </c>
      <c r="K18" s="434">
        <v>688.39</v>
      </c>
      <c r="L18" s="434">
        <v>2231.27</v>
      </c>
      <c r="M18" s="434">
        <v>2667.18</v>
      </c>
      <c r="N18" s="434">
        <v>2151.1799999999998</v>
      </c>
      <c r="O18" s="434">
        <v>3636.98</v>
      </c>
      <c r="P18" s="434">
        <v>4936.1400000000003</v>
      </c>
      <c r="Q18" s="434">
        <v>4225.8900000000003</v>
      </c>
      <c r="R18" s="434">
        <v>1923.86</v>
      </c>
      <c r="S18" s="434">
        <v>3644.93</v>
      </c>
      <c r="T18" s="434">
        <v>2850.61</v>
      </c>
      <c r="U18" s="434">
        <v>4574.43</v>
      </c>
      <c r="V18" s="434">
        <v>2910.74</v>
      </c>
      <c r="W18" s="434">
        <v>2618.89</v>
      </c>
    </row>
    <row r="19" spans="1:23" s="827" customFormat="1" ht="18.600000000000001" customHeight="1">
      <c r="A19" s="2" t="s">
        <v>64</v>
      </c>
      <c r="B19" s="336" t="s">
        <v>72</v>
      </c>
      <c r="C19" s="2" t="s">
        <v>19</v>
      </c>
      <c r="D19" s="431">
        <v>108.97999999999999</v>
      </c>
      <c r="E19" s="431">
        <v>13.82</v>
      </c>
      <c r="F19" s="431">
        <v>1.81</v>
      </c>
      <c r="G19" s="431">
        <v>4.8499999999999996</v>
      </c>
      <c r="H19" s="431">
        <v>5.58</v>
      </c>
      <c r="I19" s="431">
        <v>15.219999999999999</v>
      </c>
      <c r="J19" s="431">
        <v>3.88</v>
      </c>
      <c r="K19" s="431">
        <v>2.25</v>
      </c>
      <c r="L19" s="431">
        <v>10.14</v>
      </c>
      <c r="M19" s="431">
        <v>3.19</v>
      </c>
      <c r="N19" s="431">
        <v>1.68</v>
      </c>
      <c r="O19" s="431">
        <v>1.94</v>
      </c>
      <c r="P19" s="431">
        <v>1.4600000000000002</v>
      </c>
      <c r="Q19" s="431">
        <v>2.68</v>
      </c>
      <c r="R19" s="431">
        <v>3.88</v>
      </c>
      <c r="S19" s="431">
        <v>9.01</v>
      </c>
      <c r="T19" s="431">
        <v>18.149999999999999</v>
      </c>
      <c r="U19" s="431">
        <v>4.74</v>
      </c>
      <c r="V19" s="431">
        <v>1.62</v>
      </c>
      <c r="W19" s="431">
        <v>3.08</v>
      </c>
    </row>
    <row r="20" spans="1:23" ht="15" hidden="1">
      <c r="A20" s="2" t="s">
        <v>86</v>
      </c>
      <c r="B20" s="336" t="s">
        <v>2749</v>
      </c>
      <c r="C20" s="2" t="s">
        <v>2752</v>
      </c>
      <c r="D20" s="431">
        <v>0</v>
      </c>
      <c r="E20" s="431">
        <v>0</v>
      </c>
      <c r="F20" s="431">
        <v>0</v>
      </c>
      <c r="G20" s="431">
        <v>0</v>
      </c>
      <c r="H20" s="431">
        <v>0</v>
      </c>
      <c r="I20" s="431">
        <v>0</v>
      </c>
      <c r="J20" s="431">
        <v>0</v>
      </c>
      <c r="K20" s="431">
        <v>0</v>
      </c>
      <c r="L20" s="431">
        <v>0</v>
      </c>
      <c r="M20" s="431">
        <v>0</v>
      </c>
      <c r="N20" s="431">
        <v>0</v>
      </c>
      <c r="O20" s="431">
        <v>0</v>
      </c>
      <c r="P20" s="431">
        <v>0</v>
      </c>
      <c r="Q20" s="431">
        <v>0</v>
      </c>
      <c r="R20" s="431">
        <v>0</v>
      </c>
      <c r="S20" s="431">
        <v>0</v>
      </c>
      <c r="T20" s="431">
        <v>0</v>
      </c>
      <c r="U20" s="431">
        <v>0</v>
      </c>
      <c r="V20" s="431">
        <v>0</v>
      </c>
      <c r="W20" s="431">
        <v>0</v>
      </c>
    </row>
    <row r="21" spans="1:23" ht="22.35" customHeight="1">
      <c r="A21" s="2" t="s">
        <v>73</v>
      </c>
      <c r="B21" s="336" t="s">
        <v>89</v>
      </c>
      <c r="C21" s="2" t="s">
        <v>20</v>
      </c>
      <c r="D21" s="431">
        <v>10.4</v>
      </c>
      <c r="E21" s="431">
        <v>0</v>
      </c>
      <c r="F21" s="431">
        <v>0</v>
      </c>
      <c r="G21" s="431">
        <v>0</v>
      </c>
      <c r="H21" s="431">
        <v>0</v>
      </c>
      <c r="I21" s="431">
        <v>10.4</v>
      </c>
      <c r="J21" s="431">
        <v>0</v>
      </c>
      <c r="K21" s="431">
        <v>0</v>
      </c>
      <c r="L21" s="431">
        <v>0</v>
      </c>
      <c r="M21" s="431">
        <v>0</v>
      </c>
      <c r="N21" s="431">
        <v>0</v>
      </c>
      <c r="O21" s="431">
        <v>0</v>
      </c>
      <c r="P21" s="431">
        <v>0</v>
      </c>
      <c r="Q21" s="431">
        <v>0</v>
      </c>
      <c r="R21" s="431">
        <v>0</v>
      </c>
      <c r="S21" s="431">
        <v>0</v>
      </c>
      <c r="T21" s="431">
        <v>0</v>
      </c>
      <c r="U21" s="431">
        <v>0</v>
      </c>
      <c r="V21" s="431">
        <v>0</v>
      </c>
      <c r="W21" s="431">
        <v>0</v>
      </c>
    </row>
    <row r="22" spans="1:23" s="810" customFormat="1" ht="21.75" customHeight="1">
      <c r="A22" s="339">
        <v>2</v>
      </c>
      <c r="B22" s="429" t="s">
        <v>21</v>
      </c>
      <c r="C22" s="339" t="s">
        <v>22</v>
      </c>
      <c r="D22" s="438">
        <v>3442.7</v>
      </c>
      <c r="E22" s="438">
        <v>244.53999999999991</v>
      </c>
      <c r="F22" s="438">
        <v>117.97999999999999</v>
      </c>
      <c r="G22" s="438">
        <v>138.26000000000002</v>
      </c>
      <c r="H22" s="438">
        <v>120.73</v>
      </c>
      <c r="I22" s="438">
        <v>283.37999999999988</v>
      </c>
      <c r="J22" s="438">
        <v>380.87000000000006</v>
      </c>
      <c r="K22" s="438">
        <v>143.72000000000003</v>
      </c>
      <c r="L22" s="438">
        <v>91.320000000000007</v>
      </c>
      <c r="M22" s="438">
        <v>104.08</v>
      </c>
      <c r="N22" s="438">
        <v>90.69</v>
      </c>
      <c r="O22" s="438">
        <v>234.17999999999998</v>
      </c>
      <c r="P22" s="438">
        <v>201.94999999999996</v>
      </c>
      <c r="Q22" s="438">
        <v>120.30000000000001</v>
      </c>
      <c r="R22" s="438">
        <v>152.08000000000001</v>
      </c>
      <c r="S22" s="438">
        <v>229.19000000000005</v>
      </c>
      <c r="T22" s="438">
        <v>186.79999999999995</v>
      </c>
      <c r="U22" s="438">
        <v>261</v>
      </c>
      <c r="V22" s="438">
        <v>169.13000000000002</v>
      </c>
      <c r="W22" s="438">
        <v>172.49999999999997</v>
      </c>
    </row>
    <row r="23" spans="1:23" ht="13.5" customHeight="1">
      <c r="A23" s="2"/>
      <c r="B23" s="337" t="s">
        <v>190</v>
      </c>
      <c r="C23" s="2"/>
      <c r="D23" s="431"/>
      <c r="E23" s="431"/>
      <c r="F23" s="431"/>
      <c r="G23" s="431"/>
      <c r="H23" s="431"/>
      <c r="I23" s="431"/>
      <c r="J23" s="431"/>
      <c r="K23" s="431"/>
      <c r="L23" s="431"/>
      <c r="M23" s="431"/>
      <c r="N23" s="431"/>
      <c r="O23" s="431"/>
      <c r="P23" s="431"/>
      <c r="Q23" s="431"/>
      <c r="R23" s="431"/>
      <c r="S23" s="431"/>
      <c r="T23" s="431"/>
      <c r="U23" s="431"/>
      <c r="V23" s="431"/>
      <c r="W23" s="431"/>
    </row>
    <row r="24" spans="1:23" ht="17.45" customHeight="1">
      <c r="A24" s="2" t="s">
        <v>23</v>
      </c>
      <c r="B24" s="336" t="s">
        <v>65</v>
      </c>
      <c r="C24" s="2" t="s">
        <v>26</v>
      </c>
      <c r="D24" s="431">
        <v>15.48</v>
      </c>
      <c r="E24" s="431">
        <v>3.25</v>
      </c>
      <c r="F24" s="431">
        <v>0</v>
      </c>
      <c r="G24" s="431">
        <v>0</v>
      </c>
      <c r="H24" s="431">
        <v>12.23</v>
      </c>
      <c r="I24" s="431">
        <v>0</v>
      </c>
      <c r="J24" s="431">
        <v>0</v>
      </c>
      <c r="K24" s="431">
        <v>0</v>
      </c>
      <c r="L24" s="431">
        <v>0</v>
      </c>
      <c r="M24" s="431">
        <v>0</v>
      </c>
      <c r="N24" s="431">
        <v>0</v>
      </c>
      <c r="O24" s="431">
        <v>0</v>
      </c>
      <c r="P24" s="431">
        <v>0</v>
      </c>
      <c r="Q24" s="431">
        <v>0</v>
      </c>
      <c r="R24" s="431">
        <v>0</v>
      </c>
      <c r="S24" s="431">
        <v>0</v>
      </c>
      <c r="T24" s="431">
        <v>0</v>
      </c>
      <c r="U24" s="431">
        <v>0</v>
      </c>
      <c r="V24" s="431">
        <v>0</v>
      </c>
      <c r="W24" s="431">
        <v>0</v>
      </c>
    </row>
    <row r="25" spans="1:23" s="827" customFormat="1" ht="16.7" customHeight="1">
      <c r="A25" s="2" t="s">
        <v>25</v>
      </c>
      <c r="B25" s="336" t="s">
        <v>66</v>
      </c>
      <c r="C25" s="2" t="s">
        <v>28</v>
      </c>
      <c r="D25" s="431">
        <v>1.4300000000000002</v>
      </c>
      <c r="E25" s="431">
        <v>1.1399999999999999</v>
      </c>
      <c r="F25" s="431">
        <v>0</v>
      </c>
      <c r="G25" s="431">
        <v>0</v>
      </c>
      <c r="H25" s="431">
        <v>0</v>
      </c>
      <c r="I25" s="431">
        <v>0</v>
      </c>
      <c r="J25" s="431">
        <v>0.04</v>
      </c>
      <c r="K25" s="431">
        <v>0</v>
      </c>
      <c r="L25" s="431">
        <v>0</v>
      </c>
      <c r="M25" s="431">
        <v>0</v>
      </c>
      <c r="N25" s="431">
        <v>0</v>
      </c>
      <c r="O25" s="431">
        <v>0</v>
      </c>
      <c r="P25" s="431">
        <v>0</v>
      </c>
      <c r="Q25" s="431">
        <v>0.09</v>
      </c>
      <c r="R25" s="431">
        <v>0</v>
      </c>
      <c r="S25" s="431">
        <v>0</v>
      </c>
      <c r="T25" s="431">
        <v>0.12</v>
      </c>
      <c r="U25" s="431">
        <v>0.04</v>
      </c>
      <c r="V25" s="431">
        <v>0</v>
      </c>
      <c r="W25" s="431">
        <v>0</v>
      </c>
    </row>
    <row r="26" spans="1:23" ht="17.100000000000001" hidden="1" customHeight="1">
      <c r="A26" s="2" t="s">
        <v>27</v>
      </c>
      <c r="B26" s="336" t="s">
        <v>67</v>
      </c>
      <c r="C26" s="2" t="s">
        <v>30</v>
      </c>
      <c r="D26" s="431">
        <v>0</v>
      </c>
      <c r="E26" s="431">
        <v>0</v>
      </c>
      <c r="F26" s="431">
        <v>0</v>
      </c>
      <c r="G26" s="431">
        <v>0</v>
      </c>
      <c r="H26" s="431">
        <v>0</v>
      </c>
      <c r="I26" s="431">
        <v>0</v>
      </c>
      <c r="J26" s="431">
        <v>0</v>
      </c>
      <c r="K26" s="431">
        <v>0</v>
      </c>
      <c r="L26" s="431">
        <v>0</v>
      </c>
      <c r="M26" s="431">
        <v>0</v>
      </c>
      <c r="N26" s="431">
        <v>0</v>
      </c>
      <c r="O26" s="431">
        <v>0</v>
      </c>
      <c r="P26" s="431">
        <v>0</v>
      </c>
      <c r="Q26" s="431">
        <v>0</v>
      </c>
      <c r="R26" s="431">
        <v>0</v>
      </c>
      <c r="S26" s="431">
        <v>0</v>
      </c>
      <c r="T26" s="431">
        <v>0</v>
      </c>
      <c r="U26" s="431">
        <v>0</v>
      </c>
      <c r="V26" s="431">
        <v>0</v>
      </c>
      <c r="W26" s="431">
        <v>0</v>
      </c>
    </row>
    <row r="27" spans="1:23" ht="17.45" hidden="1" customHeight="1">
      <c r="A27" s="2" t="s">
        <v>27</v>
      </c>
      <c r="B27" s="336" t="s">
        <v>90</v>
      </c>
      <c r="C27" s="2" t="s">
        <v>91</v>
      </c>
      <c r="D27" s="431">
        <v>0</v>
      </c>
      <c r="E27" s="431">
        <v>0</v>
      </c>
      <c r="F27" s="431">
        <v>0</v>
      </c>
      <c r="G27" s="431">
        <v>0</v>
      </c>
      <c r="H27" s="431">
        <v>0</v>
      </c>
      <c r="I27" s="431">
        <v>0</v>
      </c>
      <c r="J27" s="431">
        <v>0</v>
      </c>
      <c r="K27" s="431">
        <v>0</v>
      </c>
      <c r="L27" s="431">
        <v>0</v>
      </c>
      <c r="M27" s="431">
        <v>0</v>
      </c>
      <c r="N27" s="431">
        <v>0</v>
      </c>
      <c r="O27" s="431">
        <v>0</v>
      </c>
      <c r="P27" s="431">
        <v>0</v>
      </c>
      <c r="Q27" s="431">
        <v>0</v>
      </c>
      <c r="R27" s="431">
        <v>0</v>
      </c>
      <c r="S27" s="431">
        <v>0</v>
      </c>
      <c r="T27" s="431">
        <v>0</v>
      </c>
      <c r="U27" s="431">
        <v>0</v>
      </c>
      <c r="V27" s="431">
        <v>0</v>
      </c>
      <c r="W27" s="431">
        <v>0</v>
      </c>
    </row>
    <row r="28" spans="1:23" ht="22.5" customHeight="1">
      <c r="A28" s="2" t="s">
        <v>29</v>
      </c>
      <c r="B28" s="336" t="s">
        <v>92</v>
      </c>
      <c r="C28" s="2" t="s">
        <v>93</v>
      </c>
      <c r="D28" s="431">
        <v>16.32</v>
      </c>
      <c r="E28" s="431">
        <v>0.64</v>
      </c>
      <c r="F28" s="431">
        <v>0</v>
      </c>
      <c r="G28" s="431">
        <v>0.05</v>
      </c>
      <c r="H28" s="431">
        <v>1.27</v>
      </c>
      <c r="I28" s="431">
        <v>0.44</v>
      </c>
      <c r="J28" s="431">
        <v>0.17</v>
      </c>
      <c r="K28" s="431">
        <v>0</v>
      </c>
      <c r="L28" s="431">
        <v>0</v>
      </c>
      <c r="M28" s="431">
        <v>0</v>
      </c>
      <c r="N28" s="431">
        <v>0.15</v>
      </c>
      <c r="O28" s="431">
        <v>0</v>
      </c>
      <c r="P28" s="431">
        <v>0</v>
      </c>
      <c r="Q28" s="431">
        <v>0</v>
      </c>
      <c r="R28" s="431">
        <v>7.0000000000000007E-2</v>
      </c>
      <c r="S28" s="431">
        <v>0.03</v>
      </c>
      <c r="T28" s="431">
        <v>0.02</v>
      </c>
      <c r="U28" s="431">
        <v>13.48</v>
      </c>
      <c r="V28" s="431">
        <v>0</v>
      </c>
      <c r="W28" s="431">
        <v>0</v>
      </c>
    </row>
    <row r="29" spans="1:23" s="827" customFormat="1" ht="18.75" customHeight="1">
      <c r="A29" s="2" t="s">
        <v>31</v>
      </c>
      <c r="B29" s="336" t="s">
        <v>94</v>
      </c>
      <c r="C29" s="2" t="s">
        <v>32</v>
      </c>
      <c r="D29" s="431">
        <v>2.23</v>
      </c>
      <c r="E29" s="431">
        <v>0.4</v>
      </c>
      <c r="F29" s="431">
        <v>0</v>
      </c>
      <c r="G29" s="431">
        <v>0.48</v>
      </c>
      <c r="H29" s="431">
        <v>0.76</v>
      </c>
      <c r="I29" s="431">
        <v>0</v>
      </c>
      <c r="J29" s="431">
        <v>0</v>
      </c>
      <c r="K29" s="431">
        <v>0</v>
      </c>
      <c r="L29" s="431">
        <v>0.13</v>
      </c>
      <c r="M29" s="431">
        <v>0</v>
      </c>
      <c r="N29" s="431">
        <v>0.3</v>
      </c>
      <c r="O29" s="431">
        <v>0.14000000000000001</v>
      </c>
      <c r="P29" s="431">
        <v>0</v>
      </c>
      <c r="Q29" s="431">
        <v>0</v>
      </c>
      <c r="R29" s="431">
        <v>0</v>
      </c>
      <c r="S29" s="431">
        <v>0</v>
      </c>
      <c r="T29" s="431">
        <v>0</v>
      </c>
      <c r="U29" s="431">
        <v>0.02</v>
      </c>
      <c r="V29" s="431">
        <v>0</v>
      </c>
      <c r="W29" s="431">
        <v>0</v>
      </c>
    </row>
    <row r="30" spans="1:23" s="814" customFormat="1" ht="20.25" customHeight="1">
      <c r="A30" s="2" t="s">
        <v>33</v>
      </c>
      <c r="B30" s="336" t="s">
        <v>106</v>
      </c>
      <c r="C30" s="2" t="s">
        <v>35</v>
      </c>
      <c r="D30" s="431">
        <v>17.509999999999998</v>
      </c>
      <c r="E30" s="431">
        <v>16.52</v>
      </c>
      <c r="F30" s="431">
        <v>0</v>
      </c>
      <c r="G30" s="431">
        <v>0</v>
      </c>
      <c r="H30" s="431">
        <v>0</v>
      </c>
      <c r="I30" s="431">
        <v>0.66</v>
      </c>
      <c r="J30" s="431">
        <v>0</v>
      </c>
      <c r="K30" s="431">
        <v>0</v>
      </c>
      <c r="L30" s="431">
        <v>0</v>
      </c>
      <c r="M30" s="431">
        <v>0</v>
      </c>
      <c r="N30" s="431">
        <v>0</v>
      </c>
      <c r="O30" s="431">
        <v>0</v>
      </c>
      <c r="P30" s="431">
        <v>0</v>
      </c>
      <c r="Q30" s="431">
        <v>0</v>
      </c>
      <c r="R30" s="431">
        <v>0.02</v>
      </c>
      <c r="S30" s="431">
        <v>0</v>
      </c>
      <c r="T30" s="431">
        <v>0</v>
      </c>
      <c r="U30" s="431">
        <v>0.31000000000000005</v>
      </c>
      <c r="V30" s="431">
        <v>0</v>
      </c>
      <c r="W30" s="431">
        <v>0</v>
      </c>
    </row>
    <row r="31" spans="1:23" ht="21" customHeight="1">
      <c r="A31" s="2" t="s">
        <v>68</v>
      </c>
      <c r="B31" s="336" t="s">
        <v>125</v>
      </c>
      <c r="C31" s="2" t="s">
        <v>43</v>
      </c>
      <c r="D31" s="431">
        <v>1463.8799999999999</v>
      </c>
      <c r="E31" s="431">
        <v>104.94</v>
      </c>
      <c r="F31" s="431">
        <v>55.5</v>
      </c>
      <c r="G31" s="431">
        <v>45.550000000000004</v>
      </c>
      <c r="H31" s="431">
        <v>62.769999999999996</v>
      </c>
      <c r="I31" s="431">
        <v>144.72999999999999</v>
      </c>
      <c r="J31" s="431">
        <v>115.60000000000001</v>
      </c>
      <c r="K31" s="431">
        <v>48.559999999999988</v>
      </c>
      <c r="L31" s="431">
        <v>61.33</v>
      </c>
      <c r="M31" s="431">
        <v>27.609999999999996</v>
      </c>
      <c r="N31" s="431">
        <v>46.539999999999992</v>
      </c>
      <c r="O31" s="431">
        <v>133.89000000000001</v>
      </c>
      <c r="P31" s="431">
        <v>81.599999999999994</v>
      </c>
      <c r="Q31" s="431">
        <v>40.919999999999995</v>
      </c>
      <c r="R31" s="431">
        <v>91.799999999999983</v>
      </c>
      <c r="S31" s="431">
        <v>98.070000000000007</v>
      </c>
      <c r="T31" s="431">
        <v>76.999999999999986</v>
      </c>
      <c r="U31" s="431">
        <v>83.63</v>
      </c>
      <c r="V31" s="431">
        <v>86.72999999999999</v>
      </c>
      <c r="W31" s="431">
        <v>57.109999999999992</v>
      </c>
    </row>
    <row r="32" spans="1:23" s="827" customFormat="1" ht="15">
      <c r="A32" s="430"/>
      <c r="B32" s="337" t="s">
        <v>190</v>
      </c>
      <c r="C32" s="430"/>
      <c r="D32" s="431"/>
      <c r="E32" s="431"/>
      <c r="F32" s="431"/>
      <c r="G32" s="431"/>
      <c r="H32" s="431"/>
      <c r="I32" s="431"/>
      <c r="J32" s="431"/>
      <c r="K32" s="431"/>
      <c r="L32" s="431"/>
      <c r="M32" s="431"/>
      <c r="N32" s="431"/>
      <c r="O32" s="431"/>
      <c r="P32" s="431"/>
      <c r="Q32" s="431"/>
      <c r="R32" s="431"/>
      <c r="S32" s="431"/>
      <c r="T32" s="431"/>
      <c r="U32" s="431"/>
      <c r="V32" s="431"/>
      <c r="W32" s="431"/>
    </row>
    <row r="33" spans="1:23" ht="16.350000000000001" customHeight="1">
      <c r="A33" s="2" t="s">
        <v>193</v>
      </c>
      <c r="B33" s="336" t="s">
        <v>2757</v>
      </c>
      <c r="C33" s="2" t="s">
        <v>44</v>
      </c>
      <c r="D33" s="431">
        <v>1289.4599999999998</v>
      </c>
      <c r="E33" s="431">
        <v>71.259999999999991</v>
      </c>
      <c r="F33" s="431">
        <v>53.22</v>
      </c>
      <c r="G33" s="431">
        <v>42.38</v>
      </c>
      <c r="H33" s="431">
        <v>34.880000000000003</v>
      </c>
      <c r="I33" s="431">
        <v>135.06</v>
      </c>
      <c r="J33" s="431">
        <v>102.96000000000001</v>
      </c>
      <c r="K33" s="431">
        <v>44.68</v>
      </c>
      <c r="L33" s="431">
        <v>59.44</v>
      </c>
      <c r="M33" s="431">
        <v>26.29</v>
      </c>
      <c r="N33" s="431">
        <v>38.409999999999997</v>
      </c>
      <c r="O33" s="431">
        <v>126.44</v>
      </c>
      <c r="P33" s="431">
        <v>68.009999999999991</v>
      </c>
      <c r="Q33" s="431">
        <v>39.53</v>
      </c>
      <c r="R33" s="431">
        <v>84.289999999999992</v>
      </c>
      <c r="S33" s="431">
        <v>87.38000000000001</v>
      </c>
      <c r="T33" s="431">
        <v>71</v>
      </c>
      <c r="U33" s="431">
        <v>77.040000000000006</v>
      </c>
      <c r="V33" s="431">
        <v>74.069999999999993</v>
      </c>
      <c r="W33" s="431">
        <v>53.12</v>
      </c>
    </row>
    <row r="34" spans="1:23" ht="16.350000000000001" customHeight="1">
      <c r="A34" s="2" t="s">
        <v>193</v>
      </c>
      <c r="B34" s="336" t="s">
        <v>2758</v>
      </c>
      <c r="C34" s="2" t="s">
        <v>45</v>
      </c>
      <c r="D34" s="431">
        <v>77.82999999999997</v>
      </c>
      <c r="E34" s="431">
        <v>13.95</v>
      </c>
      <c r="F34" s="431">
        <v>0.02</v>
      </c>
      <c r="G34" s="431">
        <v>1.39</v>
      </c>
      <c r="H34" s="431">
        <v>25.33</v>
      </c>
      <c r="I34" s="431">
        <v>5.07</v>
      </c>
      <c r="J34" s="431">
        <v>8.89</v>
      </c>
      <c r="K34" s="431">
        <v>1.48</v>
      </c>
      <c r="L34" s="431">
        <v>0.41000000000000003</v>
      </c>
      <c r="M34" s="431">
        <v>0.15</v>
      </c>
      <c r="N34" s="431">
        <v>1.59</v>
      </c>
      <c r="O34" s="431">
        <v>5.1100000000000003</v>
      </c>
      <c r="P34" s="431">
        <v>0.56999999999999995</v>
      </c>
      <c r="Q34" s="431">
        <v>0.05</v>
      </c>
      <c r="R34" s="431">
        <v>3.3600000000000003</v>
      </c>
      <c r="S34" s="431">
        <v>6.43</v>
      </c>
      <c r="T34" s="431">
        <v>3.07</v>
      </c>
      <c r="U34" s="431">
        <v>0.42</v>
      </c>
      <c r="V34" s="431">
        <v>0.35</v>
      </c>
      <c r="W34" s="431">
        <v>0.19</v>
      </c>
    </row>
    <row r="35" spans="1:23" s="828" customFormat="1" ht="16.350000000000001" customHeight="1">
      <c r="A35" s="2" t="s">
        <v>193</v>
      </c>
      <c r="B35" s="1" t="s">
        <v>2770</v>
      </c>
      <c r="C35" s="2" t="s">
        <v>2771</v>
      </c>
      <c r="D35" s="431">
        <v>0.16999999999999998</v>
      </c>
      <c r="E35" s="431">
        <v>0.06</v>
      </c>
      <c r="F35" s="431">
        <v>0</v>
      </c>
      <c r="G35" s="431">
        <v>0</v>
      </c>
      <c r="H35" s="431">
        <v>0</v>
      </c>
      <c r="I35" s="431">
        <v>0</v>
      </c>
      <c r="J35" s="431">
        <v>0</v>
      </c>
      <c r="K35" s="431">
        <v>0</v>
      </c>
      <c r="L35" s="431">
        <v>0</v>
      </c>
      <c r="M35" s="431">
        <v>0</v>
      </c>
      <c r="N35" s="431">
        <v>0</v>
      </c>
      <c r="O35" s="431">
        <v>0</v>
      </c>
      <c r="P35" s="431">
        <v>0</v>
      </c>
      <c r="Q35" s="431">
        <v>0</v>
      </c>
      <c r="R35" s="431">
        <v>0.11</v>
      </c>
      <c r="S35" s="431">
        <v>0</v>
      </c>
      <c r="T35" s="431">
        <v>0</v>
      </c>
      <c r="U35" s="431">
        <v>0</v>
      </c>
      <c r="V35" s="431">
        <v>0</v>
      </c>
      <c r="W35" s="431">
        <v>0</v>
      </c>
    </row>
    <row r="36" spans="1:23" s="814" customFormat="1" ht="17.45" hidden="1" customHeight="1">
      <c r="A36" s="2" t="s">
        <v>193</v>
      </c>
      <c r="B36" s="1" t="s">
        <v>2772</v>
      </c>
      <c r="C36" s="2" t="s">
        <v>2773</v>
      </c>
      <c r="D36" s="431">
        <v>0</v>
      </c>
      <c r="E36" s="431">
        <v>0</v>
      </c>
      <c r="F36" s="431">
        <v>0</v>
      </c>
      <c r="G36" s="431">
        <v>0</v>
      </c>
      <c r="H36" s="431">
        <v>0</v>
      </c>
      <c r="I36" s="431">
        <v>0</v>
      </c>
      <c r="J36" s="431">
        <v>0</v>
      </c>
      <c r="K36" s="431">
        <v>0</v>
      </c>
      <c r="L36" s="431">
        <v>0</v>
      </c>
      <c r="M36" s="431">
        <v>0</v>
      </c>
      <c r="N36" s="431">
        <v>0</v>
      </c>
      <c r="O36" s="431">
        <v>0</v>
      </c>
      <c r="P36" s="431">
        <v>0</v>
      </c>
      <c r="Q36" s="431">
        <v>0</v>
      </c>
      <c r="R36" s="431">
        <v>0</v>
      </c>
      <c r="S36" s="431">
        <v>0</v>
      </c>
      <c r="T36" s="431">
        <v>0</v>
      </c>
      <c r="U36" s="431">
        <v>0</v>
      </c>
      <c r="V36" s="431">
        <v>0</v>
      </c>
      <c r="W36" s="431">
        <v>0</v>
      </c>
    </row>
    <row r="37" spans="1:23" ht="16.350000000000001" customHeight="1">
      <c r="A37" s="2" t="s">
        <v>193</v>
      </c>
      <c r="B37" s="336" t="s">
        <v>127</v>
      </c>
      <c r="C37" s="2" t="s">
        <v>48</v>
      </c>
      <c r="D37" s="431">
        <v>1.8900000000000003</v>
      </c>
      <c r="E37" s="431">
        <v>0.2</v>
      </c>
      <c r="F37" s="431">
        <v>0.16</v>
      </c>
      <c r="G37" s="431">
        <v>0</v>
      </c>
      <c r="H37" s="431">
        <v>0.17</v>
      </c>
      <c r="I37" s="431">
        <v>0.56000000000000005</v>
      </c>
      <c r="J37" s="431">
        <v>0.09</v>
      </c>
      <c r="K37" s="431">
        <v>0</v>
      </c>
      <c r="L37" s="431">
        <v>0</v>
      </c>
      <c r="M37" s="431">
        <v>0</v>
      </c>
      <c r="N37" s="431">
        <v>0.05</v>
      </c>
      <c r="O37" s="431">
        <v>0.04</v>
      </c>
      <c r="P37" s="431">
        <v>0</v>
      </c>
      <c r="Q37" s="431">
        <v>0</v>
      </c>
      <c r="R37" s="431">
        <v>0.27</v>
      </c>
      <c r="S37" s="431">
        <v>0</v>
      </c>
      <c r="T37" s="431">
        <v>0</v>
      </c>
      <c r="U37" s="431">
        <v>0.05</v>
      </c>
      <c r="V37" s="431">
        <v>0</v>
      </c>
      <c r="W37" s="431">
        <v>0.3</v>
      </c>
    </row>
    <row r="38" spans="1:23" ht="16.350000000000001" customHeight="1">
      <c r="A38" s="2" t="s">
        <v>193</v>
      </c>
      <c r="B38" s="336" t="s">
        <v>129</v>
      </c>
      <c r="C38" s="2" t="s">
        <v>49</v>
      </c>
      <c r="D38" s="431">
        <v>4.6900000000000004</v>
      </c>
      <c r="E38" s="431">
        <v>1.85</v>
      </c>
      <c r="F38" s="431">
        <v>0.25</v>
      </c>
      <c r="G38" s="431">
        <v>0.1</v>
      </c>
      <c r="H38" s="431">
        <v>0.12</v>
      </c>
      <c r="I38" s="431">
        <v>0.26</v>
      </c>
      <c r="J38" s="431">
        <v>7.0000000000000007E-2</v>
      </c>
      <c r="K38" s="431">
        <v>0.12</v>
      </c>
      <c r="L38" s="431">
        <v>0.18</v>
      </c>
      <c r="M38" s="431">
        <v>0.08</v>
      </c>
      <c r="N38" s="431">
        <v>0.1</v>
      </c>
      <c r="O38" s="431">
        <v>0.15</v>
      </c>
      <c r="P38" s="431">
        <v>0.18</v>
      </c>
      <c r="Q38" s="431">
        <v>0.21</v>
      </c>
      <c r="R38" s="431">
        <v>7.0000000000000007E-2</v>
      </c>
      <c r="S38" s="431">
        <v>0.23</v>
      </c>
      <c r="T38" s="431">
        <v>7.0000000000000007E-2</v>
      </c>
      <c r="U38" s="431">
        <v>0.25</v>
      </c>
      <c r="V38" s="431">
        <v>0.08</v>
      </c>
      <c r="W38" s="431">
        <v>0.32</v>
      </c>
    </row>
    <row r="39" spans="1:23" ht="16.350000000000001" customHeight="1">
      <c r="A39" s="2" t="s">
        <v>193</v>
      </c>
      <c r="B39" s="336" t="s">
        <v>220</v>
      </c>
      <c r="C39" s="2" t="s">
        <v>50</v>
      </c>
      <c r="D39" s="431">
        <v>42.95</v>
      </c>
      <c r="E39" s="431">
        <v>5.45</v>
      </c>
      <c r="F39" s="431">
        <v>1.84</v>
      </c>
      <c r="G39" s="431">
        <v>1.52</v>
      </c>
      <c r="H39" s="431">
        <v>1</v>
      </c>
      <c r="I39" s="431">
        <v>3.18</v>
      </c>
      <c r="J39" s="431">
        <v>2.5</v>
      </c>
      <c r="K39" s="431">
        <v>2.15</v>
      </c>
      <c r="L39" s="431">
        <v>0.75</v>
      </c>
      <c r="M39" s="431">
        <v>1</v>
      </c>
      <c r="N39" s="431">
        <v>1.26</v>
      </c>
      <c r="O39" s="431">
        <v>1.76</v>
      </c>
      <c r="P39" s="431">
        <v>1.95</v>
      </c>
      <c r="Q39" s="431">
        <v>1.1200000000000001</v>
      </c>
      <c r="R39" s="431">
        <v>2.1999999999999997</v>
      </c>
      <c r="S39" s="431">
        <v>3.83</v>
      </c>
      <c r="T39" s="431">
        <v>2.5299999999999998</v>
      </c>
      <c r="U39" s="431">
        <v>4.6900000000000004</v>
      </c>
      <c r="V39" s="431">
        <v>1.04</v>
      </c>
      <c r="W39" s="431">
        <v>3.1799999999999997</v>
      </c>
    </row>
    <row r="40" spans="1:23" ht="16.350000000000001" customHeight="1">
      <c r="A40" s="2" t="s">
        <v>193</v>
      </c>
      <c r="B40" s="336" t="s">
        <v>2307</v>
      </c>
      <c r="C40" s="2" t="s">
        <v>51</v>
      </c>
      <c r="D40" s="431">
        <v>2.08</v>
      </c>
      <c r="E40" s="431">
        <v>1.3</v>
      </c>
      <c r="F40" s="431">
        <v>0</v>
      </c>
      <c r="G40" s="431">
        <v>0</v>
      </c>
      <c r="H40" s="431">
        <v>0</v>
      </c>
      <c r="I40" s="431">
        <v>0</v>
      </c>
      <c r="J40" s="431">
        <v>0</v>
      </c>
      <c r="K40" s="431">
        <v>0</v>
      </c>
      <c r="L40" s="431">
        <v>0</v>
      </c>
      <c r="M40" s="431">
        <v>0</v>
      </c>
      <c r="N40" s="431">
        <v>0.18</v>
      </c>
      <c r="O40" s="431">
        <v>7.0000000000000007E-2</v>
      </c>
      <c r="P40" s="431">
        <v>0</v>
      </c>
      <c r="Q40" s="431">
        <v>0</v>
      </c>
      <c r="R40" s="431">
        <v>0.18</v>
      </c>
      <c r="S40" s="431">
        <v>0</v>
      </c>
      <c r="T40" s="431">
        <v>0.06</v>
      </c>
      <c r="U40" s="431">
        <v>0.28999999999999998</v>
      </c>
      <c r="V40" s="431">
        <v>0</v>
      </c>
      <c r="W40" s="431">
        <v>0</v>
      </c>
    </row>
    <row r="41" spans="1:23" ht="21.6" customHeight="1">
      <c r="A41" s="2" t="s">
        <v>193</v>
      </c>
      <c r="B41" s="336" t="s">
        <v>2759</v>
      </c>
      <c r="C41" s="2" t="s">
        <v>46</v>
      </c>
      <c r="D41" s="431">
        <v>12.53</v>
      </c>
      <c r="E41" s="431">
        <v>0.13999999999999999</v>
      </c>
      <c r="F41" s="431">
        <v>0.01</v>
      </c>
      <c r="G41" s="431">
        <v>0.01</v>
      </c>
      <c r="H41" s="431">
        <v>0.15000000000000002</v>
      </c>
      <c r="I41" s="431">
        <v>0.03</v>
      </c>
      <c r="J41" s="431">
        <v>0.11</v>
      </c>
      <c r="K41" s="431">
        <v>0.01</v>
      </c>
      <c r="L41" s="431">
        <v>0.03</v>
      </c>
      <c r="M41" s="431">
        <v>0.08</v>
      </c>
      <c r="N41" s="431">
        <v>6.9999999999999993E-2</v>
      </c>
      <c r="O41" s="431">
        <v>0.05</v>
      </c>
      <c r="P41" s="431">
        <v>10.89</v>
      </c>
      <c r="Q41" s="431">
        <v>0.01</v>
      </c>
      <c r="R41" s="431">
        <v>0.89</v>
      </c>
      <c r="S41" s="431">
        <v>0.02</v>
      </c>
      <c r="T41" s="431">
        <v>0.01</v>
      </c>
      <c r="U41" s="431">
        <v>0.01</v>
      </c>
      <c r="V41" s="431">
        <v>0.01</v>
      </c>
      <c r="W41" s="431">
        <v>0</v>
      </c>
    </row>
    <row r="42" spans="1:23" ht="21.75" customHeight="1">
      <c r="A42" s="2" t="s">
        <v>193</v>
      </c>
      <c r="B42" s="336" t="s">
        <v>2760</v>
      </c>
      <c r="C42" s="2" t="s">
        <v>47</v>
      </c>
      <c r="D42" s="431">
        <v>0.45000000000000018</v>
      </c>
      <c r="E42" s="431">
        <v>0.18</v>
      </c>
      <c r="F42" s="431">
        <v>0</v>
      </c>
      <c r="G42" s="431">
        <v>0.03</v>
      </c>
      <c r="H42" s="431">
        <v>0.01</v>
      </c>
      <c r="I42" s="431">
        <v>0.01</v>
      </c>
      <c r="J42" s="431">
        <v>0.06</v>
      </c>
      <c r="K42" s="431">
        <v>0.01</v>
      </c>
      <c r="L42" s="431">
        <v>0.02</v>
      </c>
      <c r="M42" s="431">
        <v>0.01</v>
      </c>
      <c r="N42" s="431">
        <v>0.01</v>
      </c>
      <c r="O42" s="431">
        <v>0.02</v>
      </c>
      <c r="P42" s="431">
        <v>0</v>
      </c>
      <c r="Q42" s="431">
        <v>0</v>
      </c>
      <c r="R42" s="431">
        <v>0.02</v>
      </c>
      <c r="S42" s="431">
        <v>0.01</v>
      </c>
      <c r="T42" s="431">
        <v>0.02</v>
      </c>
      <c r="U42" s="431">
        <v>1.999999999999999E-2</v>
      </c>
      <c r="V42" s="431">
        <v>0.02</v>
      </c>
      <c r="W42" s="431">
        <v>0</v>
      </c>
    </row>
    <row r="43" spans="1:23" ht="13.7" hidden="1" customHeight="1">
      <c r="A43" s="2" t="s">
        <v>193</v>
      </c>
      <c r="B43" s="336" t="s">
        <v>2761</v>
      </c>
      <c r="C43" s="2" t="s">
        <v>2762</v>
      </c>
      <c r="D43" s="431">
        <v>0</v>
      </c>
      <c r="E43" s="431">
        <v>0</v>
      </c>
      <c r="F43" s="431">
        <v>0</v>
      </c>
      <c r="G43" s="431">
        <v>0</v>
      </c>
      <c r="H43" s="431">
        <v>0</v>
      </c>
      <c r="I43" s="431">
        <v>0</v>
      </c>
      <c r="J43" s="431">
        <v>0</v>
      </c>
      <c r="K43" s="431">
        <v>0</v>
      </c>
      <c r="L43" s="431">
        <v>0</v>
      </c>
      <c r="M43" s="431">
        <v>0</v>
      </c>
      <c r="N43" s="431">
        <v>0</v>
      </c>
      <c r="O43" s="431">
        <v>0</v>
      </c>
      <c r="P43" s="431">
        <v>0</v>
      </c>
      <c r="Q43" s="431">
        <v>0</v>
      </c>
      <c r="R43" s="431">
        <v>0</v>
      </c>
      <c r="S43" s="431">
        <v>0</v>
      </c>
      <c r="T43" s="431">
        <v>0</v>
      </c>
      <c r="U43" s="431">
        <v>0</v>
      </c>
      <c r="V43" s="431">
        <v>0</v>
      </c>
      <c r="W43" s="431">
        <v>0</v>
      </c>
    </row>
    <row r="44" spans="1:23" ht="31.7" customHeight="1">
      <c r="A44" s="2" t="s">
        <v>193</v>
      </c>
      <c r="B44" s="336" t="s">
        <v>2763</v>
      </c>
      <c r="C44" s="2" t="s">
        <v>2764</v>
      </c>
      <c r="D44" s="431">
        <v>6.9999999999999993E-2</v>
      </c>
      <c r="E44" s="431">
        <v>0</v>
      </c>
      <c r="F44" s="431">
        <v>0</v>
      </c>
      <c r="G44" s="431">
        <v>0</v>
      </c>
      <c r="H44" s="431">
        <v>0</v>
      </c>
      <c r="I44" s="431">
        <v>0</v>
      </c>
      <c r="J44" s="431">
        <v>0</v>
      </c>
      <c r="K44" s="431">
        <v>0</v>
      </c>
      <c r="L44" s="431">
        <v>0</v>
      </c>
      <c r="M44" s="431">
        <v>0</v>
      </c>
      <c r="N44" s="431">
        <v>0</v>
      </c>
      <c r="O44" s="431">
        <v>0.01</v>
      </c>
      <c r="P44" s="431">
        <v>0</v>
      </c>
      <c r="Q44" s="431">
        <v>0</v>
      </c>
      <c r="R44" s="431">
        <v>0.06</v>
      </c>
      <c r="S44" s="431">
        <v>0</v>
      </c>
      <c r="T44" s="431">
        <v>0</v>
      </c>
      <c r="U44" s="431">
        <v>0</v>
      </c>
      <c r="V44" s="431">
        <v>0</v>
      </c>
      <c r="W44" s="431">
        <v>0</v>
      </c>
    </row>
    <row r="45" spans="1:23" ht="16.350000000000001" customHeight="1">
      <c r="A45" s="2" t="s">
        <v>193</v>
      </c>
      <c r="B45" s="336" t="s">
        <v>2765</v>
      </c>
      <c r="C45" s="2" t="s">
        <v>37</v>
      </c>
      <c r="D45" s="431">
        <v>0.19</v>
      </c>
      <c r="E45" s="431">
        <v>0.14000000000000001</v>
      </c>
      <c r="F45" s="431">
        <v>0</v>
      </c>
      <c r="G45" s="431">
        <v>0</v>
      </c>
      <c r="H45" s="431">
        <v>0</v>
      </c>
      <c r="I45" s="431">
        <v>0</v>
      </c>
      <c r="J45" s="431">
        <v>0</v>
      </c>
      <c r="K45" s="431">
        <v>0</v>
      </c>
      <c r="L45" s="431">
        <v>0</v>
      </c>
      <c r="M45" s="431">
        <v>0</v>
      </c>
      <c r="N45" s="431">
        <v>0</v>
      </c>
      <c r="O45" s="431">
        <v>0</v>
      </c>
      <c r="P45" s="431">
        <v>0</v>
      </c>
      <c r="Q45" s="431">
        <v>0</v>
      </c>
      <c r="R45" s="431">
        <v>0</v>
      </c>
      <c r="S45" s="431">
        <v>0</v>
      </c>
      <c r="T45" s="431">
        <v>0</v>
      </c>
      <c r="U45" s="431">
        <v>0.05</v>
      </c>
      <c r="V45" s="431">
        <v>0</v>
      </c>
      <c r="W45" s="431">
        <v>0</v>
      </c>
    </row>
    <row r="46" spans="1:23" ht="16.350000000000001" hidden="1" customHeight="1">
      <c r="A46" s="2" t="s">
        <v>193</v>
      </c>
      <c r="B46" s="336" t="s">
        <v>2766</v>
      </c>
      <c r="C46" s="2" t="s">
        <v>38</v>
      </c>
      <c r="D46" s="431">
        <v>0</v>
      </c>
      <c r="E46" s="431">
        <v>0</v>
      </c>
      <c r="F46" s="431">
        <v>0</v>
      </c>
      <c r="G46" s="431">
        <v>0</v>
      </c>
      <c r="H46" s="431">
        <v>0</v>
      </c>
      <c r="I46" s="431">
        <v>0</v>
      </c>
      <c r="J46" s="431">
        <v>0</v>
      </c>
      <c r="K46" s="431">
        <v>0</v>
      </c>
      <c r="L46" s="431">
        <v>0</v>
      </c>
      <c r="M46" s="431">
        <v>0</v>
      </c>
      <c r="N46" s="431">
        <v>0</v>
      </c>
      <c r="O46" s="431">
        <v>0</v>
      </c>
      <c r="P46" s="431">
        <v>0</v>
      </c>
      <c r="Q46" s="431">
        <v>0</v>
      </c>
      <c r="R46" s="431">
        <v>0</v>
      </c>
      <c r="S46" s="431">
        <v>0</v>
      </c>
      <c r="T46" s="431">
        <v>0</v>
      </c>
      <c r="U46" s="431">
        <v>0</v>
      </c>
      <c r="V46" s="431">
        <v>0</v>
      </c>
      <c r="W46" s="431">
        <v>0</v>
      </c>
    </row>
    <row r="47" spans="1:23" ht="21" customHeight="1">
      <c r="A47" s="2" t="s">
        <v>193</v>
      </c>
      <c r="B47" s="336" t="s">
        <v>2767</v>
      </c>
      <c r="C47" s="2" t="s">
        <v>40</v>
      </c>
      <c r="D47" s="431">
        <v>28.239999999999995</v>
      </c>
      <c r="E47" s="431">
        <v>10.11</v>
      </c>
      <c r="F47" s="431">
        <v>0</v>
      </c>
      <c r="G47" s="431">
        <v>0.12</v>
      </c>
      <c r="H47" s="431">
        <v>1.1100000000000001</v>
      </c>
      <c r="I47" s="431">
        <v>0</v>
      </c>
      <c r="J47" s="431">
        <v>0.31</v>
      </c>
      <c r="K47" s="431">
        <v>0.11</v>
      </c>
      <c r="L47" s="431">
        <v>0</v>
      </c>
      <c r="M47" s="431">
        <v>0</v>
      </c>
      <c r="N47" s="431">
        <v>4.87</v>
      </c>
      <c r="O47" s="431">
        <v>0.24000000000000002</v>
      </c>
      <c r="P47" s="431">
        <v>0</v>
      </c>
      <c r="Q47" s="431">
        <v>0</v>
      </c>
      <c r="R47" s="431">
        <v>0.35</v>
      </c>
      <c r="S47" s="431">
        <v>0.09</v>
      </c>
      <c r="T47" s="431">
        <v>0.24</v>
      </c>
      <c r="U47" s="431">
        <v>0</v>
      </c>
      <c r="V47" s="431">
        <v>10.69</v>
      </c>
      <c r="W47" s="431">
        <v>0</v>
      </c>
    </row>
    <row r="48" spans="1:23" ht="18.600000000000001" customHeight="1">
      <c r="A48" s="2" t="s">
        <v>193</v>
      </c>
      <c r="B48" s="336" t="s">
        <v>132</v>
      </c>
      <c r="C48" s="2" t="s">
        <v>52</v>
      </c>
      <c r="D48" s="431">
        <v>0.5</v>
      </c>
      <c r="E48" s="431">
        <v>0</v>
      </c>
      <c r="F48" s="431">
        <v>0</v>
      </c>
      <c r="G48" s="431">
        <v>0</v>
      </c>
      <c r="H48" s="431">
        <v>0</v>
      </c>
      <c r="I48" s="431">
        <v>0</v>
      </c>
      <c r="J48" s="431">
        <v>0</v>
      </c>
      <c r="K48" s="431">
        <v>0</v>
      </c>
      <c r="L48" s="431">
        <v>0.5</v>
      </c>
      <c r="M48" s="431">
        <v>0</v>
      </c>
      <c r="N48" s="431">
        <v>0</v>
      </c>
      <c r="O48" s="431">
        <v>0</v>
      </c>
      <c r="P48" s="431">
        <v>0</v>
      </c>
      <c r="Q48" s="431">
        <v>0</v>
      </c>
      <c r="R48" s="431">
        <v>0</v>
      </c>
      <c r="S48" s="431">
        <v>0</v>
      </c>
      <c r="T48" s="431">
        <v>0</v>
      </c>
      <c r="U48" s="431">
        <v>0</v>
      </c>
      <c r="V48" s="431">
        <v>0</v>
      </c>
      <c r="W48" s="431">
        <v>0</v>
      </c>
    </row>
    <row r="49" spans="1:23" ht="18" hidden="1" customHeight="1">
      <c r="A49" s="2" t="s">
        <v>193</v>
      </c>
      <c r="B49" s="336" t="s">
        <v>2768</v>
      </c>
      <c r="C49" s="2" t="s">
        <v>53</v>
      </c>
      <c r="D49" s="431">
        <v>0</v>
      </c>
      <c r="E49" s="431">
        <v>0</v>
      </c>
      <c r="F49" s="431">
        <v>0</v>
      </c>
      <c r="G49" s="431">
        <v>0</v>
      </c>
      <c r="H49" s="431">
        <v>0</v>
      </c>
      <c r="I49" s="431">
        <v>0</v>
      </c>
      <c r="J49" s="431">
        <v>0</v>
      </c>
      <c r="K49" s="431">
        <v>0</v>
      </c>
      <c r="L49" s="431">
        <v>0</v>
      </c>
      <c r="M49" s="431">
        <v>0</v>
      </c>
      <c r="N49" s="431">
        <v>0</v>
      </c>
      <c r="O49" s="431">
        <v>0</v>
      </c>
      <c r="P49" s="431">
        <v>0</v>
      </c>
      <c r="Q49" s="431">
        <v>0</v>
      </c>
      <c r="R49" s="431">
        <v>0</v>
      </c>
      <c r="S49" s="431">
        <v>0</v>
      </c>
      <c r="T49" s="431">
        <v>0</v>
      </c>
      <c r="U49" s="431">
        <v>0</v>
      </c>
      <c r="V49" s="431">
        <v>0</v>
      </c>
      <c r="W49" s="431">
        <v>0</v>
      </c>
    </row>
    <row r="50" spans="1:23" ht="18" customHeight="1">
      <c r="A50" s="2" t="s">
        <v>193</v>
      </c>
      <c r="B50" s="336" t="s">
        <v>2769</v>
      </c>
      <c r="C50" s="2" t="s">
        <v>54</v>
      </c>
      <c r="D50" s="431">
        <v>2.5099999999999998</v>
      </c>
      <c r="E50" s="431">
        <v>0.3</v>
      </c>
      <c r="F50" s="431">
        <v>0</v>
      </c>
      <c r="G50" s="431">
        <v>0</v>
      </c>
      <c r="H50" s="431">
        <v>0</v>
      </c>
      <c r="I50" s="431">
        <v>0.56000000000000005</v>
      </c>
      <c r="J50" s="431">
        <v>0.39</v>
      </c>
      <c r="K50" s="431">
        <v>0</v>
      </c>
      <c r="L50" s="431">
        <v>0</v>
      </c>
      <c r="M50" s="431">
        <v>0</v>
      </c>
      <c r="N50" s="431">
        <v>0</v>
      </c>
      <c r="O50" s="431">
        <v>0</v>
      </c>
      <c r="P50" s="431">
        <v>0</v>
      </c>
      <c r="Q50" s="431">
        <v>0</v>
      </c>
      <c r="R50" s="431">
        <v>0</v>
      </c>
      <c r="S50" s="431">
        <v>0.08</v>
      </c>
      <c r="T50" s="431">
        <v>0</v>
      </c>
      <c r="U50" s="431">
        <v>0.71</v>
      </c>
      <c r="V50" s="431">
        <v>0.47</v>
      </c>
      <c r="W50" s="431">
        <v>0</v>
      </c>
    </row>
    <row r="51" spans="1:23" s="814" customFormat="1" ht="16.350000000000001" customHeight="1">
      <c r="A51" s="2" t="s">
        <v>193</v>
      </c>
      <c r="B51" s="1" t="s">
        <v>2775</v>
      </c>
      <c r="C51" s="2" t="s">
        <v>2776</v>
      </c>
      <c r="D51" s="431">
        <v>0.32</v>
      </c>
      <c r="E51" s="431">
        <v>0</v>
      </c>
      <c r="F51" s="431">
        <v>0</v>
      </c>
      <c r="G51" s="431">
        <v>0</v>
      </c>
      <c r="H51" s="431">
        <v>0</v>
      </c>
      <c r="I51" s="431">
        <v>0</v>
      </c>
      <c r="J51" s="431">
        <v>0.22</v>
      </c>
      <c r="K51" s="431">
        <v>0</v>
      </c>
      <c r="L51" s="431">
        <v>0</v>
      </c>
      <c r="M51" s="431">
        <v>0</v>
      </c>
      <c r="N51" s="431">
        <v>0</v>
      </c>
      <c r="O51" s="431">
        <v>0</v>
      </c>
      <c r="P51" s="431">
        <v>0</v>
      </c>
      <c r="Q51" s="431">
        <v>0</v>
      </c>
      <c r="R51" s="431">
        <v>0</v>
      </c>
      <c r="S51" s="431">
        <v>0</v>
      </c>
      <c r="T51" s="431">
        <v>0</v>
      </c>
      <c r="U51" s="431">
        <v>0.1</v>
      </c>
      <c r="V51" s="431">
        <v>0</v>
      </c>
      <c r="W51" s="431">
        <v>0</v>
      </c>
    </row>
    <row r="52" spans="1:23" ht="21" customHeight="1">
      <c r="A52" s="2" t="s">
        <v>69</v>
      </c>
      <c r="B52" s="1" t="s">
        <v>2774</v>
      </c>
      <c r="C52" s="2" t="s">
        <v>113</v>
      </c>
      <c r="D52" s="431">
        <v>8.4599999999999991</v>
      </c>
      <c r="E52" s="431">
        <v>0.9</v>
      </c>
      <c r="F52" s="431">
        <v>0.41</v>
      </c>
      <c r="G52" s="431">
        <v>0.15</v>
      </c>
      <c r="H52" s="431">
        <v>0.21</v>
      </c>
      <c r="I52" s="431">
        <v>0.45999999999999996</v>
      </c>
      <c r="J52" s="431">
        <v>0.27</v>
      </c>
      <c r="K52" s="431">
        <v>0.93</v>
      </c>
      <c r="L52" s="431">
        <v>0.12</v>
      </c>
      <c r="M52" s="431">
        <v>0.47</v>
      </c>
      <c r="N52" s="431">
        <v>0.19</v>
      </c>
      <c r="O52" s="431">
        <v>0.39</v>
      </c>
      <c r="P52" s="431">
        <v>0.25</v>
      </c>
      <c r="Q52" s="431">
        <v>0.53</v>
      </c>
      <c r="R52" s="431">
        <v>0.31</v>
      </c>
      <c r="S52" s="431">
        <v>0.36</v>
      </c>
      <c r="T52" s="431">
        <v>0.74</v>
      </c>
      <c r="U52" s="431">
        <v>0.92999999999999994</v>
      </c>
      <c r="V52" s="431">
        <v>0.47</v>
      </c>
      <c r="W52" s="431">
        <v>0.37</v>
      </c>
    </row>
    <row r="53" spans="1:23" s="827" customFormat="1" ht="21" customHeight="1">
      <c r="A53" s="2" t="s">
        <v>70</v>
      </c>
      <c r="B53" s="1" t="s">
        <v>107</v>
      </c>
      <c r="C53" s="2" t="s">
        <v>59</v>
      </c>
      <c r="D53" s="431">
        <v>606.87</v>
      </c>
      <c r="E53" s="431">
        <v>0</v>
      </c>
      <c r="F53" s="431">
        <v>15.44</v>
      </c>
      <c r="G53" s="431">
        <v>21.97</v>
      </c>
      <c r="H53" s="431">
        <v>33.57</v>
      </c>
      <c r="I53" s="431">
        <v>60.12</v>
      </c>
      <c r="J53" s="431">
        <v>44.32</v>
      </c>
      <c r="K53" s="431">
        <v>30.529999999999998</v>
      </c>
      <c r="L53" s="431">
        <v>19.02</v>
      </c>
      <c r="M53" s="431">
        <v>31.97</v>
      </c>
      <c r="N53" s="431">
        <v>23.27</v>
      </c>
      <c r="O53" s="431">
        <v>51.560000000000009</v>
      </c>
      <c r="P53" s="431">
        <v>25.33</v>
      </c>
      <c r="Q53" s="431">
        <v>21.17</v>
      </c>
      <c r="R53" s="431">
        <v>47.199999999999996</v>
      </c>
      <c r="S53" s="431">
        <v>53.16</v>
      </c>
      <c r="T53" s="431">
        <v>39.479999999999997</v>
      </c>
      <c r="U53" s="431">
        <v>41.39</v>
      </c>
      <c r="V53" s="431">
        <v>12.58</v>
      </c>
      <c r="W53" s="431">
        <v>34.79</v>
      </c>
    </row>
    <row r="54" spans="1:23" s="827" customFormat="1" ht="16.350000000000001" customHeight="1">
      <c r="A54" s="2" t="s">
        <v>71</v>
      </c>
      <c r="B54" s="1" t="s">
        <v>108</v>
      </c>
      <c r="C54" s="2" t="s">
        <v>57</v>
      </c>
      <c r="D54" s="431">
        <v>93.449999999999989</v>
      </c>
      <c r="E54" s="431">
        <v>93.449999999999989</v>
      </c>
      <c r="F54" s="431">
        <v>0</v>
      </c>
      <c r="G54" s="431">
        <v>0</v>
      </c>
      <c r="H54" s="431">
        <v>0</v>
      </c>
      <c r="I54" s="431">
        <v>0</v>
      </c>
      <c r="J54" s="431">
        <v>0</v>
      </c>
      <c r="K54" s="431">
        <v>0</v>
      </c>
      <c r="L54" s="431">
        <v>0</v>
      </c>
      <c r="M54" s="431">
        <v>0</v>
      </c>
      <c r="N54" s="431">
        <v>0</v>
      </c>
      <c r="O54" s="431">
        <v>0</v>
      </c>
      <c r="P54" s="431">
        <v>0</v>
      </c>
      <c r="Q54" s="431">
        <v>0</v>
      </c>
      <c r="R54" s="431">
        <v>0</v>
      </c>
      <c r="S54" s="431">
        <v>0</v>
      </c>
      <c r="T54" s="431">
        <v>0</v>
      </c>
      <c r="U54" s="431">
        <v>0</v>
      </c>
      <c r="V54" s="431">
        <v>0</v>
      </c>
      <c r="W54" s="431">
        <v>0</v>
      </c>
    </row>
    <row r="55" spans="1:23" ht="16.350000000000001" customHeight="1">
      <c r="A55" s="2" t="s">
        <v>74</v>
      </c>
      <c r="B55" s="1" t="s">
        <v>95</v>
      </c>
      <c r="C55" s="2" t="s">
        <v>24</v>
      </c>
      <c r="D55" s="431">
        <v>9.5400000000000009</v>
      </c>
      <c r="E55" s="431">
        <v>4.03</v>
      </c>
      <c r="F55" s="431">
        <v>0.13</v>
      </c>
      <c r="G55" s="431">
        <v>0.18</v>
      </c>
      <c r="H55" s="431">
        <v>0.09</v>
      </c>
      <c r="I55" s="431">
        <v>0.6</v>
      </c>
      <c r="J55" s="431">
        <v>0.35</v>
      </c>
      <c r="K55" s="431">
        <v>0.23</v>
      </c>
      <c r="L55" s="431">
        <v>0.17</v>
      </c>
      <c r="M55" s="431">
        <v>0.22</v>
      </c>
      <c r="N55" s="431">
        <v>0.36</v>
      </c>
      <c r="O55" s="431">
        <v>0.33</v>
      </c>
      <c r="P55" s="431">
        <v>0.69</v>
      </c>
      <c r="Q55" s="431">
        <v>0.46</v>
      </c>
      <c r="R55" s="431">
        <v>0.15</v>
      </c>
      <c r="S55" s="431">
        <v>0.47</v>
      </c>
      <c r="T55" s="431">
        <v>0.14000000000000001</v>
      </c>
      <c r="U55" s="431">
        <v>0.59</v>
      </c>
      <c r="V55" s="431">
        <v>0.21</v>
      </c>
      <c r="W55" s="431">
        <v>0.14000000000000001</v>
      </c>
    </row>
    <row r="56" spans="1:23" s="827" customFormat="1" ht="13.7" hidden="1" customHeight="1">
      <c r="A56" s="2" t="s">
        <v>75</v>
      </c>
      <c r="B56" s="1" t="s">
        <v>109</v>
      </c>
      <c r="C56" s="2" t="s">
        <v>110</v>
      </c>
      <c r="D56" s="431">
        <v>0</v>
      </c>
      <c r="E56" s="431">
        <v>0</v>
      </c>
      <c r="F56" s="431">
        <v>0</v>
      </c>
      <c r="G56" s="431">
        <v>0</v>
      </c>
      <c r="H56" s="431">
        <v>0</v>
      </c>
      <c r="I56" s="431">
        <v>0</v>
      </c>
      <c r="J56" s="431">
        <v>0</v>
      </c>
      <c r="K56" s="431">
        <v>0</v>
      </c>
      <c r="L56" s="431">
        <v>0</v>
      </c>
      <c r="M56" s="431">
        <v>0</v>
      </c>
      <c r="N56" s="431">
        <v>0</v>
      </c>
      <c r="O56" s="431">
        <v>0</v>
      </c>
      <c r="P56" s="431">
        <v>0</v>
      </c>
      <c r="Q56" s="431">
        <v>0</v>
      </c>
      <c r="R56" s="431">
        <v>0</v>
      </c>
      <c r="S56" s="431">
        <v>0</v>
      </c>
      <c r="T56" s="431">
        <v>0</v>
      </c>
      <c r="U56" s="431">
        <v>0</v>
      </c>
      <c r="V56" s="431">
        <v>0</v>
      </c>
      <c r="W56" s="431">
        <v>0</v>
      </c>
    </row>
    <row r="57" spans="1:23" ht="13.7" hidden="1" customHeight="1">
      <c r="A57" s="2" t="s">
        <v>76</v>
      </c>
      <c r="B57" s="336" t="s">
        <v>133</v>
      </c>
      <c r="C57" s="2" t="s">
        <v>137</v>
      </c>
      <c r="D57" s="431">
        <v>0</v>
      </c>
      <c r="E57" s="431">
        <v>0</v>
      </c>
      <c r="F57" s="431">
        <v>0</v>
      </c>
      <c r="G57" s="431">
        <v>0</v>
      </c>
      <c r="H57" s="431">
        <v>0</v>
      </c>
      <c r="I57" s="431">
        <v>0</v>
      </c>
      <c r="J57" s="431">
        <v>0</v>
      </c>
      <c r="K57" s="431">
        <v>0</v>
      </c>
      <c r="L57" s="431">
        <v>0</v>
      </c>
      <c r="M57" s="431">
        <v>0</v>
      </c>
      <c r="N57" s="431">
        <v>0</v>
      </c>
      <c r="O57" s="431">
        <v>0</v>
      </c>
      <c r="P57" s="431">
        <v>0</v>
      </c>
      <c r="Q57" s="431">
        <v>0</v>
      </c>
      <c r="R57" s="431">
        <v>0</v>
      </c>
      <c r="S57" s="431">
        <v>0</v>
      </c>
      <c r="T57" s="431">
        <v>0</v>
      </c>
      <c r="U57" s="431">
        <v>0</v>
      </c>
      <c r="V57" s="431">
        <v>0</v>
      </c>
      <c r="W57" s="431">
        <v>0</v>
      </c>
    </row>
    <row r="58" spans="1:23" s="827" customFormat="1" ht="16.350000000000001" customHeight="1">
      <c r="A58" s="2" t="s">
        <v>75</v>
      </c>
      <c r="B58" s="1" t="s">
        <v>2777</v>
      </c>
      <c r="C58" s="2" t="s">
        <v>39</v>
      </c>
      <c r="D58" s="431">
        <v>3.3499999999999996</v>
      </c>
      <c r="E58" s="431">
        <v>0.52</v>
      </c>
      <c r="F58" s="431">
        <v>0.06</v>
      </c>
      <c r="G58" s="431">
        <v>0.23</v>
      </c>
      <c r="H58" s="431">
        <v>0.05</v>
      </c>
      <c r="I58" s="431">
        <v>0.46</v>
      </c>
      <c r="J58" s="431">
        <v>0.13</v>
      </c>
      <c r="K58" s="431">
        <v>0.32</v>
      </c>
      <c r="L58" s="431">
        <v>0.05</v>
      </c>
      <c r="M58" s="431">
        <v>0</v>
      </c>
      <c r="N58" s="431">
        <v>0</v>
      </c>
      <c r="O58" s="431">
        <v>0.41</v>
      </c>
      <c r="P58" s="431">
        <v>0.01</v>
      </c>
      <c r="Q58" s="431">
        <v>0</v>
      </c>
      <c r="R58" s="431">
        <v>0.01</v>
      </c>
      <c r="S58" s="431">
        <v>0.21</v>
      </c>
      <c r="T58" s="431">
        <v>0.03</v>
      </c>
      <c r="U58" s="431">
        <v>0.83</v>
      </c>
      <c r="V58" s="431">
        <v>0</v>
      </c>
      <c r="W58" s="431">
        <v>0.03</v>
      </c>
    </row>
    <row r="59" spans="1:23" s="827" customFormat="1" ht="16.350000000000001" hidden="1" customHeight="1">
      <c r="A59" s="2" t="s">
        <v>83</v>
      </c>
      <c r="B59" s="1" t="s">
        <v>77</v>
      </c>
      <c r="C59" s="2" t="s">
        <v>2782</v>
      </c>
      <c r="D59" s="431">
        <v>1204.17</v>
      </c>
      <c r="E59" s="431">
        <v>18.75</v>
      </c>
      <c r="F59" s="431">
        <v>46.440000000000005</v>
      </c>
      <c r="G59" s="431">
        <v>69.650000000000006</v>
      </c>
      <c r="H59" s="431">
        <v>9.77</v>
      </c>
      <c r="I59" s="431">
        <v>75.91</v>
      </c>
      <c r="J59" s="431">
        <v>219.99</v>
      </c>
      <c r="K59" s="431">
        <v>63.15</v>
      </c>
      <c r="L59" s="431">
        <v>10.5</v>
      </c>
      <c r="M59" s="431">
        <v>43.81</v>
      </c>
      <c r="N59" s="431">
        <v>19.88</v>
      </c>
      <c r="O59" s="431">
        <v>47.46</v>
      </c>
      <c r="P59" s="431">
        <v>94.07</v>
      </c>
      <c r="Q59" s="431">
        <v>57.13</v>
      </c>
      <c r="R59" s="431">
        <v>12.52</v>
      </c>
      <c r="S59" s="431">
        <v>76.89</v>
      </c>
      <c r="T59" s="431">
        <v>69.27000000000001</v>
      </c>
      <c r="U59" s="431">
        <v>119.78</v>
      </c>
      <c r="V59" s="431">
        <v>69.14</v>
      </c>
      <c r="W59" s="431">
        <v>80.06</v>
      </c>
    </row>
    <row r="60" spans="1:23" s="828" customFormat="1" ht="18.600000000000001" customHeight="1">
      <c r="A60" s="2" t="s">
        <v>76</v>
      </c>
      <c r="B60" s="1" t="s">
        <v>2778</v>
      </c>
      <c r="C60" s="2" t="s">
        <v>42</v>
      </c>
      <c r="D60" s="431">
        <v>1202.03</v>
      </c>
      <c r="E60" s="431">
        <v>18.75</v>
      </c>
      <c r="F60" s="431">
        <v>46.440000000000005</v>
      </c>
      <c r="G60" s="431">
        <v>69.650000000000006</v>
      </c>
      <c r="H60" s="431">
        <v>7.63</v>
      </c>
      <c r="I60" s="431">
        <v>75.91</v>
      </c>
      <c r="J60" s="431">
        <v>219.99</v>
      </c>
      <c r="K60" s="431">
        <v>63.15</v>
      </c>
      <c r="L60" s="431">
        <v>10.5</v>
      </c>
      <c r="M60" s="431">
        <v>43.81</v>
      </c>
      <c r="N60" s="431">
        <v>19.88</v>
      </c>
      <c r="O60" s="431">
        <v>47.46</v>
      </c>
      <c r="P60" s="431">
        <v>94.07</v>
      </c>
      <c r="Q60" s="431">
        <v>57.13</v>
      </c>
      <c r="R60" s="431">
        <v>12.52</v>
      </c>
      <c r="S60" s="431">
        <v>76.89</v>
      </c>
      <c r="T60" s="431">
        <v>69.27000000000001</v>
      </c>
      <c r="U60" s="431">
        <v>119.78</v>
      </c>
      <c r="V60" s="431">
        <v>69.14</v>
      </c>
      <c r="W60" s="431">
        <v>80.06</v>
      </c>
    </row>
    <row r="61" spans="1:23" s="814" customFormat="1" ht="17.100000000000001" customHeight="1">
      <c r="A61" s="2" t="s">
        <v>82</v>
      </c>
      <c r="B61" s="1" t="s">
        <v>2779</v>
      </c>
      <c r="C61" s="2" t="s">
        <v>41</v>
      </c>
      <c r="D61" s="431">
        <v>2.14</v>
      </c>
      <c r="E61" s="431">
        <v>0</v>
      </c>
      <c r="F61" s="431">
        <v>0</v>
      </c>
      <c r="G61" s="431">
        <v>0</v>
      </c>
      <c r="H61" s="431">
        <v>2.14</v>
      </c>
      <c r="I61" s="431">
        <v>0</v>
      </c>
      <c r="J61" s="431">
        <v>0</v>
      </c>
      <c r="K61" s="431">
        <v>0</v>
      </c>
      <c r="L61" s="431">
        <v>0</v>
      </c>
      <c r="M61" s="431">
        <v>0</v>
      </c>
      <c r="N61" s="431">
        <v>0</v>
      </c>
      <c r="O61" s="431">
        <v>0</v>
      </c>
      <c r="P61" s="431">
        <v>0</v>
      </c>
      <c r="Q61" s="431">
        <v>0</v>
      </c>
      <c r="R61" s="431">
        <v>0</v>
      </c>
      <c r="S61" s="431">
        <v>0</v>
      </c>
      <c r="T61" s="431">
        <v>0</v>
      </c>
      <c r="U61" s="431">
        <v>0</v>
      </c>
      <c r="V61" s="431">
        <v>0</v>
      </c>
      <c r="W61" s="431">
        <v>0</v>
      </c>
    </row>
    <row r="62" spans="1:23" ht="16.350000000000001" hidden="1" customHeight="1">
      <c r="A62" s="2" t="s">
        <v>83</v>
      </c>
      <c r="B62" s="1" t="s">
        <v>116</v>
      </c>
      <c r="C62" s="2" t="s">
        <v>55</v>
      </c>
      <c r="D62" s="431">
        <v>0</v>
      </c>
      <c r="E62" s="431">
        <v>0</v>
      </c>
      <c r="F62" s="431">
        <v>0</v>
      </c>
      <c r="G62" s="431">
        <v>0</v>
      </c>
      <c r="H62" s="431">
        <v>0</v>
      </c>
      <c r="I62" s="431">
        <v>0</v>
      </c>
      <c r="J62" s="431">
        <v>0</v>
      </c>
      <c r="K62" s="431">
        <v>0</v>
      </c>
      <c r="L62" s="431">
        <v>0</v>
      </c>
      <c r="M62" s="431">
        <v>0</v>
      </c>
      <c r="N62" s="431">
        <v>0</v>
      </c>
      <c r="O62" s="431">
        <v>0</v>
      </c>
      <c r="P62" s="431">
        <v>0</v>
      </c>
      <c r="Q62" s="431">
        <v>0</v>
      </c>
      <c r="R62" s="431">
        <v>0</v>
      </c>
      <c r="S62" s="431">
        <v>0</v>
      </c>
      <c r="T62" s="431">
        <v>0</v>
      </c>
      <c r="U62" s="431">
        <v>0</v>
      </c>
      <c r="V62" s="431">
        <v>0</v>
      </c>
      <c r="W62" s="431">
        <v>0</v>
      </c>
    </row>
    <row r="63" spans="1:23" s="810" customFormat="1" ht="19.350000000000001" customHeight="1">
      <c r="A63" s="339">
        <v>3</v>
      </c>
      <c r="B63" s="803" t="s">
        <v>56</v>
      </c>
      <c r="C63" s="339" t="s">
        <v>81</v>
      </c>
      <c r="D63" s="438">
        <v>743.41000000000008</v>
      </c>
      <c r="E63" s="438">
        <v>37.22</v>
      </c>
      <c r="F63" s="438">
        <v>2.2200000000000002</v>
      </c>
      <c r="G63" s="438">
        <v>16.670000000000002</v>
      </c>
      <c r="H63" s="438">
        <v>62.06</v>
      </c>
      <c r="I63" s="438">
        <v>17.099999999999998</v>
      </c>
      <c r="J63" s="438">
        <v>22.71</v>
      </c>
      <c r="K63" s="438">
        <v>39.18</v>
      </c>
      <c r="L63" s="438">
        <v>4.2699999999999996</v>
      </c>
      <c r="M63" s="438">
        <v>26.1</v>
      </c>
      <c r="N63" s="438">
        <v>20.260000000000002</v>
      </c>
      <c r="O63" s="438">
        <v>2.06</v>
      </c>
      <c r="P63" s="438">
        <v>20.56</v>
      </c>
      <c r="Q63" s="438">
        <v>17.100000000000001</v>
      </c>
      <c r="R63" s="438">
        <v>177.56</v>
      </c>
      <c r="S63" s="438">
        <v>91.06</v>
      </c>
      <c r="T63" s="438">
        <v>64.17</v>
      </c>
      <c r="U63" s="438">
        <v>78.31</v>
      </c>
      <c r="V63" s="438">
        <v>20.67</v>
      </c>
      <c r="W63" s="438">
        <v>24.13</v>
      </c>
    </row>
    <row r="64" spans="1:23" ht="20.25" hidden="1" customHeight="1">
      <c r="A64" s="829" t="s">
        <v>79</v>
      </c>
      <c r="B64" s="830" t="s">
        <v>139</v>
      </c>
      <c r="C64" s="829"/>
      <c r="D64" s="831"/>
      <c r="E64" s="832"/>
      <c r="F64" s="832"/>
      <c r="G64" s="832"/>
      <c r="H64" s="832"/>
      <c r="I64" s="832"/>
      <c r="J64" s="832"/>
      <c r="K64" s="832"/>
      <c r="L64" s="832"/>
      <c r="M64" s="832"/>
      <c r="N64" s="832"/>
      <c r="O64" s="832"/>
      <c r="P64" s="833"/>
      <c r="Q64" s="833"/>
      <c r="R64" s="833"/>
      <c r="S64" s="833"/>
      <c r="T64" s="833"/>
      <c r="U64" s="833"/>
      <c r="V64" s="833"/>
      <c r="W64" s="833"/>
    </row>
    <row r="65" spans="1:23" ht="15" hidden="1">
      <c r="A65" s="339">
        <v>1</v>
      </c>
      <c r="B65" s="803" t="s">
        <v>117</v>
      </c>
      <c r="C65" s="339" t="s">
        <v>118</v>
      </c>
      <c r="D65" s="834">
        <v>0</v>
      </c>
      <c r="E65" s="835"/>
      <c r="F65" s="835"/>
      <c r="G65" s="835"/>
      <c r="H65" s="835"/>
      <c r="I65" s="835"/>
      <c r="J65" s="835"/>
      <c r="K65" s="835"/>
      <c r="L65" s="835"/>
      <c r="M65" s="835"/>
      <c r="N65" s="835"/>
      <c r="O65" s="835"/>
      <c r="P65" s="835"/>
      <c r="Q65" s="835"/>
      <c r="R65" s="835"/>
      <c r="S65" s="835"/>
      <c r="T65" s="835"/>
      <c r="U65" s="835"/>
      <c r="V65" s="835"/>
      <c r="W65" s="835"/>
    </row>
    <row r="66" spans="1:23" ht="15" hidden="1">
      <c r="A66" s="339">
        <v>2</v>
      </c>
      <c r="B66" s="803" t="s">
        <v>119</v>
      </c>
      <c r="C66" s="339" t="s">
        <v>120</v>
      </c>
      <c r="D66" s="834">
        <v>0</v>
      </c>
      <c r="E66" s="836"/>
      <c r="F66" s="836"/>
      <c r="G66" s="836"/>
      <c r="H66" s="836"/>
      <c r="I66" s="836"/>
      <c r="J66" s="836"/>
      <c r="K66" s="836"/>
      <c r="L66" s="836"/>
      <c r="M66" s="836"/>
      <c r="N66" s="836"/>
      <c r="O66" s="836"/>
      <c r="P66" s="836"/>
      <c r="Q66" s="836"/>
      <c r="R66" s="836"/>
      <c r="S66" s="836"/>
      <c r="T66" s="836"/>
      <c r="U66" s="836"/>
      <c r="V66" s="836"/>
      <c r="W66" s="836"/>
    </row>
    <row r="67" spans="1:23" ht="15" hidden="1">
      <c r="A67" s="837">
        <v>3</v>
      </c>
      <c r="B67" s="838" t="s">
        <v>2</v>
      </c>
      <c r="C67" s="837" t="s">
        <v>121</v>
      </c>
      <c r="D67" s="834">
        <v>512.09999999999991</v>
      </c>
      <c r="E67" s="839">
        <v>512.09999999999991</v>
      </c>
      <c r="F67" s="839"/>
      <c r="G67" s="839"/>
      <c r="H67" s="839"/>
      <c r="I67" s="839"/>
      <c r="J67" s="839"/>
      <c r="K67" s="839"/>
      <c r="L67" s="839"/>
      <c r="M67" s="839"/>
      <c r="N67" s="839"/>
      <c r="O67" s="839"/>
      <c r="P67" s="839"/>
      <c r="Q67" s="839"/>
      <c r="R67" s="839"/>
      <c r="S67" s="839"/>
      <c r="T67" s="839"/>
      <c r="U67" s="839"/>
      <c r="V67" s="839"/>
      <c r="W67" s="839"/>
    </row>
    <row r="68" spans="1:23" s="840" customFormat="1" ht="15" hidden="1">
      <c r="A68" s="837">
        <v>1</v>
      </c>
      <c r="B68" s="838" t="s">
        <v>203</v>
      </c>
      <c r="C68" s="837" t="s">
        <v>180</v>
      </c>
      <c r="D68" s="834">
        <v>0</v>
      </c>
      <c r="E68" s="834"/>
      <c r="F68" s="834"/>
      <c r="G68" s="834"/>
      <c r="H68" s="834"/>
      <c r="I68" s="834"/>
      <c r="J68" s="834"/>
      <c r="K68" s="834"/>
      <c r="L68" s="834"/>
      <c r="M68" s="834"/>
      <c r="N68" s="834"/>
      <c r="O68" s="834"/>
      <c r="P68" s="834"/>
      <c r="Q68" s="834"/>
      <c r="R68" s="834"/>
      <c r="S68" s="834"/>
      <c r="T68" s="834"/>
      <c r="U68" s="834"/>
      <c r="V68" s="834"/>
      <c r="W68" s="834"/>
    </row>
    <row r="69" spans="1:23" s="840" customFormat="1" ht="15" hidden="1">
      <c r="A69" s="837">
        <v>2</v>
      </c>
      <c r="B69" s="838" t="s">
        <v>177</v>
      </c>
      <c r="C69" s="837" t="s">
        <v>181</v>
      </c>
      <c r="D69" s="834">
        <v>0</v>
      </c>
      <c r="E69" s="834"/>
      <c r="F69" s="834"/>
      <c r="G69" s="834"/>
      <c r="H69" s="834"/>
      <c r="I69" s="834"/>
      <c r="J69" s="834"/>
      <c r="K69" s="834"/>
      <c r="L69" s="834"/>
      <c r="M69" s="834"/>
      <c r="N69" s="834"/>
      <c r="O69" s="834"/>
      <c r="P69" s="834"/>
      <c r="Q69" s="834"/>
      <c r="R69" s="834"/>
      <c r="S69" s="834"/>
      <c r="T69" s="834"/>
      <c r="U69" s="834"/>
      <c r="V69" s="834"/>
      <c r="W69" s="834"/>
    </row>
    <row r="70" spans="1:23" s="840" customFormat="1" ht="15" hidden="1">
      <c r="A70" s="837">
        <v>3</v>
      </c>
      <c r="B70" s="838" t="s">
        <v>87</v>
      </c>
      <c r="C70" s="837" t="s">
        <v>140</v>
      </c>
      <c r="D70" s="834">
        <v>0</v>
      </c>
      <c r="E70" s="834"/>
      <c r="F70" s="834"/>
      <c r="G70" s="834"/>
      <c r="H70" s="834"/>
      <c r="I70" s="834"/>
      <c r="J70" s="834"/>
      <c r="K70" s="834"/>
      <c r="L70" s="834"/>
      <c r="M70" s="834"/>
      <c r="N70" s="834"/>
      <c r="O70" s="834"/>
      <c r="P70" s="834"/>
      <c r="Q70" s="834"/>
      <c r="R70" s="834"/>
      <c r="S70" s="834"/>
      <c r="T70" s="834"/>
      <c r="U70" s="834"/>
      <c r="V70" s="834"/>
      <c r="W70" s="834"/>
    </row>
    <row r="71" spans="1:23" s="840" customFormat="1" ht="15" hidden="1">
      <c r="A71" s="837">
        <v>4</v>
      </c>
      <c r="B71" s="838" t="s">
        <v>178</v>
      </c>
      <c r="C71" s="837" t="s">
        <v>182</v>
      </c>
      <c r="D71" s="834">
        <v>0</v>
      </c>
      <c r="E71" s="834"/>
      <c r="F71" s="834"/>
      <c r="G71" s="834"/>
      <c r="H71" s="834"/>
      <c r="I71" s="834"/>
      <c r="J71" s="834"/>
      <c r="K71" s="834"/>
      <c r="L71" s="834"/>
      <c r="M71" s="834"/>
      <c r="N71" s="834"/>
      <c r="O71" s="834"/>
      <c r="P71" s="834"/>
      <c r="Q71" s="834"/>
      <c r="R71" s="834"/>
      <c r="S71" s="834"/>
      <c r="T71" s="834"/>
      <c r="U71" s="834"/>
      <c r="V71" s="834"/>
      <c r="W71" s="834"/>
    </row>
    <row r="72" spans="1:23" s="840" customFormat="1" ht="15" hidden="1">
      <c r="A72" s="837">
        <v>5</v>
      </c>
      <c r="B72" s="838" t="s">
        <v>204</v>
      </c>
      <c r="C72" s="837" t="s">
        <v>183</v>
      </c>
      <c r="D72" s="834">
        <v>0</v>
      </c>
      <c r="E72" s="834"/>
      <c r="F72" s="834"/>
      <c r="G72" s="834"/>
      <c r="H72" s="834"/>
      <c r="I72" s="834"/>
      <c r="J72" s="834"/>
      <c r="K72" s="834"/>
      <c r="L72" s="834"/>
      <c r="M72" s="834"/>
      <c r="N72" s="834"/>
      <c r="O72" s="834"/>
      <c r="P72" s="834"/>
      <c r="Q72" s="834"/>
      <c r="R72" s="834"/>
      <c r="S72" s="834"/>
      <c r="T72" s="834"/>
      <c r="U72" s="834"/>
      <c r="V72" s="834"/>
      <c r="W72" s="834"/>
    </row>
    <row r="73" spans="1:23" s="840" customFormat="1" ht="15" hidden="1">
      <c r="A73" s="837">
        <v>6</v>
      </c>
      <c r="B73" s="838" t="s">
        <v>205</v>
      </c>
      <c r="C73" s="837" t="s">
        <v>184</v>
      </c>
      <c r="D73" s="834">
        <v>0</v>
      </c>
      <c r="E73" s="834"/>
      <c r="F73" s="834"/>
      <c r="G73" s="834"/>
      <c r="H73" s="834"/>
      <c r="I73" s="834"/>
      <c r="J73" s="834"/>
      <c r="K73" s="834"/>
      <c r="L73" s="834"/>
      <c r="M73" s="834"/>
      <c r="N73" s="834"/>
      <c r="O73" s="834"/>
      <c r="P73" s="834"/>
      <c r="Q73" s="834"/>
      <c r="R73" s="834"/>
      <c r="S73" s="834"/>
      <c r="T73" s="834"/>
      <c r="U73" s="834"/>
      <c r="V73" s="834"/>
      <c r="W73" s="834"/>
    </row>
    <row r="74" spans="1:23" s="840" customFormat="1" ht="15" hidden="1">
      <c r="A74" s="837">
        <v>7</v>
      </c>
      <c r="B74" s="838" t="s">
        <v>179</v>
      </c>
      <c r="C74" s="837" t="s">
        <v>185</v>
      </c>
      <c r="D74" s="834">
        <v>0</v>
      </c>
      <c r="E74" s="834"/>
      <c r="F74" s="834"/>
      <c r="G74" s="834"/>
      <c r="H74" s="834"/>
      <c r="I74" s="834"/>
      <c r="J74" s="834"/>
      <c r="K74" s="834"/>
      <c r="L74" s="834"/>
      <c r="M74" s="834"/>
      <c r="N74" s="834"/>
      <c r="O74" s="834"/>
      <c r="P74" s="834"/>
      <c r="Q74" s="834"/>
      <c r="R74" s="834"/>
      <c r="S74" s="834"/>
      <c r="T74" s="834"/>
      <c r="U74" s="834"/>
      <c r="V74" s="834"/>
      <c r="W74" s="834"/>
    </row>
    <row r="75" spans="1:23" s="840" customFormat="1" ht="15" hidden="1">
      <c r="A75" s="837">
        <v>8</v>
      </c>
      <c r="B75" s="838" t="s">
        <v>186</v>
      </c>
      <c r="C75" s="837" t="s">
        <v>199</v>
      </c>
      <c r="D75" s="834">
        <v>0</v>
      </c>
      <c r="E75" s="841"/>
      <c r="F75" s="841"/>
      <c r="G75" s="841"/>
      <c r="H75" s="841"/>
      <c r="I75" s="841"/>
      <c r="J75" s="841"/>
      <c r="K75" s="841"/>
      <c r="L75" s="841"/>
      <c r="M75" s="841"/>
      <c r="N75" s="841"/>
      <c r="O75" s="841"/>
      <c r="P75" s="841"/>
      <c r="Q75" s="841"/>
      <c r="R75" s="841"/>
      <c r="S75" s="841"/>
      <c r="T75" s="841"/>
      <c r="U75" s="841"/>
      <c r="V75" s="841"/>
      <c r="W75" s="841"/>
    </row>
  </sheetData>
  <mergeCells count="9">
    <mergeCell ref="A3:W3"/>
    <mergeCell ref="E5:W5"/>
    <mergeCell ref="A1:B1"/>
    <mergeCell ref="A2:W2"/>
    <mergeCell ref="A5:A6"/>
    <mergeCell ref="B5:B6"/>
    <mergeCell ref="C5:C6"/>
    <mergeCell ref="D5:D6"/>
    <mergeCell ref="V4:W4"/>
  </mergeCells>
  <phoneticPr fontId="107" type="noConversion"/>
  <conditionalFormatting sqref="A7:IE7">
    <cfRule type="cellIs" dxfId="71" priority="1" stopIfTrue="1" operator="equal">
      <formula>0</formula>
    </cfRule>
  </conditionalFormatting>
  <printOptions horizontalCentered="1"/>
  <pageMargins left="0.59055118110236227" right="0.39370078740157483" top="0.59055118110236227" bottom="0.47244094488188981" header="0.31496062992125984" footer="0.31496062992125984"/>
  <pageSetup paperSize="8" scale="80" orientation="landscape"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59999389629810485"/>
  </sheetPr>
  <dimension ref="A1:M62"/>
  <sheetViews>
    <sheetView showZeros="0" view="pageBreakPreview" zoomScaleNormal="100" zoomScaleSheetLayoutView="100" workbookViewId="0">
      <pane xSplit="4" ySplit="6" topLeftCell="E7" activePane="bottomRight" state="frozen"/>
      <selection activeCell="C23" sqref="C23"/>
      <selection pane="topRight" activeCell="C23" sqref="C23"/>
      <selection pane="bottomLeft" activeCell="C23" sqref="C23"/>
      <selection pane="bottomRight" activeCell="C23" sqref="C23"/>
    </sheetView>
  </sheetViews>
  <sheetFormatPr defaultColWidth="8.375" defaultRowHeight="15.75"/>
  <cols>
    <col min="1" max="1" width="5.625" style="425" customWidth="1"/>
    <col min="2" max="2" width="41.875" style="425" customWidth="1"/>
    <col min="3" max="3" width="5.625" style="425" customWidth="1"/>
    <col min="4" max="4" width="10.625" style="425" customWidth="1"/>
    <col min="5" max="5" width="10" style="425" customWidth="1"/>
    <col min="6" max="6" width="10.5" style="425" customWidth="1"/>
    <col min="7" max="7" width="10.125" style="425" customWidth="1"/>
    <col min="8" max="8" width="11.5" style="425" customWidth="1"/>
    <col min="9" max="9" width="10.5" style="425" customWidth="1"/>
    <col min="10" max="11" width="8.375" style="425"/>
    <col min="12" max="12" width="14.625" style="425" customWidth="1"/>
    <col min="13" max="16384" width="8.375" style="425"/>
  </cols>
  <sheetData>
    <row r="1" spans="1:9" s="382" customFormat="1" ht="16.7" customHeight="1">
      <c r="A1" s="1519" t="s">
        <v>250</v>
      </c>
      <c r="B1" s="1519"/>
      <c r="C1" s="381"/>
      <c r="D1" s="381"/>
    </row>
    <row r="2" spans="1:9" s="382" customFormat="1" ht="19.350000000000001" customHeight="1">
      <c r="A2" s="1520" t="s">
        <v>3033</v>
      </c>
      <c r="B2" s="1520"/>
      <c r="C2" s="1520"/>
      <c r="D2" s="1520"/>
      <c r="E2" s="1520"/>
      <c r="F2" s="1520"/>
      <c r="G2" s="1520"/>
      <c r="H2" s="381"/>
    </row>
    <row r="3" spans="1:9" s="384" customFormat="1">
      <c r="A3" s="1521" t="s">
        <v>170</v>
      </c>
      <c r="B3" s="1521" t="s">
        <v>175</v>
      </c>
      <c r="C3" s="1521" t="s">
        <v>172</v>
      </c>
      <c r="D3" s="1521" t="s">
        <v>2990</v>
      </c>
      <c r="E3" s="1521" t="s">
        <v>218</v>
      </c>
      <c r="F3" s="1521"/>
      <c r="G3" s="1521"/>
      <c r="H3" s="381"/>
    </row>
    <row r="4" spans="1:9" s="382" customFormat="1">
      <c r="A4" s="1521"/>
      <c r="B4" s="1521"/>
      <c r="C4" s="1521"/>
      <c r="D4" s="1521"/>
      <c r="E4" s="1521" t="s">
        <v>147</v>
      </c>
      <c r="F4" s="1521" t="s">
        <v>2739</v>
      </c>
      <c r="G4" s="1521"/>
      <c r="H4" s="381"/>
    </row>
    <row r="5" spans="1:9" s="382" customFormat="1" ht="45.75" customHeight="1">
      <c r="A5" s="1521"/>
      <c r="B5" s="1521"/>
      <c r="C5" s="1521"/>
      <c r="D5" s="1521"/>
      <c r="E5" s="1521"/>
      <c r="F5" s="383" t="s">
        <v>2832</v>
      </c>
      <c r="G5" s="383" t="s">
        <v>269</v>
      </c>
      <c r="H5" s="380"/>
    </row>
    <row r="6" spans="1:9" s="382" customFormat="1" ht="30.75" customHeight="1">
      <c r="A6" s="385">
        <v>-1</v>
      </c>
      <c r="B6" s="385">
        <v>-2</v>
      </c>
      <c r="C6" s="385">
        <v>-3</v>
      </c>
      <c r="D6" s="385">
        <v>-4</v>
      </c>
      <c r="E6" s="385">
        <v>-5</v>
      </c>
      <c r="F6" s="386" t="s">
        <v>191</v>
      </c>
      <c r="G6" s="387" t="s">
        <v>2823</v>
      </c>
      <c r="H6" s="388"/>
      <c r="I6" s="381"/>
    </row>
    <row r="7" spans="1:9" s="382" customFormat="1" hidden="1">
      <c r="A7" s="389"/>
      <c r="B7" s="390" t="s">
        <v>2810</v>
      </c>
      <c r="C7" s="389"/>
      <c r="D7" s="392">
        <v>98642.92</v>
      </c>
      <c r="E7" s="392">
        <f>'[5]01CH'!D7</f>
        <v>98642.920000000013</v>
      </c>
      <c r="F7" s="393">
        <f>+F8+F21+F62</f>
        <v>-1.7053025658242404E-11</v>
      </c>
      <c r="G7" s="392">
        <f>E7/D7*100</f>
        <v>100.00000000000003</v>
      </c>
      <c r="H7" s="394"/>
      <c r="I7" s="394"/>
    </row>
    <row r="8" spans="1:9" s="396" customFormat="1">
      <c r="A8" s="383">
        <v>1</v>
      </c>
      <c r="B8" s="390" t="s">
        <v>3</v>
      </c>
      <c r="C8" s="383" t="s">
        <v>4</v>
      </c>
      <c r="D8" s="392">
        <v>105164.20000000001</v>
      </c>
      <c r="E8" s="392">
        <v>105229.01</v>
      </c>
      <c r="F8" s="392">
        <v>64.80999999998312</v>
      </c>
      <c r="G8" s="392">
        <v>100.06162743595253</v>
      </c>
      <c r="H8" s="395"/>
      <c r="I8" s="394"/>
    </row>
    <row r="9" spans="1:9" s="384" customFormat="1">
      <c r="A9" s="442"/>
      <c r="B9" s="404" t="s">
        <v>190</v>
      </c>
      <c r="C9" s="442"/>
      <c r="D9" s="406">
        <v>0</v>
      </c>
      <c r="E9" s="406">
        <v>0</v>
      </c>
      <c r="F9" s="823"/>
      <c r="G9" s="823"/>
      <c r="H9" s="443"/>
      <c r="I9" s="408"/>
    </row>
    <row r="10" spans="1:9" s="396" customFormat="1">
      <c r="A10" s="399" t="s">
        <v>6</v>
      </c>
      <c r="B10" s="397" t="s">
        <v>85</v>
      </c>
      <c r="C10" s="399" t="s">
        <v>5</v>
      </c>
      <c r="D10" s="401">
        <v>3208.84</v>
      </c>
      <c r="E10" s="401">
        <v>3228.55</v>
      </c>
      <c r="F10" s="401">
        <v>19.710000000000036</v>
      </c>
      <c r="G10" s="401">
        <v>100.61424066017625</v>
      </c>
      <c r="H10" s="402"/>
      <c r="I10" s="398"/>
    </row>
    <row r="11" spans="1:9" s="384" customFormat="1">
      <c r="A11" s="403" t="s">
        <v>193</v>
      </c>
      <c r="B11" s="404" t="s">
        <v>2812</v>
      </c>
      <c r="C11" s="403" t="s">
        <v>7</v>
      </c>
      <c r="D11" s="406">
        <v>2070.0100000000002</v>
      </c>
      <c r="E11" s="406">
        <v>2086.2599999999998</v>
      </c>
      <c r="F11" s="406">
        <v>16.249999999999545</v>
      </c>
      <c r="G11" s="406">
        <v>100.78502036222045</v>
      </c>
      <c r="H11" s="407"/>
      <c r="I11" s="408"/>
    </row>
    <row r="12" spans="1:9" s="396" customFormat="1">
      <c r="A12" s="399" t="s">
        <v>9</v>
      </c>
      <c r="B12" s="397" t="s">
        <v>2747</v>
      </c>
      <c r="C12" s="399" t="s">
        <v>12</v>
      </c>
      <c r="D12" s="401">
        <v>2292.6</v>
      </c>
      <c r="E12" s="401">
        <v>2313.31</v>
      </c>
      <c r="F12" s="401">
        <v>20.710000000000036</v>
      </c>
      <c r="G12" s="401">
        <v>100.90334118468114</v>
      </c>
      <c r="H12" s="402"/>
      <c r="I12" s="398"/>
    </row>
    <row r="13" spans="1:9" s="396" customFormat="1">
      <c r="A13" s="399" t="s">
        <v>11</v>
      </c>
      <c r="B13" s="397" t="s">
        <v>60</v>
      </c>
      <c r="C13" s="399" t="s">
        <v>14</v>
      </c>
      <c r="D13" s="401">
        <v>735.41000000000008</v>
      </c>
      <c r="E13" s="401">
        <v>678.03</v>
      </c>
      <c r="F13" s="401">
        <v>-57.380000000000109</v>
      </c>
      <c r="G13" s="401">
        <v>92.197549666172591</v>
      </c>
      <c r="H13" s="402"/>
      <c r="I13" s="398"/>
    </row>
    <row r="14" spans="1:9" s="396" customFormat="1">
      <c r="A14" s="399" t="s">
        <v>13</v>
      </c>
      <c r="B14" s="397" t="s">
        <v>61</v>
      </c>
      <c r="C14" s="399" t="s">
        <v>16</v>
      </c>
      <c r="D14" s="401">
        <v>9881.8499999999985</v>
      </c>
      <c r="E14" s="401">
        <v>9881.8499999999985</v>
      </c>
      <c r="F14" s="401">
        <v>0</v>
      </c>
      <c r="G14" s="401">
        <v>100</v>
      </c>
      <c r="H14" s="402"/>
      <c r="I14" s="398"/>
    </row>
    <row r="15" spans="1:9" s="396" customFormat="1" hidden="1">
      <c r="A15" s="399" t="s">
        <v>15</v>
      </c>
      <c r="B15" s="397" t="s">
        <v>62</v>
      </c>
      <c r="C15" s="399" t="s">
        <v>17</v>
      </c>
      <c r="D15" s="401">
        <v>0</v>
      </c>
      <c r="E15" s="401">
        <v>0</v>
      </c>
      <c r="F15" s="401">
        <v>0</v>
      </c>
      <c r="G15" s="401" t="e">
        <v>#DIV/0!</v>
      </c>
      <c r="H15" s="402"/>
      <c r="I15" s="398"/>
    </row>
    <row r="16" spans="1:9" s="396" customFormat="1">
      <c r="A16" s="399" t="s">
        <v>15</v>
      </c>
      <c r="B16" s="397" t="s">
        <v>63</v>
      </c>
      <c r="C16" s="399" t="s">
        <v>18</v>
      </c>
      <c r="D16" s="401">
        <v>88886.25</v>
      </c>
      <c r="E16" s="401">
        <v>89007.890000000014</v>
      </c>
      <c r="F16" s="401">
        <v>121.64000000001397</v>
      </c>
      <c r="G16" s="401">
        <v>100.13684906270657</v>
      </c>
      <c r="H16" s="402"/>
      <c r="I16" s="398"/>
    </row>
    <row r="17" spans="1:13" s="384" customFormat="1" ht="15.95" customHeight="1">
      <c r="A17" s="403" t="s">
        <v>193</v>
      </c>
      <c r="B17" s="411" t="s">
        <v>198</v>
      </c>
      <c r="C17" s="403" t="s">
        <v>187</v>
      </c>
      <c r="D17" s="406">
        <v>56466.23</v>
      </c>
      <c r="E17" s="406">
        <v>56466.229999999996</v>
      </c>
      <c r="F17" s="406">
        <v>0</v>
      </c>
      <c r="G17" s="406">
        <v>99.999999999999986</v>
      </c>
      <c r="H17" s="407"/>
      <c r="I17" s="408"/>
    </row>
    <row r="18" spans="1:13" s="396" customFormat="1" ht="16.5" customHeight="1">
      <c r="A18" s="399" t="s">
        <v>64</v>
      </c>
      <c r="B18" s="397" t="s">
        <v>1859</v>
      </c>
      <c r="C18" s="399" t="s">
        <v>19</v>
      </c>
      <c r="D18" s="401">
        <v>108.34</v>
      </c>
      <c r="E18" s="401">
        <v>108.97999999999999</v>
      </c>
      <c r="F18" s="401">
        <v>0.63999999999998636</v>
      </c>
      <c r="G18" s="401">
        <v>100.59073287797673</v>
      </c>
      <c r="H18" s="402"/>
      <c r="I18" s="398"/>
    </row>
    <row r="19" spans="1:13" s="396" customFormat="1" hidden="1">
      <c r="A19" s="399" t="s">
        <v>86</v>
      </c>
      <c r="B19" s="397" t="s">
        <v>2749</v>
      </c>
      <c r="C19" s="399" t="s">
        <v>2752</v>
      </c>
      <c r="D19" s="401">
        <v>0</v>
      </c>
      <c r="E19" s="401">
        <v>0</v>
      </c>
      <c r="F19" s="401">
        <v>0</v>
      </c>
      <c r="G19" s="392"/>
      <c r="H19" s="402"/>
      <c r="I19" s="398"/>
    </row>
    <row r="20" spans="1:13" s="396" customFormat="1">
      <c r="A20" s="399" t="s">
        <v>73</v>
      </c>
      <c r="B20" s="397" t="s">
        <v>89</v>
      </c>
      <c r="C20" s="399" t="s">
        <v>20</v>
      </c>
      <c r="D20" s="401">
        <v>50.910000000000004</v>
      </c>
      <c r="E20" s="401">
        <v>10.4</v>
      </c>
      <c r="F20" s="401">
        <v>-40.510000000000005</v>
      </c>
      <c r="G20" s="401">
        <v>20.428206639167158</v>
      </c>
      <c r="H20" s="402"/>
      <c r="I20" s="398"/>
    </row>
    <row r="21" spans="1:13" s="396" customFormat="1" ht="19.350000000000001" customHeight="1">
      <c r="A21" s="383">
        <v>2</v>
      </c>
      <c r="B21" s="390" t="s">
        <v>21</v>
      </c>
      <c r="C21" s="383" t="s">
        <v>22</v>
      </c>
      <c r="D21" s="392">
        <v>3516.07</v>
      </c>
      <c r="E21" s="392">
        <v>3442.7</v>
      </c>
      <c r="F21" s="392">
        <v>-73.370000000000346</v>
      </c>
      <c r="G21" s="392">
        <v>97.913295241562309</v>
      </c>
      <c r="H21" s="395"/>
      <c r="I21" s="394"/>
    </row>
    <row r="22" spans="1:13" s="384" customFormat="1">
      <c r="A22" s="442"/>
      <c r="B22" s="404" t="s">
        <v>190</v>
      </c>
      <c r="C22" s="442"/>
      <c r="D22" s="406">
        <v>0</v>
      </c>
      <c r="E22" s="406">
        <v>0</v>
      </c>
      <c r="F22" s="823"/>
      <c r="G22" s="823"/>
      <c r="H22" s="407"/>
      <c r="I22" s="408"/>
    </row>
    <row r="23" spans="1:13" s="396" customFormat="1">
      <c r="A23" s="399" t="s">
        <v>23</v>
      </c>
      <c r="B23" s="397" t="s">
        <v>65</v>
      </c>
      <c r="C23" s="399" t="s">
        <v>26</v>
      </c>
      <c r="D23" s="401">
        <v>31.48</v>
      </c>
      <c r="E23" s="401">
        <v>15.48</v>
      </c>
      <c r="F23" s="401">
        <v>-16</v>
      </c>
      <c r="G23" s="401">
        <v>49.174078780177894</v>
      </c>
      <c r="H23" s="402"/>
      <c r="I23" s="398"/>
    </row>
    <row r="24" spans="1:13" s="396" customFormat="1">
      <c r="A24" s="399" t="s">
        <v>25</v>
      </c>
      <c r="B24" s="397" t="s">
        <v>66</v>
      </c>
      <c r="C24" s="399" t="s">
        <v>28</v>
      </c>
      <c r="D24" s="401">
        <v>4.1100000000000012</v>
      </c>
      <c r="E24" s="401">
        <v>1.4300000000000002</v>
      </c>
      <c r="F24" s="401">
        <v>-2.680000000000001</v>
      </c>
      <c r="G24" s="401">
        <v>34.79318734793187</v>
      </c>
      <c r="H24" s="402"/>
      <c r="I24" s="398"/>
    </row>
    <row r="25" spans="1:13" s="396" customFormat="1" hidden="1">
      <c r="A25" s="399" t="s">
        <v>27</v>
      </c>
      <c r="B25" s="397" t="s">
        <v>67</v>
      </c>
      <c r="C25" s="399" t="s">
        <v>30</v>
      </c>
      <c r="D25" s="401">
        <v>0</v>
      </c>
      <c r="E25" s="401">
        <v>0</v>
      </c>
      <c r="F25" s="401">
        <v>0</v>
      </c>
      <c r="G25" s="401"/>
      <c r="H25" s="402"/>
      <c r="I25" s="398"/>
    </row>
    <row r="26" spans="1:13" s="396" customFormat="1" hidden="1">
      <c r="A26" s="399" t="s">
        <v>27</v>
      </c>
      <c r="B26" s="397" t="s">
        <v>90</v>
      </c>
      <c r="C26" s="399" t="s">
        <v>91</v>
      </c>
      <c r="D26" s="401">
        <v>0</v>
      </c>
      <c r="E26" s="401">
        <v>0</v>
      </c>
      <c r="F26" s="401">
        <v>0</v>
      </c>
      <c r="G26" s="401" t="e">
        <v>#DIV/0!</v>
      </c>
      <c r="H26" s="402"/>
      <c r="I26" s="398"/>
    </row>
    <row r="27" spans="1:13" s="396" customFormat="1">
      <c r="A27" s="399" t="s">
        <v>27</v>
      </c>
      <c r="B27" s="397" t="s">
        <v>379</v>
      </c>
      <c r="C27" s="399" t="s">
        <v>93</v>
      </c>
      <c r="D27" s="401">
        <v>20.28</v>
      </c>
      <c r="E27" s="401">
        <v>16.32</v>
      </c>
      <c r="F27" s="401">
        <v>-3.9600000000000009</v>
      </c>
      <c r="G27" s="401">
        <v>80.473372781065095</v>
      </c>
      <c r="H27" s="402"/>
      <c r="I27" s="398"/>
    </row>
    <row r="28" spans="1:13" s="396" customFormat="1">
      <c r="A28" s="399" t="s">
        <v>29</v>
      </c>
      <c r="B28" s="397" t="s">
        <v>94</v>
      </c>
      <c r="C28" s="399" t="s">
        <v>32</v>
      </c>
      <c r="D28" s="401">
        <v>4.5900000000000007</v>
      </c>
      <c r="E28" s="401">
        <v>2.23</v>
      </c>
      <c r="F28" s="401">
        <v>-2.3600000000000008</v>
      </c>
      <c r="G28" s="401">
        <v>48.583877995642695</v>
      </c>
      <c r="H28" s="402"/>
      <c r="I28" s="398"/>
    </row>
    <row r="29" spans="1:13" s="396" customFormat="1">
      <c r="A29" s="399" t="s">
        <v>31</v>
      </c>
      <c r="B29" s="397" t="s">
        <v>106</v>
      </c>
      <c r="C29" s="399" t="s">
        <v>35</v>
      </c>
      <c r="D29" s="401">
        <v>19.88</v>
      </c>
      <c r="E29" s="401">
        <v>17.509999999999998</v>
      </c>
      <c r="F29" s="401">
        <v>-2.370000000000001</v>
      </c>
      <c r="G29" s="401">
        <v>88.07847082494969</v>
      </c>
      <c r="H29" s="402"/>
      <c r="I29" s="398"/>
    </row>
    <row r="30" spans="1:13" s="396" customFormat="1" ht="31.5">
      <c r="A30" s="399" t="s">
        <v>33</v>
      </c>
      <c r="B30" s="418" t="s">
        <v>125</v>
      </c>
      <c r="C30" s="399" t="s">
        <v>43</v>
      </c>
      <c r="D30" s="401">
        <v>1482.61</v>
      </c>
      <c r="E30" s="401">
        <v>1463.8799999999999</v>
      </c>
      <c r="F30" s="401">
        <v>-18.730000000000018</v>
      </c>
      <c r="G30" s="401">
        <v>98.736687328427564</v>
      </c>
      <c r="H30" s="402"/>
      <c r="I30" s="398"/>
      <c r="M30" s="398"/>
    </row>
    <row r="31" spans="1:13" s="384" customFormat="1">
      <c r="A31" s="403"/>
      <c r="B31" s="411" t="s">
        <v>2815</v>
      </c>
      <c r="C31" s="403"/>
      <c r="D31" s="406">
        <v>0</v>
      </c>
      <c r="E31" s="406">
        <v>0</v>
      </c>
      <c r="F31" s="406">
        <v>0</v>
      </c>
      <c r="G31" s="406"/>
      <c r="H31" s="407"/>
      <c r="I31" s="408"/>
    </row>
    <row r="32" spans="1:13" s="396" customFormat="1">
      <c r="A32" s="399" t="s">
        <v>193</v>
      </c>
      <c r="B32" s="336" t="s">
        <v>2757</v>
      </c>
      <c r="C32" s="422" t="s">
        <v>44</v>
      </c>
      <c r="D32" s="401">
        <v>1293.9000000000001</v>
      </c>
      <c r="E32" s="401">
        <v>1289.4599999999998</v>
      </c>
      <c r="F32" s="401">
        <v>-4.4400000000002819</v>
      </c>
      <c r="G32" s="401">
        <v>99.656851379550176</v>
      </c>
      <c r="H32" s="402"/>
      <c r="I32" s="398"/>
    </row>
    <row r="33" spans="1:9" s="396" customFormat="1">
      <c r="A33" s="399" t="s">
        <v>193</v>
      </c>
      <c r="B33" s="336" t="s">
        <v>2758</v>
      </c>
      <c r="C33" s="422" t="s">
        <v>45</v>
      </c>
      <c r="D33" s="401">
        <v>78.75</v>
      </c>
      <c r="E33" s="401">
        <v>77.82999999999997</v>
      </c>
      <c r="F33" s="401">
        <v>-0.92000000000003013</v>
      </c>
      <c r="G33" s="401">
        <v>98.831746031745993</v>
      </c>
      <c r="H33" s="402"/>
      <c r="I33" s="398"/>
    </row>
    <row r="34" spans="1:9" s="396" customFormat="1">
      <c r="A34" s="399" t="s">
        <v>193</v>
      </c>
      <c r="B34" s="1" t="s">
        <v>2770</v>
      </c>
      <c r="C34" s="399" t="s">
        <v>2771</v>
      </c>
      <c r="D34" s="401">
        <v>0.17</v>
      </c>
      <c r="E34" s="401">
        <v>0.16999999999999998</v>
      </c>
      <c r="F34" s="401">
        <v>0</v>
      </c>
      <c r="G34" s="401">
        <v>99.999999999999986</v>
      </c>
      <c r="H34" s="402"/>
      <c r="I34" s="398"/>
    </row>
    <row r="35" spans="1:9" s="396" customFormat="1" hidden="1">
      <c r="A35" s="399" t="s">
        <v>193</v>
      </c>
      <c r="B35" s="1" t="s">
        <v>2772</v>
      </c>
      <c r="C35" s="399" t="s">
        <v>2773</v>
      </c>
      <c r="D35" s="401">
        <v>0</v>
      </c>
      <c r="E35" s="401">
        <v>0</v>
      </c>
      <c r="F35" s="401">
        <v>0</v>
      </c>
      <c r="G35" s="401"/>
      <c r="H35" s="402"/>
      <c r="I35" s="398"/>
    </row>
    <row r="36" spans="1:9" s="396" customFormat="1">
      <c r="A36" s="399" t="s">
        <v>193</v>
      </c>
      <c r="B36" s="420" t="s">
        <v>127</v>
      </c>
      <c r="C36" s="422" t="s">
        <v>48</v>
      </c>
      <c r="D36" s="401">
        <v>3.7899999999999996</v>
      </c>
      <c r="E36" s="401">
        <v>1.8900000000000003</v>
      </c>
      <c r="F36" s="401">
        <v>-1.8999999999999992</v>
      </c>
      <c r="G36" s="401">
        <v>49.868073878627982</v>
      </c>
      <c r="H36" s="402"/>
      <c r="I36" s="398"/>
    </row>
    <row r="37" spans="1:9" s="396" customFormat="1">
      <c r="A37" s="399" t="s">
        <v>193</v>
      </c>
      <c r="B37" s="420" t="s">
        <v>129</v>
      </c>
      <c r="C37" s="422" t="s">
        <v>49</v>
      </c>
      <c r="D37" s="401">
        <v>4.6800000000000006</v>
      </c>
      <c r="E37" s="401">
        <v>4.6900000000000004</v>
      </c>
      <c r="F37" s="401">
        <v>9.9999999999997868E-3</v>
      </c>
      <c r="G37" s="401">
        <v>100.21367521367522</v>
      </c>
      <c r="H37" s="402"/>
      <c r="I37" s="398"/>
    </row>
    <row r="38" spans="1:9" s="396" customFormat="1">
      <c r="A38" s="399" t="s">
        <v>193</v>
      </c>
      <c r="B38" s="336" t="s">
        <v>220</v>
      </c>
      <c r="C38" s="422" t="s">
        <v>50</v>
      </c>
      <c r="D38" s="401">
        <v>45.34</v>
      </c>
      <c r="E38" s="401">
        <v>42.95</v>
      </c>
      <c r="F38" s="401">
        <v>-2.3900000000000006</v>
      </c>
      <c r="G38" s="401">
        <v>94.728716365240402</v>
      </c>
      <c r="H38" s="402"/>
      <c r="I38" s="398"/>
    </row>
    <row r="39" spans="1:9" s="396" customFormat="1">
      <c r="A39" s="399" t="s">
        <v>193</v>
      </c>
      <c r="B39" s="336" t="s">
        <v>2307</v>
      </c>
      <c r="C39" s="422" t="s">
        <v>51</v>
      </c>
      <c r="D39" s="401">
        <v>2.42</v>
      </c>
      <c r="E39" s="401">
        <v>2.08</v>
      </c>
      <c r="F39" s="401">
        <v>-0.33999999999999986</v>
      </c>
      <c r="G39" s="401">
        <v>85.950413223140501</v>
      </c>
      <c r="H39" s="402"/>
      <c r="I39" s="398"/>
    </row>
    <row r="40" spans="1:9" s="396" customFormat="1">
      <c r="A40" s="399" t="s">
        <v>193</v>
      </c>
      <c r="B40" s="336" t="s">
        <v>2759</v>
      </c>
      <c r="C40" s="422" t="s">
        <v>46</v>
      </c>
      <c r="D40" s="401">
        <v>16.079999999999998</v>
      </c>
      <c r="E40" s="401">
        <v>12.53</v>
      </c>
      <c r="F40" s="401">
        <v>-3.5499999999999989</v>
      </c>
      <c r="G40" s="401">
        <v>77.922885572139307</v>
      </c>
      <c r="H40" s="402"/>
      <c r="I40" s="398"/>
    </row>
    <row r="41" spans="1:9" s="396" customFormat="1" ht="30">
      <c r="A41" s="399" t="s">
        <v>193</v>
      </c>
      <c r="B41" s="336" t="s">
        <v>2760</v>
      </c>
      <c r="C41" s="422" t="s">
        <v>47</v>
      </c>
      <c r="D41" s="401">
        <v>0.45000000000000007</v>
      </c>
      <c r="E41" s="401">
        <v>0.45000000000000018</v>
      </c>
      <c r="F41" s="401">
        <v>0</v>
      </c>
      <c r="G41" s="401">
        <v>100.00000000000003</v>
      </c>
      <c r="H41" s="402"/>
      <c r="I41" s="398"/>
    </row>
    <row r="42" spans="1:9" s="396" customFormat="1">
      <c r="A42" s="399" t="s">
        <v>193</v>
      </c>
      <c r="B42" s="336" t="s">
        <v>2761</v>
      </c>
      <c r="C42" s="422" t="s">
        <v>2762</v>
      </c>
      <c r="D42" s="401">
        <v>3.3899999999999997</v>
      </c>
      <c r="E42" s="401">
        <v>0.19</v>
      </c>
      <c r="F42" s="401">
        <v>-3.1999999999999997</v>
      </c>
      <c r="G42" s="401"/>
      <c r="H42" s="402"/>
      <c r="I42" s="398"/>
    </row>
    <row r="43" spans="1:9" s="396" customFormat="1" ht="30">
      <c r="A43" s="399" t="s">
        <v>193</v>
      </c>
      <c r="B43" s="336" t="s">
        <v>2763</v>
      </c>
      <c r="C43" s="422" t="s">
        <v>2764</v>
      </c>
      <c r="D43" s="401">
        <v>2.16</v>
      </c>
      <c r="E43" s="401">
        <v>6.9999999999999993E-2</v>
      </c>
      <c r="F43" s="401">
        <v>-2.0900000000000003</v>
      </c>
      <c r="G43" s="401">
        <v>3.24074074074074</v>
      </c>
      <c r="H43" s="402"/>
      <c r="I43" s="398"/>
    </row>
    <row r="44" spans="1:9" s="396" customFormat="1">
      <c r="A44" s="399" t="s">
        <v>193</v>
      </c>
      <c r="B44" s="336" t="s">
        <v>2765</v>
      </c>
      <c r="C44" s="422" t="s">
        <v>37</v>
      </c>
      <c r="D44" s="401">
        <v>3.3899999999999997</v>
      </c>
      <c r="E44" s="401">
        <v>0.19</v>
      </c>
      <c r="F44" s="401">
        <v>-3.1999999999999997</v>
      </c>
      <c r="G44" s="401">
        <v>5.6047197640117998</v>
      </c>
      <c r="H44" s="402"/>
      <c r="I44" s="398"/>
    </row>
    <row r="45" spans="1:9" s="396" customFormat="1">
      <c r="A45" s="399" t="s">
        <v>193</v>
      </c>
      <c r="B45" s="336" t="s">
        <v>2766</v>
      </c>
      <c r="C45" s="422" t="s">
        <v>38</v>
      </c>
      <c r="D45" s="401">
        <v>0</v>
      </c>
      <c r="E45" s="401">
        <v>0</v>
      </c>
      <c r="F45" s="401">
        <v>0</v>
      </c>
      <c r="G45" s="401"/>
      <c r="H45" s="402"/>
      <c r="I45" s="398"/>
    </row>
    <row r="46" spans="1:9" s="396" customFormat="1" ht="30">
      <c r="A46" s="399" t="s">
        <v>193</v>
      </c>
      <c r="B46" s="336" t="s">
        <v>2767</v>
      </c>
      <c r="C46" s="422" t="s">
        <v>40</v>
      </c>
      <c r="D46" s="401">
        <v>28.149999999999995</v>
      </c>
      <c r="E46" s="401">
        <v>28.239999999999995</v>
      </c>
      <c r="F46" s="401">
        <v>8.9999999999999858E-2</v>
      </c>
      <c r="G46" s="401">
        <v>100.31971580817051</v>
      </c>
      <c r="H46" s="402"/>
      <c r="I46" s="398"/>
    </row>
    <row r="47" spans="1:9" s="396" customFormat="1">
      <c r="A47" s="399" t="s">
        <v>193</v>
      </c>
      <c r="B47" s="336" t="s">
        <v>132</v>
      </c>
      <c r="C47" s="422" t="s">
        <v>52</v>
      </c>
      <c r="D47" s="401">
        <v>0.5</v>
      </c>
      <c r="E47" s="401">
        <v>0.5</v>
      </c>
      <c r="F47" s="401">
        <v>0</v>
      </c>
      <c r="G47" s="401"/>
      <c r="H47" s="402"/>
      <c r="I47" s="398"/>
    </row>
    <row r="48" spans="1:9" s="396" customFormat="1" hidden="1">
      <c r="A48" s="399" t="s">
        <v>193</v>
      </c>
      <c r="B48" s="336" t="s">
        <v>2768</v>
      </c>
      <c r="C48" s="422" t="s">
        <v>53</v>
      </c>
      <c r="D48" s="401">
        <v>0</v>
      </c>
      <c r="E48" s="401">
        <v>0</v>
      </c>
      <c r="F48" s="401">
        <v>0</v>
      </c>
      <c r="G48" s="401"/>
      <c r="H48" s="402"/>
      <c r="I48" s="398"/>
    </row>
    <row r="49" spans="1:9" s="396" customFormat="1">
      <c r="A49" s="399" t="s">
        <v>193</v>
      </c>
      <c r="B49" s="336" t="s">
        <v>2769</v>
      </c>
      <c r="C49" s="422" t="s">
        <v>54</v>
      </c>
      <c r="D49" s="401">
        <v>2.5099999999999998</v>
      </c>
      <c r="E49" s="401">
        <v>2.5099999999999998</v>
      </c>
      <c r="F49" s="401">
        <v>0</v>
      </c>
      <c r="G49" s="401">
        <v>100</v>
      </c>
      <c r="H49" s="402"/>
      <c r="I49" s="398"/>
    </row>
    <row r="50" spans="1:9" s="396" customFormat="1">
      <c r="A50" s="399" t="s">
        <v>193</v>
      </c>
      <c r="B50" s="1" t="s">
        <v>2775</v>
      </c>
      <c r="C50" s="399" t="s">
        <v>2776</v>
      </c>
      <c r="D50" s="401">
        <v>0.32</v>
      </c>
      <c r="E50" s="401">
        <v>0.32</v>
      </c>
      <c r="F50" s="401">
        <v>0</v>
      </c>
      <c r="G50" s="401">
        <v>100</v>
      </c>
      <c r="H50" s="402"/>
      <c r="I50" s="398"/>
    </row>
    <row r="51" spans="1:9" s="396" customFormat="1" ht="16.7" customHeight="1">
      <c r="A51" s="399" t="s">
        <v>68</v>
      </c>
      <c r="B51" s="1" t="s">
        <v>2774</v>
      </c>
      <c r="C51" s="399" t="s">
        <v>113</v>
      </c>
      <c r="D51" s="401">
        <v>7.8900000000000006</v>
      </c>
      <c r="E51" s="401">
        <v>8.4599999999999991</v>
      </c>
      <c r="F51" s="401">
        <v>0.56999999999999851</v>
      </c>
      <c r="G51" s="401">
        <v>107.22433460076044</v>
      </c>
      <c r="H51" s="402"/>
      <c r="I51" s="398"/>
    </row>
    <row r="52" spans="1:9" s="396" customFormat="1" ht="14.25" customHeight="1">
      <c r="A52" s="399" t="s">
        <v>69</v>
      </c>
      <c r="B52" s="397" t="s">
        <v>107</v>
      </c>
      <c r="C52" s="399" t="s">
        <v>59</v>
      </c>
      <c r="D52" s="401">
        <v>623.69999999999993</v>
      </c>
      <c r="E52" s="401">
        <v>606.87</v>
      </c>
      <c r="F52" s="401">
        <v>-16.829999999999927</v>
      </c>
      <c r="G52" s="401">
        <v>97.301587301587318</v>
      </c>
      <c r="H52" s="402"/>
      <c r="I52" s="398"/>
    </row>
    <row r="53" spans="1:9" s="396" customFormat="1" ht="14.25" customHeight="1">
      <c r="A53" s="399" t="s">
        <v>70</v>
      </c>
      <c r="B53" s="397" t="s">
        <v>108</v>
      </c>
      <c r="C53" s="399" t="s">
        <v>57</v>
      </c>
      <c r="D53" s="401">
        <v>105.47000000000001</v>
      </c>
      <c r="E53" s="401">
        <v>93.449999999999989</v>
      </c>
      <c r="F53" s="401">
        <v>-12.020000000000024</v>
      </c>
      <c r="G53" s="401">
        <v>88.603394330141256</v>
      </c>
      <c r="H53" s="402"/>
      <c r="I53" s="398"/>
    </row>
    <row r="54" spans="1:9" s="396" customFormat="1" ht="14.25" customHeight="1">
      <c r="A54" s="399" t="s">
        <v>71</v>
      </c>
      <c r="B54" s="397" t="s">
        <v>95</v>
      </c>
      <c r="C54" s="399" t="s">
        <v>24</v>
      </c>
      <c r="D54" s="401">
        <v>8.94</v>
      </c>
      <c r="E54" s="401">
        <v>9.5400000000000009</v>
      </c>
      <c r="F54" s="401">
        <v>0.60000000000000142</v>
      </c>
      <c r="G54" s="401">
        <v>106.71140939597316</v>
      </c>
      <c r="H54" s="402"/>
      <c r="I54" s="398"/>
    </row>
    <row r="55" spans="1:9" s="396" customFormat="1" hidden="1">
      <c r="A55" s="399" t="s">
        <v>100</v>
      </c>
      <c r="B55" s="397" t="s">
        <v>109</v>
      </c>
      <c r="C55" s="399" t="s">
        <v>110</v>
      </c>
      <c r="D55" s="401">
        <v>0</v>
      </c>
      <c r="E55" s="401">
        <v>0</v>
      </c>
      <c r="F55" s="401">
        <v>0</v>
      </c>
      <c r="G55" s="401" t="e">
        <v>#DIV/0!</v>
      </c>
      <c r="H55" s="402"/>
      <c r="I55" s="398"/>
    </row>
    <row r="56" spans="1:9" s="396" customFormat="1" hidden="1">
      <c r="A56" s="399" t="s">
        <v>101</v>
      </c>
      <c r="B56" s="397" t="s">
        <v>133</v>
      </c>
      <c r="C56" s="399" t="s">
        <v>137</v>
      </c>
      <c r="D56" s="401">
        <v>0</v>
      </c>
      <c r="E56" s="401">
        <v>0</v>
      </c>
      <c r="F56" s="401">
        <v>0</v>
      </c>
      <c r="G56" s="401" t="e">
        <v>#DIV/0!</v>
      </c>
      <c r="H56" s="402"/>
      <c r="I56" s="398"/>
    </row>
    <row r="57" spans="1:9" s="396" customFormat="1" hidden="1">
      <c r="A57" s="399" t="s">
        <v>102</v>
      </c>
      <c r="B57" s="397" t="s">
        <v>136</v>
      </c>
      <c r="C57" s="399" t="s">
        <v>138</v>
      </c>
      <c r="D57" s="401">
        <v>0</v>
      </c>
      <c r="E57" s="401">
        <v>0</v>
      </c>
      <c r="F57" s="401">
        <v>0</v>
      </c>
      <c r="G57" s="401" t="e">
        <v>#DIV/0!</v>
      </c>
      <c r="H57" s="402"/>
      <c r="I57" s="398"/>
    </row>
    <row r="58" spans="1:9" s="396" customFormat="1">
      <c r="A58" s="399" t="s">
        <v>74</v>
      </c>
      <c r="B58" s="1" t="s">
        <v>2777</v>
      </c>
      <c r="C58" s="399" t="s">
        <v>39</v>
      </c>
      <c r="D58" s="401">
        <v>3.2399999999999993</v>
      </c>
      <c r="E58" s="401">
        <v>3.3499999999999996</v>
      </c>
      <c r="F58" s="401">
        <v>0.11000000000000032</v>
      </c>
      <c r="G58" s="401">
        <v>103.39506172839508</v>
      </c>
      <c r="H58" s="402"/>
      <c r="I58" s="398"/>
    </row>
    <row r="59" spans="1:9" s="396" customFormat="1" ht="14.25" customHeight="1">
      <c r="A59" s="399" t="s">
        <v>75</v>
      </c>
      <c r="B59" s="1" t="s">
        <v>2778</v>
      </c>
      <c r="C59" s="399" t="s">
        <v>42</v>
      </c>
      <c r="D59" s="401">
        <v>1201.73</v>
      </c>
      <c r="E59" s="401">
        <v>1202.03</v>
      </c>
      <c r="F59" s="401">
        <v>0.29999999999995453</v>
      </c>
      <c r="G59" s="401">
        <v>100.02496401021861</v>
      </c>
      <c r="H59" s="402"/>
      <c r="I59" s="398"/>
    </row>
    <row r="60" spans="1:9" s="396" customFormat="1" ht="14.25" customHeight="1">
      <c r="A60" s="399" t="s">
        <v>76</v>
      </c>
      <c r="B60" s="1" t="s">
        <v>2779</v>
      </c>
      <c r="C60" s="399" t="s">
        <v>41</v>
      </c>
      <c r="D60" s="401">
        <v>2.14</v>
      </c>
      <c r="E60" s="401">
        <v>2.14</v>
      </c>
      <c r="F60" s="401">
        <v>0</v>
      </c>
      <c r="G60" s="401">
        <v>100</v>
      </c>
      <c r="H60" s="402"/>
      <c r="I60" s="398"/>
    </row>
    <row r="61" spans="1:9" s="396" customFormat="1" ht="14.25" hidden="1" customHeight="1">
      <c r="A61" s="399" t="s">
        <v>83</v>
      </c>
      <c r="B61" s="397" t="s">
        <v>116</v>
      </c>
      <c r="C61" s="399" t="s">
        <v>55</v>
      </c>
      <c r="D61" s="401">
        <v>0</v>
      </c>
      <c r="E61" s="401">
        <v>0</v>
      </c>
      <c r="F61" s="401">
        <v>0</v>
      </c>
      <c r="G61" s="401" t="e">
        <v>#DIV/0!</v>
      </c>
      <c r="H61" s="402"/>
      <c r="I61" s="398"/>
    </row>
    <row r="62" spans="1:9" s="396" customFormat="1">
      <c r="A62" s="383">
        <v>3</v>
      </c>
      <c r="B62" s="390" t="s">
        <v>56</v>
      </c>
      <c r="C62" s="383" t="s">
        <v>81</v>
      </c>
      <c r="D62" s="392">
        <v>734.84999999999991</v>
      </c>
      <c r="E62" s="392">
        <v>743.41000000000008</v>
      </c>
      <c r="F62" s="392">
        <v>8.5600000000001728</v>
      </c>
      <c r="G62" s="392">
        <v>101.16486357760091</v>
      </c>
      <c r="H62" s="395"/>
      <c r="I62" s="394"/>
    </row>
  </sheetData>
  <mergeCells count="9">
    <mergeCell ref="A1:B1"/>
    <mergeCell ref="A2:G2"/>
    <mergeCell ref="A3:A5"/>
    <mergeCell ref="B3:B5"/>
    <mergeCell ref="C3:C5"/>
    <mergeCell ref="D3:D5"/>
    <mergeCell ref="E3:G3"/>
    <mergeCell ref="E4:E5"/>
    <mergeCell ref="F4:G4"/>
  </mergeCells>
  <conditionalFormatting sqref="B6 D6:H6 A6:A7 C6:C7 C32:C35 B36:C37 C38:C50">
    <cfRule type="cellIs" dxfId="70" priority="3" stopIfTrue="1" operator="equal">
      <formula>0</formula>
    </cfRule>
  </conditionalFormatting>
  <conditionalFormatting sqref="B17">
    <cfRule type="cellIs" dxfId="69" priority="2" stopIfTrue="1" operator="equal">
      <formula>0</formula>
    </cfRule>
  </conditionalFormatting>
  <conditionalFormatting sqref="B30:B31">
    <cfRule type="cellIs" dxfId="68" priority="1" stopIfTrue="1" operator="equal">
      <formula>0</formula>
    </cfRule>
  </conditionalFormatting>
  <printOptions horizontalCentered="1"/>
  <pageMargins left="0.59055118110236227" right="0.43307086614173229" top="0.47244094488188981" bottom="0.31496062992125984" header="0.31496062992125984" footer="0.31496062992125984"/>
  <pageSetup paperSize="9" scale="9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93"/>
  <sheetViews>
    <sheetView showZeros="0" view="pageBreakPreview" zoomScaleNormal="70" zoomScaleSheetLayoutView="100" workbookViewId="0">
      <pane xSplit="6" ySplit="8" topLeftCell="R59" activePane="bottomRight" state="frozen"/>
      <selection activeCell="C23" sqref="C23"/>
      <selection pane="topRight" activeCell="C23" sqref="C23"/>
      <selection pane="bottomLeft" activeCell="C23" sqref="C23"/>
      <selection pane="bottomRight" activeCell="C23" sqref="C23"/>
    </sheetView>
  </sheetViews>
  <sheetFormatPr defaultColWidth="9.125" defaultRowHeight="16.5" customHeight="1"/>
  <cols>
    <col min="1" max="1" width="5" style="1008" customWidth="1"/>
    <col min="2" max="2" width="49.25" style="289" customWidth="1"/>
    <col min="3" max="3" width="6.375" style="1008" customWidth="1"/>
    <col min="4" max="4" width="9.875" style="293" hidden="1" customWidth="1"/>
    <col min="5" max="5" width="9.125" style="1009" hidden="1" customWidth="1"/>
    <col min="6" max="6" width="10.625" style="1010" customWidth="1"/>
    <col min="7" max="7" width="8.125" style="1010" customWidth="1"/>
    <col min="8" max="8" width="8.375" style="1010" bestFit="1" customWidth="1"/>
    <col min="9" max="9" width="8.625" style="1010" bestFit="1" customWidth="1"/>
    <col min="10" max="10" width="8.5" style="1010" bestFit="1" customWidth="1"/>
    <col min="11" max="11" width="8.625" style="1010" customWidth="1"/>
    <col min="12" max="12" width="8.125" style="1010" customWidth="1"/>
    <col min="13" max="13" width="8.375" style="1010" bestFit="1" customWidth="1"/>
    <col min="14" max="14" width="8.125" style="1010" customWidth="1"/>
    <col min="15" max="16" width="8.375" style="289" bestFit="1" customWidth="1"/>
    <col min="17" max="17" width="8.5" style="289" bestFit="1" customWidth="1"/>
    <col min="18" max="18" width="8.375" style="289" bestFit="1" customWidth="1"/>
    <col min="19" max="19" width="8" style="289" customWidth="1"/>
    <col min="20" max="22" width="8.375" style="289" bestFit="1" customWidth="1"/>
    <col min="23" max="24" width="8.5" style="289" bestFit="1" customWidth="1"/>
    <col min="25" max="25" width="8" style="289" customWidth="1"/>
    <col min="26" max="221" width="9" style="289" customWidth="1"/>
    <col min="222" max="222" width="5.125" style="289" customWidth="1"/>
    <col min="223" max="223" width="42.125" style="289" customWidth="1"/>
    <col min="224" max="224" width="6.125" style="289" customWidth="1"/>
    <col min="225" max="225" width="12" style="289" bestFit="1" customWidth="1"/>
    <col min="226" max="226" width="10.375" style="289" customWidth="1"/>
    <col min="227" max="227" width="11.625" style="289" customWidth="1"/>
    <col min="228" max="231" width="9.125" style="289" customWidth="1"/>
    <col min="232" max="232" width="10.875" style="289" customWidth="1"/>
    <col min="233" max="244" width="9.125" style="289" customWidth="1"/>
    <col min="245" max="245" width="8.625" style="289" customWidth="1"/>
    <col min="246" max="247" width="9.625" style="289" customWidth="1"/>
    <col min="248" max="16384" width="9.125" style="289"/>
  </cols>
  <sheetData>
    <row r="1" spans="1:26" s="282" customFormat="1" ht="18.600000000000001" customHeight="1">
      <c r="A1" s="1579" t="s">
        <v>261</v>
      </c>
      <c r="B1" s="1579"/>
      <c r="C1" s="1014"/>
      <c r="D1" s="949"/>
      <c r="E1" s="950"/>
      <c r="F1" s="951"/>
      <c r="G1" s="951"/>
      <c r="H1" s="951"/>
      <c r="I1" s="951"/>
      <c r="J1" s="951"/>
      <c r="K1" s="951"/>
      <c r="L1" s="951"/>
      <c r="M1" s="951"/>
      <c r="N1" s="951"/>
      <c r="O1" s="951"/>
      <c r="P1" s="951"/>
      <c r="Q1" s="951"/>
      <c r="R1" s="951"/>
      <c r="S1" s="951"/>
      <c r="T1" s="951"/>
      <c r="U1" s="951"/>
      <c r="V1" s="951"/>
      <c r="W1" s="951"/>
      <c r="X1" s="951"/>
      <c r="Y1" s="951"/>
    </row>
    <row r="2" spans="1:26" s="282" customFormat="1" ht="19.350000000000001" customHeight="1">
      <c r="A2" s="1580" t="s">
        <v>3029</v>
      </c>
      <c r="B2" s="1580"/>
      <c r="C2" s="1580"/>
      <c r="D2" s="1580"/>
      <c r="E2" s="1580"/>
      <c r="F2" s="1580"/>
      <c r="G2" s="1580"/>
      <c r="H2" s="1580"/>
      <c r="I2" s="1580"/>
      <c r="J2" s="1580"/>
      <c r="K2" s="1580"/>
      <c r="L2" s="1580"/>
      <c r="M2" s="1580"/>
      <c r="N2" s="1580"/>
      <c r="O2" s="1580"/>
      <c r="P2" s="1580"/>
      <c r="Q2" s="1580"/>
      <c r="R2" s="1580"/>
      <c r="S2" s="1580"/>
      <c r="T2" s="1580"/>
      <c r="U2" s="1580"/>
      <c r="V2" s="1580"/>
      <c r="W2" s="1580"/>
      <c r="X2" s="1580"/>
      <c r="Y2" s="1580"/>
    </row>
    <row r="3" spans="1:26" s="282" customFormat="1" ht="18.600000000000001" hidden="1" customHeight="1">
      <c r="A3" s="1580"/>
      <c r="B3" s="1580"/>
      <c r="C3" s="1580"/>
      <c r="D3" s="1580"/>
      <c r="E3" s="1580"/>
      <c r="F3" s="1580"/>
      <c r="G3" s="1580"/>
      <c r="H3" s="1580"/>
      <c r="I3" s="1580"/>
      <c r="J3" s="1580"/>
      <c r="K3" s="1580"/>
      <c r="L3" s="1580"/>
      <c r="M3" s="1580"/>
      <c r="N3" s="1580"/>
      <c r="O3" s="1580"/>
      <c r="P3" s="1580"/>
      <c r="Q3" s="1580"/>
      <c r="R3" s="1580"/>
      <c r="S3" s="1580"/>
      <c r="T3" s="1580"/>
      <c r="U3" s="1580"/>
      <c r="V3" s="1580"/>
      <c r="W3" s="1580"/>
      <c r="X3" s="1580"/>
      <c r="Y3" s="1580"/>
    </row>
    <row r="4" spans="1:26" s="957" customFormat="1" ht="11.25" customHeight="1">
      <c r="A4" s="952"/>
      <c r="B4" s="953"/>
      <c r="C4" s="954"/>
      <c r="D4" s="955"/>
      <c r="E4" s="956"/>
      <c r="F4" s="953"/>
      <c r="G4" s="953"/>
      <c r="H4" s="953"/>
      <c r="I4" s="953"/>
      <c r="J4" s="953"/>
      <c r="K4" s="953"/>
      <c r="L4" s="953"/>
      <c r="M4" s="953"/>
      <c r="N4" s="953"/>
      <c r="O4" s="953"/>
      <c r="P4" s="953"/>
      <c r="Q4" s="953"/>
      <c r="R4" s="953"/>
      <c r="S4" s="953"/>
      <c r="T4" s="953"/>
      <c r="U4" s="953"/>
      <c r="V4" s="1585"/>
      <c r="W4" s="1585"/>
      <c r="X4" s="1585" t="s">
        <v>0</v>
      </c>
      <c r="Y4" s="1585"/>
    </row>
    <row r="5" spans="1:26" s="287" customFormat="1" ht="18.75" customHeight="1">
      <c r="A5" s="1581" t="s">
        <v>1</v>
      </c>
      <c r="B5" s="1581" t="s">
        <v>175</v>
      </c>
      <c r="C5" s="1581" t="s">
        <v>172</v>
      </c>
      <c r="D5" s="1582" t="s">
        <v>2899</v>
      </c>
      <c r="E5" s="1583" t="s">
        <v>2900</v>
      </c>
      <c r="F5" s="1584" t="s">
        <v>146</v>
      </c>
      <c r="G5" s="1578" t="s">
        <v>2836</v>
      </c>
      <c r="H5" s="1578"/>
      <c r="I5" s="1578"/>
      <c r="J5" s="1578"/>
      <c r="K5" s="1578"/>
      <c r="L5" s="1578"/>
      <c r="M5" s="1578"/>
      <c r="N5" s="1578"/>
      <c r="O5" s="1578"/>
      <c r="P5" s="1578"/>
      <c r="Q5" s="1578"/>
      <c r="R5" s="1578"/>
      <c r="S5" s="1578"/>
      <c r="T5" s="1578"/>
      <c r="U5" s="1578"/>
      <c r="V5" s="1578"/>
      <c r="W5" s="1578"/>
      <c r="X5" s="1578"/>
      <c r="Y5" s="1578"/>
    </row>
    <row r="6" spans="1:26" s="287" customFormat="1" ht="48" customHeight="1">
      <c r="A6" s="1581"/>
      <c r="B6" s="1581"/>
      <c r="C6" s="1581"/>
      <c r="D6" s="1582"/>
      <c r="E6" s="1583"/>
      <c r="F6" s="1584"/>
      <c r="G6" s="1013" t="s">
        <v>3010</v>
      </c>
      <c r="H6" s="1013" t="s">
        <v>3011</v>
      </c>
      <c r="I6" s="1013" t="s">
        <v>3012</v>
      </c>
      <c r="J6" s="1013" t="s">
        <v>3013</v>
      </c>
      <c r="K6" s="1013" t="s">
        <v>3014</v>
      </c>
      <c r="L6" s="1013" t="s">
        <v>3015</v>
      </c>
      <c r="M6" s="1013" t="s">
        <v>3016</v>
      </c>
      <c r="N6" s="1013" t="s">
        <v>3017</v>
      </c>
      <c r="O6" s="1013" t="s">
        <v>3018</v>
      </c>
      <c r="P6" s="1013" t="s">
        <v>3019</v>
      </c>
      <c r="Q6" s="1013" t="s">
        <v>3020</v>
      </c>
      <c r="R6" s="1013" t="s">
        <v>3021</v>
      </c>
      <c r="S6" s="1013" t="s">
        <v>3022</v>
      </c>
      <c r="T6" s="1013" t="s">
        <v>3023</v>
      </c>
      <c r="U6" s="1013" t="s">
        <v>3024</v>
      </c>
      <c r="V6" s="1013" t="s">
        <v>3025</v>
      </c>
      <c r="W6" s="1013" t="s">
        <v>3026</v>
      </c>
      <c r="X6" s="1013" t="s">
        <v>3027</v>
      </c>
      <c r="Y6" s="1013" t="s">
        <v>3028</v>
      </c>
    </row>
    <row r="7" spans="1:26" s="287" customFormat="1" ht="26.45" customHeight="1">
      <c r="A7" s="958">
        <v>-1</v>
      </c>
      <c r="B7" s="959">
        <v>-2</v>
      </c>
      <c r="C7" s="958">
        <v>-3</v>
      </c>
      <c r="D7" s="958">
        <v>-4</v>
      </c>
      <c r="E7" s="959">
        <v>-5</v>
      </c>
      <c r="F7" s="958" t="s">
        <v>3036</v>
      </c>
      <c r="G7" s="958">
        <v>-5</v>
      </c>
      <c r="H7" s="958">
        <v>-6</v>
      </c>
      <c r="I7" s="958">
        <v>-7</v>
      </c>
      <c r="J7" s="958">
        <v>-8</v>
      </c>
      <c r="K7" s="958">
        <v>-9</v>
      </c>
      <c r="L7" s="958">
        <v>-10</v>
      </c>
      <c r="M7" s="958">
        <v>-11</v>
      </c>
      <c r="N7" s="958">
        <v>-12</v>
      </c>
      <c r="O7" s="958">
        <v>-13</v>
      </c>
      <c r="P7" s="958">
        <v>-14</v>
      </c>
      <c r="Q7" s="958">
        <v>-15</v>
      </c>
      <c r="R7" s="958">
        <v>-16</v>
      </c>
      <c r="S7" s="958">
        <v>-17</v>
      </c>
      <c r="T7" s="958">
        <v>-18</v>
      </c>
      <c r="U7" s="958">
        <v>-19</v>
      </c>
      <c r="V7" s="958">
        <v>-20</v>
      </c>
      <c r="W7" s="958">
        <v>-21</v>
      </c>
      <c r="X7" s="958">
        <v>-22</v>
      </c>
      <c r="Y7" s="958">
        <v>-23</v>
      </c>
    </row>
    <row r="8" spans="1:26" s="964" customFormat="1" ht="21.6" customHeight="1">
      <c r="A8" s="1015" t="s">
        <v>78</v>
      </c>
      <c r="B8" s="960" t="s">
        <v>126</v>
      </c>
      <c r="C8" s="961"/>
      <c r="D8" s="962">
        <v>98642.920000000013</v>
      </c>
      <c r="E8" s="963"/>
      <c r="F8" s="962">
        <v>109415.12</v>
      </c>
      <c r="G8" s="962">
        <v>3741.98</v>
      </c>
      <c r="H8" s="962">
        <v>3409.0299999999997</v>
      </c>
      <c r="I8" s="962">
        <v>5132.6099999999988</v>
      </c>
      <c r="J8" s="962">
        <v>3301.4600000000009</v>
      </c>
      <c r="K8" s="962">
        <v>11310.549999999997</v>
      </c>
      <c r="L8" s="962">
        <v>6984.3799999999983</v>
      </c>
      <c r="M8" s="962">
        <v>3809.3900000000003</v>
      </c>
      <c r="N8" s="962">
        <v>3866.7100000000005</v>
      </c>
      <c r="O8" s="962">
        <v>6313.67</v>
      </c>
      <c r="P8" s="962">
        <v>3455.0300000000011</v>
      </c>
      <c r="Q8" s="962">
        <v>5355.46</v>
      </c>
      <c r="R8" s="962">
        <v>7990.6600000000017</v>
      </c>
      <c r="S8" s="962">
        <v>6100.8200000000006</v>
      </c>
      <c r="T8" s="962">
        <v>3988.0700000000006</v>
      </c>
      <c r="U8" s="962">
        <v>8517.2899999999991</v>
      </c>
      <c r="V8" s="962">
        <v>5491.82</v>
      </c>
      <c r="W8" s="962">
        <v>8095.4799999999977</v>
      </c>
      <c r="X8" s="962">
        <v>5036.6400000000003</v>
      </c>
      <c r="Y8" s="962">
        <v>7514.07</v>
      </c>
    </row>
    <row r="9" spans="1:26" ht="20.45" customHeight="1">
      <c r="A9" s="965">
        <v>1</v>
      </c>
      <c r="B9" s="966" t="s">
        <v>3</v>
      </c>
      <c r="C9" s="967" t="s">
        <v>4</v>
      </c>
      <c r="D9" s="968">
        <v>87326.82</v>
      </c>
      <c r="E9" s="962">
        <v>-43.167319999993197</v>
      </c>
      <c r="F9" s="962">
        <v>105094.58865000001</v>
      </c>
      <c r="G9" s="962">
        <v>3442.8846500000004</v>
      </c>
      <c r="H9" s="962">
        <v>3288.2000000000003</v>
      </c>
      <c r="I9" s="962">
        <v>4972.8200000000006</v>
      </c>
      <c r="J9" s="962">
        <v>3116.3339999999998</v>
      </c>
      <c r="K9" s="962">
        <v>11007.86</v>
      </c>
      <c r="L9" s="962">
        <v>6573.3099999999995</v>
      </c>
      <c r="M9" s="962">
        <v>3623.92</v>
      </c>
      <c r="N9" s="962">
        <v>3769.8700000000003</v>
      </c>
      <c r="O9" s="962">
        <v>6172.87</v>
      </c>
      <c r="P9" s="962">
        <v>3343.02</v>
      </c>
      <c r="Q9" s="962">
        <v>5095.25</v>
      </c>
      <c r="R9" s="962">
        <v>7760.3100000000013</v>
      </c>
      <c r="S9" s="962">
        <v>5956.7300000000005</v>
      </c>
      <c r="T9" s="962">
        <v>3628.3599999999997</v>
      </c>
      <c r="U9" s="962">
        <v>8196.48</v>
      </c>
      <c r="V9" s="962">
        <v>5239.5099999999993</v>
      </c>
      <c r="W9" s="962">
        <v>7750.7300000000005</v>
      </c>
      <c r="X9" s="962">
        <v>4846.13</v>
      </c>
      <c r="Y9" s="962">
        <v>7310</v>
      </c>
      <c r="Z9" s="969">
        <f>F9/F8*100</f>
        <v>96.051248355803125</v>
      </c>
    </row>
    <row r="10" spans="1:26" s="290" customFormat="1" ht="15.6" customHeight="1">
      <c r="A10" s="970"/>
      <c r="B10" s="971" t="s">
        <v>190</v>
      </c>
      <c r="C10" s="972"/>
      <c r="D10" s="973"/>
      <c r="E10" s="962"/>
      <c r="F10" s="1487"/>
      <c r="G10" s="1487"/>
      <c r="H10" s="1487"/>
      <c r="I10" s="1487"/>
      <c r="J10" s="1487"/>
      <c r="K10" s="1487"/>
      <c r="L10" s="1487"/>
      <c r="M10" s="1487"/>
      <c r="N10" s="1487"/>
      <c r="O10" s="1487"/>
      <c r="P10" s="1487"/>
      <c r="Q10" s="1487"/>
      <c r="R10" s="1487"/>
      <c r="S10" s="1487"/>
      <c r="T10" s="1487"/>
      <c r="U10" s="1487"/>
      <c r="V10" s="1487"/>
      <c r="W10" s="1487"/>
      <c r="X10" s="1487"/>
      <c r="Y10" s="1487"/>
      <c r="Z10" s="974"/>
    </row>
    <row r="11" spans="1:26" ht="21.6" customHeight="1">
      <c r="A11" s="975" t="s">
        <v>6</v>
      </c>
      <c r="B11" s="976" t="s">
        <v>85</v>
      </c>
      <c r="C11" s="284" t="s">
        <v>5</v>
      </c>
      <c r="D11" s="973">
        <v>5851.5</v>
      </c>
      <c r="E11" s="973">
        <v>0</v>
      </c>
      <c r="F11" s="977">
        <v>3206.7161499999997</v>
      </c>
      <c r="G11" s="977">
        <v>260.11614999999995</v>
      </c>
      <c r="H11" s="977">
        <v>125.71</v>
      </c>
      <c r="I11" s="977">
        <v>115.53999999999999</v>
      </c>
      <c r="J11" s="977">
        <v>100.25</v>
      </c>
      <c r="K11" s="977">
        <v>305.28999999999996</v>
      </c>
      <c r="L11" s="977">
        <v>190.29</v>
      </c>
      <c r="M11" s="977">
        <v>210.26000000000002</v>
      </c>
      <c r="N11" s="977">
        <v>104.48</v>
      </c>
      <c r="O11" s="977">
        <v>196.49</v>
      </c>
      <c r="P11" s="977">
        <v>126.76</v>
      </c>
      <c r="Q11" s="977">
        <v>220.31</v>
      </c>
      <c r="R11" s="977">
        <v>133.53</v>
      </c>
      <c r="S11" s="977">
        <v>92.4</v>
      </c>
      <c r="T11" s="977">
        <v>203.2</v>
      </c>
      <c r="U11" s="977">
        <v>204.95</v>
      </c>
      <c r="V11" s="977">
        <v>195.55</v>
      </c>
      <c r="W11" s="977">
        <v>212.21999999999997</v>
      </c>
      <c r="X11" s="977">
        <v>32.219999999999992</v>
      </c>
      <c r="Y11" s="977">
        <v>177.15</v>
      </c>
      <c r="Z11" s="969"/>
    </row>
    <row r="12" spans="1:26" s="290" customFormat="1" ht="20.45" customHeight="1">
      <c r="A12" s="970"/>
      <c r="B12" s="978" t="s">
        <v>2746</v>
      </c>
      <c r="C12" s="972" t="s">
        <v>7</v>
      </c>
      <c r="D12" s="979">
        <v>3201.3</v>
      </c>
      <c r="E12" s="979">
        <v>0</v>
      </c>
      <c r="F12" s="1487">
        <v>2071.0061500000002</v>
      </c>
      <c r="G12" s="1487">
        <v>195.79614999999998</v>
      </c>
      <c r="H12" s="1487">
        <v>125.50999999999999</v>
      </c>
      <c r="I12" s="1487">
        <v>64.429999999999993</v>
      </c>
      <c r="J12" s="1487">
        <v>71.69</v>
      </c>
      <c r="K12" s="1487">
        <v>182.61</v>
      </c>
      <c r="L12" s="1487">
        <v>89.27</v>
      </c>
      <c r="M12" s="1487">
        <v>156.35000000000002</v>
      </c>
      <c r="N12" s="1487">
        <v>76.400000000000006</v>
      </c>
      <c r="O12" s="1487">
        <v>132.80000000000001</v>
      </c>
      <c r="P12" s="1487">
        <v>29.29</v>
      </c>
      <c r="Q12" s="1487">
        <v>98.99</v>
      </c>
      <c r="R12" s="1487">
        <v>60.9</v>
      </c>
      <c r="S12" s="1487">
        <v>58.120000000000005</v>
      </c>
      <c r="T12" s="1487">
        <v>93.51</v>
      </c>
      <c r="U12" s="1487">
        <v>201.79999999999998</v>
      </c>
      <c r="V12" s="1487">
        <v>137.38</v>
      </c>
      <c r="W12" s="1487">
        <v>146.51999999999998</v>
      </c>
      <c r="X12" s="1487">
        <v>26.059999999999995</v>
      </c>
      <c r="Y12" s="1487">
        <v>123.58</v>
      </c>
      <c r="Z12" s="974"/>
    </row>
    <row r="13" spans="1:26" s="290" customFormat="1" ht="19.7" customHeight="1">
      <c r="A13" s="975" t="s">
        <v>9</v>
      </c>
      <c r="B13" s="976" t="s">
        <v>2747</v>
      </c>
      <c r="C13" s="284" t="s">
        <v>12</v>
      </c>
      <c r="D13" s="973">
        <v>0</v>
      </c>
      <c r="E13" s="977">
        <v>4526.2847000000002</v>
      </c>
      <c r="F13" s="977">
        <v>2283.2925</v>
      </c>
      <c r="G13" s="977">
        <v>129.6585</v>
      </c>
      <c r="H13" s="977">
        <v>56.199999999999996</v>
      </c>
      <c r="I13" s="977">
        <v>86.689999999999984</v>
      </c>
      <c r="J13" s="977">
        <v>124.56400000000001</v>
      </c>
      <c r="K13" s="977">
        <v>156.41</v>
      </c>
      <c r="L13" s="977">
        <v>173.75</v>
      </c>
      <c r="M13" s="977">
        <v>110.02</v>
      </c>
      <c r="N13" s="977">
        <v>44.730000000000004</v>
      </c>
      <c r="O13" s="977">
        <v>89.36</v>
      </c>
      <c r="P13" s="977">
        <v>109.78</v>
      </c>
      <c r="Q13" s="977">
        <v>155.14999999999998</v>
      </c>
      <c r="R13" s="977">
        <v>105.21000000000001</v>
      </c>
      <c r="S13" s="977">
        <v>88.429999999999993</v>
      </c>
      <c r="T13" s="977">
        <v>189.8</v>
      </c>
      <c r="U13" s="977">
        <v>143.24999999999997</v>
      </c>
      <c r="V13" s="977">
        <v>141.22</v>
      </c>
      <c r="W13" s="977">
        <v>234.37</v>
      </c>
      <c r="X13" s="977">
        <v>33.230000000000004</v>
      </c>
      <c r="Y13" s="977">
        <v>111.47</v>
      </c>
      <c r="Z13" s="974"/>
    </row>
    <row r="14" spans="1:26" ht="19.7" customHeight="1">
      <c r="A14" s="975" t="s">
        <v>11</v>
      </c>
      <c r="B14" s="976" t="s">
        <v>60</v>
      </c>
      <c r="C14" s="284" t="s">
        <v>14</v>
      </c>
      <c r="D14" s="973">
        <v>2566.4</v>
      </c>
      <c r="E14" s="973">
        <v>0</v>
      </c>
      <c r="F14" s="977">
        <v>664.44499999999994</v>
      </c>
      <c r="G14" s="977">
        <v>38.869999999999997</v>
      </c>
      <c r="H14" s="977">
        <v>21.36</v>
      </c>
      <c r="I14" s="977">
        <v>32.630000000000003</v>
      </c>
      <c r="J14" s="977">
        <v>71.725000000000009</v>
      </c>
      <c r="K14" s="977">
        <v>36.980000000000004</v>
      </c>
      <c r="L14" s="977">
        <v>4.09</v>
      </c>
      <c r="M14" s="977">
        <v>31.389999999999997</v>
      </c>
      <c r="N14" s="977">
        <v>12.459999999999999</v>
      </c>
      <c r="O14" s="977">
        <v>16.45</v>
      </c>
      <c r="P14" s="977">
        <v>7.61</v>
      </c>
      <c r="Q14" s="977">
        <v>49.669999999999995</v>
      </c>
      <c r="R14" s="977">
        <v>34.76</v>
      </c>
      <c r="S14" s="977">
        <v>11.89</v>
      </c>
      <c r="T14" s="977">
        <v>53.93</v>
      </c>
      <c r="U14" s="977">
        <v>36.17</v>
      </c>
      <c r="V14" s="977">
        <v>56.67</v>
      </c>
      <c r="W14" s="977">
        <v>66.8</v>
      </c>
      <c r="X14" s="977">
        <v>28.88</v>
      </c>
      <c r="Y14" s="977">
        <v>52.11</v>
      </c>
      <c r="Z14" s="969"/>
    </row>
    <row r="15" spans="1:26" s="981" customFormat="1" ht="19.7" customHeight="1">
      <c r="A15" s="975" t="s">
        <v>13</v>
      </c>
      <c r="B15" s="976" t="s">
        <v>61</v>
      </c>
      <c r="C15" s="284" t="s">
        <v>16</v>
      </c>
      <c r="D15" s="973">
        <v>9729.9</v>
      </c>
      <c r="E15" s="977">
        <v>0</v>
      </c>
      <c r="F15" s="977">
        <v>9881.8499999999985</v>
      </c>
      <c r="G15" s="977">
        <v>291.15000000000003</v>
      </c>
      <c r="H15" s="977">
        <v>539.41999999999996</v>
      </c>
      <c r="I15" s="977">
        <v>163.78</v>
      </c>
      <c r="J15" s="977">
        <v>258.93</v>
      </c>
      <c r="K15" s="977">
        <v>844.68</v>
      </c>
      <c r="L15" s="977">
        <v>293.42</v>
      </c>
      <c r="M15" s="977">
        <v>207.26</v>
      </c>
      <c r="N15" s="977">
        <v>423.29</v>
      </c>
      <c r="O15" s="977">
        <v>786.28</v>
      </c>
      <c r="P15" s="977">
        <v>0</v>
      </c>
      <c r="Q15" s="977">
        <v>206.89</v>
      </c>
      <c r="R15" s="977">
        <v>1853.73</v>
      </c>
      <c r="S15" s="977">
        <v>626.79</v>
      </c>
      <c r="T15" s="977">
        <v>0</v>
      </c>
      <c r="U15" s="977">
        <v>1112.06</v>
      </c>
      <c r="V15" s="977">
        <v>541.01</v>
      </c>
      <c r="W15" s="977">
        <v>574.54</v>
      </c>
      <c r="X15" s="977">
        <v>692.98</v>
      </c>
      <c r="Y15" s="977">
        <v>465.64</v>
      </c>
      <c r="Z15" s="980"/>
    </row>
    <row r="16" spans="1:26" s="981" customFormat="1" ht="19.7" customHeight="1">
      <c r="A16" s="975" t="s">
        <v>15</v>
      </c>
      <c r="B16" s="976" t="s">
        <v>62</v>
      </c>
      <c r="C16" s="975" t="s">
        <v>17</v>
      </c>
      <c r="D16" s="973">
        <v>2211.8000000000002</v>
      </c>
      <c r="E16" s="977">
        <v>-3.6000000000003638</v>
      </c>
      <c r="F16" s="977">
        <v>0</v>
      </c>
      <c r="G16" s="977">
        <v>0</v>
      </c>
      <c r="H16" s="977">
        <v>0</v>
      </c>
      <c r="I16" s="977">
        <v>0</v>
      </c>
      <c r="J16" s="977">
        <v>0</v>
      </c>
      <c r="K16" s="977">
        <v>0</v>
      </c>
      <c r="L16" s="977">
        <v>0</v>
      </c>
      <c r="M16" s="977">
        <v>0</v>
      </c>
      <c r="N16" s="977">
        <v>0</v>
      </c>
      <c r="O16" s="977">
        <v>0</v>
      </c>
      <c r="P16" s="977">
        <v>0</v>
      </c>
      <c r="Q16" s="977">
        <v>0</v>
      </c>
      <c r="R16" s="977">
        <v>0</v>
      </c>
      <c r="S16" s="977">
        <v>0</v>
      </c>
      <c r="T16" s="977">
        <v>0</v>
      </c>
      <c r="U16" s="977">
        <v>0</v>
      </c>
      <c r="V16" s="977">
        <v>0</v>
      </c>
      <c r="W16" s="977">
        <v>0</v>
      </c>
      <c r="X16" s="977">
        <v>0</v>
      </c>
      <c r="Y16" s="977">
        <v>0</v>
      </c>
      <c r="Z16" s="980"/>
    </row>
    <row r="17" spans="1:28" s="983" customFormat="1" ht="19.7" customHeight="1">
      <c r="A17" s="975" t="s">
        <v>64</v>
      </c>
      <c r="B17" s="976" t="s">
        <v>63</v>
      </c>
      <c r="C17" s="975" t="s">
        <v>18</v>
      </c>
      <c r="D17" s="973">
        <v>61783.799999999996</v>
      </c>
      <c r="E17" s="973">
        <v>0</v>
      </c>
      <c r="F17" s="977">
        <v>88925.305000000008</v>
      </c>
      <c r="G17" s="977">
        <v>2708.8100000000004</v>
      </c>
      <c r="H17" s="977">
        <v>2539.69</v>
      </c>
      <c r="I17" s="977">
        <v>4569.33</v>
      </c>
      <c r="J17" s="977">
        <v>2555.3649999999998</v>
      </c>
      <c r="K17" s="977">
        <v>9639</v>
      </c>
      <c r="L17" s="977">
        <v>5904.4699999999993</v>
      </c>
      <c r="M17" s="977">
        <v>3062.1600000000003</v>
      </c>
      <c r="N17" s="977">
        <v>3174.86</v>
      </c>
      <c r="O17" s="977">
        <v>5081.2</v>
      </c>
      <c r="P17" s="977">
        <v>3097.31</v>
      </c>
      <c r="Q17" s="977">
        <v>4461.7999999999993</v>
      </c>
      <c r="R17" s="977">
        <v>5624.670000000001</v>
      </c>
      <c r="S17" s="977">
        <v>5134.54</v>
      </c>
      <c r="T17" s="977">
        <v>3177.62</v>
      </c>
      <c r="U17" s="977">
        <v>6691.0599999999995</v>
      </c>
      <c r="V17" s="977">
        <v>4286.91</v>
      </c>
      <c r="W17" s="977">
        <v>6658.24</v>
      </c>
      <c r="X17" s="977">
        <v>4057.22</v>
      </c>
      <c r="Y17" s="977">
        <v>6501.05</v>
      </c>
      <c r="Z17" s="982"/>
      <c r="AB17" s="982"/>
    </row>
    <row r="18" spans="1:28" s="983" customFormat="1" ht="27.6" customHeight="1">
      <c r="A18" s="970"/>
      <c r="B18" s="978" t="s">
        <v>198</v>
      </c>
      <c r="C18" s="970" t="s">
        <v>187</v>
      </c>
      <c r="D18" s="979">
        <v>5532.4</v>
      </c>
      <c r="E18" s="977">
        <v>0</v>
      </c>
      <c r="F18" s="1487">
        <v>56466.229999999996</v>
      </c>
      <c r="G18" s="1487">
        <v>513.91</v>
      </c>
      <c r="H18" s="1487">
        <v>671.38</v>
      </c>
      <c r="I18" s="1487">
        <v>3427.63</v>
      </c>
      <c r="J18" s="1487">
        <v>1101.7</v>
      </c>
      <c r="K18" s="1487">
        <v>7721.79</v>
      </c>
      <c r="L18" s="1487">
        <v>3969.33</v>
      </c>
      <c r="M18" s="1487">
        <v>688.39</v>
      </c>
      <c r="N18" s="1487">
        <v>2231.27</v>
      </c>
      <c r="O18" s="1487">
        <v>2667.18</v>
      </c>
      <c r="P18" s="1487">
        <v>2151.1799999999998</v>
      </c>
      <c r="Q18" s="1487">
        <v>3636.98</v>
      </c>
      <c r="R18" s="1487">
        <v>4936.1400000000003</v>
      </c>
      <c r="S18" s="1487">
        <v>4225.8900000000003</v>
      </c>
      <c r="T18" s="1487">
        <v>1923.86</v>
      </c>
      <c r="U18" s="1487">
        <v>3644.93</v>
      </c>
      <c r="V18" s="1487">
        <v>2850.61</v>
      </c>
      <c r="W18" s="1487">
        <v>4574.43</v>
      </c>
      <c r="X18" s="1487">
        <v>2910.74</v>
      </c>
      <c r="Y18" s="1487">
        <v>2618.89</v>
      </c>
      <c r="Z18" s="982"/>
    </row>
    <row r="19" spans="1:28" s="290" customFormat="1" ht="18.600000000000001" customHeight="1">
      <c r="A19" s="975" t="s">
        <v>73</v>
      </c>
      <c r="B19" s="976" t="s">
        <v>72</v>
      </c>
      <c r="C19" s="975" t="s">
        <v>19</v>
      </c>
      <c r="D19" s="973">
        <v>0</v>
      </c>
      <c r="E19" s="977">
        <v>275.47000000000003</v>
      </c>
      <c r="F19" s="977">
        <v>105.89</v>
      </c>
      <c r="G19" s="977">
        <v>13.13</v>
      </c>
      <c r="H19" s="977">
        <v>1.81</v>
      </c>
      <c r="I19" s="977">
        <v>4.8499999999999996</v>
      </c>
      <c r="J19" s="977">
        <v>5.5</v>
      </c>
      <c r="K19" s="977">
        <v>15.1</v>
      </c>
      <c r="L19" s="977">
        <v>3.56</v>
      </c>
      <c r="M19" s="977">
        <v>2.23</v>
      </c>
      <c r="N19" s="977">
        <v>10.050000000000001</v>
      </c>
      <c r="O19" s="977">
        <v>3.09</v>
      </c>
      <c r="P19" s="977">
        <v>1.56</v>
      </c>
      <c r="Q19" s="977">
        <v>1.43</v>
      </c>
      <c r="R19" s="977">
        <v>1.2100000000000002</v>
      </c>
      <c r="S19" s="977">
        <v>2.68</v>
      </c>
      <c r="T19" s="977">
        <v>3.81</v>
      </c>
      <c r="U19" s="977">
        <v>8.99</v>
      </c>
      <c r="V19" s="977">
        <v>18.149999999999999</v>
      </c>
      <c r="W19" s="977">
        <v>4.5600000000000005</v>
      </c>
      <c r="X19" s="977">
        <v>1.6</v>
      </c>
      <c r="Y19" s="977">
        <v>2.58</v>
      </c>
      <c r="Z19" s="974"/>
    </row>
    <row r="20" spans="1:28" s="291" customFormat="1" ht="20.45" hidden="1" customHeight="1">
      <c r="A20" s="984" t="s">
        <v>86</v>
      </c>
      <c r="B20" s="976" t="s">
        <v>2749</v>
      </c>
      <c r="C20" s="984" t="s">
        <v>2752</v>
      </c>
      <c r="D20" s="973">
        <v>0</v>
      </c>
      <c r="E20" s="977">
        <v>0</v>
      </c>
      <c r="F20" s="977">
        <v>0</v>
      </c>
      <c r="G20" s="977">
        <v>0</v>
      </c>
      <c r="H20" s="977">
        <v>0</v>
      </c>
      <c r="I20" s="977">
        <v>0</v>
      </c>
      <c r="J20" s="977">
        <v>0</v>
      </c>
      <c r="K20" s="977">
        <v>0</v>
      </c>
      <c r="L20" s="977">
        <v>0</v>
      </c>
      <c r="M20" s="977">
        <v>0</v>
      </c>
      <c r="N20" s="977">
        <v>0</v>
      </c>
      <c r="O20" s="977">
        <v>0</v>
      </c>
      <c r="P20" s="977">
        <v>0</v>
      </c>
      <c r="Q20" s="977">
        <v>0</v>
      </c>
      <c r="R20" s="977">
        <v>0</v>
      </c>
      <c r="S20" s="977">
        <v>0</v>
      </c>
      <c r="T20" s="977">
        <v>0</v>
      </c>
      <c r="U20" s="977">
        <v>0</v>
      </c>
      <c r="V20" s="977">
        <v>0</v>
      </c>
      <c r="W20" s="977">
        <v>0</v>
      </c>
      <c r="X20" s="977">
        <v>0</v>
      </c>
      <c r="Y20" s="977">
        <v>0</v>
      </c>
      <c r="Z20" s="985"/>
    </row>
    <row r="21" spans="1:28" ht="16.350000000000001" customHeight="1">
      <c r="A21" s="975" t="s">
        <v>86</v>
      </c>
      <c r="B21" s="976" t="s">
        <v>89</v>
      </c>
      <c r="C21" s="975" t="s">
        <v>20</v>
      </c>
      <c r="D21" s="973">
        <v>0</v>
      </c>
      <c r="E21" s="977">
        <v>342.09000000000003</v>
      </c>
      <c r="F21" s="977">
        <v>27.09</v>
      </c>
      <c r="G21" s="977">
        <v>1.1499999999999999</v>
      </c>
      <c r="H21" s="977">
        <v>4.01</v>
      </c>
      <c r="I21" s="977">
        <v>0</v>
      </c>
      <c r="J21" s="977">
        <v>0</v>
      </c>
      <c r="K21" s="977">
        <v>10.4</v>
      </c>
      <c r="L21" s="977">
        <v>3.73</v>
      </c>
      <c r="M21" s="977">
        <v>0.6</v>
      </c>
      <c r="N21" s="977">
        <v>0</v>
      </c>
      <c r="O21" s="977">
        <v>0</v>
      </c>
      <c r="P21" s="977">
        <v>0</v>
      </c>
      <c r="Q21" s="977">
        <v>0</v>
      </c>
      <c r="R21" s="977">
        <v>7.2</v>
      </c>
      <c r="S21" s="977">
        <v>0</v>
      </c>
      <c r="T21" s="977">
        <v>0</v>
      </c>
      <c r="U21" s="977">
        <v>0</v>
      </c>
      <c r="V21" s="977">
        <v>0</v>
      </c>
      <c r="W21" s="977">
        <v>0</v>
      </c>
      <c r="X21" s="977">
        <v>0</v>
      </c>
      <c r="Y21" s="977">
        <v>0</v>
      </c>
      <c r="Z21" s="969"/>
    </row>
    <row r="22" spans="1:28" ht="18" customHeight="1">
      <c r="A22" s="965">
        <v>2</v>
      </c>
      <c r="B22" s="966" t="s">
        <v>21</v>
      </c>
      <c r="C22" s="986" t="s">
        <v>22</v>
      </c>
      <c r="D22" s="968">
        <v>9943.7900000000009</v>
      </c>
      <c r="E22" s="962">
        <v>43.177319999998872</v>
      </c>
      <c r="F22" s="962">
        <v>3589.8013500000002</v>
      </c>
      <c r="G22" s="962">
        <v>263.45534999999995</v>
      </c>
      <c r="H22" s="962">
        <v>118.61</v>
      </c>
      <c r="I22" s="962">
        <v>143.17000000000002</v>
      </c>
      <c r="J22" s="962">
        <v>123.35599999999999</v>
      </c>
      <c r="K22" s="962">
        <v>285.76</v>
      </c>
      <c r="L22" s="962">
        <v>388.48000000000008</v>
      </c>
      <c r="M22" s="962">
        <v>146.6</v>
      </c>
      <c r="N22" s="962">
        <v>92.63000000000001</v>
      </c>
      <c r="O22" s="962">
        <v>114.82</v>
      </c>
      <c r="P22" s="962">
        <v>91.759999999999991</v>
      </c>
      <c r="Q22" s="962">
        <v>258.16000000000003</v>
      </c>
      <c r="R22" s="962">
        <v>211.19</v>
      </c>
      <c r="S22" s="962">
        <v>127.07000000000002</v>
      </c>
      <c r="T22" s="962">
        <v>184</v>
      </c>
      <c r="U22" s="962">
        <v>234.76000000000005</v>
      </c>
      <c r="V22" s="962">
        <v>188.15</v>
      </c>
      <c r="W22" s="962">
        <v>266.60000000000002</v>
      </c>
      <c r="X22" s="962">
        <v>169.85</v>
      </c>
      <c r="Y22" s="962">
        <v>181.38</v>
      </c>
      <c r="Z22" s="969">
        <f>F22/F8*100</f>
        <v>3.2809006195853008</v>
      </c>
    </row>
    <row r="23" spans="1:28" ht="21" customHeight="1">
      <c r="A23" s="975"/>
      <c r="B23" s="971" t="s">
        <v>190</v>
      </c>
      <c r="C23" s="975"/>
      <c r="D23" s="973"/>
      <c r="E23" s="977"/>
      <c r="F23" s="977"/>
      <c r="G23" s="977"/>
      <c r="H23" s="977"/>
      <c r="I23" s="977"/>
      <c r="J23" s="977"/>
      <c r="K23" s="977"/>
      <c r="L23" s="977"/>
      <c r="M23" s="977"/>
      <c r="N23" s="977"/>
      <c r="O23" s="977"/>
      <c r="P23" s="977"/>
      <c r="Q23" s="977"/>
      <c r="R23" s="977"/>
      <c r="S23" s="977"/>
      <c r="T23" s="977"/>
      <c r="U23" s="977"/>
      <c r="V23" s="977"/>
      <c r="W23" s="977"/>
      <c r="X23" s="977"/>
      <c r="Y23" s="977"/>
    </row>
    <row r="24" spans="1:28" ht="19.7" customHeight="1">
      <c r="A24" s="975" t="s">
        <v>23</v>
      </c>
      <c r="B24" s="976" t="s">
        <v>65</v>
      </c>
      <c r="C24" s="975" t="s">
        <v>26</v>
      </c>
      <c r="D24" s="973">
        <v>1835.3</v>
      </c>
      <c r="E24" s="977">
        <v>17.049999999999955</v>
      </c>
      <c r="F24" s="977">
        <v>31.48</v>
      </c>
      <c r="G24" s="977">
        <v>3.25</v>
      </c>
      <c r="H24" s="977">
        <v>0</v>
      </c>
      <c r="I24" s="977">
        <v>0</v>
      </c>
      <c r="J24" s="977">
        <v>12.23</v>
      </c>
      <c r="K24" s="977">
        <v>0</v>
      </c>
      <c r="L24" s="977">
        <v>0</v>
      </c>
      <c r="M24" s="977">
        <v>0</v>
      </c>
      <c r="N24" s="977">
        <v>0</v>
      </c>
      <c r="O24" s="977">
        <v>0</v>
      </c>
      <c r="P24" s="977">
        <v>0</v>
      </c>
      <c r="Q24" s="977">
        <v>16</v>
      </c>
      <c r="R24" s="977">
        <v>0</v>
      </c>
      <c r="S24" s="977">
        <v>0</v>
      </c>
      <c r="T24" s="977">
        <v>0</v>
      </c>
      <c r="U24" s="977">
        <v>0</v>
      </c>
      <c r="V24" s="977">
        <v>0</v>
      </c>
      <c r="W24" s="977">
        <v>0</v>
      </c>
      <c r="X24" s="977">
        <v>0</v>
      </c>
      <c r="Y24" s="977">
        <v>0</v>
      </c>
    </row>
    <row r="25" spans="1:28" s="290" customFormat="1" ht="19.7" customHeight="1">
      <c r="A25" s="975" t="s">
        <v>25</v>
      </c>
      <c r="B25" s="976" t="s">
        <v>66</v>
      </c>
      <c r="C25" s="975" t="s">
        <v>28</v>
      </c>
      <c r="D25" s="973">
        <v>16.080000000000002</v>
      </c>
      <c r="E25" s="977">
        <v>-3.000000000000469E-2</v>
      </c>
      <c r="F25" s="977">
        <v>3.21</v>
      </c>
      <c r="G25" s="977">
        <v>1.1399999999999999</v>
      </c>
      <c r="H25" s="977">
        <v>0.14000000000000001</v>
      </c>
      <c r="I25" s="977">
        <v>0.18</v>
      </c>
      <c r="J25" s="977">
        <v>0.08</v>
      </c>
      <c r="K25" s="977">
        <v>0</v>
      </c>
      <c r="L25" s="977">
        <v>0.23</v>
      </c>
      <c r="M25" s="977">
        <v>0.2</v>
      </c>
      <c r="N25" s="977">
        <v>0.13</v>
      </c>
      <c r="O25" s="977">
        <v>0.17</v>
      </c>
      <c r="P25" s="977">
        <v>0</v>
      </c>
      <c r="Q25" s="977">
        <v>0.16</v>
      </c>
      <c r="R25" s="977">
        <v>0</v>
      </c>
      <c r="S25" s="977">
        <v>0.09</v>
      </c>
      <c r="T25" s="977">
        <v>0.12</v>
      </c>
      <c r="U25" s="977">
        <v>0</v>
      </c>
      <c r="V25" s="977">
        <v>0.12</v>
      </c>
      <c r="W25" s="977">
        <v>0.04</v>
      </c>
      <c r="X25" s="977">
        <v>0.2</v>
      </c>
      <c r="Y25" s="977">
        <v>0.21000000000000002</v>
      </c>
    </row>
    <row r="26" spans="1:28" ht="20.100000000000001" hidden="1" customHeight="1">
      <c r="A26" s="975" t="s">
        <v>27</v>
      </c>
      <c r="B26" s="976" t="s">
        <v>67</v>
      </c>
      <c r="C26" s="975" t="s">
        <v>30</v>
      </c>
      <c r="D26" s="973"/>
      <c r="E26" s="977">
        <v>0</v>
      </c>
      <c r="F26" s="977"/>
      <c r="G26" s="977"/>
      <c r="H26" s="977"/>
      <c r="I26" s="977"/>
      <c r="J26" s="977"/>
      <c r="K26" s="977"/>
      <c r="L26" s="977"/>
      <c r="M26" s="977"/>
      <c r="N26" s="977"/>
      <c r="O26" s="977"/>
      <c r="P26" s="977"/>
      <c r="Q26" s="977"/>
      <c r="R26" s="977"/>
      <c r="S26" s="977"/>
      <c r="T26" s="977"/>
      <c r="U26" s="977"/>
      <c r="V26" s="977"/>
      <c r="W26" s="977"/>
      <c r="X26" s="977"/>
      <c r="Y26" s="977"/>
    </row>
    <row r="27" spans="1:28" ht="19.7" hidden="1" customHeight="1">
      <c r="A27" s="975" t="s">
        <v>27</v>
      </c>
      <c r="B27" s="976" t="s">
        <v>90</v>
      </c>
      <c r="C27" s="975" t="s">
        <v>91</v>
      </c>
      <c r="D27" s="973">
        <v>125.35</v>
      </c>
      <c r="E27" s="977">
        <v>0</v>
      </c>
      <c r="F27" s="977">
        <v>30</v>
      </c>
      <c r="G27" s="977">
        <v>0</v>
      </c>
      <c r="H27" s="977">
        <v>0</v>
      </c>
      <c r="I27" s="977">
        <v>0</v>
      </c>
      <c r="J27" s="977">
        <v>0</v>
      </c>
      <c r="K27" s="977">
        <v>0</v>
      </c>
      <c r="L27" s="977">
        <v>0</v>
      </c>
      <c r="M27" s="977">
        <v>0</v>
      </c>
      <c r="N27" s="977">
        <v>0</v>
      </c>
      <c r="O27" s="977">
        <v>0</v>
      </c>
      <c r="P27" s="977">
        <v>0</v>
      </c>
      <c r="Q27" s="977">
        <v>0</v>
      </c>
      <c r="R27" s="977">
        <v>0</v>
      </c>
      <c r="S27" s="977">
        <v>0</v>
      </c>
      <c r="T27" s="977">
        <v>30</v>
      </c>
      <c r="U27" s="977">
        <v>0</v>
      </c>
      <c r="V27" s="977">
        <v>0</v>
      </c>
      <c r="W27" s="977">
        <v>0</v>
      </c>
      <c r="X27" s="977">
        <v>0</v>
      </c>
      <c r="Y27" s="977">
        <v>0</v>
      </c>
    </row>
    <row r="28" spans="1:28" s="987" customFormat="1" ht="19.7" customHeight="1">
      <c r="A28" s="975" t="s">
        <v>27</v>
      </c>
      <c r="B28" s="976" t="s">
        <v>379</v>
      </c>
      <c r="C28" s="975" t="s">
        <v>93</v>
      </c>
      <c r="D28" s="973">
        <v>63.2</v>
      </c>
      <c r="E28" s="977">
        <v>8.86</v>
      </c>
      <c r="F28" s="977">
        <v>20.28</v>
      </c>
      <c r="G28" s="977">
        <v>0.6</v>
      </c>
      <c r="H28" s="977">
        <v>0</v>
      </c>
      <c r="I28" s="977">
        <v>0.05</v>
      </c>
      <c r="J28" s="977">
        <v>1.27</v>
      </c>
      <c r="K28" s="977">
        <v>0.44</v>
      </c>
      <c r="L28" s="977">
        <v>0.17</v>
      </c>
      <c r="M28" s="977">
        <v>0</v>
      </c>
      <c r="N28" s="977">
        <v>0</v>
      </c>
      <c r="O28" s="977">
        <v>0</v>
      </c>
      <c r="P28" s="977">
        <v>0.15</v>
      </c>
      <c r="Q28" s="977">
        <v>0</v>
      </c>
      <c r="R28" s="977">
        <v>0</v>
      </c>
      <c r="S28" s="977">
        <v>0</v>
      </c>
      <c r="T28" s="977">
        <v>7.0000000000000007E-2</v>
      </c>
      <c r="U28" s="977">
        <v>4.03</v>
      </c>
      <c r="V28" s="977">
        <v>0.02</v>
      </c>
      <c r="W28" s="977">
        <v>13.48</v>
      </c>
      <c r="X28" s="977">
        <v>0</v>
      </c>
      <c r="Y28" s="977">
        <v>0</v>
      </c>
    </row>
    <row r="29" spans="1:28" s="987" customFormat="1" ht="19.7" customHeight="1">
      <c r="A29" s="975" t="s">
        <v>29</v>
      </c>
      <c r="B29" s="976" t="s">
        <v>94</v>
      </c>
      <c r="C29" s="975" t="s">
        <v>32</v>
      </c>
      <c r="D29" s="973">
        <v>83</v>
      </c>
      <c r="E29" s="977">
        <v>59.84</v>
      </c>
      <c r="F29" s="977">
        <v>2.9</v>
      </c>
      <c r="G29" s="977">
        <v>0.4</v>
      </c>
      <c r="H29" s="977">
        <v>0</v>
      </c>
      <c r="I29" s="977">
        <v>0.44999999999999996</v>
      </c>
      <c r="J29" s="977">
        <v>0.76</v>
      </c>
      <c r="K29" s="977">
        <v>0</v>
      </c>
      <c r="L29" s="977">
        <v>0</v>
      </c>
      <c r="M29" s="977">
        <v>0</v>
      </c>
      <c r="N29" s="977">
        <v>0.13</v>
      </c>
      <c r="O29" s="977">
        <v>0</v>
      </c>
      <c r="P29" s="977">
        <v>0.3</v>
      </c>
      <c r="Q29" s="977">
        <v>0.14000000000000001</v>
      </c>
      <c r="R29" s="977">
        <v>0</v>
      </c>
      <c r="S29" s="977">
        <v>0.5</v>
      </c>
      <c r="T29" s="977">
        <v>0</v>
      </c>
      <c r="U29" s="977">
        <v>0</v>
      </c>
      <c r="V29" s="977">
        <v>0</v>
      </c>
      <c r="W29" s="977">
        <v>0.22</v>
      </c>
      <c r="X29" s="977">
        <v>0</v>
      </c>
      <c r="Y29" s="977">
        <v>0</v>
      </c>
    </row>
    <row r="30" spans="1:28" s="988" customFormat="1" ht="19.7" customHeight="1">
      <c r="A30" s="975" t="s">
        <v>31</v>
      </c>
      <c r="B30" s="976" t="s">
        <v>106</v>
      </c>
      <c r="C30" s="975" t="s">
        <v>35</v>
      </c>
      <c r="D30" s="973">
        <v>413.3</v>
      </c>
      <c r="E30" s="977">
        <v>45.449999999999989</v>
      </c>
      <c r="F30" s="977">
        <v>17.509999999999998</v>
      </c>
      <c r="G30" s="977">
        <v>16.52</v>
      </c>
      <c r="H30" s="977">
        <v>0</v>
      </c>
      <c r="I30" s="977">
        <v>0</v>
      </c>
      <c r="J30" s="977">
        <v>0</v>
      </c>
      <c r="K30" s="977">
        <v>0.66</v>
      </c>
      <c r="L30" s="977">
        <v>0</v>
      </c>
      <c r="M30" s="977">
        <v>0</v>
      </c>
      <c r="N30" s="977">
        <v>0</v>
      </c>
      <c r="O30" s="977">
        <v>0</v>
      </c>
      <c r="P30" s="977">
        <v>0</v>
      </c>
      <c r="Q30" s="977">
        <v>0</v>
      </c>
      <c r="R30" s="977">
        <v>0</v>
      </c>
      <c r="S30" s="977">
        <v>0</v>
      </c>
      <c r="T30" s="977">
        <v>0.02</v>
      </c>
      <c r="U30" s="977">
        <v>0</v>
      </c>
      <c r="V30" s="977">
        <v>0</v>
      </c>
      <c r="W30" s="977">
        <v>0.31000000000000005</v>
      </c>
      <c r="X30" s="977">
        <v>0</v>
      </c>
      <c r="Y30" s="977">
        <v>0</v>
      </c>
    </row>
    <row r="31" spans="1:28" ht="30.6" customHeight="1">
      <c r="A31" s="975" t="s">
        <v>33</v>
      </c>
      <c r="B31" s="976" t="s">
        <v>125</v>
      </c>
      <c r="C31" s="975" t="s">
        <v>43</v>
      </c>
      <c r="D31" s="973">
        <v>3638.46</v>
      </c>
      <c r="E31" s="977">
        <v>14.238000000000284</v>
      </c>
      <c r="F31" s="977">
        <v>1535.8926099999999</v>
      </c>
      <c r="G31" s="977">
        <v>112.26460999999999</v>
      </c>
      <c r="H31" s="977">
        <v>55.53</v>
      </c>
      <c r="I31" s="977">
        <v>49.49</v>
      </c>
      <c r="J31" s="977">
        <v>63.667999999999999</v>
      </c>
      <c r="K31" s="977">
        <v>146.37</v>
      </c>
      <c r="L31" s="977">
        <v>122.39000000000001</v>
      </c>
      <c r="M31" s="977">
        <v>50.899999999999991</v>
      </c>
      <c r="N31" s="977">
        <v>61.790000000000006</v>
      </c>
      <c r="O31" s="977">
        <v>37.54</v>
      </c>
      <c r="P31" s="977">
        <v>46.589999999999989</v>
      </c>
      <c r="Q31" s="977">
        <v>141.93</v>
      </c>
      <c r="R31" s="977">
        <v>90.429999999999993</v>
      </c>
      <c r="S31" s="977">
        <v>46.640000000000015</v>
      </c>
      <c r="T31" s="977">
        <v>93.38</v>
      </c>
      <c r="U31" s="977">
        <v>99.140000000000029</v>
      </c>
      <c r="V31" s="977">
        <v>77.039999999999992</v>
      </c>
      <c r="W31" s="977">
        <v>87.61</v>
      </c>
      <c r="X31" s="977">
        <v>86.85</v>
      </c>
      <c r="Y31" s="977">
        <v>66.339999999999989</v>
      </c>
    </row>
    <row r="32" spans="1:28" s="290" customFormat="1" ht="14.1" customHeight="1">
      <c r="A32" s="970"/>
      <c r="B32" s="971" t="s">
        <v>190</v>
      </c>
      <c r="C32" s="970"/>
      <c r="D32" s="973"/>
      <c r="E32" s="977">
        <v>0</v>
      </c>
      <c r="F32" s="977"/>
      <c r="G32" s="977"/>
      <c r="H32" s="977"/>
      <c r="I32" s="977"/>
      <c r="J32" s="977"/>
      <c r="K32" s="977"/>
      <c r="L32" s="977"/>
      <c r="M32" s="977"/>
      <c r="N32" s="977"/>
      <c r="O32" s="977"/>
      <c r="P32" s="977"/>
      <c r="Q32" s="977"/>
      <c r="R32" s="977"/>
      <c r="S32" s="977"/>
      <c r="T32" s="977"/>
      <c r="U32" s="977"/>
      <c r="V32" s="977"/>
      <c r="W32" s="977"/>
      <c r="X32" s="977"/>
      <c r="Y32" s="977"/>
    </row>
    <row r="33" spans="1:25" ht="15">
      <c r="A33" s="975" t="s">
        <v>193</v>
      </c>
      <c r="B33" s="976" t="s">
        <v>2757</v>
      </c>
      <c r="C33" s="975" t="s">
        <v>44</v>
      </c>
      <c r="D33" s="973">
        <v>2028.9</v>
      </c>
      <c r="E33" s="977">
        <v>3.0999999999721695E-2</v>
      </c>
      <c r="F33" s="977">
        <v>1346.4429600000001</v>
      </c>
      <c r="G33" s="977">
        <v>78.044959999999989</v>
      </c>
      <c r="H33" s="977">
        <v>53.32</v>
      </c>
      <c r="I33" s="977">
        <v>46.09</v>
      </c>
      <c r="J33" s="977">
        <v>34.868000000000002</v>
      </c>
      <c r="K33" s="977">
        <v>136.34</v>
      </c>
      <c r="L33" s="977">
        <v>108.02000000000001</v>
      </c>
      <c r="M33" s="977">
        <v>46</v>
      </c>
      <c r="N33" s="977">
        <v>59.83</v>
      </c>
      <c r="O33" s="977">
        <v>35.06</v>
      </c>
      <c r="P33" s="977">
        <v>38.379999999999995</v>
      </c>
      <c r="Q33" s="977">
        <v>132.94</v>
      </c>
      <c r="R33" s="977">
        <v>74.38</v>
      </c>
      <c r="S33" s="977">
        <v>45.260000000000005</v>
      </c>
      <c r="T33" s="977">
        <v>83.49</v>
      </c>
      <c r="U33" s="977">
        <v>88.360000000000014</v>
      </c>
      <c r="V33" s="977">
        <v>70.98</v>
      </c>
      <c r="W33" s="977">
        <v>80.25</v>
      </c>
      <c r="X33" s="977">
        <v>74.16</v>
      </c>
      <c r="Y33" s="977">
        <v>60.669999999999995</v>
      </c>
    </row>
    <row r="34" spans="1:25" ht="15">
      <c r="A34" s="975" t="s">
        <v>193</v>
      </c>
      <c r="B34" s="976" t="s">
        <v>2758</v>
      </c>
      <c r="C34" s="975" t="s">
        <v>45</v>
      </c>
      <c r="D34" s="973">
        <v>172.2</v>
      </c>
      <c r="E34" s="977">
        <v>-24.129999999999939</v>
      </c>
      <c r="F34" s="977">
        <v>78.068649999999977</v>
      </c>
      <c r="G34" s="977">
        <v>13.88865</v>
      </c>
      <c r="H34" s="977">
        <v>0.02</v>
      </c>
      <c r="I34" s="977">
        <v>1.39</v>
      </c>
      <c r="J34" s="977">
        <v>25.33</v>
      </c>
      <c r="K34" s="977">
        <v>5.3900000000000006</v>
      </c>
      <c r="L34" s="977">
        <v>8.84</v>
      </c>
      <c r="M34" s="977">
        <v>1.47</v>
      </c>
      <c r="N34" s="977">
        <v>0.41000000000000003</v>
      </c>
      <c r="O34" s="977">
        <v>0.33</v>
      </c>
      <c r="P34" s="977">
        <v>1.59</v>
      </c>
      <c r="Q34" s="977">
        <v>5.04</v>
      </c>
      <c r="R34" s="977">
        <v>0.56999999999999995</v>
      </c>
      <c r="S34" s="977">
        <v>2.0000000000000004E-2</v>
      </c>
      <c r="T34" s="977">
        <v>3.3200000000000003</v>
      </c>
      <c r="U34" s="977">
        <v>6.43</v>
      </c>
      <c r="V34" s="977">
        <v>3.07</v>
      </c>
      <c r="W34" s="977">
        <v>0.42</v>
      </c>
      <c r="X34" s="977">
        <v>0.35</v>
      </c>
      <c r="Y34" s="977">
        <v>0.19</v>
      </c>
    </row>
    <row r="35" spans="1:25" s="988" customFormat="1" ht="15">
      <c r="A35" s="975" t="s">
        <v>193</v>
      </c>
      <c r="B35" s="286" t="s">
        <v>2770</v>
      </c>
      <c r="C35" s="284" t="s">
        <v>2771</v>
      </c>
      <c r="D35" s="973">
        <v>0</v>
      </c>
      <c r="E35" s="977">
        <v>3.2600000000000002</v>
      </c>
      <c r="F35" s="977">
        <v>0.2</v>
      </c>
      <c r="G35" s="977">
        <v>0.06</v>
      </c>
      <c r="H35" s="977">
        <v>0</v>
      </c>
      <c r="I35" s="977">
        <v>0</v>
      </c>
      <c r="J35" s="977">
        <v>0</v>
      </c>
      <c r="K35" s="977">
        <v>0.01</v>
      </c>
      <c r="L35" s="977">
        <v>0</v>
      </c>
      <c r="M35" s="977">
        <v>0</v>
      </c>
      <c r="N35" s="977">
        <v>0.02</v>
      </c>
      <c r="O35" s="977">
        <v>0</v>
      </c>
      <c r="P35" s="977">
        <v>0</v>
      </c>
      <c r="Q35" s="977">
        <v>0</v>
      </c>
      <c r="R35" s="977">
        <v>0</v>
      </c>
      <c r="S35" s="977">
        <v>0</v>
      </c>
      <c r="T35" s="977">
        <v>0.11</v>
      </c>
      <c r="U35" s="977">
        <v>0</v>
      </c>
      <c r="V35" s="977">
        <v>0</v>
      </c>
      <c r="W35" s="977">
        <v>0</v>
      </c>
      <c r="X35" s="977">
        <v>0</v>
      </c>
      <c r="Y35" s="977">
        <v>0</v>
      </c>
    </row>
    <row r="36" spans="1:25" s="988" customFormat="1" ht="15" hidden="1">
      <c r="A36" s="975" t="s">
        <v>193</v>
      </c>
      <c r="B36" s="286" t="s">
        <v>2772</v>
      </c>
      <c r="C36" s="284" t="s">
        <v>2773</v>
      </c>
      <c r="D36" s="973">
        <v>0</v>
      </c>
      <c r="E36" s="977">
        <v>18.350000000000001</v>
      </c>
      <c r="F36" s="977">
        <v>0</v>
      </c>
      <c r="G36" s="977">
        <v>0</v>
      </c>
      <c r="H36" s="977">
        <v>0</v>
      </c>
      <c r="I36" s="977">
        <v>0</v>
      </c>
      <c r="J36" s="977">
        <v>0</v>
      </c>
      <c r="K36" s="977">
        <v>0</v>
      </c>
      <c r="L36" s="977">
        <v>0</v>
      </c>
      <c r="M36" s="977">
        <v>0</v>
      </c>
      <c r="N36" s="977">
        <v>0</v>
      </c>
      <c r="O36" s="977">
        <v>0</v>
      </c>
      <c r="P36" s="977">
        <v>0</v>
      </c>
      <c r="Q36" s="977">
        <v>0</v>
      </c>
      <c r="R36" s="977">
        <v>0</v>
      </c>
      <c r="S36" s="977">
        <v>0</v>
      </c>
      <c r="T36" s="977">
        <v>0</v>
      </c>
      <c r="U36" s="977">
        <v>0</v>
      </c>
      <c r="V36" s="977">
        <v>0</v>
      </c>
      <c r="W36" s="977">
        <v>0</v>
      </c>
      <c r="X36" s="977">
        <v>0</v>
      </c>
      <c r="Y36" s="977">
        <v>0</v>
      </c>
    </row>
    <row r="37" spans="1:25" ht="15">
      <c r="A37" s="975" t="s">
        <v>193</v>
      </c>
      <c r="B37" s="976" t="s">
        <v>127</v>
      </c>
      <c r="C37" s="975" t="s">
        <v>48</v>
      </c>
      <c r="D37" s="973">
        <v>5.0599999999999996</v>
      </c>
      <c r="E37" s="977">
        <v>17.657000000000004</v>
      </c>
      <c r="F37" s="977">
        <v>2.6900000000000004</v>
      </c>
      <c r="G37" s="977">
        <v>0.17</v>
      </c>
      <c r="H37" s="977">
        <v>0.16</v>
      </c>
      <c r="I37" s="977">
        <v>0.15999999999999998</v>
      </c>
      <c r="J37" s="977">
        <v>0.17</v>
      </c>
      <c r="K37" s="977">
        <v>0.56000000000000005</v>
      </c>
      <c r="L37" s="977">
        <v>0.09</v>
      </c>
      <c r="M37" s="977">
        <v>0</v>
      </c>
      <c r="N37" s="977">
        <v>0.09</v>
      </c>
      <c r="O37" s="977">
        <v>0.12000000000000001</v>
      </c>
      <c r="P37" s="977">
        <v>0.05</v>
      </c>
      <c r="Q37" s="977">
        <v>0.33999999999999997</v>
      </c>
      <c r="R37" s="977">
        <v>0</v>
      </c>
      <c r="S37" s="977">
        <v>0</v>
      </c>
      <c r="T37" s="977">
        <v>0.27</v>
      </c>
      <c r="U37" s="977">
        <v>0</v>
      </c>
      <c r="V37" s="977">
        <v>0</v>
      </c>
      <c r="W37" s="977">
        <v>0.05</v>
      </c>
      <c r="X37" s="977">
        <v>0</v>
      </c>
      <c r="Y37" s="977">
        <v>0.45999999999999996</v>
      </c>
    </row>
    <row r="38" spans="1:25" ht="15">
      <c r="A38" s="975" t="s">
        <v>193</v>
      </c>
      <c r="B38" s="976" t="s">
        <v>129</v>
      </c>
      <c r="C38" s="975" t="s">
        <v>49</v>
      </c>
      <c r="D38" s="973">
        <v>10.9</v>
      </c>
      <c r="E38" s="977">
        <v>-3.3800000000000008</v>
      </c>
      <c r="F38" s="977">
        <v>4.6300000000000008</v>
      </c>
      <c r="G38" s="977">
        <v>1.85</v>
      </c>
      <c r="H38" s="977">
        <v>0.25</v>
      </c>
      <c r="I38" s="977">
        <v>0.1</v>
      </c>
      <c r="J38" s="977">
        <v>0.11</v>
      </c>
      <c r="K38" s="977">
        <v>0.26</v>
      </c>
      <c r="L38" s="977">
        <v>7.0000000000000007E-2</v>
      </c>
      <c r="M38" s="977">
        <v>0.12</v>
      </c>
      <c r="N38" s="977">
        <v>0.13</v>
      </c>
      <c r="O38" s="977">
        <v>0.08</v>
      </c>
      <c r="P38" s="977">
        <v>0.1</v>
      </c>
      <c r="Q38" s="977">
        <v>0.15</v>
      </c>
      <c r="R38" s="977">
        <v>0.18</v>
      </c>
      <c r="S38" s="977">
        <v>0.21</v>
      </c>
      <c r="T38" s="977">
        <v>7.0000000000000007E-2</v>
      </c>
      <c r="U38" s="977">
        <v>0.23</v>
      </c>
      <c r="V38" s="977">
        <v>7.0000000000000007E-2</v>
      </c>
      <c r="W38" s="977">
        <v>0.25</v>
      </c>
      <c r="X38" s="977">
        <v>0.08</v>
      </c>
      <c r="Y38" s="977">
        <v>0.32</v>
      </c>
    </row>
    <row r="39" spans="1:25" ht="15">
      <c r="A39" s="975" t="s">
        <v>193</v>
      </c>
      <c r="B39" s="976" t="s">
        <v>220</v>
      </c>
      <c r="C39" s="975" t="s">
        <v>50</v>
      </c>
      <c r="D39" s="973">
        <v>82.6</v>
      </c>
      <c r="E39" s="977">
        <v>2.8399999999999892</v>
      </c>
      <c r="F39" s="977">
        <v>43.77</v>
      </c>
      <c r="G39" s="977">
        <v>5.45</v>
      </c>
      <c r="H39" s="977">
        <v>1.7000000000000002</v>
      </c>
      <c r="I39" s="977">
        <v>1.52</v>
      </c>
      <c r="J39" s="977">
        <v>1</v>
      </c>
      <c r="K39" s="977">
        <v>3.18</v>
      </c>
      <c r="L39" s="977">
        <v>2.5</v>
      </c>
      <c r="M39" s="977">
        <v>2.15</v>
      </c>
      <c r="N39" s="977">
        <v>0.75</v>
      </c>
      <c r="O39" s="977">
        <v>1</v>
      </c>
      <c r="P39" s="977">
        <v>1.26</v>
      </c>
      <c r="Q39" s="977">
        <v>1.76</v>
      </c>
      <c r="R39" s="977">
        <v>2.35</v>
      </c>
      <c r="S39" s="977">
        <v>1.06</v>
      </c>
      <c r="T39" s="977">
        <v>2.1999999999999997</v>
      </c>
      <c r="U39" s="977">
        <v>3.83</v>
      </c>
      <c r="V39" s="977">
        <v>2.5299999999999998</v>
      </c>
      <c r="W39" s="977">
        <v>4.8400000000000007</v>
      </c>
      <c r="X39" s="977">
        <v>1.04</v>
      </c>
      <c r="Y39" s="977">
        <v>3.6499999999999995</v>
      </c>
    </row>
    <row r="40" spans="1:25" ht="15">
      <c r="A40" s="975" t="s">
        <v>193</v>
      </c>
      <c r="B40" s="976" t="s">
        <v>2307</v>
      </c>
      <c r="C40" s="975" t="s">
        <v>51</v>
      </c>
      <c r="D40" s="973">
        <v>31.3</v>
      </c>
      <c r="E40" s="977">
        <v>4.2499999999999964</v>
      </c>
      <c r="F40" s="977">
        <v>2.35</v>
      </c>
      <c r="G40" s="977">
        <v>1.3</v>
      </c>
      <c r="H40" s="977">
        <v>0</v>
      </c>
      <c r="I40" s="977">
        <v>0</v>
      </c>
      <c r="J40" s="977">
        <v>0</v>
      </c>
      <c r="K40" s="977">
        <v>0</v>
      </c>
      <c r="L40" s="977">
        <v>0.27</v>
      </c>
      <c r="M40" s="977">
        <v>0</v>
      </c>
      <c r="N40" s="977">
        <v>0</v>
      </c>
      <c r="O40" s="977">
        <v>0</v>
      </c>
      <c r="P40" s="977">
        <v>0.18</v>
      </c>
      <c r="Q40" s="977">
        <v>7.0000000000000007E-2</v>
      </c>
      <c r="R40" s="977">
        <v>0</v>
      </c>
      <c r="S40" s="977">
        <v>0</v>
      </c>
      <c r="T40" s="977">
        <v>0.18</v>
      </c>
      <c r="U40" s="977">
        <v>0</v>
      </c>
      <c r="V40" s="977">
        <v>0.06</v>
      </c>
      <c r="W40" s="977">
        <v>0.28999999999999998</v>
      </c>
      <c r="X40" s="977">
        <v>0</v>
      </c>
      <c r="Y40" s="977">
        <v>0</v>
      </c>
    </row>
    <row r="41" spans="1:25" ht="15">
      <c r="A41" s="975" t="s">
        <v>193</v>
      </c>
      <c r="B41" s="976" t="s">
        <v>2759</v>
      </c>
      <c r="C41" s="284" t="s">
        <v>46</v>
      </c>
      <c r="D41" s="973">
        <v>174.9</v>
      </c>
      <c r="E41" s="977">
        <v>3.0499999999999829</v>
      </c>
      <c r="F41" s="977">
        <v>15.780999999999999</v>
      </c>
      <c r="G41" s="977">
        <v>0.63100000000000001</v>
      </c>
      <c r="H41" s="977">
        <v>7.9999999999999988E-2</v>
      </c>
      <c r="I41" s="977">
        <v>7.9999999999999988E-2</v>
      </c>
      <c r="J41" s="977">
        <v>1.0700000000000003</v>
      </c>
      <c r="K41" s="977">
        <v>0.06</v>
      </c>
      <c r="L41" s="977">
        <v>0.14000000000000001</v>
      </c>
      <c r="M41" s="977">
        <v>0.19000000000000006</v>
      </c>
      <c r="N41" s="977">
        <v>0.04</v>
      </c>
      <c r="O41" s="977">
        <v>0.09</v>
      </c>
      <c r="P41" s="977">
        <v>0.19</v>
      </c>
      <c r="Q41" s="977">
        <v>0.36000000000000004</v>
      </c>
      <c r="R41" s="977">
        <v>10.950000000000001</v>
      </c>
      <c r="S41" s="977">
        <v>0.09</v>
      </c>
      <c r="T41" s="977">
        <v>1.44</v>
      </c>
      <c r="U41" s="977">
        <v>0.11</v>
      </c>
      <c r="V41" s="977">
        <v>0.08</v>
      </c>
      <c r="W41" s="977">
        <v>0.09</v>
      </c>
      <c r="X41" s="977">
        <v>0.04</v>
      </c>
      <c r="Y41" s="977">
        <v>0.05</v>
      </c>
    </row>
    <row r="42" spans="1:25" ht="30">
      <c r="A42" s="975" t="s">
        <v>193</v>
      </c>
      <c r="B42" s="976" t="s">
        <v>2760</v>
      </c>
      <c r="C42" s="284" t="s">
        <v>47</v>
      </c>
      <c r="D42" s="973">
        <v>4</v>
      </c>
      <c r="E42" s="977">
        <v>-2.2099999999999995</v>
      </c>
      <c r="F42" s="977">
        <v>0.45000000000000018</v>
      </c>
      <c r="G42" s="977">
        <v>0.18</v>
      </c>
      <c r="H42" s="977">
        <v>0</v>
      </c>
      <c r="I42" s="977">
        <v>0.03</v>
      </c>
      <c r="J42" s="977">
        <v>0.01</v>
      </c>
      <c r="K42" s="977">
        <v>0.01</v>
      </c>
      <c r="L42" s="977">
        <v>0.06</v>
      </c>
      <c r="M42" s="977">
        <v>0.01</v>
      </c>
      <c r="N42" s="977">
        <v>0.02</v>
      </c>
      <c r="O42" s="977">
        <v>0.01</v>
      </c>
      <c r="P42" s="977">
        <v>0.01</v>
      </c>
      <c r="Q42" s="977">
        <v>0.02</v>
      </c>
      <c r="R42" s="977">
        <v>0</v>
      </c>
      <c r="S42" s="977">
        <v>0</v>
      </c>
      <c r="T42" s="977">
        <v>0.02</v>
      </c>
      <c r="U42" s="977">
        <v>0.01</v>
      </c>
      <c r="V42" s="977">
        <v>0.02</v>
      </c>
      <c r="W42" s="977">
        <v>1.999999999999999E-2</v>
      </c>
      <c r="X42" s="977">
        <v>0.02</v>
      </c>
      <c r="Y42" s="977">
        <v>0</v>
      </c>
    </row>
    <row r="43" spans="1:25" ht="19.5" hidden="1" customHeight="1">
      <c r="A43" s="975" t="s">
        <v>193</v>
      </c>
      <c r="B43" s="976" t="s">
        <v>2761</v>
      </c>
      <c r="C43" s="284" t="s">
        <v>2762</v>
      </c>
      <c r="D43" s="973">
        <v>0</v>
      </c>
      <c r="E43" s="977">
        <v>0</v>
      </c>
      <c r="F43" s="977">
        <v>0</v>
      </c>
      <c r="G43" s="977">
        <v>0</v>
      </c>
      <c r="H43" s="977">
        <v>0</v>
      </c>
      <c r="I43" s="977">
        <v>0</v>
      </c>
      <c r="J43" s="977">
        <v>0</v>
      </c>
      <c r="K43" s="977">
        <v>0</v>
      </c>
      <c r="L43" s="977">
        <v>0</v>
      </c>
      <c r="M43" s="977">
        <v>0</v>
      </c>
      <c r="N43" s="977">
        <v>0</v>
      </c>
      <c r="O43" s="977">
        <v>0</v>
      </c>
      <c r="P43" s="977">
        <v>0</v>
      </c>
      <c r="Q43" s="977">
        <v>0</v>
      </c>
      <c r="R43" s="977">
        <v>0</v>
      </c>
      <c r="S43" s="977">
        <v>0</v>
      </c>
      <c r="T43" s="977">
        <v>0</v>
      </c>
      <c r="U43" s="977">
        <v>0</v>
      </c>
      <c r="V43" s="977">
        <v>0</v>
      </c>
      <c r="W43" s="977">
        <v>0</v>
      </c>
      <c r="X43" s="977">
        <v>0</v>
      </c>
      <c r="Y43" s="977">
        <v>0</v>
      </c>
    </row>
    <row r="44" spans="1:25" ht="33" customHeight="1">
      <c r="A44" s="975" t="s">
        <v>193</v>
      </c>
      <c r="B44" s="976" t="s">
        <v>2763</v>
      </c>
      <c r="C44" s="284" t="s">
        <v>2764</v>
      </c>
      <c r="D44" s="973">
        <v>459.2</v>
      </c>
      <c r="E44" s="977">
        <v>-6.8000000000000114</v>
      </c>
      <c r="F44" s="977">
        <v>1.9400000000000004</v>
      </c>
      <c r="G44" s="977">
        <v>0</v>
      </c>
      <c r="H44" s="977">
        <v>0</v>
      </c>
      <c r="I44" s="977">
        <v>0</v>
      </c>
      <c r="J44" s="977">
        <v>0</v>
      </c>
      <c r="K44" s="977">
        <v>0</v>
      </c>
      <c r="L44" s="977">
        <v>0</v>
      </c>
      <c r="M44" s="977">
        <v>0</v>
      </c>
      <c r="N44" s="977">
        <v>0</v>
      </c>
      <c r="O44" s="977">
        <v>0</v>
      </c>
      <c r="P44" s="977">
        <v>0</v>
      </c>
      <c r="Q44" s="977">
        <v>0.01</v>
      </c>
      <c r="R44" s="977">
        <v>0</v>
      </c>
      <c r="S44" s="977">
        <v>0</v>
      </c>
      <c r="T44" s="977">
        <v>1.9300000000000004</v>
      </c>
      <c r="U44" s="977">
        <v>0</v>
      </c>
      <c r="V44" s="977">
        <v>0</v>
      </c>
      <c r="W44" s="977">
        <v>0</v>
      </c>
      <c r="X44" s="977">
        <v>0</v>
      </c>
      <c r="Y44" s="977">
        <v>0</v>
      </c>
    </row>
    <row r="45" spans="1:25" ht="15">
      <c r="A45" s="975" t="s">
        <v>193</v>
      </c>
      <c r="B45" s="976" t="s">
        <v>2765</v>
      </c>
      <c r="C45" s="284" t="s">
        <v>37</v>
      </c>
      <c r="D45" s="973">
        <v>535</v>
      </c>
      <c r="E45" s="977">
        <v>-5.8500000000000227</v>
      </c>
      <c r="F45" s="977">
        <v>7.87</v>
      </c>
      <c r="G45" s="977">
        <v>0.14000000000000001</v>
      </c>
      <c r="H45" s="977">
        <v>0</v>
      </c>
      <c r="I45" s="977">
        <v>0</v>
      </c>
      <c r="J45" s="977">
        <v>0</v>
      </c>
      <c r="K45" s="977">
        <v>0</v>
      </c>
      <c r="L45" s="977">
        <v>1.48</v>
      </c>
      <c r="M45" s="977">
        <v>0.85</v>
      </c>
      <c r="N45" s="977">
        <v>0</v>
      </c>
      <c r="O45" s="977">
        <v>0.85</v>
      </c>
      <c r="P45" s="977">
        <v>0</v>
      </c>
      <c r="Q45" s="977">
        <v>1</v>
      </c>
      <c r="R45" s="977">
        <v>2</v>
      </c>
      <c r="S45" s="977">
        <v>0</v>
      </c>
      <c r="T45" s="977">
        <v>0</v>
      </c>
      <c r="U45" s="977">
        <v>0</v>
      </c>
      <c r="V45" s="977">
        <v>0</v>
      </c>
      <c r="W45" s="977">
        <v>0.55000000000000004</v>
      </c>
      <c r="X45" s="977">
        <v>0</v>
      </c>
      <c r="Y45" s="977">
        <v>1</v>
      </c>
    </row>
    <row r="46" spans="1:25" ht="15" hidden="1">
      <c r="A46" s="975" t="s">
        <v>193</v>
      </c>
      <c r="B46" s="976" t="s">
        <v>2766</v>
      </c>
      <c r="C46" s="284" t="s">
        <v>38</v>
      </c>
      <c r="D46" s="973">
        <v>1.4</v>
      </c>
      <c r="E46" s="977">
        <v>-2.0000000000000018E-2</v>
      </c>
      <c r="F46" s="977">
        <v>0</v>
      </c>
      <c r="G46" s="977">
        <v>0</v>
      </c>
      <c r="H46" s="977">
        <v>0</v>
      </c>
      <c r="I46" s="977">
        <v>0</v>
      </c>
      <c r="J46" s="977">
        <v>0</v>
      </c>
      <c r="K46" s="977">
        <v>0</v>
      </c>
      <c r="L46" s="977">
        <v>0</v>
      </c>
      <c r="M46" s="977">
        <v>0</v>
      </c>
      <c r="N46" s="977">
        <v>0</v>
      </c>
      <c r="O46" s="977">
        <v>0</v>
      </c>
      <c r="P46" s="977">
        <v>0</v>
      </c>
      <c r="Q46" s="977">
        <v>0</v>
      </c>
      <c r="R46" s="977">
        <v>0</v>
      </c>
      <c r="S46" s="977">
        <v>0</v>
      </c>
      <c r="T46" s="977">
        <v>0</v>
      </c>
      <c r="U46" s="977">
        <v>0</v>
      </c>
      <c r="V46" s="977">
        <v>0</v>
      </c>
      <c r="W46" s="977">
        <v>0</v>
      </c>
      <c r="X46" s="977">
        <v>0</v>
      </c>
      <c r="Y46" s="977">
        <v>0</v>
      </c>
    </row>
    <row r="47" spans="1:25" ht="30.75" customHeight="1">
      <c r="A47" s="975" t="s">
        <v>193</v>
      </c>
      <c r="B47" s="976" t="s">
        <v>2767</v>
      </c>
      <c r="C47" s="284" t="s">
        <v>40</v>
      </c>
      <c r="D47" s="973">
        <v>116.3</v>
      </c>
      <c r="E47" s="977">
        <v>6.0499999999999972</v>
      </c>
      <c r="F47" s="977">
        <v>28.33</v>
      </c>
      <c r="G47" s="977">
        <v>10.25</v>
      </c>
      <c r="H47" s="977">
        <v>0</v>
      </c>
      <c r="I47" s="977">
        <v>0.12</v>
      </c>
      <c r="J47" s="977">
        <v>1.1100000000000001</v>
      </c>
      <c r="K47" s="977">
        <v>0</v>
      </c>
      <c r="L47" s="977">
        <v>0.31</v>
      </c>
      <c r="M47" s="977">
        <v>0.11</v>
      </c>
      <c r="N47" s="977">
        <v>0</v>
      </c>
      <c r="O47" s="977">
        <v>0</v>
      </c>
      <c r="P47" s="977">
        <v>4.83</v>
      </c>
      <c r="Q47" s="977">
        <v>0.24000000000000002</v>
      </c>
      <c r="R47" s="977">
        <v>0</v>
      </c>
      <c r="S47" s="977">
        <v>0</v>
      </c>
      <c r="T47" s="977">
        <v>0.35</v>
      </c>
      <c r="U47" s="977">
        <v>0.09</v>
      </c>
      <c r="V47" s="977">
        <v>0.22999999999999998</v>
      </c>
      <c r="W47" s="977">
        <v>0</v>
      </c>
      <c r="X47" s="977">
        <v>10.69</v>
      </c>
      <c r="Y47" s="977">
        <v>0</v>
      </c>
    </row>
    <row r="48" spans="1:25" ht="24" customHeight="1">
      <c r="A48" s="975" t="s">
        <v>193</v>
      </c>
      <c r="B48" s="976" t="s">
        <v>132</v>
      </c>
      <c r="C48" s="284" t="s">
        <v>52</v>
      </c>
      <c r="D48" s="973">
        <v>0</v>
      </c>
      <c r="E48" s="977">
        <v>0</v>
      </c>
      <c r="F48" s="977">
        <v>0.5</v>
      </c>
      <c r="G48" s="977">
        <v>0</v>
      </c>
      <c r="H48" s="977">
        <v>0</v>
      </c>
      <c r="I48" s="977">
        <v>0</v>
      </c>
      <c r="J48" s="977">
        <v>0</v>
      </c>
      <c r="K48" s="977">
        <v>0</v>
      </c>
      <c r="L48" s="977">
        <v>0</v>
      </c>
      <c r="M48" s="977">
        <v>0</v>
      </c>
      <c r="N48" s="977">
        <v>0.5</v>
      </c>
      <c r="O48" s="977">
        <v>0</v>
      </c>
      <c r="P48" s="977">
        <v>0</v>
      </c>
      <c r="Q48" s="977">
        <v>0</v>
      </c>
      <c r="R48" s="977">
        <v>0</v>
      </c>
      <c r="S48" s="977">
        <v>0</v>
      </c>
      <c r="T48" s="977">
        <v>0</v>
      </c>
      <c r="U48" s="977">
        <v>0</v>
      </c>
      <c r="V48" s="977">
        <v>0</v>
      </c>
      <c r="W48" s="977">
        <v>0</v>
      </c>
      <c r="X48" s="977">
        <v>0</v>
      </c>
      <c r="Y48" s="977">
        <v>0</v>
      </c>
    </row>
    <row r="49" spans="1:25" ht="15" hidden="1">
      <c r="A49" s="975" t="s">
        <v>193</v>
      </c>
      <c r="B49" s="976" t="s">
        <v>2768</v>
      </c>
      <c r="C49" s="284" t="s">
        <v>53</v>
      </c>
      <c r="D49" s="973">
        <v>0</v>
      </c>
      <c r="E49" s="977">
        <v>3.3</v>
      </c>
      <c r="F49" s="977">
        <v>0</v>
      </c>
      <c r="G49" s="977">
        <v>0</v>
      </c>
      <c r="H49" s="977">
        <v>0</v>
      </c>
      <c r="I49" s="977">
        <v>0</v>
      </c>
      <c r="J49" s="977">
        <v>0</v>
      </c>
      <c r="K49" s="977">
        <v>0</v>
      </c>
      <c r="L49" s="977">
        <v>0</v>
      </c>
      <c r="M49" s="977">
        <v>0</v>
      </c>
      <c r="N49" s="977">
        <v>0</v>
      </c>
      <c r="O49" s="977">
        <v>0</v>
      </c>
      <c r="P49" s="977">
        <v>0</v>
      </c>
      <c r="Q49" s="977">
        <v>0</v>
      </c>
      <c r="R49" s="977">
        <v>0</v>
      </c>
      <c r="S49" s="977">
        <v>0</v>
      </c>
      <c r="T49" s="977">
        <v>0</v>
      </c>
      <c r="U49" s="977">
        <v>0</v>
      </c>
      <c r="V49" s="977">
        <v>0</v>
      </c>
      <c r="W49" s="977">
        <v>0</v>
      </c>
      <c r="X49" s="977">
        <v>0</v>
      </c>
      <c r="Y49" s="977">
        <v>0</v>
      </c>
    </row>
    <row r="50" spans="1:25" ht="15">
      <c r="A50" s="975" t="s">
        <v>193</v>
      </c>
      <c r="B50" s="976" t="s">
        <v>2769</v>
      </c>
      <c r="C50" s="284" t="s">
        <v>54</v>
      </c>
      <c r="D50" s="973">
        <v>0</v>
      </c>
      <c r="E50" s="977">
        <v>14.340000000000002</v>
      </c>
      <c r="F50" s="977">
        <v>2.5099999999999998</v>
      </c>
      <c r="G50" s="977">
        <v>0.3</v>
      </c>
      <c r="H50" s="977">
        <v>0</v>
      </c>
      <c r="I50" s="977">
        <v>0</v>
      </c>
      <c r="J50" s="977">
        <v>0</v>
      </c>
      <c r="K50" s="977">
        <v>0.56000000000000005</v>
      </c>
      <c r="L50" s="977">
        <v>0.39</v>
      </c>
      <c r="M50" s="977">
        <v>0</v>
      </c>
      <c r="N50" s="977">
        <v>0</v>
      </c>
      <c r="O50" s="977">
        <v>0</v>
      </c>
      <c r="P50" s="977">
        <v>0</v>
      </c>
      <c r="Q50" s="977">
        <v>0</v>
      </c>
      <c r="R50" s="977">
        <v>0</v>
      </c>
      <c r="S50" s="977">
        <v>0</v>
      </c>
      <c r="T50" s="977">
        <v>0</v>
      </c>
      <c r="U50" s="977">
        <v>0.08</v>
      </c>
      <c r="V50" s="977">
        <v>0</v>
      </c>
      <c r="W50" s="977">
        <v>0.71</v>
      </c>
      <c r="X50" s="977">
        <v>0.47</v>
      </c>
      <c r="Y50" s="977">
        <v>0</v>
      </c>
    </row>
    <row r="51" spans="1:25" s="988" customFormat="1" ht="26.25" customHeight="1">
      <c r="A51" s="975" t="s">
        <v>193</v>
      </c>
      <c r="B51" s="286" t="s">
        <v>2775</v>
      </c>
      <c r="C51" s="284" t="s">
        <v>2776</v>
      </c>
      <c r="D51" s="973">
        <v>0</v>
      </c>
      <c r="E51" s="977">
        <v>0.2</v>
      </c>
      <c r="F51" s="977">
        <v>0.36</v>
      </c>
      <c r="G51" s="977">
        <v>0</v>
      </c>
      <c r="H51" s="977">
        <v>0</v>
      </c>
      <c r="I51" s="977">
        <v>0</v>
      </c>
      <c r="J51" s="977">
        <v>0</v>
      </c>
      <c r="K51" s="977">
        <v>0</v>
      </c>
      <c r="L51" s="977">
        <v>0.22</v>
      </c>
      <c r="M51" s="977">
        <v>0</v>
      </c>
      <c r="N51" s="977">
        <v>0</v>
      </c>
      <c r="O51" s="977">
        <v>0</v>
      </c>
      <c r="P51" s="977">
        <v>0</v>
      </c>
      <c r="Q51" s="977">
        <v>0</v>
      </c>
      <c r="R51" s="977">
        <v>0</v>
      </c>
      <c r="S51" s="977">
        <v>0</v>
      </c>
      <c r="T51" s="977">
        <v>0</v>
      </c>
      <c r="U51" s="977">
        <v>0</v>
      </c>
      <c r="V51" s="977">
        <v>0</v>
      </c>
      <c r="W51" s="977">
        <v>0.14000000000000001</v>
      </c>
      <c r="X51" s="977">
        <v>0</v>
      </c>
      <c r="Y51" s="977">
        <v>0</v>
      </c>
    </row>
    <row r="52" spans="1:25" s="292" customFormat="1" ht="18.75" customHeight="1">
      <c r="A52" s="975" t="s">
        <v>68</v>
      </c>
      <c r="B52" s="286" t="s">
        <v>2774</v>
      </c>
      <c r="C52" s="284" t="s">
        <v>113</v>
      </c>
      <c r="D52" s="973">
        <v>0</v>
      </c>
      <c r="E52" s="977">
        <v>15.845000000000002</v>
      </c>
      <c r="F52" s="977">
        <v>8.4599999999999991</v>
      </c>
      <c r="G52" s="977">
        <v>0.9</v>
      </c>
      <c r="H52" s="977">
        <v>0.41</v>
      </c>
      <c r="I52" s="977">
        <v>0.15</v>
      </c>
      <c r="J52" s="977">
        <v>0.21</v>
      </c>
      <c r="K52" s="977">
        <v>0.45999999999999996</v>
      </c>
      <c r="L52" s="977">
        <v>0.27</v>
      </c>
      <c r="M52" s="977">
        <v>0.93</v>
      </c>
      <c r="N52" s="977">
        <v>0.12</v>
      </c>
      <c r="O52" s="977">
        <v>0.47</v>
      </c>
      <c r="P52" s="977">
        <v>0.19</v>
      </c>
      <c r="Q52" s="977">
        <v>0.39</v>
      </c>
      <c r="R52" s="977">
        <v>0.25</v>
      </c>
      <c r="S52" s="977">
        <v>0.53</v>
      </c>
      <c r="T52" s="977">
        <v>0.31</v>
      </c>
      <c r="U52" s="977">
        <v>0.36</v>
      </c>
      <c r="V52" s="977">
        <v>0.74</v>
      </c>
      <c r="W52" s="977">
        <v>0.92999999999999994</v>
      </c>
      <c r="X52" s="977">
        <v>0.47</v>
      </c>
      <c r="Y52" s="977">
        <v>0.37</v>
      </c>
    </row>
    <row r="53" spans="1:25" s="290" customFormat="1" ht="15">
      <c r="A53" s="975" t="s">
        <v>69</v>
      </c>
      <c r="B53" s="286" t="s">
        <v>107</v>
      </c>
      <c r="C53" s="284" t="s">
        <v>59</v>
      </c>
      <c r="D53" s="973">
        <v>1011.8</v>
      </c>
      <c r="E53" s="977">
        <v>6.28</v>
      </c>
      <c r="F53" s="977">
        <v>620.88800000000003</v>
      </c>
      <c r="G53" s="977">
        <v>0</v>
      </c>
      <c r="H53" s="977">
        <v>15.9</v>
      </c>
      <c r="I53" s="977">
        <v>22.82</v>
      </c>
      <c r="J53" s="977">
        <v>35.027999999999999</v>
      </c>
      <c r="K53" s="977">
        <v>60.94</v>
      </c>
      <c r="L53" s="977">
        <v>45.26</v>
      </c>
      <c r="M53" s="977">
        <v>30.939999999999998</v>
      </c>
      <c r="N53" s="977">
        <v>19.739999999999998</v>
      </c>
      <c r="O53" s="977">
        <v>32.64</v>
      </c>
      <c r="P53" s="977">
        <v>24.29</v>
      </c>
      <c r="Q53" s="977">
        <v>52.340000000000011</v>
      </c>
      <c r="R53" s="977">
        <v>26.29</v>
      </c>
      <c r="S53" s="977">
        <v>21.720000000000002</v>
      </c>
      <c r="T53" s="977">
        <v>47.459999999999994</v>
      </c>
      <c r="U53" s="977">
        <v>53.66</v>
      </c>
      <c r="V53" s="977">
        <v>40.79</v>
      </c>
      <c r="W53" s="977">
        <v>42.86</v>
      </c>
      <c r="X53" s="977">
        <v>12.98</v>
      </c>
      <c r="Y53" s="977">
        <v>35.229999999999997</v>
      </c>
    </row>
    <row r="54" spans="1:25" ht="15">
      <c r="A54" s="975" t="s">
        <v>70</v>
      </c>
      <c r="B54" s="286" t="s">
        <v>108</v>
      </c>
      <c r="C54" s="284" t="s">
        <v>57</v>
      </c>
      <c r="D54" s="973">
        <v>217</v>
      </c>
      <c r="E54" s="977">
        <v>0.1</v>
      </c>
      <c r="F54" s="977">
        <v>105.29055999999999</v>
      </c>
      <c r="G54" s="977">
        <v>105.29055999999999</v>
      </c>
      <c r="H54" s="977">
        <v>0</v>
      </c>
      <c r="I54" s="977">
        <v>0</v>
      </c>
      <c r="J54" s="977">
        <v>0</v>
      </c>
      <c r="K54" s="977">
        <v>0</v>
      </c>
      <c r="L54" s="977">
        <v>0</v>
      </c>
      <c r="M54" s="977">
        <v>0</v>
      </c>
      <c r="N54" s="977">
        <v>0</v>
      </c>
      <c r="O54" s="977">
        <v>0</v>
      </c>
      <c r="P54" s="977">
        <v>0</v>
      </c>
      <c r="Q54" s="977">
        <v>0</v>
      </c>
      <c r="R54" s="977">
        <v>0</v>
      </c>
      <c r="S54" s="977">
        <v>0</v>
      </c>
      <c r="T54" s="977">
        <v>0</v>
      </c>
      <c r="U54" s="977">
        <v>0</v>
      </c>
      <c r="V54" s="977">
        <v>0</v>
      </c>
      <c r="W54" s="977">
        <v>0</v>
      </c>
      <c r="X54" s="977">
        <v>0</v>
      </c>
      <c r="Y54" s="977">
        <v>0</v>
      </c>
    </row>
    <row r="55" spans="1:25" ht="19.350000000000001" customHeight="1">
      <c r="A55" s="975" t="s">
        <v>71</v>
      </c>
      <c r="B55" s="286" t="s">
        <v>95</v>
      </c>
      <c r="C55" s="284" t="s">
        <v>24</v>
      </c>
      <c r="D55" s="973">
        <v>22.8</v>
      </c>
      <c r="E55" s="977">
        <v>1.6700000000000053</v>
      </c>
      <c r="F55" s="977">
        <v>9.5401800000000012</v>
      </c>
      <c r="G55" s="977">
        <v>3.8201800000000001</v>
      </c>
      <c r="H55" s="977">
        <v>0.13</v>
      </c>
      <c r="I55" s="977">
        <v>0.15</v>
      </c>
      <c r="J55" s="977">
        <v>0.39</v>
      </c>
      <c r="K55" s="977">
        <v>0.6</v>
      </c>
      <c r="L55" s="977">
        <v>0.35</v>
      </c>
      <c r="M55" s="977">
        <v>0.17</v>
      </c>
      <c r="N55" s="977">
        <v>0.17</v>
      </c>
      <c r="O55" s="977">
        <v>0.22</v>
      </c>
      <c r="P55" s="977">
        <v>0.36</v>
      </c>
      <c r="Q55" s="977">
        <v>0.33</v>
      </c>
      <c r="R55" s="977">
        <v>0.69</v>
      </c>
      <c r="S55" s="977">
        <v>0.46</v>
      </c>
      <c r="T55" s="977">
        <v>0.15</v>
      </c>
      <c r="U55" s="977">
        <v>0.47</v>
      </c>
      <c r="V55" s="977">
        <v>0.14000000000000001</v>
      </c>
      <c r="W55" s="977">
        <v>0.59</v>
      </c>
      <c r="X55" s="977">
        <v>0.21</v>
      </c>
      <c r="Y55" s="977">
        <v>0.14000000000000001</v>
      </c>
    </row>
    <row r="56" spans="1:25" s="290" customFormat="1" ht="13.7" hidden="1" customHeight="1">
      <c r="A56" s="975" t="s">
        <v>100</v>
      </c>
      <c r="B56" s="286" t="s">
        <v>109</v>
      </c>
      <c r="C56" s="284" t="s">
        <v>110</v>
      </c>
      <c r="D56" s="973"/>
      <c r="E56" s="977">
        <v>0</v>
      </c>
      <c r="F56" s="977"/>
      <c r="G56" s="977"/>
      <c r="H56" s="977"/>
      <c r="I56" s="977"/>
      <c r="J56" s="977"/>
      <c r="K56" s="977"/>
      <c r="L56" s="977"/>
      <c r="M56" s="977"/>
      <c r="N56" s="977"/>
      <c r="O56" s="977"/>
      <c r="P56" s="977"/>
      <c r="Q56" s="977"/>
      <c r="R56" s="977"/>
      <c r="S56" s="977"/>
      <c r="T56" s="977"/>
      <c r="U56" s="977"/>
      <c r="V56" s="977"/>
      <c r="W56" s="977"/>
      <c r="X56" s="977"/>
      <c r="Y56" s="977"/>
    </row>
    <row r="57" spans="1:25" ht="18.75" hidden="1" customHeight="1">
      <c r="A57" s="975" t="s">
        <v>101</v>
      </c>
      <c r="B57" s="976" t="s">
        <v>133</v>
      </c>
      <c r="C57" s="284" t="s">
        <v>137</v>
      </c>
      <c r="D57" s="973"/>
      <c r="E57" s="977"/>
      <c r="F57" s="977">
        <v>0.02</v>
      </c>
      <c r="G57" s="1488"/>
      <c r="H57" s="1488"/>
      <c r="I57" s="1488"/>
      <c r="J57" s="1488"/>
      <c r="K57" s="1488">
        <v>0.02</v>
      </c>
      <c r="L57" s="977"/>
      <c r="M57" s="977"/>
      <c r="N57" s="977"/>
      <c r="O57" s="977"/>
      <c r="P57" s="977"/>
      <c r="Q57" s="977"/>
      <c r="R57" s="977"/>
      <c r="S57" s="977"/>
      <c r="T57" s="977"/>
      <c r="U57" s="977"/>
      <c r="V57" s="977"/>
      <c r="W57" s="977"/>
      <c r="X57" s="977"/>
      <c r="Y57" s="977"/>
    </row>
    <row r="58" spans="1:25" ht="13.7" hidden="1" customHeight="1">
      <c r="A58" s="975" t="s">
        <v>102</v>
      </c>
      <c r="B58" s="976" t="s">
        <v>136</v>
      </c>
      <c r="C58" s="284" t="s">
        <v>138</v>
      </c>
      <c r="D58" s="973"/>
      <c r="E58" s="977">
        <v>0</v>
      </c>
      <c r="F58" s="977"/>
      <c r="G58" s="977"/>
      <c r="H58" s="977"/>
      <c r="I58" s="977"/>
      <c r="J58" s="977"/>
      <c r="K58" s="977"/>
      <c r="L58" s="977"/>
      <c r="M58" s="977"/>
      <c r="N58" s="977"/>
      <c r="O58" s="977"/>
      <c r="P58" s="977"/>
      <c r="Q58" s="977"/>
      <c r="R58" s="977"/>
      <c r="S58" s="977"/>
      <c r="T58" s="977"/>
      <c r="U58" s="977"/>
      <c r="V58" s="977"/>
      <c r="W58" s="977"/>
      <c r="X58" s="977"/>
      <c r="Y58" s="977"/>
    </row>
    <row r="59" spans="1:25" ht="18.600000000000001" customHeight="1">
      <c r="A59" s="975" t="s">
        <v>74</v>
      </c>
      <c r="B59" s="286" t="s">
        <v>2777</v>
      </c>
      <c r="C59" s="284" t="s">
        <v>39</v>
      </c>
      <c r="D59" s="973">
        <v>0</v>
      </c>
      <c r="E59" s="977">
        <v>23.840000000000003</v>
      </c>
      <c r="F59" s="977">
        <v>3.2399999999999993</v>
      </c>
      <c r="G59" s="977">
        <v>0.52</v>
      </c>
      <c r="H59" s="977">
        <v>0.06</v>
      </c>
      <c r="I59" s="977">
        <v>0.23</v>
      </c>
      <c r="J59" s="977">
        <v>0.05</v>
      </c>
      <c r="K59" s="977">
        <v>0.46</v>
      </c>
      <c r="L59" s="977">
        <v>2.0000000000000004E-2</v>
      </c>
      <c r="M59" s="977">
        <v>0.32</v>
      </c>
      <c r="N59" s="977">
        <v>0.05</v>
      </c>
      <c r="O59" s="977">
        <v>0</v>
      </c>
      <c r="P59" s="977">
        <v>0</v>
      </c>
      <c r="Q59" s="977">
        <v>0.41</v>
      </c>
      <c r="R59" s="977">
        <v>0.01</v>
      </c>
      <c r="S59" s="977">
        <v>0</v>
      </c>
      <c r="T59" s="977">
        <v>0.01</v>
      </c>
      <c r="U59" s="977">
        <v>0.21</v>
      </c>
      <c r="V59" s="977">
        <v>0.03</v>
      </c>
      <c r="W59" s="977">
        <v>0.83</v>
      </c>
      <c r="X59" s="977">
        <v>0</v>
      </c>
      <c r="Y59" s="977">
        <v>0.03</v>
      </c>
    </row>
    <row r="60" spans="1:25" s="989" customFormat="1" ht="18.600000000000001" customHeight="1">
      <c r="A60" s="975" t="s">
        <v>75</v>
      </c>
      <c r="B60" s="286" t="s">
        <v>2778</v>
      </c>
      <c r="C60" s="284" t="s">
        <v>42</v>
      </c>
      <c r="D60" s="973">
        <v>0</v>
      </c>
      <c r="E60" s="977">
        <v>1385.5900000000001</v>
      </c>
      <c r="F60" s="977">
        <v>1198.95</v>
      </c>
      <c r="G60" s="977">
        <v>18.75</v>
      </c>
      <c r="H60" s="977">
        <v>46.440000000000005</v>
      </c>
      <c r="I60" s="977">
        <v>69.650000000000006</v>
      </c>
      <c r="J60" s="977">
        <v>7.53</v>
      </c>
      <c r="K60" s="977">
        <v>75.81</v>
      </c>
      <c r="L60" s="977">
        <v>219.79000000000002</v>
      </c>
      <c r="M60" s="977">
        <v>63.14</v>
      </c>
      <c r="N60" s="977">
        <v>10.5</v>
      </c>
      <c r="O60" s="977">
        <v>43.78</v>
      </c>
      <c r="P60" s="977">
        <v>19.88</v>
      </c>
      <c r="Q60" s="977">
        <v>46.46</v>
      </c>
      <c r="R60" s="977">
        <v>93.52</v>
      </c>
      <c r="S60" s="977">
        <v>57.13</v>
      </c>
      <c r="T60" s="977">
        <v>12.48</v>
      </c>
      <c r="U60" s="977">
        <v>76.89</v>
      </c>
      <c r="V60" s="977">
        <v>69.27000000000001</v>
      </c>
      <c r="W60" s="977">
        <v>119.73</v>
      </c>
      <c r="X60" s="977">
        <v>69.14</v>
      </c>
      <c r="Y60" s="977">
        <v>79.06</v>
      </c>
    </row>
    <row r="61" spans="1:25" s="988" customFormat="1" ht="18.600000000000001" customHeight="1">
      <c r="A61" s="975" t="s">
        <v>76</v>
      </c>
      <c r="B61" s="286" t="s">
        <v>2779</v>
      </c>
      <c r="C61" s="284" t="s">
        <v>41</v>
      </c>
      <c r="D61" s="973">
        <v>0</v>
      </c>
      <c r="E61" s="977">
        <v>967.91999999999985</v>
      </c>
      <c r="F61" s="977">
        <v>2.14</v>
      </c>
      <c r="G61" s="977">
        <v>0</v>
      </c>
      <c r="H61" s="977">
        <v>0</v>
      </c>
      <c r="I61" s="977">
        <v>0</v>
      </c>
      <c r="J61" s="977">
        <v>2.14</v>
      </c>
      <c r="K61" s="977">
        <v>0</v>
      </c>
      <c r="L61" s="977">
        <v>0</v>
      </c>
      <c r="M61" s="977">
        <v>0</v>
      </c>
      <c r="N61" s="977">
        <v>0</v>
      </c>
      <c r="O61" s="977">
        <v>0</v>
      </c>
      <c r="P61" s="977">
        <v>0</v>
      </c>
      <c r="Q61" s="977">
        <v>0</v>
      </c>
      <c r="R61" s="977">
        <v>0</v>
      </c>
      <c r="S61" s="977">
        <v>0</v>
      </c>
      <c r="T61" s="977">
        <v>0</v>
      </c>
      <c r="U61" s="977">
        <v>0</v>
      </c>
      <c r="V61" s="977">
        <v>0</v>
      </c>
      <c r="W61" s="977">
        <v>0</v>
      </c>
      <c r="X61" s="977">
        <v>0</v>
      </c>
      <c r="Y61" s="977">
        <v>0</v>
      </c>
    </row>
    <row r="62" spans="1:25" s="290" customFormat="1" ht="18.600000000000001" hidden="1" customHeight="1">
      <c r="A62" s="975" t="s">
        <v>83</v>
      </c>
      <c r="B62" s="990" t="s">
        <v>116</v>
      </c>
      <c r="C62" s="991" t="s">
        <v>55</v>
      </c>
      <c r="D62" s="973">
        <v>0</v>
      </c>
      <c r="E62" s="977">
        <v>13.999999999999998</v>
      </c>
      <c r="F62" s="977">
        <v>0</v>
      </c>
      <c r="G62" s="977">
        <v>0</v>
      </c>
      <c r="H62" s="977">
        <v>0</v>
      </c>
      <c r="I62" s="977">
        <v>0</v>
      </c>
      <c r="J62" s="977">
        <v>0</v>
      </c>
      <c r="K62" s="977">
        <v>0</v>
      </c>
      <c r="L62" s="977">
        <v>0</v>
      </c>
      <c r="M62" s="977">
        <v>0</v>
      </c>
      <c r="N62" s="977">
        <v>0</v>
      </c>
      <c r="O62" s="977">
        <v>0</v>
      </c>
      <c r="P62" s="977">
        <v>0</v>
      </c>
      <c r="Q62" s="977">
        <v>0</v>
      </c>
      <c r="R62" s="977">
        <v>0</v>
      </c>
      <c r="S62" s="977">
        <v>0</v>
      </c>
      <c r="T62" s="977">
        <v>0</v>
      </c>
      <c r="U62" s="977">
        <v>0</v>
      </c>
      <c r="V62" s="977">
        <v>0</v>
      </c>
      <c r="W62" s="977">
        <v>0</v>
      </c>
      <c r="X62" s="977">
        <v>0</v>
      </c>
      <c r="Y62" s="977">
        <v>0</v>
      </c>
    </row>
    <row r="63" spans="1:25" s="993" customFormat="1" ht="18" customHeight="1">
      <c r="A63" s="967">
        <v>3</v>
      </c>
      <c r="B63" s="992" t="s">
        <v>56</v>
      </c>
      <c r="C63" s="961" t="s">
        <v>81</v>
      </c>
      <c r="D63" s="968">
        <v>1372.3</v>
      </c>
      <c r="E63" s="962">
        <v>0</v>
      </c>
      <c r="F63" s="962">
        <v>730.73999999999978</v>
      </c>
      <c r="G63" s="962">
        <v>35.64</v>
      </c>
      <c r="H63" s="962">
        <v>2.2200000000000002</v>
      </c>
      <c r="I63" s="962">
        <v>16.62</v>
      </c>
      <c r="J63" s="962">
        <v>61.760000000000005</v>
      </c>
      <c r="K63" s="962">
        <v>16.95</v>
      </c>
      <c r="L63" s="962">
        <v>22.59</v>
      </c>
      <c r="M63" s="962">
        <v>38.869999999999997</v>
      </c>
      <c r="N63" s="962">
        <v>4.21</v>
      </c>
      <c r="O63" s="962">
        <v>25.98</v>
      </c>
      <c r="P63" s="962">
        <v>20.25</v>
      </c>
      <c r="Q63" s="962">
        <v>2.0500000000000003</v>
      </c>
      <c r="R63" s="962">
        <v>19.16</v>
      </c>
      <c r="S63" s="962">
        <v>17.020000000000003</v>
      </c>
      <c r="T63" s="962">
        <v>175.71</v>
      </c>
      <c r="U63" s="962">
        <v>86.05</v>
      </c>
      <c r="V63" s="962">
        <v>64.16</v>
      </c>
      <c r="W63" s="962">
        <v>78.150000000000006</v>
      </c>
      <c r="X63" s="962">
        <v>20.66</v>
      </c>
      <c r="Y63" s="962">
        <v>22.689999999999998</v>
      </c>
    </row>
    <row r="64" spans="1:25" s="287" customFormat="1" ht="22.35" hidden="1" customHeight="1">
      <c r="A64" s="994" t="s">
        <v>79</v>
      </c>
      <c r="B64" s="995" t="s">
        <v>139</v>
      </c>
      <c r="C64" s="994"/>
      <c r="D64" s="996"/>
      <c r="E64" s="997"/>
      <c r="F64" s="998"/>
      <c r="G64" s="998"/>
      <c r="H64" s="998"/>
      <c r="I64" s="998"/>
      <c r="J64" s="998"/>
      <c r="K64" s="998"/>
      <c r="L64" s="998"/>
      <c r="M64" s="998"/>
      <c r="N64" s="998"/>
      <c r="O64" s="998"/>
      <c r="P64" s="998"/>
      <c r="Q64" s="998"/>
      <c r="R64" s="998"/>
      <c r="S64" s="998"/>
      <c r="T64" s="998"/>
      <c r="U64" s="998"/>
      <c r="V64" s="998"/>
      <c r="W64" s="998"/>
      <c r="X64" s="998"/>
      <c r="Y64" s="998"/>
    </row>
    <row r="65" spans="1:25" s="993" customFormat="1" ht="27.6" hidden="1" customHeight="1">
      <c r="A65" s="999">
        <v>1</v>
      </c>
      <c r="B65" s="1000" t="s">
        <v>117</v>
      </c>
      <c r="C65" s="999" t="s">
        <v>118</v>
      </c>
      <c r="D65" s="1001"/>
      <c r="E65" s="1002"/>
      <c r="F65" s="1003"/>
      <c r="G65" s="1003"/>
      <c r="H65" s="1003"/>
      <c r="I65" s="1003"/>
      <c r="J65" s="1003"/>
      <c r="K65" s="1003"/>
      <c r="L65" s="1003"/>
      <c r="M65" s="1003"/>
      <c r="N65" s="1003"/>
      <c r="O65" s="1003"/>
      <c r="P65" s="1003"/>
      <c r="Q65" s="1003"/>
      <c r="R65" s="1003"/>
      <c r="S65" s="1003"/>
      <c r="T65" s="1003"/>
      <c r="U65" s="1003"/>
      <c r="V65" s="1003"/>
      <c r="W65" s="1003"/>
      <c r="X65" s="1003"/>
      <c r="Y65" s="1003"/>
    </row>
    <row r="66" spans="1:25" s="993" customFormat="1" ht="27.6" hidden="1" customHeight="1">
      <c r="A66" s="999">
        <v>1</v>
      </c>
      <c r="B66" s="1000" t="s">
        <v>119</v>
      </c>
      <c r="C66" s="999" t="s">
        <v>120</v>
      </c>
      <c r="D66" s="1001">
        <v>7950</v>
      </c>
      <c r="E66" s="1003">
        <v>-0.56999999999970896</v>
      </c>
      <c r="F66" s="1003">
        <v>0</v>
      </c>
      <c r="G66" s="1003">
        <v>0</v>
      </c>
      <c r="H66" s="1003">
        <v>0</v>
      </c>
      <c r="I66" s="1003">
        <v>0</v>
      </c>
      <c r="J66" s="1003">
        <v>0</v>
      </c>
      <c r="K66" s="1003">
        <v>0</v>
      </c>
      <c r="L66" s="1003">
        <v>0</v>
      </c>
      <c r="M66" s="1003">
        <v>0</v>
      </c>
      <c r="N66" s="1003">
        <v>0</v>
      </c>
      <c r="O66" s="1003">
        <v>0</v>
      </c>
      <c r="P66" s="1003">
        <v>0</v>
      </c>
      <c r="Q66" s="1003">
        <v>0</v>
      </c>
      <c r="R66" s="1003">
        <v>0</v>
      </c>
      <c r="S66" s="1003">
        <v>0</v>
      </c>
      <c r="T66" s="1003">
        <v>0</v>
      </c>
      <c r="U66" s="1003">
        <v>0</v>
      </c>
      <c r="V66" s="1003">
        <v>0</v>
      </c>
      <c r="W66" s="1003">
        <v>0</v>
      </c>
      <c r="X66" s="1003">
        <v>0</v>
      </c>
      <c r="Y66" s="1003">
        <v>0</v>
      </c>
    </row>
    <row r="67" spans="1:25" s="993" customFormat="1" ht="27.6" hidden="1" customHeight="1">
      <c r="A67" s="999">
        <v>2</v>
      </c>
      <c r="B67" s="1000" t="s">
        <v>2</v>
      </c>
      <c r="C67" s="999" t="s">
        <v>121</v>
      </c>
      <c r="D67" s="1001">
        <v>2922.8</v>
      </c>
      <c r="E67" s="1003">
        <v>-2.0000000000436557E-2</v>
      </c>
      <c r="F67" s="1003">
        <v>3741.98</v>
      </c>
      <c r="G67" s="1003">
        <v>3741.98</v>
      </c>
      <c r="H67" s="1003">
        <v>0</v>
      </c>
      <c r="I67" s="1003">
        <v>0</v>
      </c>
      <c r="J67" s="1003">
        <v>0</v>
      </c>
      <c r="K67" s="1003">
        <v>0</v>
      </c>
      <c r="L67" s="1003">
        <v>0</v>
      </c>
      <c r="M67" s="1003">
        <v>0</v>
      </c>
      <c r="N67" s="1003">
        <v>0</v>
      </c>
      <c r="O67" s="1003">
        <v>0</v>
      </c>
      <c r="P67" s="1003">
        <v>0</v>
      </c>
      <c r="Q67" s="1003">
        <v>0</v>
      </c>
      <c r="R67" s="1003">
        <v>0</v>
      </c>
      <c r="S67" s="1003">
        <v>0</v>
      </c>
      <c r="T67" s="1003">
        <v>0</v>
      </c>
      <c r="U67" s="1003">
        <v>0</v>
      </c>
      <c r="V67" s="1003">
        <v>0</v>
      </c>
      <c r="W67" s="1003">
        <v>0</v>
      </c>
      <c r="X67" s="1003">
        <v>0</v>
      </c>
      <c r="Y67" s="1003">
        <v>0</v>
      </c>
    </row>
    <row r="68" spans="1:25" s="993" customFormat="1" ht="48" hidden="1" customHeight="1">
      <c r="A68" s="999">
        <v>3</v>
      </c>
      <c r="B68" s="1000" t="s">
        <v>2780</v>
      </c>
      <c r="C68" s="999" t="s">
        <v>180</v>
      </c>
      <c r="D68" s="1001">
        <v>4486</v>
      </c>
      <c r="E68" s="1003">
        <v>3.5906277999856684E-2</v>
      </c>
      <c r="F68" s="1003">
        <v>2104.0718999999999</v>
      </c>
      <c r="G68" s="1003">
        <v>197.73964999999998</v>
      </c>
      <c r="H68" s="1003">
        <v>126.57799999999999</v>
      </c>
      <c r="I68" s="1003">
        <v>66.061499999999995</v>
      </c>
      <c r="J68" s="1003">
        <v>75.276250000000005</v>
      </c>
      <c r="K68" s="1003">
        <v>184.4365</v>
      </c>
      <c r="L68" s="1003">
        <v>89.474499999999992</v>
      </c>
      <c r="M68" s="1003">
        <v>157.91950000000003</v>
      </c>
      <c r="N68" s="1003">
        <v>77.02300000000001</v>
      </c>
      <c r="O68" s="1003">
        <v>133.6225</v>
      </c>
      <c r="P68" s="1003">
        <v>29.670500000000001</v>
      </c>
      <c r="Q68" s="1003">
        <v>101.4735</v>
      </c>
      <c r="R68" s="1003">
        <v>62.637999999999998</v>
      </c>
      <c r="S68" s="1003">
        <v>58.541000000000004</v>
      </c>
      <c r="T68" s="1003">
        <v>96.246000000000009</v>
      </c>
      <c r="U68" s="1003">
        <v>203.60849999999999</v>
      </c>
      <c r="V68" s="1003">
        <v>140.21349999999998</v>
      </c>
      <c r="W68" s="1003">
        <v>149.85999999999999</v>
      </c>
      <c r="X68" s="1003">
        <v>27.503999999999994</v>
      </c>
      <c r="Y68" s="1003">
        <v>126.1855</v>
      </c>
    </row>
    <row r="69" spans="1:25" s="993" customFormat="1" ht="36.6" hidden="1" customHeight="1">
      <c r="A69" s="999">
        <v>4</v>
      </c>
      <c r="B69" s="1000" t="s">
        <v>209</v>
      </c>
      <c r="C69" s="999" t="s">
        <v>181</v>
      </c>
      <c r="D69" s="1001">
        <v>73734.399999999994</v>
      </c>
      <c r="E69" s="1003">
        <v>-12.495899999979883</v>
      </c>
      <c r="F69" s="1003">
        <v>98819.664999999979</v>
      </c>
      <c r="G69" s="1003">
        <v>2999.9600000000005</v>
      </c>
      <c r="H69" s="1003">
        <v>3079.11</v>
      </c>
      <c r="I69" s="1003">
        <v>4733.1099999999997</v>
      </c>
      <c r="J69" s="1003">
        <v>2814.2949999999996</v>
      </c>
      <c r="K69" s="1003">
        <v>10483.6</v>
      </c>
      <c r="L69" s="1003">
        <v>6197.8899999999994</v>
      </c>
      <c r="M69" s="1003">
        <v>3269.42</v>
      </c>
      <c r="N69" s="1003">
        <v>3598.15</v>
      </c>
      <c r="O69" s="1003">
        <v>5867.48</v>
      </c>
      <c r="P69" s="1003">
        <v>3097.31</v>
      </c>
      <c r="Q69" s="1003">
        <v>4668.6899999999996</v>
      </c>
      <c r="R69" s="1003">
        <v>7478.4000000000015</v>
      </c>
      <c r="S69" s="1003">
        <v>5761.33</v>
      </c>
      <c r="T69" s="1003">
        <v>3190.27</v>
      </c>
      <c r="U69" s="1003">
        <v>7803.119999999999</v>
      </c>
      <c r="V69" s="1003">
        <v>4827.92</v>
      </c>
      <c r="W69" s="1003">
        <v>7232.76</v>
      </c>
      <c r="X69" s="1003">
        <v>4750.2</v>
      </c>
      <c r="Y69" s="1003">
        <v>6966.6500000000005</v>
      </c>
    </row>
    <row r="70" spans="1:25" s="993" customFormat="1" ht="24.6" hidden="1" customHeight="1">
      <c r="A70" s="999">
        <v>5</v>
      </c>
      <c r="B70" s="1000" t="s">
        <v>87</v>
      </c>
      <c r="C70" s="999" t="s">
        <v>140</v>
      </c>
      <c r="D70" s="1001">
        <v>2449.9</v>
      </c>
      <c r="E70" s="1003">
        <v>9.9999999997635314E-3</v>
      </c>
      <c r="F70" s="1003">
        <v>11.899999999999999</v>
      </c>
      <c r="G70" s="1003">
        <v>4.01</v>
      </c>
      <c r="H70" s="1003">
        <v>0</v>
      </c>
      <c r="I70" s="1003">
        <v>0</v>
      </c>
      <c r="J70" s="1003">
        <v>0.94</v>
      </c>
      <c r="K70" s="1003">
        <v>0</v>
      </c>
      <c r="L70" s="1003">
        <v>0.5</v>
      </c>
      <c r="M70" s="1003">
        <v>0</v>
      </c>
      <c r="N70" s="1003">
        <v>0</v>
      </c>
      <c r="O70" s="1003">
        <v>0</v>
      </c>
      <c r="P70" s="1003">
        <v>2</v>
      </c>
      <c r="Q70" s="1003">
        <v>2.85</v>
      </c>
      <c r="R70" s="1003">
        <v>0</v>
      </c>
      <c r="S70" s="1003">
        <v>0</v>
      </c>
      <c r="T70" s="1003">
        <v>0</v>
      </c>
      <c r="U70" s="1003">
        <v>0</v>
      </c>
      <c r="V70" s="1003">
        <v>0</v>
      </c>
      <c r="W70" s="1003">
        <v>1.6</v>
      </c>
      <c r="X70" s="1003">
        <v>0</v>
      </c>
      <c r="Y70" s="1003">
        <v>0</v>
      </c>
    </row>
    <row r="71" spans="1:25" s="993" customFormat="1" ht="24.6" hidden="1" customHeight="1">
      <c r="A71" s="999">
        <v>6</v>
      </c>
      <c r="B71" s="1000" t="s">
        <v>178</v>
      </c>
      <c r="C71" s="999" t="s">
        <v>182</v>
      </c>
      <c r="D71" s="1001">
        <v>2211.8000000000002</v>
      </c>
      <c r="E71" s="1003">
        <v>-3.6000000000003638</v>
      </c>
      <c r="F71" s="1003">
        <v>0</v>
      </c>
      <c r="G71" s="1003">
        <v>0</v>
      </c>
      <c r="H71" s="1003">
        <v>0</v>
      </c>
      <c r="I71" s="1003">
        <v>0</v>
      </c>
      <c r="J71" s="1003">
        <v>0</v>
      </c>
      <c r="K71" s="1003">
        <v>0</v>
      </c>
      <c r="L71" s="1003">
        <v>0</v>
      </c>
      <c r="M71" s="1003">
        <v>0</v>
      </c>
      <c r="N71" s="1003">
        <v>0</v>
      </c>
      <c r="O71" s="1003">
        <v>0</v>
      </c>
      <c r="P71" s="1003">
        <v>0</v>
      </c>
      <c r="Q71" s="1003">
        <v>0</v>
      </c>
      <c r="R71" s="1003">
        <v>0</v>
      </c>
      <c r="S71" s="1003">
        <v>0</v>
      </c>
      <c r="T71" s="1003">
        <v>0</v>
      </c>
      <c r="U71" s="1003">
        <v>0</v>
      </c>
      <c r="V71" s="1003">
        <v>0</v>
      </c>
      <c r="W71" s="1003">
        <v>0</v>
      </c>
      <c r="X71" s="1003">
        <v>0</v>
      </c>
      <c r="Y71" s="1003">
        <v>0</v>
      </c>
    </row>
    <row r="72" spans="1:25" s="993" customFormat="1" ht="34.35" hidden="1" customHeight="1">
      <c r="A72" s="999">
        <v>7</v>
      </c>
      <c r="B72" s="1000" t="s">
        <v>210</v>
      </c>
      <c r="C72" s="999" t="s">
        <v>183</v>
      </c>
      <c r="D72" s="1001">
        <v>125.3</v>
      </c>
      <c r="E72" s="1003">
        <v>4.9999999999997158E-2</v>
      </c>
      <c r="F72" s="1003">
        <v>0</v>
      </c>
      <c r="G72" s="1003">
        <v>0</v>
      </c>
      <c r="H72" s="1003">
        <v>0</v>
      </c>
      <c r="I72" s="1003">
        <v>0</v>
      </c>
      <c r="J72" s="1003">
        <v>0</v>
      </c>
      <c r="K72" s="1003">
        <v>0</v>
      </c>
      <c r="L72" s="1003">
        <v>0</v>
      </c>
      <c r="M72" s="1003">
        <v>0</v>
      </c>
      <c r="N72" s="1003">
        <v>0</v>
      </c>
      <c r="O72" s="1003">
        <v>0</v>
      </c>
      <c r="P72" s="1003">
        <v>0</v>
      </c>
      <c r="Q72" s="1003">
        <v>0</v>
      </c>
      <c r="R72" s="1003">
        <v>0</v>
      </c>
      <c r="S72" s="1003">
        <v>0</v>
      </c>
      <c r="T72" s="1003">
        <v>0</v>
      </c>
      <c r="U72" s="1003">
        <v>0</v>
      </c>
      <c r="V72" s="1003">
        <v>0</v>
      </c>
      <c r="W72" s="1003">
        <v>0</v>
      </c>
      <c r="X72" s="1003">
        <v>0</v>
      </c>
      <c r="Y72" s="1003">
        <v>0</v>
      </c>
    </row>
    <row r="73" spans="1:25" s="993" customFormat="1" ht="23.45" hidden="1" customHeight="1">
      <c r="A73" s="999">
        <v>8</v>
      </c>
      <c r="B73" s="1000" t="s">
        <v>211</v>
      </c>
      <c r="C73" s="999" t="s">
        <v>184</v>
      </c>
      <c r="D73" s="1001">
        <v>107.3</v>
      </c>
      <c r="E73" s="1003">
        <v>-4.0000000000006253E-2</v>
      </c>
      <c r="F73" s="1003">
        <v>25.4</v>
      </c>
      <c r="G73" s="1003">
        <v>25.4</v>
      </c>
      <c r="H73" s="1003">
        <v>0</v>
      </c>
      <c r="I73" s="1003">
        <v>0</v>
      </c>
      <c r="J73" s="1003">
        <v>0</v>
      </c>
      <c r="K73" s="1003">
        <v>0</v>
      </c>
      <c r="L73" s="1003">
        <v>0</v>
      </c>
      <c r="M73" s="1003">
        <v>0</v>
      </c>
      <c r="N73" s="1003">
        <v>0</v>
      </c>
      <c r="O73" s="1003">
        <v>0</v>
      </c>
      <c r="P73" s="1003">
        <v>0</v>
      </c>
      <c r="Q73" s="1003">
        <v>0</v>
      </c>
      <c r="R73" s="1003">
        <v>0</v>
      </c>
      <c r="S73" s="1003">
        <v>0</v>
      </c>
      <c r="T73" s="1003">
        <v>0</v>
      </c>
      <c r="U73" s="1003">
        <v>0</v>
      </c>
      <c r="V73" s="1003">
        <v>0</v>
      </c>
      <c r="W73" s="1003">
        <v>0</v>
      </c>
      <c r="X73" s="1003">
        <v>0</v>
      </c>
      <c r="Y73" s="1003">
        <v>0</v>
      </c>
    </row>
    <row r="74" spans="1:25" s="993" customFormat="1" ht="21.6" hidden="1" customHeight="1">
      <c r="A74" s="999">
        <v>9</v>
      </c>
      <c r="B74" s="1000" t="s">
        <v>179</v>
      </c>
      <c r="C74" s="999" t="s">
        <v>185</v>
      </c>
      <c r="D74" s="1001">
        <v>63.2</v>
      </c>
      <c r="E74" s="1003">
        <v>8.86</v>
      </c>
      <c r="F74" s="1003">
        <v>20.28</v>
      </c>
      <c r="G74" s="1003">
        <v>0.6</v>
      </c>
      <c r="H74" s="1003">
        <v>0</v>
      </c>
      <c r="I74" s="1003">
        <v>0.05</v>
      </c>
      <c r="J74" s="1003">
        <v>1.27</v>
      </c>
      <c r="K74" s="1003">
        <v>0.44</v>
      </c>
      <c r="L74" s="1003">
        <v>0.17</v>
      </c>
      <c r="M74" s="1003">
        <v>0</v>
      </c>
      <c r="N74" s="1003">
        <v>0</v>
      </c>
      <c r="O74" s="1003">
        <v>0</v>
      </c>
      <c r="P74" s="1003">
        <v>0.15</v>
      </c>
      <c r="Q74" s="1003">
        <v>0</v>
      </c>
      <c r="R74" s="1003">
        <v>0</v>
      </c>
      <c r="S74" s="1003">
        <v>0</v>
      </c>
      <c r="T74" s="1003">
        <v>7.0000000000000007E-2</v>
      </c>
      <c r="U74" s="1003">
        <v>4.03</v>
      </c>
      <c r="V74" s="1003">
        <v>0.02</v>
      </c>
      <c r="W74" s="1003">
        <v>13.48</v>
      </c>
      <c r="X74" s="1003">
        <v>0</v>
      </c>
      <c r="Y74" s="1003">
        <v>0</v>
      </c>
    </row>
    <row r="75" spans="1:25" s="993" customFormat="1" ht="24.6" hidden="1" customHeight="1">
      <c r="A75" s="999">
        <v>10</v>
      </c>
      <c r="B75" s="1000" t="s">
        <v>212</v>
      </c>
      <c r="C75" s="999" t="s">
        <v>214</v>
      </c>
      <c r="D75" s="1001">
        <v>0</v>
      </c>
      <c r="E75" s="1004">
        <v>0</v>
      </c>
      <c r="F75" s="1003">
        <v>0</v>
      </c>
      <c r="G75" s="1003">
        <v>0</v>
      </c>
      <c r="H75" s="1003">
        <v>0</v>
      </c>
      <c r="I75" s="1003">
        <v>0</v>
      </c>
      <c r="J75" s="1003">
        <v>0</v>
      </c>
      <c r="K75" s="1003">
        <v>0</v>
      </c>
      <c r="L75" s="1003">
        <v>0</v>
      </c>
      <c r="M75" s="1003">
        <v>0</v>
      </c>
      <c r="N75" s="1003">
        <v>0</v>
      </c>
      <c r="O75" s="1003">
        <v>0</v>
      </c>
      <c r="P75" s="1003">
        <v>0</v>
      </c>
      <c r="Q75" s="1003">
        <v>0</v>
      </c>
      <c r="R75" s="1003">
        <v>0</v>
      </c>
      <c r="S75" s="1003">
        <v>0</v>
      </c>
      <c r="T75" s="1003">
        <v>0</v>
      </c>
      <c r="U75" s="1003">
        <v>0</v>
      </c>
      <c r="V75" s="1003">
        <v>0</v>
      </c>
      <c r="W75" s="1003">
        <v>0</v>
      </c>
      <c r="X75" s="1003">
        <v>0</v>
      </c>
      <c r="Y75" s="1003">
        <v>0</v>
      </c>
    </row>
    <row r="76" spans="1:25" s="993" customFormat="1" ht="28.7" hidden="1" customHeight="1">
      <c r="A76" s="999">
        <v>11</v>
      </c>
      <c r="B76" s="1000" t="s">
        <v>186</v>
      </c>
      <c r="C76" s="999" t="s">
        <v>199</v>
      </c>
      <c r="D76" s="1001">
        <v>1649.1</v>
      </c>
      <c r="E76" s="1001">
        <v>1.999999999998181E-2</v>
      </c>
      <c r="F76" s="1003">
        <v>1537.9000000000003</v>
      </c>
      <c r="G76" s="1003">
        <v>0</v>
      </c>
      <c r="H76" s="1003">
        <v>18.28</v>
      </c>
      <c r="I76" s="1003">
        <v>95.68</v>
      </c>
      <c r="J76" s="1003">
        <v>115.93</v>
      </c>
      <c r="K76" s="1003">
        <v>98.03</v>
      </c>
      <c r="L76" s="1003">
        <v>48.64</v>
      </c>
      <c r="M76" s="1003">
        <v>161.19999999999999</v>
      </c>
      <c r="N76" s="1003">
        <v>83.11</v>
      </c>
      <c r="O76" s="1003">
        <v>149.58000000000001</v>
      </c>
      <c r="P76" s="1003">
        <v>116.2</v>
      </c>
      <c r="Q76" s="1003">
        <v>85.52</v>
      </c>
      <c r="R76" s="1003">
        <v>67.92</v>
      </c>
      <c r="S76" s="1003">
        <v>86.21</v>
      </c>
      <c r="T76" s="1003">
        <v>74.41</v>
      </c>
      <c r="U76" s="1003">
        <v>58.55</v>
      </c>
      <c r="V76" s="1003">
        <v>75.98</v>
      </c>
      <c r="W76" s="1003">
        <v>82.14</v>
      </c>
      <c r="X76" s="1003">
        <v>57.6</v>
      </c>
      <c r="Y76" s="1003">
        <v>62.92</v>
      </c>
    </row>
    <row r="77" spans="1:25" s="993" customFormat="1" ht="33" hidden="1" customHeight="1">
      <c r="A77" s="999">
        <v>13</v>
      </c>
      <c r="B77" s="1000" t="s">
        <v>213</v>
      </c>
      <c r="C77" s="999" t="s">
        <v>215</v>
      </c>
      <c r="D77" s="1001"/>
      <c r="E77" s="1005"/>
      <c r="F77" s="1003">
        <v>0</v>
      </c>
      <c r="G77" s="1006"/>
      <c r="H77" s="1007"/>
      <c r="I77" s="1007"/>
      <c r="J77" s="1007"/>
      <c r="K77" s="1007"/>
      <c r="L77" s="1007"/>
      <c r="M77" s="1007"/>
      <c r="N77" s="1007"/>
      <c r="O77" s="1007"/>
      <c r="P77" s="1007"/>
      <c r="Q77" s="1007"/>
      <c r="R77" s="1007"/>
      <c r="S77" s="1007"/>
      <c r="T77" s="1007"/>
      <c r="U77" s="1007"/>
      <c r="V77" s="1007"/>
      <c r="W77" s="1007"/>
      <c r="X77" s="1007"/>
      <c r="Y77" s="1007"/>
    </row>
    <row r="78" spans="1:25" ht="16.5" customHeight="1">
      <c r="G78" s="293"/>
      <c r="H78" s="293"/>
      <c r="I78" s="293"/>
      <c r="J78" s="293"/>
      <c r="K78" s="293"/>
      <c r="L78" s="293"/>
      <c r="M78" s="293"/>
      <c r="N78" s="293"/>
    </row>
    <row r="80" spans="1:25" ht="16.5" customHeight="1">
      <c r="H80" s="293"/>
      <c r="I80" s="293"/>
      <c r="J80" s="293"/>
      <c r="K80" s="293"/>
      <c r="L80" s="293"/>
      <c r="M80" s="293"/>
      <c r="N80" s="293"/>
      <c r="O80" s="293"/>
      <c r="P80" s="293"/>
      <c r="Q80" s="293"/>
      <c r="R80" s="293"/>
      <c r="S80" s="293"/>
      <c r="T80" s="293"/>
      <c r="U80" s="293"/>
      <c r="V80" s="293"/>
      <c r="W80" s="293"/>
      <c r="X80" s="293"/>
      <c r="Y80" s="293"/>
    </row>
    <row r="83" spans="6:25" ht="16.5" customHeight="1">
      <c r="F83" s="293"/>
    </row>
    <row r="86" spans="6:25" ht="16.5" customHeight="1">
      <c r="H86" s="293"/>
    </row>
    <row r="88" spans="6:25" ht="16.5" customHeight="1">
      <c r="L88" s="293"/>
      <c r="M88" s="293"/>
      <c r="N88" s="293"/>
      <c r="O88" s="293"/>
      <c r="P88" s="293"/>
      <c r="Q88" s="293"/>
      <c r="R88" s="293"/>
      <c r="S88" s="293"/>
      <c r="T88" s="1011"/>
      <c r="U88" s="1011"/>
      <c r="V88" s="1011"/>
      <c r="W88" s="1011"/>
      <c r="X88" s="1011"/>
      <c r="Y88" s="1011"/>
    </row>
    <row r="92" spans="6:25" ht="16.5" customHeight="1">
      <c r="H92" s="1011"/>
    </row>
    <row r="93" spans="6:25" ht="16.5" customHeight="1">
      <c r="H93" s="1011"/>
    </row>
  </sheetData>
  <mergeCells count="12">
    <mergeCell ref="G5:Y5"/>
    <mergeCell ref="A1:B1"/>
    <mergeCell ref="A2:Y2"/>
    <mergeCell ref="A3:Y3"/>
    <mergeCell ref="A5:A6"/>
    <mergeCell ref="B5:B6"/>
    <mergeCell ref="C5:C6"/>
    <mergeCell ref="D5:D6"/>
    <mergeCell ref="E5:E6"/>
    <mergeCell ref="F5:F6"/>
    <mergeCell ref="X4:Y4"/>
    <mergeCell ref="V4:W4"/>
  </mergeCells>
  <phoneticPr fontId="107" type="noConversion"/>
  <conditionalFormatting sqref="A7:Y7">
    <cfRule type="cellIs" dxfId="67" priority="4" stopIfTrue="1" operator="equal">
      <formula>0</formula>
    </cfRule>
    <cfRule type="cellIs" dxfId="66" priority="5" stopIfTrue="1" operator="equal">
      <formula>0</formula>
    </cfRule>
  </conditionalFormatting>
  <conditionalFormatting sqref="B7:Y7">
    <cfRule type="cellIs" dxfId="65" priority="6" stopIfTrue="1" operator="equal">
      <formula>0</formula>
    </cfRule>
  </conditionalFormatting>
  <conditionalFormatting sqref="G57:K57">
    <cfRule type="cellIs" dxfId="64" priority="1" stopIfTrue="1" operator="equal">
      <formula>0</formula>
    </cfRule>
    <cfRule type="cellIs" dxfId="63" priority="2" stopIfTrue="1" operator="equal">
      <formula>0</formula>
    </cfRule>
    <cfRule type="cellIs" dxfId="62" priority="3" stopIfTrue="1" operator="equal">
      <formula>0</formula>
    </cfRule>
  </conditionalFormatting>
  <printOptions horizontalCentered="1"/>
  <pageMargins left="0.59055118110236227" right="0.27559055118110237" top="0.39370078740157483" bottom="0.31496062992125984" header="0" footer="0"/>
  <pageSetup paperSize="8" scale="8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36"/>
  <sheetViews>
    <sheetView showZeros="0" view="pageBreakPreview" zoomScaleNormal="55" zoomScaleSheetLayoutView="100" workbookViewId="0">
      <pane xSplit="4" ySplit="6" topLeftCell="K28" activePane="bottomRight" state="frozen"/>
      <selection activeCell="C23" sqref="C23"/>
      <selection pane="topRight" activeCell="C23" sqref="C23"/>
      <selection pane="bottomLeft" activeCell="C23" sqref="C23"/>
      <selection pane="bottomRight" activeCell="C23" sqref="C23"/>
    </sheetView>
  </sheetViews>
  <sheetFormatPr defaultColWidth="9" defaultRowHeight="12.75"/>
  <cols>
    <col min="1" max="1" width="5.125" style="289" customWidth="1"/>
    <col min="2" max="2" width="37.875" style="289" customWidth="1"/>
    <col min="3" max="3" width="10.625" style="289" customWidth="1"/>
    <col min="4" max="4" width="8.125" style="1010" customWidth="1"/>
    <col min="5" max="5" width="7.125" style="1010" customWidth="1"/>
    <col min="6" max="6" width="7.375" style="1010" customWidth="1"/>
    <col min="7" max="7" width="6.625" style="1010" customWidth="1"/>
    <col min="8" max="8" width="7" style="1010" customWidth="1"/>
    <col min="9" max="9" width="7.5" style="1010" customWidth="1"/>
    <col min="10" max="10" width="7" style="1010" customWidth="1"/>
    <col min="11" max="11" width="6.375" style="1010" customWidth="1"/>
    <col min="12" max="12" width="6.625" style="1010" customWidth="1"/>
    <col min="13" max="13" width="6.625" style="289" customWidth="1"/>
    <col min="14" max="14" width="7" style="289" customWidth="1"/>
    <col min="15" max="15" width="7.125" style="289" customWidth="1"/>
    <col min="16" max="16" width="6.375" style="289" bestFit="1" customWidth="1"/>
    <col min="17" max="17" width="7" style="289" bestFit="1" customWidth="1"/>
    <col min="18" max="18" width="7.125" style="289" customWidth="1"/>
    <col min="19" max="19" width="5.875" style="289" bestFit="1" customWidth="1"/>
    <col min="20" max="20" width="6.875" style="289" bestFit="1" customWidth="1"/>
    <col min="21" max="21" width="6.125" style="289" customWidth="1"/>
    <col min="22" max="22" width="7.125" style="289" customWidth="1"/>
    <col min="23" max="23" width="6.875" style="289" customWidth="1"/>
    <col min="24" max="16384" width="9" style="289"/>
  </cols>
  <sheetData>
    <row r="1" spans="1:23" s="282" customFormat="1" ht="20.45" customHeight="1">
      <c r="A1" s="1586" t="s">
        <v>262</v>
      </c>
      <c r="B1" s="1586"/>
      <c r="C1" s="281"/>
      <c r="D1" s="281"/>
      <c r="E1" s="281"/>
      <c r="F1" s="281"/>
      <c r="G1" s="281"/>
      <c r="H1" s="281"/>
      <c r="I1" s="281"/>
      <c r="J1" s="281"/>
      <c r="K1" s="281"/>
      <c r="L1" s="281"/>
      <c r="M1" s="281"/>
      <c r="N1" s="281"/>
      <c r="O1" s="281"/>
      <c r="P1" s="281"/>
      <c r="Q1" s="281"/>
      <c r="R1" s="281"/>
      <c r="S1" s="281"/>
      <c r="T1" s="281"/>
      <c r="U1" s="281"/>
      <c r="V1" s="281"/>
      <c r="W1" s="281"/>
    </row>
    <row r="2" spans="1:23" s="282" customFormat="1" ht="18.600000000000001" customHeight="1">
      <c r="A2" s="1588" t="s">
        <v>3030</v>
      </c>
      <c r="B2" s="1588"/>
      <c r="C2" s="1588"/>
      <c r="D2" s="1588"/>
      <c r="E2" s="1588"/>
      <c r="F2" s="1588"/>
      <c r="G2" s="1588"/>
      <c r="H2" s="1588"/>
      <c r="I2" s="1588"/>
      <c r="J2" s="1588"/>
      <c r="K2" s="1588"/>
      <c r="L2" s="1588"/>
      <c r="M2" s="1588"/>
      <c r="N2" s="1588"/>
      <c r="O2" s="1588"/>
      <c r="P2" s="1588"/>
      <c r="Q2" s="1588"/>
      <c r="R2" s="1588"/>
      <c r="S2" s="1588"/>
      <c r="T2" s="1588"/>
      <c r="U2" s="1588"/>
      <c r="V2" s="1588"/>
      <c r="W2" s="1588"/>
    </row>
    <row r="3" spans="1:23" s="282" customFormat="1" ht="20.45" hidden="1" customHeight="1">
      <c r="A3" s="1588"/>
      <c r="B3" s="1588"/>
      <c r="C3" s="1588"/>
      <c r="D3" s="1588"/>
      <c r="E3" s="1588"/>
      <c r="F3" s="1588"/>
      <c r="G3" s="1588"/>
      <c r="H3" s="1588"/>
      <c r="I3" s="1588"/>
      <c r="J3" s="1588"/>
      <c r="K3" s="1588"/>
      <c r="L3" s="1588"/>
      <c r="M3" s="1588"/>
      <c r="N3" s="1588"/>
      <c r="O3" s="1588"/>
      <c r="P3" s="1588"/>
      <c r="Q3" s="1588"/>
      <c r="R3" s="1588"/>
      <c r="S3" s="1588"/>
      <c r="T3" s="1588"/>
      <c r="U3" s="1588"/>
      <c r="V3" s="1588"/>
      <c r="W3" s="1588"/>
    </row>
    <row r="4" spans="1:23" s="957" customFormat="1" ht="18.600000000000001" customHeight="1">
      <c r="B4" s="1477"/>
      <c r="C4" s="1477"/>
      <c r="D4" s="1477"/>
      <c r="E4" s="1477"/>
      <c r="F4" s="1477"/>
      <c r="G4" s="1477"/>
      <c r="H4" s="1477"/>
      <c r="I4" s="1477"/>
      <c r="J4" s="1477"/>
      <c r="K4" s="1477"/>
      <c r="L4" s="1477"/>
      <c r="M4" s="1477"/>
      <c r="N4" s="1477"/>
      <c r="O4" s="1477"/>
      <c r="P4" s="1477"/>
      <c r="Q4" s="1477"/>
      <c r="R4" s="1477"/>
      <c r="S4" s="1477"/>
      <c r="T4" s="1477"/>
      <c r="U4" s="1477"/>
      <c r="V4" s="1590" t="s">
        <v>0</v>
      </c>
      <c r="W4" s="1590"/>
    </row>
    <row r="5" spans="1:23" s="287" customFormat="1" ht="18" customHeight="1">
      <c r="A5" s="1589" t="s">
        <v>1</v>
      </c>
      <c r="B5" s="1589" t="s">
        <v>175</v>
      </c>
      <c r="C5" s="1589" t="s">
        <v>172</v>
      </c>
      <c r="D5" s="1584" t="s">
        <v>146</v>
      </c>
      <c r="E5" s="1545" t="s">
        <v>2836</v>
      </c>
      <c r="F5" s="1545"/>
      <c r="G5" s="1545"/>
      <c r="H5" s="1545"/>
      <c r="I5" s="1545"/>
      <c r="J5" s="1545"/>
      <c r="K5" s="1545"/>
      <c r="L5" s="1545"/>
      <c r="M5" s="1545"/>
      <c r="N5" s="1545"/>
      <c r="O5" s="1545"/>
      <c r="P5" s="1545"/>
      <c r="Q5" s="1545"/>
      <c r="R5" s="1545"/>
      <c r="S5" s="1545"/>
      <c r="T5" s="1545"/>
      <c r="U5" s="1545"/>
      <c r="V5" s="1545"/>
      <c r="W5" s="1545"/>
    </row>
    <row r="6" spans="1:23" s="287" customFormat="1" ht="51.6" customHeight="1">
      <c r="A6" s="1589"/>
      <c r="B6" s="1589"/>
      <c r="C6" s="1589"/>
      <c r="D6" s="1584"/>
      <c r="E6" s="1013" t="s">
        <v>3010</v>
      </c>
      <c r="F6" s="1013" t="s">
        <v>3011</v>
      </c>
      <c r="G6" s="1013" t="s">
        <v>3012</v>
      </c>
      <c r="H6" s="1013" t="s">
        <v>3013</v>
      </c>
      <c r="I6" s="1013" t="s">
        <v>3014</v>
      </c>
      <c r="J6" s="1013" t="s">
        <v>3015</v>
      </c>
      <c r="K6" s="1013" t="s">
        <v>3016</v>
      </c>
      <c r="L6" s="1013" t="s">
        <v>3017</v>
      </c>
      <c r="M6" s="1013" t="s">
        <v>3018</v>
      </c>
      <c r="N6" s="1013" t="s">
        <v>3019</v>
      </c>
      <c r="O6" s="1013" t="s">
        <v>3020</v>
      </c>
      <c r="P6" s="1013" t="s">
        <v>3021</v>
      </c>
      <c r="Q6" s="1013" t="s">
        <v>3022</v>
      </c>
      <c r="R6" s="1013" t="s">
        <v>3023</v>
      </c>
      <c r="S6" s="1013" t="s">
        <v>3024</v>
      </c>
      <c r="T6" s="1013" t="s">
        <v>3025</v>
      </c>
      <c r="U6" s="1013" t="s">
        <v>3026</v>
      </c>
      <c r="V6" s="1013" t="s">
        <v>3027</v>
      </c>
      <c r="W6" s="1013" t="s">
        <v>3028</v>
      </c>
    </row>
    <row r="7" spans="1:23" s="295" customFormat="1" ht="31.5" customHeight="1">
      <c r="A7" s="288">
        <v>-1</v>
      </c>
      <c r="B7" s="288">
        <v>-2</v>
      </c>
      <c r="C7" s="288">
        <v>-3</v>
      </c>
      <c r="D7" s="288" t="s">
        <v>3035</v>
      </c>
      <c r="E7" s="288">
        <v>-5</v>
      </c>
      <c r="F7" s="288">
        <v>-6</v>
      </c>
      <c r="G7" s="288">
        <v>-7</v>
      </c>
      <c r="H7" s="288">
        <v>-8</v>
      </c>
      <c r="I7" s="288">
        <v>-9</v>
      </c>
      <c r="J7" s="288">
        <v>-10</v>
      </c>
      <c r="K7" s="288">
        <v>-11</v>
      </c>
      <c r="L7" s="288">
        <v>-12</v>
      </c>
      <c r="M7" s="288">
        <v>-13</v>
      </c>
      <c r="N7" s="288">
        <v>-14</v>
      </c>
      <c r="O7" s="288">
        <v>-15</v>
      </c>
      <c r="P7" s="288">
        <v>-16</v>
      </c>
      <c r="Q7" s="288">
        <v>-17</v>
      </c>
      <c r="R7" s="288">
        <v>-18</v>
      </c>
      <c r="S7" s="288">
        <v>-19</v>
      </c>
      <c r="T7" s="288">
        <v>-20</v>
      </c>
      <c r="U7" s="288">
        <v>-21</v>
      </c>
      <c r="V7" s="288">
        <v>-22</v>
      </c>
      <c r="W7" s="288">
        <v>-23</v>
      </c>
    </row>
    <row r="8" spans="1:23" s="964" customFormat="1" ht="32.1" customHeight="1">
      <c r="A8" s="967">
        <v>1</v>
      </c>
      <c r="B8" s="1478" t="s">
        <v>148</v>
      </c>
      <c r="C8" s="1479" t="s">
        <v>149</v>
      </c>
      <c r="D8" s="1480">
        <v>134.42135000000002</v>
      </c>
      <c r="E8" s="1480">
        <v>17.335349999999998</v>
      </c>
      <c r="F8" s="1480">
        <v>0.63</v>
      </c>
      <c r="G8" s="1480">
        <v>4.8600000000000003</v>
      </c>
      <c r="H8" s="1480">
        <v>2.3360000000000003</v>
      </c>
      <c r="I8" s="1480">
        <v>2.21</v>
      </c>
      <c r="J8" s="1480">
        <v>7.49</v>
      </c>
      <c r="K8" s="1480">
        <v>2.5700000000000003</v>
      </c>
      <c r="L8" s="1480">
        <v>1.2500000000000002</v>
      </c>
      <c r="M8" s="1480">
        <v>10.62</v>
      </c>
      <c r="N8" s="1480">
        <v>1.06</v>
      </c>
      <c r="O8" s="1480">
        <v>23.970000000000002</v>
      </c>
      <c r="P8" s="1480">
        <v>7.84</v>
      </c>
      <c r="Q8" s="1480">
        <v>6.6900000000000013</v>
      </c>
      <c r="R8" s="1480">
        <v>30.07</v>
      </c>
      <c r="S8" s="1480">
        <v>0.56000000000000005</v>
      </c>
      <c r="T8" s="1480">
        <v>1.34</v>
      </c>
      <c r="U8" s="1480">
        <v>5.44</v>
      </c>
      <c r="V8" s="1480">
        <v>0.71</v>
      </c>
      <c r="W8" s="1480">
        <v>7.4399999999999995</v>
      </c>
    </row>
    <row r="9" spans="1:23" s="964" customFormat="1" ht="18.600000000000001" customHeight="1">
      <c r="A9" s="967"/>
      <c r="B9" s="978" t="s">
        <v>190</v>
      </c>
      <c r="C9" s="1479"/>
      <c r="D9" s="1480"/>
      <c r="E9" s="1480"/>
      <c r="F9" s="1480"/>
      <c r="G9" s="1480"/>
      <c r="H9" s="1480"/>
      <c r="I9" s="1480"/>
      <c r="J9" s="1480"/>
      <c r="K9" s="1480"/>
      <c r="L9" s="1480"/>
      <c r="M9" s="1480"/>
      <c r="N9" s="1480"/>
      <c r="O9" s="1480"/>
      <c r="P9" s="1480"/>
      <c r="Q9" s="1481"/>
      <c r="R9" s="1480"/>
      <c r="S9" s="1480"/>
      <c r="T9" s="1480"/>
      <c r="U9" s="1480"/>
      <c r="V9" s="1480"/>
      <c r="W9" s="1480"/>
    </row>
    <row r="10" spans="1:23" ht="21.75" customHeight="1">
      <c r="A10" s="284" t="s">
        <v>6</v>
      </c>
      <c r="B10" s="976" t="s">
        <v>85</v>
      </c>
      <c r="C10" s="1482" t="s">
        <v>150</v>
      </c>
      <c r="D10" s="1483">
        <v>21.533849999999997</v>
      </c>
      <c r="E10" s="1483">
        <v>6.9238499999999981</v>
      </c>
      <c r="F10" s="1483">
        <v>0.15</v>
      </c>
      <c r="G10" s="1483">
        <v>0.34</v>
      </c>
      <c r="H10" s="1483">
        <v>1.1600000000000001</v>
      </c>
      <c r="I10" s="1483">
        <v>0.35</v>
      </c>
      <c r="J10" s="1483">
        <v>2.3200000000000003</v>
      </c>
      <c r="K10" s="1483">
        <v>0.38</v>
      </c>
      <c r="L10" s="1483">
        <v>0.45</v>
      </c>
      <c r="M10" s="1483">
        <v>0.8</v>
      </c>
      <c r="N10" s="1483">
        <v>0.36</v>
      </c>
      <c r="O10" s="1483">
        <v>1.25</v>
      </c>
      <c r="P10" s="1483">
        <v>1.3</v>
      </c>
      <c r="Q10" s="1483">
        <v>0.62000000000000011</v>
      </c>
      <c r="R10" s="1483">
        <v>2.87</v>
      </c>
      <c r="S10" s="1483">
        <v>0.15</v>
      </c>
      <c r="T10" s="1483">
        <v>0.51</v>
      </c>
      <c r="U10" s="1483">
        <v>0.56000000000000005</v>
      </c>
      <c r="V10" s="1483">
        <v>0.02</v>
      </c>
      <c r="W10" s="1483">
        <v>1.02</v>
      </c>
    </row>
    <row r="11" spans="1:23" s="290" customFormat="1" ht="21.75" customHeight="1">
      <c r="A11" s="972"/>
      <c r="B11" s="978" t="s">
        <v>2746</v>
      </c>
      <c r="C11" s="1484" t="s">
        <v>152</v>
      </c>
      <c r="D11" s="1485">
        <v>15.123850000000001</v>
      </c>
      <c r="E11" s="1485">
        <v>6.6638499999999983</v>
      </c>
      <c r="F11" s="1485">
        <v>0.15</v>
      </c>
      <c r="G11" s="1485">
        <v>0.30000000000000004</v>
      </c>
      <c r="H11" s="1485">
        <v>1.06</v>
      </c>
      <c r="I11" s="1485">
        <v>0.2</v>
      </c>
      <c r="J11" s="1485">
        <v>1.4100000000000001</v>
      </c>
      <c r="K11" s="1485">
        <v>0.38</v>
      </c>
      <c r="L11" s="1485">
        <v>0.39</v>
      </c>
      <c r="M11" s="1485">
        <v>0.35</v>
      </c>
      <c r="N11" s="1485">
        <v>0.17</v>
      </c>
      <c r="O11" s="1485">
        <v>0.84000000000000008</v>
      </c>
      <c r="P11" s="1485">
        <v>0.95</v>
      </c>
      <c r="Q11" s="1485">
        <v>0.3</v>
      </c>
      <c r="R11" s="1485">
        <v>0.38</v>
      </c>
      <c r="S11" s="1485">
        <v>0.15</v>
      </c>
      <c r="T11" s="1485">
        <v>0.32000000000000006</v>
      </c>
      <c r="U11" s="1485">
        <v>0.21000000000000002</v>
      </c>
      <c r="V11" s="1485">
        <v>0.01</v>
      </c>
      <c r="W11" s="1485">
        <v>0.89</v>
      </c>
    </row>
    <row r="12" spans="1:23" ht="21.75" customHeight="1">
      <c r="A12" s="284" t="s">
        <v>9</v>
      </c>
      <c r="B12" s="976" t="s">
        <v>2747</v>
      </c>
      <c r="C12" s="1482" t="s">
        <v>153</v>
      </c>
      <c r="D12" s="1483">
        <v>26.0075</v>
      </c>
      <c r="E12" s="1483">
        <v>3.8515000000000001</v>
      </c>
      <c r="F12" s="1483">
        <v>0.16</v>
      </c>
      <c r="G12" s="1483">
        <v>0.48</v>
      </c>
      <c r="H12" s="1483">
        <v>0.57600000000000007</v>
      </c>
      <c r="I12" s="1483">
        <v>0.22</v>
      </c>
      <c r="J12" s="1483">
        <v>1.71</v>
      </c>
      <c r="K12" s="1483">
        <v>0.23000000000000004</v>
      </c>
      <c r="L12" s="1483">
        <v>0.16</v>
      </c>
      <c r="M12" s="1483">
        <v>0.52</v>
      </c>
      <c r="N12" s="1483">
        <v>0.18000000000000002</v>
      </c>
      <c r="O12" s="1483">
        <v>1.08</v>
      </c>
      <c r="P12" s="1483">
        <v>0.69</v>
      </c>
      <c r="Q12" s="1483">
        <v>0.9900000000000001</v>
      </c>
      <c r="R12" s="1483">
        <v>13.13</v>
      </c>
      <c r="S12" s="1483">
        <v>0.10999999999999999</v>
      </c>
      <c r="T12" s="1483">
        <v>0.30000000000000004</v>
      </c>
      <c r="U12" s="1483">
        <v>0.66</v>
      </c>
      <c r="V12" s="1483">
        <v>0.23</v>
      </c>
      <c r="W12" s="1483">
        <v>0.73</v>
      </c>
    </row>
    <row r="13" spans="1:23" ht="21.75" customHeight="1">
      <c r="A13" s="284" t="s">
        <v>11</v>
      </c>
      <c r="B13" s="976" t="s">
        <v>60</v>
      </c>
      <c r="C13" s="1482" t="s">
        <v>154</v>
      </c>
      <c r="D13" s="1483">
        <v>13.584999999999999</v>
      </c>
      <c r="E13" s="1483">
        <v>2.39</v>
      </c>
      <c r="F13" s="1483">
        <v>0.13</v>
      </c>
      <c r="G13" s="1483">
        <v>0.46</v>
      </c>
      <c r="H13" s="1483">
        <v>0.28500000000000003</v>
      </c>
      <c r="I13" s="1483">
        <v>0.46</v>
      </c>
      <c r="J13" s="1483">
        <v>0.93</v>
      </c>
      <c r="K13" s="1483">
        <v>0.36</v>
      </c>
      <c r="L13" s="1483">
        <v>0.14000000000000001</v>
      </c>
      <c r="M13" s="1483">
        <v>0.79</v>
      </c>
      <c r="N13" s="1483">
        <v>0.21000000000000002</v>
      </c>
      <c r="O13" s="1483">
        <v>1.38</v>
      </c>
      <c r="P13" s="1483">
        <v>1.19</v>
      </c>
      <c r="Q13" s="1483">
        <v>0.6100000000000001</v>
      </c>
      <c r="R13" s="1483">
        <v>1.21</v>
      </c>
      <c r="S13" s="1483">
        <v>0.23</v>
      </c>
      <c r="T13" s="1483">
        <v>0.36000000000000004</v>
      </c>
      <c r="U13" s="1483">
        <v>1.2800000000000002</v>
      </c>
      <c r="V13" s="1483">
        <v>9.0000000000000011E-2</v>
      </c>
      <c r="W13" s="1483">
        <v>1.0799999999999996</v>
      </c>
    </row>
    <row r="14" spans="1:23" ht="21.75" customHeight="1">
      <c r="A14" s="284" t="s">
        <v>13</v>
      </c>
      <c r="B14" s="976" t="s">
        <v>61</v>
      </c>
      <c r="C14" s="1482" t="s">
        <v>155</v>
      </c>
      <c r="D14" s="1483">
        <v>0</v>
      </c>
      <c r="E14" s="1483">
        <v>0</v>
      </c>
      <c r="F14" s="1483">
        <v>0</v>
      </c>
      <c r="G14" s="1483">
        <v>0</v>
      </c>
      <c r="H14" s="1483">
        <v>0</v>
      </c>
      <c r="I14" s="1483">
        <v>0</v>
      </c>
      <c r="J14" s="1483">
        <v>0</v>
      </c>
      <c r="K14" s="1483">
        <v>0</v>
      </c>
      <c r="L14" s="1483">
        <v>0</v>
      </c>
      <c r="M14" s="1483">
        <v>0</v>
      </c>
      <c r="N14" s="1483">
        <v>0</v>
      </c>
      <c r="O14" s="1483">
        <v>0</v>
      </c>
      <c r="P14" s="1483">
        <v>0</v>
      </c>
      <c r="Q14" s="1483">
        <v>0</v>
      </c>
      <c r="R14" s="1483">
        <v>0</v>
      </c>
      <c r="S14" s="1483">
        <v>0</v>
      </c>
      <c r="T14" s="1483">
        <v>0</v>
      </c>
      <c r="U14" s="1483">
        <v>0</v>
      </c>
      <c r="V14" s="1483">
        <v>0</v>
      </c>
      <c r="W14" s="1483">
        <v>0</v>
      </c>
    </row>
    <row r="15" spans="1:23" s="290" customFormat="1" ht="21.75" customHeight="1">
      <c r="A15" s="284" t="s">
        <v>15</v>
      </c>
      <c r="B15" s="976" t="s">
        <v>62</v>
      </c>
      <c r="C15" s="284" t="s">
        <v>156</v>
      </c>
      <c r="D15" s="1483">
        <v>0</v>
      </c>
      <c r="E15" s="1483">
        <v>0</v>
      </c>
      <c r="F15" s="1483">
        <v>0</v>
      </c>
      <c r="G15" s="1483">
        <v>0</v>
      </c>
      <c r="H15" s="1483">
        <v>0</v>
      </c>
      <c r="I15" s="1483">
        <v>0</v>
      </c>
      <c r="J15" s="1483">
        <v>0</v>
      </c>
      <c r="K15" s="1483">
        <v>0</v>
      </c>
      <c r="L15" s="1483">
        <v>0</v>
      </c>
      <c r="M15" s="1483">
        <v>0</v>
      </c>
      <c r="N15" s="1483">
        <v>0</v>
      </c>
      <c r="O15" s="1483">
        <v>0</v>
      </c>
      <c r="P15" s="1483">
        <v>0</v>
      </c>
      <c r="Q15" s="1483">
        <v>0</v>
      </c>
      <c r="R15" s="1483">
        <v>0</v>
      </c>
      <c r="S15" s="1483">
        <v>0</v>
      </c>
      <c r="T15" s="1483">
        <v>0</v>
      </c>
      <c r="U15" s="1483">
        <v>0</v>
      </c>
      <c r="V15" s="1483">
        <v>0</v>
      </c>
      <c r="W15" s="1483">
        <v>0</v>
      </c>
    </row>
    <row r="16" spans="1:23" ht="21.75" customHeight="1">
      <c r="A16" s="284" t="s">
        <v>64</v>
      </c>
      <c r="B16" s="976" t="s">
        <v>63</v>
      </c>
      <c r="C16" s="284" t="s">
        <v>157</v>
      </c>
      <c r="D16" s="1483">
        <v>70.204999999999984</v>
      </c>
      <c r="E16" s="1483">
        <v>3.48</v>
      </c>
      <c r="F16" s="1483">
        <v>0.19</v>
      </c>
      <c r="G16" s="1483">
        <v>3.58</v>
      </c>
      <c r="H16" s="1483">
        <v>0.23500000000000001</v>
      </c>
      <c r="I16" s="1483">
        <v>1.06</v>
      </c>
      <c r="J16" s="1483">
        <v>2.21</v>
      </c>
      <c r="K16" s="1483">
        <v>1.58</v>
      </c>
      <c r="L16" s="1483">
        <v>0.41000000000000003</v>
      </c>
      <c r="M16" s="1483">
        <v>8.4099999999999984</v>
      </c>
      <c r="N16" s="1483">
        <v>0.19</v>
      </c>
      <c r="O16" s="1483">
        <v>19.75</v>
      </c>
      <c r="P16" s="1483">
        <v>4.41</v>
      </c>
      <c r="Q16" s="1483">
        <v>4.4700000000000006</v>
      </c>
      <c r="R16" s="1483">
        <v>12.79</v>
      </c>
      <c r="S16" s="1483">
        <v>0.05</v>
      </c>
      <c r="T16" s="1483">
        <v>0.16999999999999998</v>
      </c>
      <c r="U16" s="1483">
        <v>2.7600000000000002</v>
      </c>
      <c r="V16" s="1483">
        <v>0.35</v>
      </c>
      <c r="W16" s="1483">
        <v>4.1099999999999994</v>
      </c>
    </row>
    <row r="17" spans="1:23" s="290" customFormat="1" ht="33" customHeight="1">
      <c r="A17" s="972"/>
      <c r="B17" s="978" t="s">
        <v>198</v>
      </c>
      <c r="C17" s="972" t="s">
        <v>197</v>
      </c>
      <c r="D17" s="1485">
        <v>0</v>
      </c>
      <c r="E17" s="1485">
        <v>0</v>
      </c>
      <c r="F17" s="1485">
        <v>0</v>
      </c>
      <c r="G17" s="1485">
        <v>0</v>
      </c>
      <c r="H17" s="1485">
        <v>0</v>
      </c>
      <c r="I17" s="1485">
        <v>0</v>
      </c>
      <c r="J17" s="1485">
        <v>0</v>
      </c>
      <c r="K17" s="1485">
        <v>0</v>
      </c>
      <c r="L17" s="1485">
        <v>0</v>
      </c>
      <c r="M17" s="1485">
        <v>0</v>
      </c>
      <c r="N17" s="1485">
        <v>0</v>
      </c>
      <c r="O17" s="1485">
        <v>0</v>
      </c>
      <c r="P17" s="1485">
        <v>0</v>
      </c>
      <c r="Q17" s="1485">
        <v>0</v>
      </c>
      <c r="R17" s="1485">
        <v>0</v>
      </c>
      <c r="S17" s="1485">
        <v>0</v>
      </c>
      <c r="T17" s="1485">
        <v>0</v>
      </c>
      <c r="U17" s="1485">
        <v>0</v>
      </c>
      <c r="V17" s="1485">
        <v>0</v>
      </c>
      <c r="W17" s="1485">
        <v>0</v>
      </c>
    </row>
    <row r="18" spans="1:23" ht="18.95" customHeight="1">
      <c r="A18" s="284" t="s">
        <v>73</v>
      </c>
      <c r="B18" s="976" t="s">
        <v>72</v>
      </c>
      <c r="C18" s="284" t="s">
        <v>158</v>
      </c>
      <c r="D18" s="1483">
        <v>3.09</v>
      </c>
      <c r="E18" s="1483">
        <v>0.69000000000000006</v>
      </c>
      <c r="F18" s="1483">
        <v>0</v>
      </c>
      <c r="G18" s="1483">
        <v>0</v>
      </c>
      <c r="H18" s="1483">
        <v>0.08</v>
      </c>
      <c r="I18" s="1483">
        <v>0.12000000000000001</v>
      </c>
      <c r="J18" s="1483">
        <v>0.32</v>
      </c>
      <c r="K18" s="1483">
        <v>0.02</v>
      </c>
      <c r="L18" s="1483">
        <v>0.09</v>
      </c>
      <c r="M18" s="1483">
        <v>0.1</v>
      </c>
      <c r="N18" s="1483">
        <v>0.12</v>
      </c>
      <c r="O18" s="1483">
        <v>0.51</v>
      </c>
      <c r="P18" s="1483">
        <v>0.24999999999999997</v>
      </c>
      <c r="Q18" s="1483">
        <v>0</v>
      </c>
      <c r="R18" s="1483">
        <v>7.0000000000000007E-2</v>
      </c>
      <c r="S18" s="1483">
        <v>0.02</v>
      </c>
      <c r="T18" s="1483">
        <v>0</v>
      </c>
      <c r="U18" s="1483">
        <v>0.18</v>
      </c>
      <c r="V18" s="1483">
        <v>0.02</v>
      </c>
      <c r="W18" s="1483">
        <v>0.5</v>
      </c>
    </row>
    <row r="19" spans="1:23" ht="25.35" hidden="1" customHeight="1">
      <c r="A19" s="284" t="s">
        <v>86</v>
      </c>
      <c r="B19" s="976" t="s">
        <v>2749</v>
      </c>
      <c r="C19" s="284" t="s">
        <v>2752</v>
      </c>
      <c r="D19" s="1483">
        <v>0</v>
      </c>
      <c r="E19" s="1483">
        <v>0</v>
      </c>
      <c r="F19" s="1483">
        <v>0</v>
      </c>
      <c r="G19" s="1483">
        <v>0</v>
      </c>
      <c r="H19" s="1483">
        <v>0</v>
      </c>
      <c r="I19" s="1483">
        <v>0</v>
      </c>
      <c r="J19" s="1483">
        <v>0</v>
      </c>
      <c r="K19" s="1483">
        <v>0</v>
      </c>
      <c r="L19" s="1483">
        <v>0</v>
      </c>
      <c r="M19" s="1483">
        <v>0</v>
      </c>
      <c r="N19" s="1483">
        <v>0</v>
      </c>
      <c r="O19" s="1483">
        <v>0</v>
      </c>
      <c r="P19" s="1483">
        <v>0</v>
      </c>
      <c r="Q19" s="1483">
        <v>0</v>
      </c>
      <c r="R19" s="1483">
        <v>0</v>
      </c>
      <c r="S19" s="1483">
        <v>0</v>
      </c>
      <c r="T19" s="1483">
        <v>0</v>
      </c>
      <c r="U19" s="1483">
        <v>0</v>
      </c>
      <c r="V19" s="1483">
        <v>0</v>
      </c>
      <c r="W19" s="1483">
        <v>0</v>
      </c>
    </row>
    <row r="20" spans="1:23" s="290" customFormat="1" ht="20.45" customHeight="1">
      <c r="A20" s="284" t="s">
        <v>86</v>
      </c>
      <c r="B20" s="286" t="s">
        <v>89</v>
      </c>
      <c r="C20" s="284" t="s">
        <v>159</v>
      </c>
      <c r="D20" s="1483">
        <v>0</v>
      </c>
      <c r="E20" s="1483">
        <v>0</v>
      </c>
      <c r="F20" s="1483">
        <v>0</v>
      </c>
      <c r="G20" s="1483">
        <v>0</v>
      </c>
      <c r="H20" s="1483">
        <v>0</v>
      </c>
      <c r="I20" s="1483">
        <v>0</v>
      </c>
      <c r="J20" s="1483">
        <v>0</v>
      </c>
      <c r="K20" s="1483">
        <v>0</v>
      </c>
      <c r="L20" s="1483">
        <v>0</v>
      </c>
      <c r="M20" s="1483">
        <v>0</v>
      </c>
      <c r="N20" s="1483">
        <v>0</v>
      </c>
      <c r="O20" s="1483">
        <v>0</v>
      </c>
      <c r="P20" s="1483">
        <v>0</v>
      </c>
      <c r="Q20" s="1483">
        <v>0</v>
      </c>
      <c r="R20" s="1483">
        <v>0</v>
      </c>
      <c r="S20" s="1483">
        <v>0</v>
      </c>
      <c r="T20" s="1483">
        <v>0</v>
      </c>
      <c r="U20" s="1483">
        <v>0</v>
      </c>
      <c r="V20" s="1483">
        <v>0</v>
      </c>
      <c r="W20" s="1483">
        <v>0</v>
      </c>
    </row>
    <row r="21" spans="1:23" s="290" customFormat="1" ht="35.450000000000003" customHeight="1">
      <c r="A21" s="967">
        <v>2</v>
      </c>
      <c r="B21" s="1478" t="s">
        <v>192</v>
      </c>
      <c r="C21" s="967"/>
      <c r="D21" s="1480">
        <v>12.68</v>
      </c>
      <c r="E21" s="1480">
        <v>1.1499999999999999</v>
      </c>
      <c r="F21" s="1480">
        <v>0</v>
      </c>
      <c r="G21" s="1486">
        <v>0</v>
      </c>
      <c r="H21" s="1480">
        <v>0</v>
      </c>
      <c r="I21" s="1480">
        <v>0</v>
      </c>
      <c r="J21" s="1480">
        <v>3.73</v>
      </c>
      <c r="K21" s="1480">
        <v>0.6</v>
      </c>
      <c r="L21" s="1480">
        <v>0</v>
      </c>
      <c r="M21" s="1480">
        <v>0</v>
      </c>
      <c r="N21" s="1480">
        <v>0</v>
      </c>
      <c r="O21" s="1480">
        <v>0</v>
      </c>
      <c r="P21" s="1480">
        <v>7.2</v>
      </c>
      <c r="Q21" s="1480">
        <v>0</v>
      </c>
      <c r="R21" s="1480">
        <v>0</v>
      </c>
      <c r="S21" s="1480">
        <v>0</v>
      </c>
      <c r="T21" s="1480">
        <v>0</v>
      </c>
      <c r="U21" s="1480">
        <v>0</v>
      </c>
      <c r="V21" s="1480">
        <v>0</v>
      </c>
      <c r="W21" s="1480">
        <v>0</v>
      </c>
    </row>
    <row r="22" spans="1:23" s="290" customFormat="1" ht="18.600000000000001" customHeight="1">
      <c r="A22" s="972"/>
      <c r="B22" s="978" t="s">
        <v>190</v>
      </c>
      <c r="C22" s="972"/>
      <c r="D22" s="1485"/>
      <c r="E22" s="1485"/>
      <c r="F22" s="1485"/>
      <c r="G22" s="1485"/>
      <c r="H22" s="1485"/>
      <c r="I22" s="1485"/>
      <c r="J22" s="1485"/>
      <c r="K22" s="1485"/>
      <c r="L22" s="1485"/>
      <c r="M22" s="1485"/>
      <c r="N22" s="1485"/>
      <c r="O22" s="1485"/>
      <c r="P22" s="1485"/>
      <c r="Q22" s="1485"/>
      <c r="R22" s="1485"/>
      <c r="S22" s="1485"/>
      <c r="T22" s="1485"/>
      <c r="U22" s="1485"/>
      <c r="V22" s="1485"/>
      <c r="W22" s="1485"/>
    </row>
    <row r="23" spans="1:23" s="290" customFormat="1" ht="39" customHeight="1">
      <c r="A23" s="972" t="s">
        <v>23</v>
      </c>
      <c r="B23" s="976" t="s">
        <v>2861</v>
      </c>
      <c r="C23" s="284" t="s">
        <v>2862</v>
      </c>
      <c r="D23" s="1483">
        <v>0</v>
      </c>
      <c r="E23" s="1456">
        <v>0</v>
      </c>
      <c r="F23" s="1456">
        <v>0</v>
      </c>
      <c r="G23" s="1456">
        <v>0</v>
      </c>
      <c r="H23" s="1456">
        <v>0</v>
      </c>
      <c r="I23" s="1456">
        <v>0</v>
      </c>
      <c r="J23" s="1456">
        <v>0</v>
      </c>
      <c r="K23" s="1456">
        <v>0</v>
      </c>
      <c r="L23" s="1456">
        <v>0</v>
      </c>
      <c r="M23" s="1456">
        <v>0</v>
      </c>
      <c r="N23" s="1456">
        <v>0</v>
      </c>
      <c r="O23" s="1456">
        <v>0</v>
      </c>
      <c r="P23" s="1456">
        <v>0</v>
      </c>
      <c r="Q23" s="1456">
        <v>0</v>
      </c>
      <c r="R23" s="1456">
        <v>0</v>
      </c>
      <c r="S23" s="1456">
        <v>0</v>
      </c>
      <c r="T23" s="1456">
        <v>0</v>
      </c>
      <c r="U23" s="1456">
        <v>0</v>
      </c>
      <c r="V23" s="1456">
        <v>0</v>
      </c>
      <c r="W23" s="1456">
        <v>0</v>
      </c>
    </row>
    <row r="24" spans="1:23" ht="20.100000000000001" customHeight="1">
      <c r="A24" s="284" t="s">
        <v>25</v>
      </c>
      <c r="B24" s="976" t="s">
        <v>160</v>
      </c>
      <c r="C24" s="284" t="s">
        <v>161</v>
      </c>
      <c r="D24" s="1483">
        <v>0</v>
      </c>
      <c r="E24" s="1483">
        <v>0</v>
      </c>
      <c r="F24" s="1483">
        <v>0</v>
      </c>
      <c r="G24" s="1483">
        <v>0</v>
      </c>
      <c r="H24" s="1483">
        <v>0</v>
      </c>
      <c r="I24" s="1483">
        <v>0</v>
      </c>
      <c r="J24" s="1483">
        <v>0</v>
      </c>
      <c r="K24" s="1483">
        <v>0</v>
      </c>
      <c r="L24" s="1483">
        <v>0</v>
      </c>
      <c r="M24" s="1483">
        <v>0</v>
      </c>
      <c r="N24" s="1483">
        <v>0</v>
      </c>
      <c r="O24" s="1483">
        <v>0</v>
      </c>
      <c r="P24" s="1483">
        <v>0</v>
      </c>
      <c r="Q24" s="1483">
        <v>0</v>
      </c>
      <c r="R24" s="1483">
        <v>0</v>
      </c>
      <c r="S24" s="1483">
        <v>0</v>
      </c>
      <c r="T24" s="1483">
        <v>0</v>
      </c>
      <c r="U24" s="1483">
        <v>0</v>
      </c>
      <c r="V24" s="1483">
        <v>0</v>
      </c>
      <c r="W24" s="1483">
        <v>0</v>
      </c>
    </row>
    <row r="25" spans="1:23" ht="21.6" customHeight="1">
      <c r="A25" s="284" t="s">
        <v>27</v>
      </c>
      <c r="B25" s="976" t="s">
        <v>169</v>
      </c>
      <c r="C25" s="284" t="s">
        <v>162</v>
      </c>
      <c r="D25" s="1483">
        <v>0</v>
      </c>
      <c r="E25" s="1483">
        <v>0</v>
      </c>
      <c r="F25" s="1483">
        <v>0</v>
      </c>
      <c r="G25" s="1483">
        <v>0</v>
      </c>
      <c r="H25" s="1483">
        <v>0</v>
      </c>
      <c r="I25" s="1483">
        <v>0</v>
      </c>
      <c r="J25" s="1483">
        <v>0</v>
      </c>
      <c r="K25" s="1483">
        <v>0</v>
      </c>
      <c r="L25" s="1483">
        <v>0</v>
      </c>
      <c r="M25" s="1483">
        <v>0</v>
      </c>
      <c r="N25" s="1483">
        <v>0</v>
      </c>
      <c r="O25" s="1483">
        <v>0</v>
      </c>
      <c r="P25" s="1483">
        <v>0</v>
      </c>
      <c r="Q25" s="1483">
        <v>0</v>
      </c>
      <c r="R25" s="1483">
        <v>0</v>
      </c>
      <c r="S25" s="1483">
        <v>0</v>
      </c>
      <c r="T25" s="1483">
        <v>0</v>
      </c>
      <c r="U25" s="1483">
        <v>0</v>
      </c>
      <c r="V25" s="1483">
        <v>0</v>
      </c>
      <c r="W25" s="1483">
        <v>0</v>
      </c>
    </row>
    <row r="26" spans="1:23" ht="22.5" customHeight="1">
      <c r="A26" s="284" t="s">
        <v>29</v>
      </c>
      <c r="B26" s="976" t="s">
        <v>163</v>
      </c>
      <c r="C26" s="284" t="s">
        <v>164</v>
      </c>
      <c r="D26" s="1483">
        <v>0</v>
      </c>
      <c r="E26" s="1483">
        <v>0</v>
      </c>
      <c r="F26" s="1483">
        <v>0</v>
      </c>
      <c r="G26" s="1483">
        <v>0</v>
      </c>
      <c r="H26" s="1483">
        <v>0</v>
      </c>
      <c r="I26" s="1483">
        <v>0</v>
      </c>
      <c r="J26" s="1483">
        <v>0</v>
      </c>
      <c r="K26" s="1483">
        <v>0</v>
      </c>
      <c r="L26" s="1483">
        <v>0</v>
      </c>
      <c r="M26" s="1483">
        <v>0</v>
      </c>
      <c r="N26" s="1483">
        <v>0</v>
      </c>
      <c r="O26" s="1483">
        <v>0</v>
      </c>
      <c r="P26" s="1483">
        <v>0</v>
      </c>
      <c r="Q26" s="1483">
        <v>0</v>
      </c>
      <c r="R26" s="1483">
        <v>0</v>
      </c>
      <c r="S26" s="1483">
        <v>0</v>
      </c>
      <c r="T26" s="1483">
        <v>0</v>
      </c>
      <c r="U26" s="1483">
        <v>0</v>
      </c>
      <c r="V26" s="1483">
        <v>0</v>
      </c>
      <c r="W26" s="1483">
        <v>0</v>
      </c>
    </row>
    <row r="27" spans="1:23" ht="21.6" customHeight="1">
      <c r="A27" s="284" t="s">
        <v>31</v>
      </c>
      <c r="B27" s="976" t="s">
        <v>2863</v>
      </c>
      <c r="C27" s="284" t="s">
        <v>2864</v>
      </c>
      <c r="D27" s="1483">
        <v>0</v>
      </c>
      <c r="E27" s="1456">
        <v>0</v>
      </c>
      <c r="F27" s="1456">
        <v>0</v>
      </c>
      <c r="G27" s="1456">
        <v>0</v>
      </c>
      <c r="H27" s="1456">
        <v>0</v>
      </c>
      <c r="I27" s="1456">
        <v>0</v>
      </c>
      <c r="J27" s="1456">
        <v>0</v>
      </c>
      <c r="K27" s="1456">
        <v>0</v>
      </c>
      <c r="L27" s="1456">
        <v>0</v>
      </c>
      <c r="M27" s="1456">
        <v>0</v>
      </c>
      <c r="N27" s="1456">
        <v>0</v>
      </c>
      <c r="O27" s="1456">
        <v>0</v>
      </c>
      <c r="P27" s="1456">
        <v>0</v>
      </c>
      <c r="Q27" s="1456">
        <v>0</v>
      </c>
      <c r="R27" s="1456">
        <v>0</v>
      </c>
      <c r="S27" s="1456">
        <v>0</v>
      </c>
      <c r="T27" s="1456">
        <v>0</v>
      </c>
      <c r="U27" s="1456">
        <v>0</v>
      </c>
      <c r="V27" s="1456">
        <v>0</v>
      </c>
      <c r="W27" s="1456">
        <v>0</v>
      </c>
    </row>
    <row r="28" spans="1:23" ht="21.6" customHeight="1">
      <c r="A28" s="284" t="s">
        <v>33</v>
      </c>
      <c r="B28" s="976" t="s">
        <v>2989</v>
      </c>
      <c r="C28" s="284" t="s">
        <v>2754</v>
      </c>
      <c r="D28" s="1483">
        <v>0.30000000000000004</v>
      </c>
      <c r="E28" s="1483">
        <v>0.13</v>
      </c>
      <c r="F28" s="1483">
        <v>0</v>
      </c>
      <c r="G28" s="1483">
        <v>0</v>
      </c>
      <c r="H28" s="1483">
        <v>0</v>
      </c>
      <c r="I28" s="1483">
        <v>0</v>
      </c>
      <c r="J28" s="1483">
        <v>0.17</v>
      </c>
      <c r="K28" s="1483">
        <v>0</v>
      </c>
      <c r="L28" s="1483">
        <v>0</v>
      </c>
      <c r="M28" s="1483">
        <v>0</v>
      </c>
      <c r="N28" s="1483">
        <v>0</v>
      </c>
      <c r="O28" s="1483">
        <v>0</v>
      </c>
      <c r="P28" s="1483">
        <v>0</v>
      </c>
      <c r="Q28" s="1483">
        <v>0</v>
      </c>
      <c r="R28" s="1483">
        <v>0</v>
      </c>
      <c r="S28" s="1483">
        <v>0</v>
      </c>
      <c r="T28" s="1483">
        <v>0</v>
      </c>
      <c r="U28" s="1483">
        <v>0</v>
      </c>
      <c r="V28" s="1483">
        <v>0</v>
      </c>
      <c r="W28" s="1483">
        <v>0</v>
      </c>
    </row>
    <row r="29" spans="1:23" ht="29.45" hidden="1" customHeight="1">
      <c r="A29" s="284" t="s">
        <v>31</v>
      </c>
      <c r="B29" s="976" t="s">
        <v>2748</v>
      </c>
      <c r="C29" s="284" t="s">
        <v>166</v>
      </c>
      <c r="D29" s="1483">
        <v>0</v>
      </c>
      <c r="E29" s="1483">
        <v>0</v>
      </c>
      <c r="F29" s="1483">
        <v>0</v>
      </c>
      <c r="G29" s="1483">
        <v>0</v>
      </c>
      <c r="H29" s="1483">
        <v>0</v>
      </c>
      <c r="I29" s="1483">
        <v>0</v>
      </c>
      <c r="J29" s="1483">
        <v>0</v>
      </c>
      <c r="K29" s="1483">
        <v>0</v>
      </c>
      <c r="L29" s="1483">
        <v>0</v>
      </c>
      <c r="M29" s="1483">
        <v>0</v>
      </c>
      <c r="N29" s="1483">
        <v>0</v>
      </c>
      <c r="O29" s="1483">
        <v>0</v>
      </c>
      <c r="P29" s="1483">
        <v>0</v>
      </c>
      <c r="Q29" s="1483">
        <v>0</v>
      </c>
      <c r="R29" s="1483">
        <v>0</v>
      </c>
      <c r="S29" s="1483">
        <v>0</v>
      </c>
      <c r="T29" s="1483">
        <v>0</v>
      </c>
      <c r="U29" s="1483">
        <v>0</v>
      </c>
      <c r="V29" s="1483">
        <v>0</v>
      </c>
      <c r="W29" s="1483">
        <v>0</v>
      </c>
    </row>
    <row r="30" spans="1:23" ht="32.450000000000003" hidden="1" customHeight="1">
      <c r="A30" s="284" t="s">
        <v>33</v>
      </c>
      <c r="B30" s="976" t="s">
        <v>2750</v>
      </c>
      <c r="C30" s="284" t="s">
        <v>2755</v>
      </c>
      <c r="D30" s="1483">
        <v>0</v>
      </c>
      <c r="E30" s="1483">
        <v>0</v>
      </c>
      <c r="F30" s="1483">
        <v>0</v>
      </c>
      <c r="G30" s="1483">
        <v>0</v>
      </c>
      <c r="H30" s="1483">
        <v>0</v>
      </c>
      <c r="I30" s="1483">
        <v>0</v>
      </c>
      <c r="J30" s="1483">
        <v>0</v>
      </c>
      <c r="K30" s="1483">
        <v>0</v>
      </c>
      <c r="L30" s="1483">
        <v>0</v>
      </c>
      <c r="M30" s="1483">
        <v>0</v>
      </c>
      <c r="N30" s="1483">
        <v>0</v>
      </c>
      <c r="O30" s="1483">
        <v>0</v>
      </c>
      <c r="P30" s="1483">
        <v>0</v>
      </c>
      <c r="Q30" s="1483">
        <v>0</v>
      </c>
      <c r="R30" s="1483">
        <v>0</v>
      </c>
      <c r="S30" s="1483">
        <v>0</v>
      </c>
      <c r="T30" s="1483">
        <v>0</v>
      </c>
      <c r="U30" s="1483">
        <v>0</v>
      </c>
      <c r="V30" s="1483">
        <v>0</v>
      </c>
      <c r="W30" s="1483">
        <v>0</v>
      </c>
    </row>
    <row r="31" spans="1:23" s="290" customFormat="1" ht="32.450000000000003" customHeight="1">
      <c r="A31" s="284" t="s">
        <v>68</v>
      </c>
      <c r="B31" s="976" t="s">
        <v>200</v>
      </c>
      <c r="C31" s="284" t="s">
        <v>4027</v>
      </c>
      <c r="D31" s="1483">
        <v>0</v>
      </c>
      <c r="E31" s="1480">
        <v>0</v>
      </c>
      <c r="F31" s="1480">
        <v>0</v>
      </c>
      <c r="G31" s="1480">
        <v>0</v>
      </c>
      <c r="H31" s="1480">
        <v>0</v>
      </c>
      <c r="I31" s="1480">
        <v>0</v>
      </c>
      <c r="J31" s="1480">
        <v>0</v>
      </c>
      <c r="K31" s="1480">
        <v>0</v>
      </c>
      <c r="L31" s="1480">
        <v>0</v>
      </c>
      <c r="M31" s="1480">
        <v>0</v>
      </c>
      <c r="N31" s="1480">
        <v>0</v>
      </c>
      <c r="O31" s="1480">
        <v>0</v>
      </c>
      <c r="P31" s="1480">
        <v>0</v>
      </c>
      <c r="Q31" s="1480">
        <v>0</v>
      </c>
      <c r="R31" s="1480">
        <v>0</v>
      </c>
      <c r="S31" s="1480">
        <v>0</v>
      </c>
      <c r="T31" s="1480">
        <v>0</v>
      </c>
      <c r="U31" s="1480">
        <v>0</v>
      </c>
      <c r="V31" s="1480">
        <v>0</v>
      </c>
      <c r="W31" s="1480">
        <v>0</v>
      </c>
    </row>
    <row r="32" spans="1:23" ht="32.450000000000003" customHeight="1">
      <c r="A32" s="284" t="s">
        <v>69</v>
      </c>
      <c r="B32" s="976" t="s">
        <v>201</v>
      </c>
      <c r="C32" s="284" t="s">
        <v>4028</v>
      </c>
      <c r="D32" s="1483">
        <v>0</v>
      </c>
      <c r="E32" s="1480">
        <v>0</v>
      </c>
      <c r="F32" s="1480">
        <v>0</v>
      </c>
      <c r="G32" s="1480">
        <v>0</v>
      </c>
      <c r="H32" s="1480">
        <v>0</v>
      </c>
      <c r="I32" s="1480">
        <v>0</v>
      </c>
      <c r="J32" s="1480">
        <v>0</v>
      </c>
      <c r="K32" s="1480">
        <v>0</v>
      </c>
      <c r="L32" s="1480">
        <v>0</v>
      </c>
      <c r="M32" s="1480">
        <v>0</v>
      </c>
      <c r="N32" s="1480">
        <v>0</v>
      </c>
      <c r="O32" s="1480">
        <v>0</v>
      </c>
      <c r="P32" s="1480">
        <v>0</v>
      </c>
      <c r="Q32" s="1480">
        <v>0</v>
      </c>
      <c r="R32" s="1480">
        <v>0</v>
      </c>
      <c r="S32" s="1480">
        <v>0</v>
      </c>
      <c r="T32" s="1480">
        <v>0</v>
      </c>
      <c r="U32" s="1480">
        <v>0</v>
      </c>
      <c r="V32" s="1480">
        <v>0</v>
      </c>
      <c r="W32" s="1480">
        <v>0</v>
      </c>
    </row>
    <row r="33" spans="1:23" ht="33.6" customHeight="1">
      <c r="A33" s="284" t="s">
        <v>70</v>
      </c>
      <c r="B33" s="976" t="s">
        <v>202</v>
      </c>
      <c r="C33" s="284" t="s">
        <v>4029</v>
      </c>
      <c r="D33" s="1483">
        <v>12.379999999999999</v>
      </c>
      <c r="E33" s="1483">
        <v>1.02</v>
      </c>
      <c r="F33" s="1483">
        <v>0</v>
      </c>
      <c r="G33" s="1483">
        <v>0</v>
      </c>
      <c r="H33" s="1483">
        <v>0</v>
      </c>
      <c r="I33" s="1483">
        <v>0</v>
      </c>
      <c r="J33" s="1483">
        <v>3.56</v>
      </c>
      <c r="K33" s="1483">
        <v>0.6</v>
      </c>
      <c r="L33" s="1483">
        <v>0</v>
      </c>
      <c r="M33" s="1483">
        <v>0</v>
      </c>
      <c r="N33" s="1483">
        <v>0</v>
      </c>
      <c r="O33" s="1483">
        <v>0</v>
      </c>
      <c r="P33" s="1483">
        <v>7.2</v>
      </c>
      <c r="Q33" s="1483">
        <v>0</v>
      </c>
      <c r="R33" s="1483">
        <v>0</v>
      </c>
      <c r="S33" s="1483">
        <v>0</v>
      </c>
      <c r="T33" s="1483">
        <v>0</v>
      </c>
      <c r="U33" s="1483">
        <v>0</v>
      </c>
      <c r="V33" s="1483">
        <v>0</v>
      </c>
      <c r="W33" s="1483">
        <v>0</v>
      </c>
    </row>
    <row r="34" spans="1:23" s="290" customFormat="1" ht="21.6" customHeight="1">
      <c r="A34" s="972"/>
      <c r="B34" s="978" t="s">
        <v>206</v>
      </c>
      <c r="C34" s="972" t="s">
        <v>4030</v>
      </c>
      <c r="D34" s="1483">
        <v>0</v>
      </c>
      <c r="E34" s="1485">
        <v>0</v>
      </c>
      <c r="F34" s="1485">
        <v>0</v>
      </c>
      <c r="G34" s="1485">
        <v>0</v>
      </c>
      <c r="H34" s="1485">
        <v>0</v>
      </c>
      <c r="I34" s="1485">
        <v>0</v>
      </c>
      <c r="J34" s="1485">
        <v>0</v>
      </c>
      <c r="K34" s="1485">
        <v>0</v>
      </c>
      <c r="L34" s="1485">
        <v>0</v>
      </c>
      <c r="M34" s="1485">
        <v>0</v>
      </c>
      <c r="N34" s="1485">
        <v>0</v>
      </c>
      <c r="O34" s="1485">
        <v>0</v>
      </c>
      <c r="P34" s="1485">
        <v>0</v>
      </c>
      <c r="Q34" s="1485">
        <v>0</v>
      </c>
      <c r="R34" s="1485">
        <v>0</v>
      </c>
      <c r="S34" s="1485">
        <v>0</v>
      </c>
      <c r="T34" s="1485">
        <v>0</v>
      </c>
      <c r="U34" s="1485">
        <v>0</v>
      </c>
      <c r="V34" s="1485">
        <v>0</v>
      </c>
      <c r="W34" s="1485">
        <v>0</v>
      </c>
    </row>
    <row r="35" spans="1:23" s="287" customFormat="1" ht="35.450000000000003" customHeight="1">
      <c r="A35" s="967">
        <v>3</v>
      </c>
      <c r="B35" s="1478" t="s">
        <v>167</v>
      </c>
      <c r="C35" s="967" t="s">
        <v>168</v>
      </c>
      <c r="D35" s="1480">
        <v>9.0000000000000011E-2</v>
      </c>
      <c r="E35" s="1480">
        <v>7.0000000000000007E-2</v>
      </c>
      <c r="F35" s="1480">
        <v>0</v>
      </c>
      <c r="G35" s="1480">
        <v>0.02</v>
      </c>
      <c r="H35" s="1480">
        <v>0</v>
      </c>
      <c r="I35" s="1480">
        <v>0</v>
      </c>
      <c r="J35" s="1480">
        <v>0</v>
      </c>
      <c r="K35" s="1480">
        <v>0</v>
      </c>
      <c r="L35" s="1480">
        <v>0</v>
      </c>
      <c r="M35" s="1480">
        <v>0</v>
      </c>
      <c r="N35" s="1480">
        <v>0</v>
      </c>
      <c r="O35" s="1480">
        <v>0</v>
      </c>
      <c r="P35" s="1480">
        <v>0</v>
      </c>
      <c r="Q35" s="1480">
        <v>0</v>
      </c>
      <c r="R35" s="1480">
        <v>0</v>
      </c>
      <c r="S35" s="1480">
        <v>0</v>
      </c>
      <c r="T35" s="1480">
        <v>0</v>
      </c>
      <c r="U35" s="1480">
        <v>0</v>
      </c>
      <c r="V35" s="1480">
        <v>0</v>
      </c>
      <c r="W35" s="1480">
        <v>0</v>
      </c>
    </row>
    <row r="36" spans="1:23" ht="27" customHeight="1">
      <c r="B36" s="1587" t="s">
        <v>2751</v>
      </c>
      <c r="C36" s="1587"/>
      <c r="D36" s="1587"/>
      <c r="E36" s="1587"/>
      <c r="F36" s="1587"/>
      <c r="G36" s="1587"/>
      <c r="H36" s="1587"/>
      <c r="I36" s="1587"/>
      <c r="J36" s="1587"/>
      <c r="K36" s="1587"/>
      <c r="L36" s="1587"/>
      <c r="M36" s="1587"/>
      <c r="N36" s="1587"/>
      <c r="O36" s="1587"/>
      <c r="P36" s="1587"/>
      <c r="Q36" s="1587"/>
      <c r="R36" s="1587"/>
      <c r="S36" s="1587"/>
      <c r="T36" s="1587"/>
      <c r="U36" s="1587"/>
      <c r="V36" s="1587"/>
      <c r="W36" s="1587"/>
    </row>
  </sheetData>
  <mergeCells count="10">
    <mergeCell ref="A1:B1"/>
    <mergeCell ref="E5:W5"/>
    <mergeCell ref="B36:W36"/>
    <mergeCell ref="A2:W2"/>
    <mergeCell ref="A5:A6"/>
    <mergeCell ref="B5:B6"/>
    <mergeCell ref="C5:C6"/>
    <mergeCell ref="D5:D6"/>
    <mergeCell ref="A3:W3"/>
    <mergeCell ref="V4:W4"/>
  </mergeCells>
  <phoneticPr fontId="107" type="noConversion"/>
  <conditionalFormatting sqref="A7:IG7">
    <cfRule type="cellIs" dxfId="61" priority="14" stopIfTrue="1" operator="equal">
      <formula>0</formula>
    </cfRule>
    <cfRule type="cellIs" dxfId="60" priority="16" stopIfTrue="1" operator="equal">
      <formula>0</formula>
    </cfRule>
    <cfRule type="cellIs" dxfId="59" priority="17" stopIfTrue="1" operator="equal">
      <formula>0</formula>
    </cfRule>
  </conditionalFormatting>
  <conditionalFormatting sqref="C8:C14">
    <cfRule type="cellIs" dxfId="58" priority="11" stopIfTrue="1" operator="equal">
      <formula>0</formula>
    </cfRule>
    <cfRule type="cellIs" dxfId="57" priority="12" stopIfTrue="1" operator="equal">
      <formula>0</formula>
    </cfRule>
    <cfRule type="cellIs" dxfId="56" priority="13" stopIfTrue="1" operator="equal">
      <formula>0</formula>
    </cfRule>
  </conditionalFormatting>
  <conditionalFormatting sqref="E23:W23">
    <cfRule type="cellIs" dxfId="55" priority="6" stopIfTrue="1" operator="equal">
      <formula>0</formula>
    </cfRule>
  </conditionalFormatting>
  <conditionalFormatting sqref="E27:W27">
    <cfRule type="cellIs" dxfId="54" priority="1" stopIfTrue="1" operator="equal">
      <formula>0</formula>
    </cfRule>
  </conditionalFormatting>
  <printOptions horizontalCentered="1"/>
  <pageMargins left="0.59055118110236227" right="0.31496062992125984" top="0.59055118110236227" bottom="0.39370078740157483" header="0.31496062992125984" footer="0.31496062992125984"/>
  <pageSetup paperSize="8" scale="95"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P64"/>
  <sheetViews>
    <sheetView showZeros="0" view="pageBreakPreview" zoomScale="85" zoomScaleNormal="66" zoomScaleSheetLayoutView="85" workbookViewId="0">
      <pane xSplit="4" ySplit="6" topLeftCell="E43" activePane="bottomRight" state="frozen"/>
      <selection activeCell="C23" sqref="C23"/>
      <selection pane="topRight" activeCell="C23" sqref="C23"/>
      <selection pane="bottomLeft" activeCell="C23" sqref="C23"/>
      <selection pane="bottomRight" activeCell="C23" sqref="C23"/>
    </sheetView>
  </sheetViews>
  <sheetFormatPr defaultColWidth="9" defaultRowHeight="12.75"/>
  <cols>
    <col min="1" max="1" width="5.125" style="289" customWidth="1"/>
    <col min="2" max="2" width="46.75" style="289" customWidth="1"/>
    <col min="3" max="3" width="5.5" style="289" bestFit="1" customWidth="1"/>
    <col min="4" max="4" width="7.875" style="289" customWidth="1"/>
    <col min="5" max="5" width="7.875" style="289" bestFit="1" customWidth="1"/>
    <col min="6" max="7" width="7.5" style="289" bestFit="1" customWidth="1"/>
    <col min="8" max="8" width="8.125" style="289" customWidth="1"/>
    <col min="9" max="9" width="7.625" style="289" bestFit="1" customWidth="1"/>
    <col min="10" max="10" width="6.375" style="289" bestFit="1" customWidth="1"/>
    <col min="11" max="11" width="6.625" style="289" bestFit="1" customWidth="1"/>
    <col min="12" max="15" width="7.625" style="289" bestFit="1" customWidth="1"/>
    <col min="16" max="16" width="7.625" style="293" customWidth="1"/>
    <col min="17" max="17" width="7.5" style="289" bestFit="1" customWidth="1"/>
    <col min="18" max="18" width="7" style="296" customWidth="1"/>
    <col min="19" max="19" width="7.375" style="289" customWidth="1"/>
    <col min="20" max="20" width="6.125" style="289" bestFit="1" customWidth="1"/>
    <col min="21" max="21" width="6.5" style="289" customWidth="1"/>
    <col min="22" max="22" width="7.125" style="296" customWidth="1"/>
    <col min="23" max="23" width="6.5" style="289" customWidth="1"/>
    <col min="24" max="24" width="0" style="289" hidden="1" customWidth="1"/>
    <col min="25" max="25" width="39.625" style="323" hidden="1" customWidth="1"/>
    <col min="26" max="26" width="0" style="289" hidden="1" customWidth="1"/>
    <col min="27" max="27" width="16" style="289" hidden="1" customWidth="1"/>
    <col min="28" max="29" width="16" style="324" hidden="1" customWidth="1"/>
    <col min="30" max="30" width="16" style="289" hidden="1" customWidth="1"/>
    <col min="31" max="33" width="0" style="289" hidden="1" customWidth="1"/>
    <col min="34" max="43" width="9" style="289" hidden="1" customWidth="1"/>
    <col min="44" max="44" width="9" style="312" hidden="1" customWidth="1"/>
    <col min="45" max="46" width="9" style="289" hidden="1" customWidth="1"/>
    <col min="47" max="47" width="9" style="312" hidden="1" customWidth="1"/>
    <col min="48" max="50" width="0" style="289" hidden="1" customWidth="1"/>
    <col min="51" max="51" width="9" style="289" hidden="1" customWidth="1"/>
    <col min="52" max="68" width="0" style="289" hidden="1" customWidth="1"/>
    <col min="69" max="16384" width="9" style="289"/>
  </cols>
  <sheetData>
    <row r="1" spans="1:68" s="282" customFormat="1" ht="19.350000000000001" customHeight="1">
      <c r="A1" s="1586" t="s">
        <v>264</v>
      </c>
      <c r="B1" s="1586"/>
      <c r="C1" s="281"/>
      <c r="D1" s="281"/>
      <c r="E1" s="281"/>
      <c r="F1" s="281"/>
      <c r="G1" s="281"/>
      <c r="H1" s="281"/>
      <c r="I1" s="281"/>
      <c r="J1" s="281"/>
      <c r="K1" s="281"/>
      <c r="L1" s="281"/>
      <c r="M1" s="281"/>
      <c r="N1" s="281"/>
      <c r="O1" s="281"/>
      <c r="P1" s="281"/>
      <c r="Q1" s="281"/>
      <c r="R1" s="281"/>
      <c r="S1" s="281"/>
      <c r="T1" s="281"/>
      <c r="U1" s="281"/>
      <c r="V1" s="281"/>
      <c r="W1" s="281"/>
      <c r="Y1" s="297"/>
      <c r="AB1" s="298"/>
      <c r="AC1" s="298"/>
      <c r="AR1" s="299"/>
      <c r="AU1" s="299"/>
    </row>
    <row r="2" spans="1:68" s="282" customFormat="1" ht="19.350000000000001" customHeight="1">
      <c r="A2" s="1591" t="s">
        <v>3034</v>
      </c>
      <c r="B2" s="1591"/>
      <c r="C2" s="1591"/>
      <c r="D2" s="1591"/>
      <c r="E2" s="1591"/>
      <c r="F2" s="1591"/>
      <c r="G2" s="1591"/>
      <c r="H2" s="1591"/>
      <c r="I2" s="1591"/>
      <c r="J2" s="1591"/>
      <c r="K2" s="1591"/>
      <c r="L2" s="1591"/>
      <c r="M2" s="1591"/>
      <c r="N2" s="1591"/>
      <c r="O2" s="1591"/>
      <c r="P2" s="1591"/>
      <c r="Q2" s="1591"/>
      <c r="R2" s="1591"/>
      <c r="S2" s="1591"/>
      <c r="T2" s="1591"/>
      <c r="U2" s="1591"/>
      <c r="V2" s="1591"/>
      <c r="W2" s="1591"/>
      <c r="Y2" s="297"/>
      <c r="AB2" s="298"/>
      <c r="AC2" s="298"/>
      <c r="AH2" s="1592" t="s">
        <v>265</v>
      </c>
      <c r="AI2" s="1592"/>
      <c r="AJ2" s="1592"/>
      <c r="AK2" s="1592"/>
      <c r="AL2" s="1592"/>
      <c r="AM2" s="1592"/>
      <c r="AN2" s="1592"/>
      <c r="AO2" s="1592"/>
      <c r="AP2" s="1592"/>
      <c r="AQ2" s="1592"/>
      <c r="AR2" s="1592"/>
      <c r="AS2" s="1592"/>
      <c r="AT2" s="1592"/>
      <c r="AU2" s="1592"/>
    </row>
    <row r="3" spans="1:68" s="282" customFormat="1" ht="19.350000000000001" hidden="1" customHeight="1">
      <c r="A3" s="1588"/>
      <c r="B3" s="1588"/>
      <c r="C3" s="1588"/>
      <c r="D3" s="1588"/>
      <c r="E3" s="1588"/>
      <c r="F3" s="1588"/>
      <c r="G3" s="1588"/>
      <c r="H3" s="1588"/>
      <c r="I3" s="1588"/>
      <c r="J3" s="1588"/>
      <c r="K3" s="1588"/>
      <c r="L3" s="1588"/>
      <c r="M3" s="1588"/>
      <c r="N3" s="1588"/>
      <c r="O3" s="1588"/>
      <c r="P3" s="1588"/>
      <c r="Q3" s="1588"/>
      <c r="R3" s="1588"/>
      <c r="S3" s="1588"/>
      <c r="T3" s="1588"/>
      <c r="U3" s="1588"/>
      <c r="V3" s="1588"/>
      <c r="W3" s="1588"/>
      <c r="Y3" s="297"/>
      <c r="AB3" s="298"/>
      <c r="AC3" s="298"/>
      <c r="AR3" s="299">
        <v>0.31</v>
      </c>
      <c r="AU3" s="299"/>
    </row>
    <row r="4" spans="1:68" s="282" customFormat="1" ht="18.600000000000001" customHeight="1">
      <c r="A4" s="300"/>
      <c r="B4" s="1016"/>
      <c r="C4" s="1016"/>
      <c r="D4" s="300"/>
      <c r="E4" s="300"/>
      <c r="F4" s="300"/>
      <c r="G4" s="300"/>
      <c r="H4" s="300"/>
      <c r="I4" s="300"/>
      <c r="J4" s="300"/>
      <c r="K4" s="300"/>
      <c r="L4" s="300"/>
      <c r="M4" s="300"/>
      <c r="N4" s="300"/>
      <c r="O4" s="300"/>
      <c r="P4" s="300"/>
      <c r="Q4" s="300"/>
      <c r="R4" s="300"/>
      <c r="S4" s="300"/>
      <c r="T4" s="300"/>
      <c r="U4" s="1593" t="s">
        <v>0</v>
      </c>
      <c r="V4" s="1593"/>
      <c r="W4" s="1593"/>
      <c r="Y4" s="297"/>
      <c r="AB4" s="298"/>
      <c r="AC4" s="298"/>
      <c r="AR4" s="299"/>
      <c r="AU4" s="299"/>
    </row>
    <row r="5" spans="1:68" s="287" customFormat="1" ht="25.35" customHeight="1">
      <c r="A5" s="1589" t="s">
        <v>1</v>
      </c>
      <c r="B5" s="1589" t="s">
        <v>175</v>
      </c>
      <c r="C5" s="1589" t="s">
        <v>172</v>
      </c>
      <c r="D5" s="1594" t="s">
        <v>146</v>
      </c>
      <c r="E5" s="1545" t="s">
        <v>2836</v>
      </c>
      <c r="F5" s="1545"/>
      <c r="G5" s="1545"/>
      <c r="H5" s="1545"/>
      <c r="I5" s="1545"/>
      <c r="J5" s="1545"/>
      <c r="K5" s="1545"/>
      <c r="L5" s="1545"/>
      <c r="M5" s="1545"/>
      <c r="N5" s="1545"/>
      <c r="O5" s="1545"/>
      <c r="P5" s="1545"/>
      <c r="Q5" s="1545"/>
      <c r="R5" s="1545"/>
      <c r="S5" s="1545"/>
      <c r="T5" s="1545"/>
      <c r="U5" s="1545"/>
      <c r="V5" s="1545"/>
      <c r="W5" s="1545"/>
      <c r="Y5" s="301"/>
      <c r="AB5" s="302"/>
      <c r="AC5" s="302"/>
      <c r="AM5" s="287" t="s">
        <v>266</v>
      </c>
      <c r="AN5" s="287" t="s">
        <v>266</v>
      </c>
      <c r="AO5" s="287" t="s">
        <v>266</v>
      </c>
      <c r="AQ5" s="287" t="s">
        <v>266</v>
      </c>
      <c r="AR5" s="303"/>
      <c r="AU5" s="303"/>
    </row>
    <row r="6" spans="1:68" s="287" customFormat="1" ht="44.1" customHeight="1">
      <c r="A6" s="1589"/>
      <c r="B6" s="1589"/>
      <c r="C6" s="1589"/>
      <c r="D6" s="1594"/>
      <c r="E6" s="1013" t="s">
        <v>3010</v>
      </c>
      <c r="F6" s="1013" t="s">
        <v>3011</v>
      </c>
      <c r="G6" s="1013" t="s">
        <v>3012</v>
      </c>
      <c r="H6" s="1013" t="s">
        <v>3013</v>
      </c>
      <c r="I6" s="1013" t="s">
        <v>3014</v>
      </c>
      <c r="J6" s="1013" t="s">
        <v>3015</v>
      </c>
      <c r="K6" s="1013" t="s">
        <v>3016</v>
      </c>
      <c r="L6" s="1013" t="s">
        <v>3017</v>
      </c>
      <c r="M6" s="1013" t="s">
        <v>3018</v>
      </c>
      <c r="N6" s="1013" t="s">
        <v>3019</v>
      </c>
      <c r="O6" s="1013" t="s">
        <v>3020</v>
      </c>
      <c r="P6" s="1013" t="s">
        <v>3021</v>
      </c>
      <c r="Q6" s="1013" t="s">
        <v>3022</v>
      </c>
      <c r="R6" s="1013" t="s">
        <v>3023</v>
      </c>
      <c r="S6" s="1013" t="s">
        <v>3024</v>
      </c>
      <c r="T6" s="1013" t="s">
        <v>3025</v>
      </c>
      <c r="U6" s="1013" t="s">
        <v>3026</v>
      </c>
      <c r="V6" s="1013" t="s">
        <v>3027</v>
      </c>
      <c r="W6" s="1013" t="s">
        <v>3028</v>
      </c>
      <c r="X6" s="1012" t="s">
        <v>1</v>
      </c>
      <c r="Y6" s="1012" t="s">
        <v>175</v>
      </c>
      <c r="Z6" s="1012" t="s">
        <v>172</v>
      </c>
      <c r="AA6" s="1012" t="s">
        <v>267</v>
      </c>
      <c r="AB6" s="1012" t="s">
        <v>268</v>
      </c>
      <c r="AC6" s="1012" t="s">
        <v>269</v>
      </c>
      <c r="AD6" s="304"/>
      <c r="AH6" s="287" t="s">
        <v>44</v>
      </c>
      <c r="AI6" s="287" t="s">
        <v>91</v>
      </c>
      <c r="AJ6" s="287" t="s">
        <v>270</v>
      </c>
      <c r="AK6" s="287" t="s">
        <v>271</v>
      </c>
      <c r="AL6" s="287" t="s">
        <v>46</v>
      </c>
      <c r="AM6" s="287" t="s">
        <v>59</v>
      </c>
      <c r="AN6" s="287" t="s">
        <v>32</v>
      </c>
      <c r="AO6" s="287" t="s">
        <v>93</v>
      </c>
      <c r="AP6" s="287" t="s">
        <v>20</v>
      </c>
      <c r="AQ6" s="287" t="s">
        <v>14</v>
      </c>
      <c r="AR6" s="303"/>
      <c r="AS6" s="305"/>
      <c r="AT6" s="305"/>
      <c r="AU6" s="303"/>
      <c r="AV6" s="287" t="s">
        <v>272</v>
      </c>
      <c r="AW6" s="287" t="s">
        <v>272</v>
      </c>
    </row>
    <row r="7" spans="1:68" s="295" customFormat="1" ht="31.5" customHeight="1">
      <c r="A7" s="288">
        <v>-1</v>
      </c>
      <c r="B7" s="288">
        <v>-2</v>
      </c>
      <c r="C7" s="288">
        <v>-3</v>
      </c>
      <c r="D7" s="288" t="s">
        <v>3035</v>
      </c>
      <c r="E7" s="288">
        <v>-5</v>
      </c>
      <c r="F7" s="288">
        <v>-6</v>
      </c>
      <c r="G7" s="288">
        <v>-7</v>
      </c>
      <c r="H7" s="288">
        <v>-8</v>
      </c>
      <c r="I7" s="288">
        <v>-9</v>
      </c>
      <c r="J7" s="288">
        <v>-10</v>
      </c>
      <c r="K7" s="288">
        <v>-11</v>
      </c>
      <c r="L7" s="288">
        <v>-12</v>
      </c>
      <c r="M7" s="288">
        <v>-13</v>
      </c>
      <c r="N7" s="288">
        <v>-14</v>
      </c>
      <c r="O7" s="288">
        <v>-15</v>
      </c>
      <c r="P7" s="288">
        <v>-16</v>
      </c>
      <c r="Q7" s="288">
        <v>-17</v>
      </c>
      <c r="R7" s="288">
        <v>-18</v>
      </c>
      <c r="S7" s="288">
        <v>-19</v>
      </c>
      <c r="T7" s="288">
        <v>-20</v>
      </c>
      <c r="U7" s="288">
        <v>-21</v>
      </c>
      <c r="V7" s="288">
        <v>-22</v>
      </c>
      <c r="W7" s="288">
        <v>-23</v>
      </c>
    </row>
    <row r="8" spans="1:68" ht="15.6" customHeight="1">
      <c r="A8" s="1446">
        <v>1</v>
      </c>
      <c r="B8" s="1447" t="s">
        <v>3</v>
      </c>
      <c r="C8" s="1448" t="s">
        <v>4</v>
      </c>
      <c r="D8" s="1449">
        <v>108.55135</v>
      </c>
      <c r="E8" s="1450">
        <v>10.35535</v>
      </c>
      <c r="F8" s="1450">
        <v>0.21</v>
      </c>
      <c r="G8" s="1450">
        <v>3.9800000000000004</v>
      </c>
      <c r="H8" s="1450">
        <v>0.90600000000000014</v>
      </c>
      <c r="I8" s="1450">
        <v>1.42</v>
      </c>
      <c r="J8" s="1450">
        <v>3.06</v>
      </c>
      <c r="K8" s="1450">
        <v>2.1800000000000002</v>
      </c>
      <c r="L8" s="1450">
        <v>0.60000000000000009</v>
      </c>
      <c r="M8" s="1450">
        <v>9.9399999999999977</v>
      </c>
      <c r="N8" s="1450">
        <v>0.08</v>
      </c>
      <c r="O8" s="1450">
        <v>22.960000000000004</v>
      </c>
      <c r="P8" s="1450">
        <v>6.91</v>
      </c>
      <c r="Q8" s="1450">
        <v>5.5300000000000011</v>
      </c>
      <c r="R8" s="1450">
        <v>29.01</v>
      </c>
      <c r="S8" s="1450">
        <v>0.09</v>
      </c>
      <c r="T8" s="1450">
        <v>0.08</v>
      </c>
      <c r="U8" s="1450">
        <v>3.9400000000000008</v>
      </c>
      <c r="V8" s="1450">
        <v>0.34</v>
      </c>
      <c r="W8" s="1450">
        <v>6.9599999999999991</v>
      </c>
      <c r="X8" s="1012">
        <v>1</v>
      </c>
      <c r="Y8" s="306" t="s">
        <v>3</v>
      </c>
      <c r="Z8" s="1012" t="s">
        <v>4</v>
      </c>
      <c r="AA8" s="307">
        <v>363.29999999999995</v>
      </c>
      <c r="AB8" s="308">
        <v>326.05</v>
      </c>
      <c r="AC8" s="309">
        <v>0.89746765758326463</v>
      </c>
      <c r="AD8" s="310">
        <v>320.34999999999997</v>
      </c>
      <c r="AE8" s="311">
        <v>42.95</v>
      </c>
      <c r="AF8" s="291">
        <v>363.29999999999995</v>
      </c>
    </row>
    <row r="9" spans="1:68" ht="15" customHeight="1">
      <c r="A9" s="1446"/>
      <c r="B9" s="1451" t="s">
        <v>2815</v>
      </c>
      <c r="C9" s="1448"/>
      <c r="D9" s="1449"/>
      <c r="E9" s="1450"/>
      <c r="F9" s="1450"/>
      <c r="G9" s="1450"/>
      <c r="H9" s="1450"/>
      <c r="I9" s="1450"/>
      <c r="J9" s="1450"/>
      <c r="K9" s="1450"/>
      <c r="L9" s="1450"/>
      <c r="M9" s="1450"/>
      <c r="N9" s="1450"/>
      <c r="O9" s="1450"/>
      <c r="P9" s="1450"/>
      <c r="Q9" s="1450"/>
      <c r="R9" s="1450"/>
      <c r="S9" s="1450"/>
      <c r="T9" s="1450"/>
      <c r="U9" s="1450"/>
      <c r="V9" s="1450"/>
      <c r="W9" s="1450"/>
      <c r="X9" s="313"/>
      <c r="Y9" s="314" t="s">
        <v>190</v>
      </c>
      <c r="Z9" s="313"/>
      <c r="AA9" s="315"/>
      <c r="AB9" s="316"/>
      <c r="AC9" s="317"/>
      <c r="AD9" s="310"/>
      <c r="AF9" s="291">
        <v>0</v>
      </c>
    </row>
    <row r="10" spans="1:68" ht="18" customHeight="1">
      <c r="A10" s="1452" t="s">
        <v>6</v>
      </c>
      <c r="B10" s="1453" t="s">
        <v>85</v>
      </c>
      <c r="C10" s="1454" t="s">
        <v>5</v>
      </c>
      <c r="D10" s="1455">
        <v>12.993849999999998</v>
      </c>
      <c r="E10" s="1456">
        <v>4.3638499999999993</v>
      </c>
      <c r="F10" s="1456">
        <v>0.01</v>
      </c>
      <c r="G10" s="1456">
        <v>9.9999999999999992E-2</v>
      </c>
      <c r="H10" s="1456">
        <v>0.45000000000000007</v>
      </c>
      <c r="I10" s="1456">
        <v>0.01</v>
      </c>
      <c r="J10" s="1456">
        <v>0.91</v>
      </c>
      <c r="K10" s="1456">
        <v>0.30000000000000004</v>
      </c>
      <c r="L10" s="1456">
        <v>0.15</v>
      </c>
      <c r="M10" s="1456">
        <v>0.57000000000000006</v>
      </c>
      <c r="N10" s="1456">
        <v>0.02</v>
      </c>
      <c r="O10" s="1456">
        <v>0.86</v>
      </c>
      <c r="P10" s="1456">
        <v>1.18</v>
      </c>
      <c r="Q10" s="1456">
        <v>0.43000000000000005</v>
      </c>
      <c r="R10" s="1456">
        <v>2.41</v>
      </c>
      <c r="S10" s="1456">
        <v>0.03</v>
      </c>
      <c r="T10" s="1456">
        <v>0.01</v>
      </c>
      <c r="U10" s="1456">
        <v>0.31</v>
      </c>
      <c r="V10" s="1456">
        <v>0.01</v>
      </c>
      <c r="W10" s="1456">
        <v>0.87</v>
      </c>
      <c r="X10" s="313" t="s">
        <v>6</v>
      </c>
      <c r="Y10" s="314" t="s">
        <v>85</v>
      </c>
      <c r="Z10" s="313" t="s">
        <v>5</v>
      </c>
      <c r="AA10" s="315">
        <v>112.55999999999999</v>
      </c>
      <c r="AB10" s="316">
        <v>102.59</v>
      </c>
      <c r="AC10" s="317">
        <v>0.91142501776830143</v>
      </c>
      <c r="AD10" s="310">
        <v>99.939999999999984</v>
      </c>
      <c r="AE10" s="291">
        <v>12.620000000000001</v>
      </c>
      <c r="AF10" s="291">
        <v>112.55999999999999</v>
      </c>
      <c r="AH10" s="289">
        <v>0.19</v>
      </c>
      <c r="AI10" s="289">
        <v>6.1</v>
      </c>
      <c r="AJ10" s="289">
        <v>6.37</v>
      </c>
      <c r="AK10" s="289">
        <v>5.19</v>
      </c>
      <c r="AL10" s="289">
        <v>0.02</v>
      </c>
      <c r="AM10" s="289">
        <v>0.1</v>
      </c>
      <c r="AO10" s="289">
        <v>1.07</v>
      </c>
      <c r="AQ10" s="289">
        <v>4.84</v>
      </c>
      <c r="AR10" s="318">
        <v>17.87</v>
      </c>
      <c r="AS10" s="289">
        <v>20.2</v>
      </c>
      <c r="AT10" s="289">
        <v>14.95</v>
      </c>
      <c r="AU10" s="318">
        <v>-5.25</v>
      </c>
      <c r="AV10" s="291">
        <v>12.56</v>
      </c>
      <c r="AW10" s="289">
        <v>0.97</v>
      </c>
      <c r="AX10" s="289">
        <v>0.49</v>
      </c>
      <c r="AY10" s="289">
        <v>0.42</v>
      </c>
      <c r="AZ10" s="289">
        <v>0.28000000000000003</v>
      </c>
      <c r="BA10" s="289">
        <v>0.1</v>
      </c>
      <c r="BB10" s="289">
        <v>3.8499999999999996</v>
      </c>
      <c r="BD10" s="290">
        <v>0.33999999999999997</v>
      </c>
      <c r="BE10" s="289">
        <v>0.01</v>
      </c>
      <c r="BF10" s="289">
        <v>0.15</v>
      </c>
      <c r="BG10" s="289">
        <v>0.45</v>
      </c>
      <c r="BH10" s="289">
        <v>2.1</v>
      </c>
      <c r="BI10" s="289">
        <v>1.8</v>
      </c>
      <c r="BJ10" s="289">
        <v>0.32</v>
      </c>
      <c r="BK10" s="289">
        <v>0.08</v>
      </c>
      <c r="BL10" s="289">
        <v>0.36</v>
      </c>
      <c r="BM10" s="289">
        <v>0.27</v>
      </c>
      <c r="BN10" s="289">
        <v>0.4</v>
      </c>
      <c r="BO10" s="289">
        <v>0.17</v>
      </c>
    </row>
    <row r="11" spans="1:68" s="290" customFormat="1" ht="15.95" customHeight="1">
      <c r="A11" s="1457" t="s">
        <v>193</v>
      </c>
      <c r="B11" s="1451" t="s">
        <v>2746</v>
      </c>
      <c r="C11" s="1458" t="s">
        <v>7</v>
      </c>
      <c r="D11" s="1459">
        <v>8.33385</v>
      </c>
      <c r="E11" s="1460">
        <v>4.3638499999999993</v>
      </c>
      <c r="F11" s="1460">
        <v>0.01</v>
      </c>
      <c r="G11" s="1460">
        <v>6.9999999999999993E-2</v>
      </c>
      <c r="H11" s="1460">
        <v>0.45000000000000007</v>
      </c>
      <c r="I11" s="1460">
        <v>0.01</v>
      </c>
      <c r="J11" s="1460">
        <v>0</v>
      </c>
      <c r="K11" s="1460">
        <v>0.30000000000000004</v>
      </c>
      <c r="L11" s="1460">
        <v>0.15</v>
      </c>
      <c r="M11" s="1460">
        <v>0.23</v>
      </c>
      <c r="N11" s="1460">
        <v>0.02</v>
      </c>
      <c r="O11" s="1460">
        <v>0.65</v>
      </c>
      <c r="P11" s="1460">
        <v>0.85</v>
      </c>
      <c r="Q11" s="1460">
        <v>0.21000000000000002</v>
      </c>
      <c r="R11" s="1460">
        <v>0.13</v>
      </c>
      <c r="S11" s="1460">
        <v>0.03</v>
      </c>
      <c r="T11" s="1460">
        <v>0.01</v>
      </c>
      <c r="U11" s="1460">
        <v>0.11</v>
      </c>
      <c r="V11" s="1460">
        <v>0</v>
      </c>
      <c r="W11" s="1460">
        <v>0.74</v>
      </c>
      <c r="X11" s="285"/>
      <c r="Y11" s="319" t="s">
        <v>151</v>
      </c>
      <c r="Z11" s="285" t="s">
        <v>7</v>
      </c>
      <c r="AA11" s="320">
        <v>106.63</v>
      </c>
      <c r="AB11" s="316">
        <v>94.789999999999978</v>
      </c>
      <c r="AC11" s="317">
        <v>0.88896183062927869</v>
      </c>
      <c r="AD11" s="310">
        <v>81.27</v>
      </c>
      <c r="AE11" s="291">
        <v>25.36</v>
      </c>
      <c r="AF11" s="291">
        <v>106.63</v>
      </c>
      <c r="AH11" s="290">
        <v>0.1</v>
      </c>
      <c r="AI11" s="290">
        <v>6.1</v>
      </c>
      <c r="AJ11" s="290">
        <v>6.37</v>
      </c>
      <c r="AK11" s="290">
        <v>5.19</v>
      </c>
      <c r="AL11" s="290">
        <v>0.02</v>
      </c>
      <c r="AM11" s="290">
        <v>0.1</v>
      </c>
      <c r="AO11" s="289">
        <v>1.07</v>
      </c>
      <c r="AQ11" s="289">
        <v>4.84</v>
      </c>
      <c r="AR11" s="318">
        <v>17.78</v>
      </c>
      <c r="AS11" s="290">
        <v>5.87</v>
      </c>
      <c r="AT11" s="289">
        <v>13.45</v>
      </c>
      <c r="AU11" s="318">
        <v>7.5799999999999992</v>
      </c>
      <c r="AV11" s="291">
        <v>12.330000000000002</v>
      </c>
      <c r="AW11" s="289">
        <v>0.94</v>
      </c>
      <c r="AX11" s="289">
        <v>0.49</v>
      </c>
      <c r="AY11" s="289"/>
      <c r="AZ11" s="290">
        <v>0.28000000000000003</v>
      </c>
      <c r="BA11" s="290">
        <v>0.1</v>
      </c>
      <c r="BB11" s="290">
        <v>4.8499999999999996</v>
      </c>
      <c r="BD11" s="290">
        <v>0.33999999999999997</v>
      </c>
      <c r="BE11" s="290">
        <v>0.01</v>
      </c>
      <c r="BF11" s="290">
        <v>0.15</v>
      </c>
      <c r="BG11" s="289">
        <v>0.45</v>
      </c>
      <c r="BH11" s="290">
        <v>2.1</v>
      </c>
      <c r="BI11" s="290">
        <v>1.1000000000000001</v>
      </c>
      <c r="BJ11" s="290">
        <v>0.32</v>
      </c>
      <c r="BK11" s="290">
        <v>0.08</v>
      </c>
      <c r="BL11" s="290">
        <v>0.3</v>
      </c>
      <c r="BM11" s="290">
        <v>0.27</v>
      </c>
      <c r="BN11" s="290">
        <v>0.4</v>
      </c>
      <c r="BO11" s="290">
        <v>0.15</v>
      </c>
    </row>
    <row r="12" spans="1:68" s="290" customFormat="1" ht="18" customHeight="1">
      <c r="A12" s="1452" t="s">
        <v>9</v>
      </c>
      <c r="B12" s="1453" t="s">
        <v>2747</v>
      </c>
      <c r="C12" s="1454" t="s">
        <v>12</v>
      </c>
      <c r="D12" s="1455">
        <v>18.377500000000005</v>
      </c>
      <c r="E12" s="1461">
        <v>1.8115000000000001</v>
      </c>
      <c r="F12" s="1461">
        <v>0.03</v>
      </c>
      <c r="G12" s="1461">
        <v>0.13</v>
      </c>
      <c r="H12" s="1461">
        <v>0.15600000000000003</v>
      </c>
      <c r="I12" s="1461">
        <v>9.9999999999999992E-2</v>
      </c>
      <c r="J12" s="1461">
        <v>0.47000000000000003</v>
      </c>
      <c r="K12" s="1461">
        <v>0.12000000000000001</v>
      </c>
      <c r="L12" s="1461">
        <v>0.03</v>
      </c>
      <c r="M12" s="1461">
        <v>0.38999999999999996</v>
      </c>
      <c r="N12" s="1461">
        <v>0.02</v>
      </c>
      <c r="O12" s="1461">
        <v>0.92999999999999994</v>
      </c>
      <c r="P12" s="1461">
        <v>0.22000000000000003</v>
      </c>
      <c r="Q12" s="1461">
        <v>0.35000000000000003</v>
      </c>
      <c r="R12" s="1461">
        <v>12.700000000000001</v>
      </c>
      <c r="S12" s="1461">
        <v>0.02</v>
      </c>
      <c r="T12" s="1461">
        <v>0.03</v>
      </c>
      <c r="U12" s="1461">
        <v>0.29000000000000004</v>
      </c>
      <c r="V12" s="1461">
        <v>0.03</v>
      </c>
      <c r="W12" s="1461">
        <v>0.54999999999999993</v>
      </c>
      <c r="X12" s="313" t="s">
        <v>9</v>
      </c>
      <c r="Y12" s="314" t="s">
        <v>88</v>
      </c>
      <c r="Z12" s="313" t="s">
        <v>12</v>
      </c>
      <c r="AA12" s="315">
        <v>36.33</v>
      </c>
      <c r="AB12" s="316">
        <v>33.9</v>
      </c>
      <c r="AC12" s="317">
        <v>0.93311312964492155</v>
      </c>
      <c r="AD12" s="310">
        <v>33.979999999999997</v>
      </c>
      <c r="AE12" s="291">
        <v>2.35</v>
      </c>
      <c r="AF12" s="291">
        <v>36.33</v>
      </c>
      <c r="AH12" s="290">
        <v>0.3</v>
      </c>
      <c r="AI12" s="290">
        <v>0.4</v>
      </c>
      <c r="AJ12" s="290">
        <v>1.62</v>
      </c>
      <c r="AK12" s="290">
        <v>0.35</v>
      </c>
      <c r="AL12" s="290">
        <v>0.01</v>
      </c>
      <c r="AM12" s="290">
        <v>0.06</v>
      </c>
      <c r="AN12" s="290">
        <v>0.5</v>
      </c>
      <c r="AR12" s="318">
        <v>2.68</v>
      </c>
      <c r="AS12" s="290">
        <v>1.35</v>
      </c>
      <c r="AT12" s="290">
        <v>1.02</v>
      </c>
      <c r="AU12" s="318">
        <v>-0.33000000000000007</v>
      </c>
      <c r="AV12" s="291">
        <v>5.38</v>
      </c>
      <c r="BA12" s="290">
        <v>0.04</v>
      </c>
      <c r="BB12" s="290">
        <v>4.2200000000000006</v>
      </c>
      <c r="BD12" s="290">
        <v>4.9999999999999996E-2</v>
      </c>
      <c r="BG12" s="290">
        <v>0.05</v>
      </c>
      <c r="BH12" s="290">
        <v>0.3</v>
      </c>
      <c r="BI12" s="290">
        <v>0.5</v>
      </c>
      <c r="BK12" s="290">
        <v>0.03</v>
      </c>
      <c r="BL12" s="290">
        <v>0.11</v>
      </c>
      <c r="BM12" s="290">
        <v>0.02</v>
      </c>
      <c r="BN12" s="290">
        <v>0.06</v>
      </c>
    </row>
    <row r="13" spans="1:68" ht="18" customHeight="1">
      <c r="A13" s="1452" t="s">
        <v>11</v>
      </c>
      <c r="B13" s="1453" t="s">
        <v>60</v>
      </c>
      <c r="C13" s="1454" t="s">
        <v>14</v>
      </c>
      <c r="D13" s="1455">
        <v>8.9149999999999991</v>
      </c>
      <c r="E13" s="1461">
        <v>1.57</v>
      </c>
      <c r="F13" s="1461">
        <v>0.03</v>
      </c>
      <c r="G13" s="1461">
        <v>0.26</v>
      </c>
      <c r="H13" s="1461">
        <v>0.16500000000000004</v>
      </c>
      <c r="I13" s="1461">
        <v>0.33</v>
      </c>
      <c r="J13" s="1461">
        <v>0.49</v>
      </c>
      <c r="K13" s="1461">
        <v>0.21000000000000002</v>
      </c>
      <c r="L13" s="1461">
        <v>0.01</v>
      </c>
      <c r="M13" s="1461">
        <v>0.57000000000000006</v>
      </c>
      <c r="N13" s="1461">
        <v>0.01</v>
      </c>
      <c r="O13" s="1461">
        <v>1.04</v>
      </c>
      <c r="P13" s="1461">
        <v>1.01</v>
      </c>
      <c r="Q13" s="1461">
        <v>0.28000000000000003</v>
      </c>
      <c r="R13" s="1461">
        <v>1.04</v>
      </c>
      <c r="S13" s="1461">
        <v>0.01</v>
      </c>
      <c r="T13" s="1461">
        <v>0.02</v>
      </c>
      <c r="U13" s="1461">
        <v>0.92000000000000015</v>
      </c>
      <c r="V13" s="1461">
        <v>0.02</v>
      </c>
      <c r="W13" s="1461">
        <v>0.92999999999999972</v>
      </c>
      <c r="X13" s="313" t="s">
        <v>11</v>
      </c>
      <c r="Y13" s="314" t="s">
        <v>60</v>
      </c>
      <c r="Z13" s="313" t="s">
        <v>14</v>
      </c>
      <c r="AA13" s="315">
        <v>144.19</v>
      </c>
      <c r="AB13" s="316">
        <v>128.34</v>
      </c>
      <c r="AC13" s="317">
        <v>0.8900755947014356</v>
      </c>
      <c r="AD13" s="310">
        <v>122.78999999999999</v>
      </c>
      <c r="AE13" s="291">
        <v>21.4</v>
      </c>
      <c r="AF13" s="291">
        <v>144.19</v>
      </c>
      <c r="AH13" s="289">
        <v>0.92</v>
      </c>
      <c r="AI13" s="289">
        <v>11.7</v>
      </c>
      <c r="AJ13" s="289">
        <v>2.2999999999999998</v>
      </c>
      <c r="AK13" s="289">
        <v>0.11</v>
      </c>
      <c r="AL13" s="289">
        <v>0.01</v>
      </c>
      <c r="AM13" s="289">
        <v>0.1</v>
      </c>
      <c r="AN13" s="290">
        <v>0.7</v>
      </c>
      <c r="AP13" s="289">
        <v>5.9</v>
      </c>
      <c r="AR13" s="318">
        <v>20.939999999999998</v>
      </c>
      <c r="AS13" s="289">
        <v>1.38</v>
      </c>
      <c r="AT13" s="290">
        <v>1.84</v>
      </c>
      <c r="AU13" s="318">
        <v>0.46000000000000019</v>
      </c>
      <c r="AV13" s="291">
        <v>23.169999999999998</v>
      </c>
      <c r="AW13" s="289">
        <v>14.950000000000001</v>
      </c>
      <c r="AZ13" s="289">
        <v>0.48</v>
      </c>
      <c r="BA13" s="289">
        <v>0.06</v>
      </c>
      <c r="BB13" s="289">
        <v>6.31</v>
      </c>
      <c r="BC13" s="289">
        <v>0.37</v>
      </c>
      <c r="BD13" s="289">
        <v>0.06</v>
      </c>
      <c r="BE13" s="289">
        <v>0.04</v>
      </c>
      <c r="BI13" s="289">
        <v>0.6</v>
      </c>
      <c r="BM13" s="289">
        <v>0.06</v>
      </c>
      <c r="BN13" s="289">
        <v>0.22</v>
      </c>
      <c r="BO13" s="289">
        <v>0.02</v>
      </c>
      <c r="BP13" s="289">
        <v>5.9</v>
      </c>
    </row>
    <row r="14" spans="1:68" ht="18" customHeight="1">
      <c r="A14" s="1452" t="s">
        <v>13</v>
      </c>
      <c r="B14" s="1453" t="s">
        <v>61</v>
      </c>
      <c r="C14" s="1454" t="s">
        <v>16</v>
      </c>
      <c r="D14" s="1455">
        <v>0</v>
      </c>
      <c r="E14" s="1461">
        <v>0</v>
      </c>
      <c r="F14" s="1461">
        <v>0</v>
      </c>
      <c r="G14" s="1461">
        <v>0</v>
      </c>
      <c r="H14" s="1461">
        <v>0</v>
      </c>
      <c r="I14" s="1461">
        <v>0</v>
      </c>
      <c r="J14" s="1461">
        <v>0</v>
      </c>
      <c r="K14" s="1461">
        <v>0</v>
      </c>
      <c r="L14" s="1461">
        <v>0</v>
      </c>
      <c r="M14" s="1461">
        <v>0</v>
      </c>
      <c r="N14" s="1461">
        <v>0</v>
      </c>
      <c r="O14" s="1461">
        <v>0</v>
      </c>
      <c r="P14" s="1461">
        <v>0</v>
      </c>
      <c r="Q14" s="1461">
        <v>0</v>
      </c>
      <c r="R14" s="1461">
        <v>0</v>
      </c>
      <c r="S14" s="1461">
        <v>0</v>
      </c>
      <c r="T14" s="1461">
        <v>0</v>
      </c>
      <c r="U14" s="1461">
        <v>0</v>
      </c>
      <c r="V14" s="1461">
        <v>0</v>
      </c>
      <c r="W14" s="1461">
        <v>0</v>
      </c>
      <c r="X14" s="313" t="s">
        <v>13</v>
      </c>
      <c r="Y14" s="314" t="s">
        <v>62</v>
      </c>
      <c r="Z14" s="313" t="s">
        <v>17</v>
      </c>
      <c r="AA14" s="315">
        <v>0.47</v>
      </c>
      <c r="AB14" s="321">
        <v>0</v>
      </c>
      <c r="AC14" s="321">
        <v>0</v>
      </c>
      <c r="AD14" s="310">
        <v>0</v>
      </c>
      <c r="AE14" s="291">
        <v>0</v>
      </c>
      <c r="AF14" s="291">
        <v>0</v>
      </c>
      <c r="AR14" s="318">
        <v>0</v>
      </c>
      <c r="AU14" s="318">
        <v>0</v>
      </c>
      <c r="AV14" s="291">
        <v>0</v>
      </c>
    </row>
    <row r="15" spans="1:68" ht="18" hidden="1" customHeight="1">
      <c r="A15" s="1452" t="s">
        <v>15</v>
      </c>
      <c r="B15" s="1453" t="s">
        <v>62</v>
      </c>
      <c r="C15" s="1454" t="s">
        <v>17</v>
      </c>
      <c r="D15" s="1455">
        <v>0</v>
      </c>
      <c r="E15" s="1461">
        <v>0</v>
      </c>
      <c r="F15" s="1461">
        <v>0</v>
      </c>
      <c r="G15" s="1461">
        <v>0</v>
      </c>
      <c r="H15" s="1461">
        <v>0</v>
      </c>
      <c r="I15" s="1461">
        <v>0</v>
      </c>
      <c r="J15" s="1461">
        <v>0</v>
      </c>
      <c r="K15" s="1461">
        <v>0</v>
      </c>
      <c r="L15" s="1461">
        <v>0</v>
      </c>
      <c r="M15" s="1461">
        <v>0</v>
      </c>
      <c r="N15" s="1461">
        <v>0</v>
      </c>
      <c r="O15" s="1461">
        <v>0</v>
      </c>
      <c r="P15" s="1461">
        <v>0</v>
      </c>
      <c r="Q15" s="1461">
        <v>0</v>
      </c>
      <c r="R15" s="1461">
        <v>0</v>
      </c>
      <c r="S15" s="1461">
        <v>0</v>
      </c>
      <c r="T15" s="1461">
        <v>0</v>
      </c>
      <c r="U15" s="1461">
        <v>0</v>
      </c>
      <c r="V15" s="1461">
        <v>0</v>
      </c>
      <c r="W15" s="1461">
        <v>0</v>
      </c>
      <c r="X15" s="313" t="s">
        <v>15</v>
      </c>
      <c r="Y15" s="319" t="s">
        <v>63</v>
      </c>
      <c r="Z15" s="285" t="s">
        <v>18</v>
      </c>
      <c r="AA15" s="320">
        <v>53.099999999999994</v>
      </c>
      <c r="AB15" s="316">
        <v>48.570000000000007</v>
      </c>
      <c r="AC15" s="317">
        <v>0.91468926553672336</v>
      </c>
      <c r="AD15" s="310">
        <v>0.47</v>
      </c>
      <c r="AE15" s="291">
        <v>0</v>
      </c>
      <c r="AF15" s="291">
        <v>0.47</v>
      </c>
      <c r="AR15" s="318">
        <v>0</v>
      </c>
      <c r="AU15" s="318">
        <v>0</v>
      </c>
      <c r="AV15" s="291">
        <v>0</v>
      </c>
    </row>
    <row r="16" spans="1:68" s="290" customFormat="1" ht="18.95" customHeight="1">
      <c r="A16" s="1452" t="s">
        <v>15</v>
      </c>
      <c r="B16" s="1453" t="s">
        <v>63</v>
      </c>
      <c r="C16" s="1454" t="s">
        <v>18</v>
      </c>
      <c r="D16" s="1455">
        <v>66.634999999999991</v>
      </c>
      <c r="E16" s="1461">
        <v>2.57</v>
      </c>
      <c r="F16" s="1461">
        <v>0.13999999999999999</v>
      </c>
      <c r="G16" s="1461">
        <v>3.49</v>
      </c>
      <c r="H16" s="1461">
        <v>0.13500000000000001</v>
      </c>
      <c r="I16" s="1461">
        <v>0.96</v>
      </c>
      <c r="J16" s="1461">
        <v>1.17</v>
      </c>
      <c r="K16" s="1461">
        <v>1.53</v>
      </c>
      <c r="L16" s="1461">
        <v>0.41000000000000003</v>
      </c>
      <c r="M16" s="1461">
        <v>8.3099999999999987</v>
      </c>
      <c r="N16" s="1461">
        <v>0.01</v>
      </c>
      <c r="O16" s="1461">
        <v>19.62</v>
      </c>
      <c r="P16" s="1461">
        <v>4.25</v>
      </c>
      <c r="Q16" s="1461">
        <v>4.4700000000000006</v>
      </c>
      <c r="R16" s="1461">
        <v>12.79</v>
      </c>
      <c r="S16" s="1461">
        <v>0.03</v>
      </c>
      <c r="T16" s="1461">
        <v>0.02</v>
      </c>
      <c r="U16" s="1461">
        <v>2.3600000000000003</v>
      </c>
      <c r="V16" s="1461">
        <v>0.26</v>
      </c>
      <c r="W16" s="1461">
        <v>4.1099999999999994</v>
      </c>
      <c r="X16" s="313" t="s">
        <v>64</v>
      </c>
      <c r="Y16" s="319" t="s">
        <v>72</v>
      </c>
      <c r="Z16" s="285" t="s">
        <v>19</v>
      </c>
      <c r="AA16" s="320">
        <v>16.650000000000002</v>
      </c>
      <c r="AB16" s="316">
        <v>12.65</v>
      </c>
      <c r="AC16" s="317">
        <v>0.75975975975975973</v>
      </c>
      <c r="AD16" s="310">
        <v>49.459999999999994</v>
      </c>
      <c r="AE16" s="291">
        <v>3.6400000000000006</v>
      </c>
      <c r="AF16" s="291">
        <v>53.099999999999994</v>
      </c>
      <c r="AI16" s="290">
        <v>23.98</v>
      </c>
      <c r="AR16" s="318">
        <v>23.98</v>
      </c>
      <c r="AS16" s="290">
        <v>25.4</v>
      </c>
      <c r="AT16" s="290">
        <v>5.0599999999999996</v>
      </c>
      <c r="AU16" s="318">
        <v>-20.34</v>
      </c>
      <c r="AV16" s="291">
        <v>9.5399999999999991</v>
      </c>
      <c r="BB16" s="290">
        <v>9.33</v>
      </c>
      <c r="BD16" s="290">
        <v>0.2</v>
      </c>
      <c r="BE16" s="290">
        <v>0.01</v>
      </c>
    </row>
    <row r="17" spans="1:68" s="283" customFormat="1" ht="18.95" customHeight="1">
      <c r="A17" s="1457" t="s">
        <v>193</v>
      </c>
      <c r="B17" s="1451" t="s">
        <v>206</v>
      </c>
      <c r="C17" s="1458" t="s">
        <v>187</v>
      </c>
      <c r="D17" s="1459">
        <v>0</v>
      </c>
      <c r="E17" s="1462">
        <v>0</v>
      </c>
      <c r="F17" s="1462">
        <v>0</v>
      </c>
      <c r="G17" s="1462">
        <v>0</v>
      </c>
      <c r="H17" s="1462">
        <v>0</v>
      </c>
      <c r="I17" s="1462">
        <v>0</v>
      </c>
      <c r="J17" s="1462">
        <v>0</v>
      </c>
      <c r="K17" s="1462">
        <v>0</v>
      </c>
      <c r="L17" s="1462">
        <v>0</v>
      </c>
      <c r="M17" s="1462">
        <v>0</v>
      </c>
      <c r="N17" s="1462">
        <v>0</v>
      </c>
      <c r="O17" s="1462">
        <v>0</v>
      </c>
      <c r="P17" s="1462">
        <v>0</v>
      </c>
      <c r="Q17" s="1462">
        <v>0</v>
      </c>
      <c r="R17" s="1462">
        <v>0</v>
      </c>
      <c r="S17" s="1462">
        <v>0</v>
      </c>
      <c r="T17" s="1462">
        <v>0</v>
      </c>
      <c r="U17" s="1462">
        <v>0</v>
      </c>
      <c r="V17" s="1462">
        <v>0</v>
      </c>
      <c r="W17" s="1462">
        <v>0</v>
      </c>
      <c r="X17" s="1012">
        <v>2</v>
      </c>
      <c r="Y17" s="306" t="s">
        <v>21</v>
      </c>
      <c r="Z17" s="1012" t="s">
        <v>22</v>
      </c>
      <c r="AA17" s="307">
        <v>24.11</v>
      </c>
      <c r="AB17" s="308">
        <v>19.049999999999997</v>
      </c>
      <c r="AC17" s="309">
        <v>0.79012857735379505</v>
      </c>
      <c r="AD17" s="310">
        <v>0</v>
      </c>
      <c r="AE17" s="291">
        <v>0</v>
      </c>
      <c r="AF17" s="291">
        <v>0</v>
      </c>
      <c r="AR17" s="318">
        <v>0</v>
      </c>
      <c r="AU17" s="318">
        <v>0</v>
      </c>
      <c r="AV17" s="291">
        <v>0</v>
      </c>
    </row>
    <row r="18" spans="1:68" s="290" customFormat="1" ht="18" customHeight="1">
      <c r="A18" s="1452" t="s">
        <v>64</v>
      </c>
      <c r="B18" s="1453" t="s">
        <v>72</v>
      </c>
      <c r="C18" s="1454" t="s">
        <v>19</v>
      </c>
      <c r="D18" s="1455">
        <v>1.6300000000000001</v>
      </c>
      <c r="E18" s="1461">
        <v>0.04</v>
      </c>
      <c r="F18" s="1461">
        <v>0</v>
      </c>
      <c r="G18" s="1461">
        <v>0</v>
      </c>
      <c r="H18" s="1461">
        <v>0</v>
      </c>
      <c r="I18" s="1461">
        <v>0.02</v>
      </c>
      <c r="J18" s="1461">
        <v>0.02</v>
      </c>
      <c r="K18" s="1461">
        <v>0.02</v>
      </c>
      <c r="L18" s="1461">
        <v>0</v>
      </c>
      <c r="M18" s="1461">
        <v>0.1</v>
      </c>
      <c r="N18" s="1461">
        <v>0.02</v>
      </c>
      <c r="O18" s="1461">
        <v>0.51</v>
      </c>
      <c r="P18" s="1461">
        <v>0.24999999999999997</v>
      </c>
      <c r="Q18" s="1461">
        <v>0</v>
      </c>
      <c r="R18" s="1461">
        <v>7.0000000000000007E-2</v>
      </c>
      <c r="S18" s="1461">
        <v>0</v>
      </c>
      <c r="T18" s="1461">
        <v>0</v>
      </c>
      <c r="U18" s="1461">
        <v>0.06</v>
      </c>
      <c r="V18" s="1461">
        <v>0.02</v>
      </c>
      <c r="W18" s="1461">
        <v>0.5</v>
      </c>
      <c r="X18" s="313"/>
      <c r="Y18" s="314" t="s">
        <v>190</v>
      </c>
      <c r="Z18" s="313"/>
      <c r="AA18" s="315"/>
      <c r="AB18" s="316"/>
      <c r="AC18" s="317"/>
      <c r="AD18" s="310">
        <v>13.71</v>
      </c>
      <c r="AE18" s="291">
        <v>2.94</v>
      </c>
      <c r="AF18" s="291">
        <v>16.650000000000002</v>
      </c>
      <c r="AH18" s="290">
        <v>0.06</v>
      </c>
      <c r="AI18" s="290">
        <v>1.18</v>
      </c>
      <c r="AJ18" s="290">
        <v>0.2</v>
      </c>
      <c r="AK18" s="290">
        <v>0.14000000000000001</v>
      </c>
      <c r="AP18" s="290">
        <v>1.8</v>
      </c>
      <c r="AR18" s="318">
        <v>3.38</v>
      </c>
      <c r="AS18" s="290">
        <v>1.1000000000000001</v>
      </c>
      <c r="AT18" s="290">
        <v>0.66</v>
      </c>
      <c r="AU18" s="318">
        <v>-0.44000000000000006</v>
      </c>
      <c r="AV18" s="291">
        <v>1.75</v>
      </c>
      <c r="AW18" s="290">
        <v>0.86</v>
      </c>
      <c r="AZ18" s="290">
        <v>0.01</v>
      </c>
      <c r="BB18" s="290">
        <v>0.17</v>
      </c>
      <c r="BD18" s="290">
        <v>0.46</v>
      </c>
      <c r="BK18" s="290">
        <v>0.25</v>
      </c>
      <c r="BP18" s="290">
        <v>1.8</v>
      </c>
    </row>
    <row r="19" spans="1:68" ht="23.25" hidden="1" customHeight="1">
      <c r="A19" s="1452" t="s">
        <v>86</v>
      </c>
      <c r="B19" s="1453" t="s">
        <v>2749</v>
      </c>
      <c r="C19" s="1454" t="s">
        <v>2752</v>
      </c>
      <c r="D19" s="1455">
        <v>0</v>
      </c>
      <c r="E19" s="1461">
        <v>0</v>
      </c>
      <c r="F19" s="1461">
        <v>0</v>
      </c>
      <c r="G19" s="1461">
        <v>0</v>
      </c>
      <c r="H19" s="1461">
        <v>0</v>
      </c>
      <c r="I19" s="1461">
        <v>0</v>
      </c>
      <c r="J19" s="1461">
        <v>0</v>
      </c>
      <c r="K19" s="1461">
        <v>0</v>
      </c>
      <c r="L19" s="1461">
        <v>0</v>
      </c>
      <c r="M19" s="1461">
        <v>0</v>
      </c>
      <c r="N19" s="1461">
        <v>0</v>
      </c>
      <c r="O19" s="1461">
        <v>0</v>
      </c>
      <c r="P19" s="1461">
        <v>0</v>
      </c>
      <c r="Q19" s="1461">
        <v>0</v>
      </c>
      <c r="R19" s="1461">
        <v>0</v>
      </c>
      <c r="S19" s="1461">
        <v>0</v>
      </c>
      <c r="T19" s="1461">
        <v>0</v>
      </c>
      <c r="U19" s="1461">
        <v>0</v>
      </c>
      <c r="V19" s="1461">
        <v>0</v>
      </c>
      <c r="W19" s="1461">
        <v>0</v>
      </c>
      <c r="X19" s="313" t="s">
        <v>23</v>
      </c>
      <c r="Y19" s="314" t="s">
        <v>92</v>
      </c>
      <c r="Z19" s="313" t="s">
        <v>93</v>
      </c>
      <c r="AA19" s="315">
        <v>0.11</v>
      </c>
      <c r="AB19" s="321">
        <v>0.01</v>
      </c>
      <c r="AC19" s="321">
        <v>9.0909090909090912E-2</v>
      </c>
      <c r="AD19" s="310">
        <v>0</v>
      </c>
      <c r="AE19" s="291">
        <v>0</v>
      </c>
      <c r="AF19" s="291">
        <v>0</v>
      </c>
      <c r="AR19" s="318">
        <v>0</v>
      </c>
      <c r="AU19" s="318">
        <v>0</v>
      </c>
      <c r="AV19" s="291">
        <v>0</v>
      </c>
    </row>
    <row r="20" spans="1:68" ht="20.100000000000001" hidden="1" customHeight="1">
      <c r="A20" s="1452" t="s">
        <v>86</v>
      </c>
      <c r="B20" s="1453" t="s">
        <v>89</v>
      </c>
      <c r="C20" s="1454" t="s">
        <v>20</v>
      </c>
      <c r="D20" s="1455">
        <v>0</v>
      </c>
      <c r="E20" s="1461">
        <v>0</v>
      </c>
      <c r="F20" s="1461">
        <v>0</v>
      </c>
      <c r="G20" s="1461">
        <v>0</v>
      </c>
      <c r="H20" s="1461">
        <v>0</v>
      </c>
      <c r="I20" s="1461">
        <v>0</v>
      </c>
      <c r="J20" s="1461">
        <v>0</v>
      </c>
      <c r="K20" s="1461">
        <v>0</v>
      </c>
      <c r="L20" s="1461">
        <v>0</v>
      </c>
      <c r="M20" s="1461">
        <v>0</v>
      </c>
      <c r="N20" s="1461">
        <v>0</v>
      </c>
      <c r="O20" s="1461">
        <v>0</v>
      </c>
      <c r="P20" s="1461">
        <v>0</v>
      </c>
      <c r="Q20" s="1461">
        <v>0</v>
      </c>
      <c r="R20" s="1461">
        <v>0</v>
      </c>
      <c r="S20" s="1461">
        <v>0</v>
      </c>
      <c r="T20" s="1461">
        <v>0</v>
      </c>
      <c r="U20" s="1461">
        <v>0</v>
      </c>
      <c r="V20" s="1461">
        <v>0</v>
      </c>
      <c r="W20" s="1461">
        <v>0</v>
      </c>
      <c r="X20" s="313" t="s">
        <v>25</v>
      </c>
      <c r="Y20" s="314" t="s">
        <v>98</v>
      </c>
      <c r="Z20" s="313" t="s">
        <v>34</v>
      </c>
      <c r="AA20" s="315">
        <v>0.24</v>
      </c>
      <c r="AB20" s="321">
        <v>0</v>
      </c>
      <c r="AC20" s="321">
        <v>0</v>
      </c>
      <c r="AD20" s="310">
        <v>0</v>
      </c>
      <c r="AE20" s="291">
        <v>0</v>
      </c>
      <c r="AF20" s="291">
        <v>0</v>
      </c>
      <c r="AR20" s="318">
        <v>0</v>
      </c>
      <c r="AU20" s="318">
        <v>0</v>
      </c>
      <c r="AV20" s="291">
        <v>0</v>
      </c>
    </row>
    <row r="21" spans="1:68" s="287" customFormat="1" ht="17.45" customHeight="1">
      <c r="A21" s="1463">
        <v>2</v>
      </c>
      <c r="B21" s="1447" t="s">
        <v>21</v>
      </c>
      <c r="C21" s="1448" t="s">
        <v>22</v>
      </c>
      <c r="D21" s="1449">
        <v>6.5546100000000003</v>
      </c>
      <c r="E21" s="1464">
        <v>0.52060999999999991</v>
      </c>
      <c r="F21" s="1464">
        <v>0.15000000000000002</v>
      </c>
      <c r="G21" s="1464">
        <v>0.16</v>
      </c>
      <c r="H21" s="1464">
        <v>0.13400000000000001</v>
      </c>
      <c r="I21" s="1464">
        <v>0.1</v>
      </c>
      <c r="J21" s="1464">
        <v>0.2</v>
      </c>
      <c r="K21" s="1464">
        <v>8.9999999999999983E-2</v>
      </c>
      <c r="L21" s="1464">
        <v>0.05</v>
      </c>
      <c r="M21" s="1464">
        <v>0.16999999999999998</v>
      </c>
      <c r="N21" s="1464">
        <v>7.0000000000000007E-2</v>
      </c>
      <c r="O21" s="1464">
        <v>1.1900000000000002</v>
      </c>
      <c r="P21" s="1464">
        <v>0.59000000000000008</v>
      </c>
      <c r="Q21" s="1464">
        <v>0.23</v>
      </c>
      <c r="R21" s="1464">
        <v>1.7300000000000002</v>
      </c>
      <c r="S21" s="1464">
        <v>0.02</v>
      </c>
      <c r="T21" s="1464">
        <v>0.03</v>
      </c>
      <c r="U21" s="1464">
        <v>6.0000000000000005E-2</v>
      </c>
      <c r="V21" s="1464">
        <v>0</v>
      </c>
      <c r="W21" s="1464">
        <v>1.06</v>
      </c>
      <c r="X21" s="1012" t="s">
        <v>27</v>
      </c>
      <c r="Y21" s="306" t="s">
        <v>125</v>
      </c>
      <c r="Z21" s="1012" t="s">
        <v>43</v>
      </c>
      <c r="AA21" s="307">
        <v>11.66</v>
      </c>
      <c r="AB21" s="308">
        <v>13.419999999999998</v>
      </c>
      <c r="AC21" s="309">
        <v>1.1509433962264148</v>
      </c>
      <c r="AD21" s="310">
        <v>20</v>
      </c>
      <c r="AE21" s="945">
        <v>4.1099999999999994</v>
      </c>
      <c r="AF21" s="945">
        <v>24.11</v>
      </c>
      <c r="AR21" s="946">
        <v>0</v>
      </c>
      <c r="AU21" s="946">
        <v>0</v>
      </c>
      <c r="AV21" s="945">
        <v>0</v>
      </c>
    </row>
    <row r="22" spans="1:68" ht="18" customHeight="1">
      <c r="A22" s="1465"/>
      <c r="B22" s="1451" t="s">
        <v>2815</v>
      </c>
      <c r="C22" s="1466"/>
      <c r="D22" s="1467"/>
      <c r="E22" s="1468"/>
      <c r="F22" s="1468"/>
      <c r="G22" s="1468"/>
      <c r="H22" s="1468"/>
      <c r="I22" s="1468"/>
      <c r="J22" s="1468"/>
      <c r="K22" s="1468"/>
      <c r="L22" s="1468"/>
      <c r="M22" s="1468"/>
      <c r="N22" s="1464"/>
      <c r="O22" s="1468"/>
      <c r="P22" s="1468"/>
      <c r="Q22" s="1468"/>
      <c r="R22" s="1468"/>
      <c r="S22" s="1468"/>
      <c r="T22" s="1468"/>
      <c r="U22" s="1468"/>
      <c r="V22" s="1468"/>
      <c r="W22" s="1468"/>
      <c r="X22" s="313"/>
      <c r="Y22" s="314" t="s">
        <v>190</v>
      </c>
      <c r="Z22" s="313"/>
      <c r="AA22" s="315"/>
      <c r="AB22" s="316"/>
      <c r="AC22" s="317"/>
      <c r="AD22" s="310"/>
      <c r="AE22" s="291">
        <v>0</v>
      </c>
      <c r="AF22" s="291">
        <v>0</v>
      </c>
      <c r="AR22" s="318">
        <v>0</v>
      </c>
      <c r="AU22" s="318">
        <v>0</v>
      </c>
      <c r="AV22" s="291">
        <v>0</v>
      </c>
    </row>
    <row r="23" spans="1:68" ht="19.350000000000001" customHeight="1">
      <c r="A23" s="1469" t="s">
        <v>23</v>
      </c>
      <c r="B23" s="1453" t="s">
        <v>65</v>
      </c>
      <c r="C23" s="1454" t="s">
        <v>26</v>
      </c>
      <c r="D23" s="1455">
        <v>0</v>
      </c>
      <c r="E23" s="1456">
        <v>0</v>
      </c>
      <c r="F23" s="1456">
        <v>0</v>
      </c>
      <c r="G23" s="1456">
        <v>0</v>
      </c>
      <c r="H23" s="1456">
        <v>0</v>
      </c>
      <c r="I23" s="1456">
        <v>0</v>
      </c>
      <c r="J23" s="1456">
        <v>0</v>
      </c>
      <c r="K23" s="1456">
        <v>0</v>
      </c>
      <c r="L23" s="1456">
        <v>0</v>
      </c>
      <c r="M23" s="1456">
        <v>0</v>
      </c>
      <c r="N23" s="1456">
        <v>0</v>
      </c>
      <c r="O23" s="1456">
        <v>0</v>
      </c>
      <c r="P23" s="1456">
        <v>0</v>
      </c>
      <c r="Q23" s="1456">
        <v>0</v>
      </c>
      <c r="R23" s="1456">
        <v>0</v>
      </c>
      <c r="S23" s="1456">
        <v>0</v>
      </c>
      <c r="T23" s="1456">
        <v>0</v>
      </c>
      <c r="U23" s="1456">
        <v>0</v>
      </c>
      <c r="V23" s="1456">
        <v>0</v>
      </c>
      <c r="W23" s="1456">
        <v>0</v>
      </c>
      <c r="X23" s="313" t="s">
        <v>193</v>
      </c>
      <c r="Y23" s="314" t="s">
        <v>122</v>
      </c>
      <c r="Z23" s="313" t="s">
        <v>44</v>
      </c>
      <c r="AA23" s="315">
        <v>5.47</v>
      </c>
      <c r="AB23" s="316">
        <v>5.4599999999999991</v>
      </c>
      <c r="AC23" s="317">
        <v>0.99817184643510037</v>
      </c>
      <c r="AD23" s="310">
        <v>0</v>
      </c>
      <c r="AE23" s="291">
        <v>0</v>
      </c>
      <c r="AF23" s="291">
        <v>0</v>
      </c>
      <c r="AR23" s="318">
        <v>0</v>
      </c>
      <c r="AU23" s="318">
        <v>0</v>
      </c>
      <c r="AV23" s="291">
        <v>0</v>
      </c>
    </row>
    <row r="24" spans="1:68" s="290" customFormat="1" ht="19.350000000000001" customHeight="1">
      <c r="A24" s="1469" t="s">
        <v>25</v>
      </c>
      <c r="B24" s="1470" t="s">
        <v>66</v>
      </c>
      <c r="C24" s="1471" t="s">
        <v>28</v>
      </c>
      <c r="D24" s="1455">
        <v>0</v>
      </c>
      <c r="E24" s="1456">
        <v>0</v>
      </c>
      <c r="F24" s="1456">
        <v>0</v>
      </c>
      <c r="G24" s="1456">
        <v>0</v>
      </c>
      <c r="H24" s="1456">
        <v>0</v>
      </c>
      <c r="I24" s="1456">
        <v>0</v>
      </c>
      <c r="J24" s="1456">
        <v>0</v>
      </c>
      <c r="K24" s="1456">
        <v>0</v>
      </c>
      <c r="L24" s="1456">
        <v>0</v>
      </c>
      <c r="M24" s="1456">
        <v>0</v>
      </c>
      <c r="N24" s="1456">
        <v>0</v>
      </c>
      <c r="O24" s="1456">
        <v>0</v>
      </c>
      <c r="P24" s="1456">
        <v>0</v>
      </c>
      <c r="Q24" s="1456">
        <v>0</v>
      </c>
      <c r="R24" s="1456">
        <v>0</v>
      </c>
      <c r="S24" s="1456">
        <v>0</v>
      </c>
      <c r="T24" s="1456">
        <v>0</v>
      </c>
      <c r="U24" s="1456">
        <v>0</v>
      </c>
      <c r="V24" s="1456">
        <v>0</v>
      </c>
      <c r="W24" s="1456">
        <v>0</v>
      </c>
      <c r="X24" s="313" t="s">
        <v>193</v>
      </c>
      <c r="Y24" s="314" t="s">
        <v>123</v>
      </c>
      <c r="Z24" s="313" t="s">
        <v>45</v>
      </c>
      <c r="AA24" s="315">
        <v>4.8699999999999992</v>
      </c>
      <c r="AB24" s="316">
        <v>3.2100000000000004</v>
      </c>
      <c r="AC24" s="317">
        <v>0.65913757700205355</v>
      </c>
      <c r="AD24" s="310">
        <v>0</v>
      </c>
      <c r="AE24" s="291">
        <v>0</v>
      </c>
      <c r="AF24" s="291">
        <v>0</v>
      </c>
      <c r="AR24" s="318">
        <v>0</v>
      </c>
      <c r="AU24" s="318">
        <v>0</v>
      </c>
      <c r="AV24" s="291">
        <v>0</v>
      </c>
    </row>
    <row r="25" spans="1:68" ht="19.350000000000001" hidden="1" customHeight="1">
      <c r="A25" s="1469" t="s">
        <v>27</v>
      </c>
      <c r="B25" s="1453" t="s">
        <v>67</v>
      </c>
      <c r="C25" s="1454" t="s">
        <v>30</v>
      </c>
      <c r="D25" s="1455">
        <v>0</v>
      </c>
      <c r="E25" s="1456">
        <v>0</v>
      </c>
      <c r="F25" s="1456">
        <v>0</v>
      </c>
      <c r="G25" s="1456">
        <v>0</v>
      </c>
      <c r="H25" s="1456">
        <v>0</v>
      </c>
      <c r="I25" s="1456">
        <v>0</v>
      </c>
      <c r="J25" s="1456">
        <v>0</v>
      </c>
      <c r="K25" s="1456">
        <v>0</v>
      </c>
      <c r="L25" s="1456">
        <v>0</v>
      </c>
      <c r="M25" s="1456">
        <v>0</v>
      </c>
      <c r="N25" s="1456">
        <v>0</v>
      </c>
      <c r="O25" s="1456">
        <v>0</v>
      </c>
      <c r="P25" s="1456">
        <v>0</v>
      </c>
      <c r="Q25" s="1456">
        <v>0</v>
      </c>
      <c r="R25" s="1456">
        <v>0</v>
      </c>
      <c r="S25" s="1456">
        <v>0</v>
      </c>
      <c r="T25" s="1456">
        <v>0</v>
      </c>
      <c r="U25" s="1456">
        <v>0</v>
      </c>
      <c r="V25" s="1456">
        <v>0</v>
      </c>
      <c r="W25" s="1456">
        <v>0</v>
      </c>
      <c r="X25" s="285" t="s">
        <v>193</v>
      </c>
      <c r="Y25" s="319" t="s">
        <v>127</v>
      </c>
      <c r="Z25" s="285" t="s">
        <v>48</v>
      </c>
      <c r="AA25" s="320">
        <v>3.999999999999998E-2</v>
      </c>
      <c r="AB25" s="322">
        <v>0.04</v>
      </c>
      <c r="AC25" s="322">
        <v>1.0000000000000004</v>
      </c>
      <c r="AD25" s="310">
        <v>0</v>
      </c>
      <c r="AE25" s="291">
        <v>0</v>
      </c>
      <c r="AF25" s="291">
        <v>0</v>
      </c>
      <c r="AR25" s="318">
        <v>0</v>
      </c>
      <c r="AU25" s="318">
        <v>0</v>
      </c>
      <c r="AV25" s="291">
        <v>0</v>
      </c>
    </row>
    <row r="26" spans="1:68" ht="19.350000000000001" hidden="1" customHeight="1">
      <c r="A26" s="1469" t="s">
        <v>29</v>
      </c>
      <c r="B26" s="1453" t="s">
        <v>90</v>
      </c>
      <c r="C26" s="1454" t="s">
        <v>91</v>
      </c>
      <c r="D26" s="1455">
        <v>0</v>
      </c>
      <c r="E26" s="1456">
        <v>0</v>
      </c>
      <c r="F26" s="1456">
        <v>0</v>
      </c>
      <c r="G26" s="1456">
        <v>0</v>
      </c>
      <c r="H26" s="1456">
        <v>0</v>
      </c>
      <c r="I26" s="1456">
        <v>0</v>
      </c>
      <c r="J26" s="1456">
        <v>0</v>
      </c>
      <c r="K26" s="1456">
        <v>0</v>
      </c>
      <c r="L26" s="1456">
        <v>0</v>
      </c>
      <c r="M26" s="1456">
        <v>0</v>
      </c>
      <c r="N26" s="1456">
        <v>0</v>
      </c>
      <c r="O26" s="1456">
        <v>0</v>
      </c>
      <c r="P26" s="1456">
        <v>0</v>
      </c>
      <c r="Q26" s="1456">
        <v>0</v>
      </c>
      <c r="R26" s="1456">
        <v>0</v>
      </c>
      <c r="S26" s="1456">
        <v>0</v>
      </c>
      <c r="T26" s="1456">
        <v>0</v>
      </c>
      <c r="U26" s="1456">
        <v>0</v>
      </c>
      <c r="V26" s="1456">
        <v>0</v>
      </c>
      <c r="W26" s="1456">
        <v>0</v>
      </c>
      <c r="X26" s="313" t="s">
        <v>193</v>
      </c>
      <c r="Y26" s="314" t="s">
        <v>130</v>
      </c>
      <c r="Z26" s="313" t="s">
        <v>50</v>
      </c>
      <c r="AA26" s="315">
        <v>0.11000000000000001</v>
      </c>
      <c r="AB26" s="322">
        <v>0.19999999999999998</v>
      </c>
      <c r="AC26" s="322">
        <v>1.8181818181818179</v>
      </c>
      <c r="AD26" s="310">
        <v>0</v>
      </c>
      <c r="AE26" s="291">
        <v>0</v>
      </c>
      <c r="AF26" s="291">
        <v>0</v>
      </c>
      <c r="AR26" s="318">
        <v>0</v>
      </c>
      <c r="AU26" s="318">
        <v>0</v>
      </c>
      <c r="AV26" s="291">
        <v>0</v>
      </c>
    </row>
    <row r="27" spans="1:68" ht="19.350000000000001" customHeight="1">
      <c r="A27" s="1469" t="s">
        <v>27</v>
      </c>
      <c r="B27" s="1453" t="s">
        <v>379</v>
      </c>
      <c r="C27" s="1454" t="s">
        <v>93</v>
      </c>
      <c r="D27" s="1455">
        <v>0</v>
      </c>
      <c r="E27" s="1456">
        <v>0</v>
      </c>
      <c r="F27" s="1456">
        <v>0</v>
      </c>
      <c r="G27" s="1456">
        <v>0</v>
      </c>
      <c r="H27" s="1456">
        <v>0</v>
      </c>
      <c r="I27" s="1456">
        <v>0</v>
      </c>
      <c r="J27" s="1456">
        <v>0</v>
      </c>
      <c r="K27" s="1456">
        <v>0</v>
      </c>
      <c r="L27" s="1456">
        <v>0</v>
      </c>
      <c r="M27" s="1456">
        <v>0</v>
      </c>
      <c r="N27" s="1456">
        <v>0</v>
      </c>
      <c r="O27" s="1456">
        <v>0</v>
      </c>
      <c r="P27" s="1456">
        <v>0</v>
      </c>
      <c r="Q27" s="1456">
        <v>0</v>
      </c>
      <c r="R27" s="1456">
        <v>0</v>
      </c>
      <c r="S27" s="1456">
        <v>0</v>
      </c>
      <c r="T27" s="1456">
        <v>0</v>
      </c>
      <c r="U27" s="1456">
        <v>0</v>
      </c>
      <c r="V27" s="1456">
        <v>0</v>
      </c>
      <c r="W27" s="1456">
        <v>0</v>
      </c>
      <c r="X27" s="313" t="s">
        <v>193</v>
      </c>
      <c r="Y27" s="314" t="s">
        <v>97</v>
      </c>
      <c r="Z27" s="313" t="s">
        <v>40</v>
      </c>
      <c r="AA27" s="315">
        <v>1.17</v>
      </c>
      <c r="AB27" s="321">
        <v>0.61</v>
      </c>
      <c r="AC27" s="321">
        <v>0.5213675213675214</v>
      </c>
      <c r="AD27" s="310">
        <v>0.1</v>
      </c>
      <c r="AE27" s="291">
        <v>0.01</v>
      </c>
      <c r="AF27" s="291">
        <v>0.11</v>
      </c>
      <c r="AR27" s="318">
        <v>0</v>
      </c>
      <c r="AT27" s="289">
        <v>0.01</v>
      </c>
      <c r="AU27" s="318">
        <v>0.01</v>
      </c>
      <c r="AV27" s="291">
        <v>0.01</v>
      </c>
      <c r="BN27" s="289">
        <v>0.01</v>
      </c>
    </row>
    <row r="28" spans="1:68" ht="19.350000000000001" customHeight="1">
      <c r="A28" s="1469" t="s">
        <v>29</v>
      </c>
      <c r="B28" s="1453" t="s">
        <v>94</v>
      </c>
      <c r="C28" s="1454" t="s">
        <v>32</v>
      </c>
      <c r="D28" s="1455">
        <v>0.01</v>
      </c>
      <c r="E28" s="1456">
        <v>0</v>
      </c>
      <c r="F28" s="1456">
        <v>0</v>
      </c>
      <c r="G28" s="1456">
        <v>0.01</v>
      </c>
      <c r="H28" s="1456">
        <v>0</v>
      </c>
      <c r="I28" s="1456">
        <v>0</v>
      </c>
      <c r="J28" s="1456">
        <v>0</v>
      </c>
      <c r="K28" s="1456">
        <v>0</v>
      </c>
      <c r="L28" s="1456">
        <v>0</v>
      </c>
      <c r="M28" s="1456">
        <v>0</v>
      </c>
      <c r="N28" s="1456">
        <v>0</v>
      </c>
      <c r="O28" s="1456">
        <v>0</v>
      </c>
      <c r="P28" s="1456">
        <v>0</v>
      </c>
      <c r="Q28" s="1456">
        <v>0</v>
      </c>
      <c r="R28" s="1456">
        <v>0</v>
      </c>
      <c r="S28" s="1456">
        <v>0</v>
      </c>
      <c r="T28" s="1456">
        <v>0</v>
      </c>
      <c r="U28" s="1456">
        <v>0</v>
      </c>
      <c r="V28" s="1456">
        <v>0</v>
      </c>
      <c r="W28" s="1456">
        <v>0</v>
      </c>
      <c r="X28" s="313" t="s">
        <v>29</v>
      </c>
      <c r="Y28" s="314" t="s">
        <v>99</v>
      </c>
      <c r="Z28" s="313" t="s">
        <v>112</v>
      </c>
      <c r="AA28" s="315">
        <v>0.18</v>
      </c>
      <c r="AB28" s="321">
        <v>0.04</v>
      </c>
      <c r="AC28" s="321">
        <v>0.22222222222222224</v>
      </c>
      <c r="AD28" s="310">
        <v>0</v>
      </c>
      <c r="AE28" s="291">
        <v>0</v>
      </c>
      <c r="AF28" s="291">
        <v>0</v>
      </c>
      <c r="AR28" s="318">
        <v>0</v>
      </c>
      <c r="AU28" s="318">
        <v>0</v>
      </c>
      <c r="AV28" s="291">
        <v>0</v>
      </c>
    </row>
    <row r="29" spans="1:68" s="290" customFormat="1" ht="19.350000000000001" customHeight="1">
      <c r="A29" s="1469" t="s">
        <v>31</v>
      </c>
      <c r="B29" s="1453" t="s">
        <v>106</v>
      </c>
      <c r="C29" s="1454" t="s">
        <v>35</v>
      </c>
      <c r="D29" s="1455">
        <v>0</v>
      </c>
      <c r="E29" s="1456">
        <v>0</v>
      </c>
      <c r="F29" s="1456">
        <v>0</v>
      </c>
      <c r="G29" s="1456">
        <v>0</v>
      </c>
      <c r="H29" s="1456">
        <v>0</v>
      </c>
      <c r="I29" s="1456">
        <v>0</v>
      </c>
      <c r="J29" s="1456">
        <v>0</v>
      </c>
      <c r="K29" s="1456">
        <v>0</v>
      </c>
      <c r="L29" s="1456">
        <v>0</v>
      </c>
      <c r="M29" s="1456">
        <v>0</v>
      </c>
      <c r="N29" s="1456">
        <v>0</v>
      </c>
      <c r="O29" s="1456">
        <v>0</v>
      </c>
      <c r="P29" s="1456">
        <v>0</v>
      </c>
      <c r="Q29" s="1456">
        <v>0</v>
      </c>
      <c r="R29" s="1456">
        <v>0</v>
      </c>
      <c r="S29" s="1456">
        <v>0</v>
      </c>
      <c r="T29" s="1456">
        <v>0</v>
      </c>
      <c r="U29" s="1456">
        <v>0</v>
      </c>
      <c r="V29" s="1456">
        <v>0</v>
      </c>
      <c r="W29" s="1456">
        <v>0</v>
      </c>
      <c r="X29" s="313" t="s">
        <v>31</v>
      </c>
      <c r="Y29" s="314" t="s">
        <v>107</v>
      </c>
      <c r="Z29" s="313" t="s">
        <v>59</v>
      </c>
      <c r="AA29" s="315">
        <v>8.81</v>
      </c>
      <c r="AB29" s="321">
        <v>5.7000000000000011</v>
      </c>
      <c r="AC29" s="321">
        <v>0.64699205448354147</v>
      </c>
      <c r="AD29" s="310">
        <v>0</v>
      </c>
      <c r="AE29" s="291">
        <v>0</v>
      </c>
      <c r="AF29" s="291">
        <v>0</v>
      </c>
      <c r="AR29" s="318">
        <v>0</v>
      </c>
      <c r="AU29" s="318">
        <v>0</v>
      </c>
      <c r="AV29" s="291">
        <v>0</v>
      </c>
    </row>
    <row r="30" spans="1:68" ht="19.350000000000001" hidden="1" customHeight="1">
      <c r="A30" s="1469" t="s">
        <v>69</v>
      </c>
      <c r="B30" s="1453" t="s">
        <v>98</v>
      </c>
      <c r="C30" s="1454" t="s">
        <v>34</v>
      </c>
      <c r="D30" s="1455">
        <v>0</v>
      </c>
      <c r="E30" s="1456"/>
      <c r="F30" s="1456"/>
      <c r="G30" s="1456"/>
      <c r="H30" s="1456"/>
      <c r="I30" s="1456"/>
      <c r="J30" s="1456"/>
      <c r="K30" s="1456"/>
      <c r="L30" s="1456"/>
      <c r="M30" s="1456"/>
      <c r="N30" s="1456"/>
      <c r="O30" s="1456"/>
      <c r="P30" s="1456"/>
      <c r="Q30" s="1456"/>
      <c r="R30" s="1456"/>
      <c r="S30" s="1456"/>
      <c r="T30" s="1456"/>
      <c r="U30" s="1456"/>
      <c r="V30" s="1456"/>
      <c r="W30" s="1456"/>
      <c r="X30" s="313" t="s">
        <v>33</v>
      </c>
      <c r="Y30" s="314" t="s">
        <v>108</v>
      </c>
      <c r="Z30" s="313" t="s">
        <v>57</v>
      </c>
      <c r="AA30" s="315">
        <v>0.4</v>
      </c>
      <c r="AB30" s="321">
        <v>0.12</v>
      </c>
      <c r="AC30" s="321">
        <v>0.3</v>
      </c>
      <c r="AD30" s="310">
        <v>0.24</v>
      </c>
      <c r="AE30" s="291">
        <v>0</v>
      </c>
      <c r="AF30" s="291">
        <v>0.24</v>
      </c>
      <c r="AR30" s="318">
        <v>0</v>
      </c>
      <c r="AU30" s="318">
        <v>0</v>
      </c>
      <c r="AV30" s="291">
        <v>0</v>
      </c>
    </row>
    <row r="31" spans="1:68" ht="30.6" customHeight="1">
      <c r="A31" s="1469" t="s">
        <v>33</v>
      </c>
      <c r="B31" s="1453" t="s">
        <v>125</v>
      </c>
      <c r="C31" s="1454" t="s">
        <v>43</v>
      </c>
      <c r="D31" s="1455">
        <v>1.4133500000000003</v>
      </c>
      <c r="E31" s="1472">
        <v>3.1350000000000003E-2</v>
      </c>
      <c r="F31" s="1472">
        <v>0.14000000000000001</v>
      </c>
      <c r="G31" s="1472">
        <v>0</v>
      </c>
      <c r="H31" s="1472">
        <v>1.2E-2</v>
      </c>
      <c r="I31" s="1472">
        <v>0</v>
      </c>
      <c r="J31" s="1472">
        <v>0.01</v>
      </c>
      <c r="K31" s="1472">
        <v>0.01</v>
      </c>
      <c r="L31" s="1472">
        <v>0.05</v>
      </c>
      <c r="M31" s="1472">
        <v>0.02</v>
      </c>
      <c r="N31" s="1472">
        <v>7.0000000000000007E-2</v>
      </c>
      <c r="O31" s="1472">
        <v>8.0000000000000016E-2</v>
      </c>
      <c r="P31" s="1472">
        <v>0</v>
      </c>
      <c r="Q31" s="1472">
        <v>0.09</v>
      </c>
      <c r="R31" s="1472">
        <v>0.84000000000000008</v>
      </c>
      <c r="S31" s="1472">
        <v>0.02</v>
      </c>
      <c r="T31" s="1472">
        <v>0.03</v>
      </c>
      <c r="U31" s="1472">
        <v>0</v>
      </c>
      <c r="V31" s="1472">
        <v>0</v>
      </c>
      <c r="W31" s="1472">
        <v>0.01</v>
      </c>
      <c r="X31" s="313" t="s">
        <v>68</v>
      </c>
      <c r="Y31" s="314" t="s">
        <v>95</v>
      </c>
      <c r="Z31" s="313" t="s">
        <v>24</v>
      </c>
      <c r="AA31" s="315">
        <v>0.17</v>
      </c>
      <c r="AB31" s="321">
        <v>0</v>
      </c>
      <c r="AC31" s="321">
        <v>0</v>
      </c>
      <c r="AD31" s="310">
        <v>9.09</v>
      </c>
      <c r="AE31" s="291">
        <v>2.57</v>
      </c>
      <c r="AF31" s="291">
        <v>11.66</v>
      </c>
      <c r="AR31" s="318">
        <v>0</v>
      </c>
      <c r="AU31" s="318">
        <v>0</v>
      </c>
      <c r="AV31" s="291">
        <v>0</v>
      </c>
    </row>
    <row r="32" spans="1:68" ht="15" customHeight="1">
      <c r="A32" s="1469"/>
      <c r="B32" s="1453" t="s">
        <v>190</v>
      </c>
      <c r="C32" s="1454"/>
      <c r="D32" s="1455">
        <v>0</v>
      </c>
      <c r="E32" s="1472"/>
      <c r="F32" s="1472"/>
      <c r="G32" s="1472"/>
      <c r="H32" s="1472"/>
      <c r="I32" s="1472"/>
      <c r="J32" s="1472"/>
      <c r="K32" s="1472"/>
      <c r="L32" s="1472"/>
      <c r="M32" s="1472"/>
      <c r="N32" s="1472"/>
      <c r="O32" s="1472"/>
      <c r="P32" s="1472"/>
      <c r="Q32" s="1472"/>
      <c r="R32" s="1472"/>
      <c r="S32" s="1472"/>
      <c r="T32" s="1472"/>
      <c r="U32" s="1472"/>
      <c r="V32" s="1472"/>
      <c r="W32" s="1472"/>
      <c r="X32" s="313" t="s">
        <v>69</v>
      </c>
      <c r="Y32" s="314" t="s">
        <v>77</v>
      </c>
      <c r="Z32" s="313" t="s">
        <v>41</v>
      </c>
      <c r="AA32" s="315">
        <v>2.54</v>
      </c>
      <c r="AB32" s="321">
        <v>3.6599999999999997</v>
      </c>
      <c r="AC32" s="321">
        <v>1.4409448818897637</v>
      </c>
      <c r="AD32" s="310"/>
      <c r="AE32" s="291">
        <v>0</v>
      </c>
      <c r="AF32" s="291">
        <v>0</v>
      </c>
      <c r="AR32" s="318">
        <v>0</v>
      </c>
      <c r="AU32" s="318">
        <v>0</v>
      </c>
      <c r="AV32" s="291">
        <v>0</v>
      </c>
    </row>
    <row r="33" spans="1:67" ht="16.5" customHeight="1">
      <c r="A33" s="1469" t="s">
        <v>193</v>
      </c>
      <c r="B33" s="1453" t="s">
        <v>2757</v>
      </c>
      <c r="C33" s="1454" t="s">
        <v>44</v>
      </c>
      <c r="D33" s="1455">
        <v>0.92200000000000004</v>
      </c>
      <c r="E33" s="1456">
        <v>0.01</v>
      </c>
      <c r="F33" s="1472">
        <v>0</v>
      </c>
      <c r="G33" s="1472">
        <v>0</v>
      </c>
      <c r="H33" s="1472">
        <v>1.2E-2</v>
      </c>
      <c r="I33" s="1472">
        <v>0</v>
      </c>
      <c r="J33" s="1472">
        <v>0.01</v>
      </c>
      <c r="K33" s="1472">
        <v>0</v>
      </c>
      <c r="L33" s="1472">
        <v>0</v>
      </c>
      <c r="M33" s="1472">
        <v>0</v>
      </c>
      <c r="N33" s="1472">
        <v>0.03</v>
      </c>
      <c r="O33" s="1472">
        <v>0.01</v>
      </c>
      <c r="P33" s="1472">
        <v>0</v>
      </c>
      <c r="Q33" s="1472">
        <v>0</v>
      </c>
      <c r="R33" s="1472">
        <v>0.8</v>
      </c>
      <c r="S33" s="1472">
        <v>0.02</v>
      </c>
      <c r="T33" s="1472">
        <v>0.02</v>
      </c>
      <c r="U33" s="1472">
        <v>0</v>
      </c>
      <c r="V33" s="1472">
        <v>0</v>
      </c>
      <c r="W33" s="1472">
        <v>0.01</v>
      </c>
      <c r="AD33" s="310">
        <v>3.21</v>
      </c>
      <c r="AE33" s="291">
        <v>2.2599999999999998</v>
      </c>
      <c r="AF33" s="291">
        <v>5.47</v>
      </c>
      <c r="AI33" s="289">
        <v>0.76</v>
      </c>
      <c r="AJ33" s="289">
        <v>0.22</v>
      </c>
      <c r="AK33" s="289">
        <v>0.18</v>
      </c>
      <c r="AR33" s="318">
        <v>1.1599999999999999</v>
      </c>
      <c r="AT33" s="289">
        <v>1.1000000000000001</v>
      </c>
      <c r="AU33" s="318">
        <v>1.1000000000000001</v>
      </c>
      <c r="AV33" s="291">
        <v>0.77</v>
      </c>
      <c r="BI33" s="289">
        <v>0.6</v>
      </c>
      <c r="BJ33" s="289">
        <v>0.05</v>
      </c>
      <c r="BM33" s="289">
        <v>0.02</v>
      </c>
      <c r="BN33" s="289">
        <v>0.1</v>
      </c>
    </row>
    <row r="34" spans="1:67" ht="16.5" customHeight="1">
      <c r="A34" s="1469" t="s">
        <v>193</v>
      </c>
      <c r="B34" s="1453" t="s">
        <v>2758</v>
      </c>
      <c r="C34" s="1454" t="s">
        <v>45</v>
      </c>
      <c r="D34" s="1455">
        <v>0.18135000000000004</v>
      </c>
      <c r="E34" s="1456">
        <v>1.1350000000000001E-2</v>
      </c>
      <c r="F34" s="1472">
        <v>0</v>
      </c>
      <c r="G34" s="1472">
        <v>0</v>
      </c>
      <c r="H34" s="1472">
        <v>0</v>
      </c>
      <c r="I34" s="1472">
        <v>0</v>
      </c>
      <c r="J34" s="1472">
        <v>0</v>
      </c>
      <c r="K34" s="1472">
        <v>0.01</v>
      </c>
      <c r="L34" s="1472">
        <v>0</v>
      </c>
      <c r="M34" s="1472">
        <v>0.02</v>
      </c>
      <c r="N34" s="1472">
        <v>0</v>
      </c>
      <c r="O34" s="1472">
        <v>7.0000000000000021E-2</v>
      </c>
      <c r="P34" s="1472">
        <v>0</v>
      </c>
      <c r="Q34" s="1472">
        <v>0.03</v>
      </c>
      <c r="R34" s="1472">
        <v>0.04</v>
      </c>
      <c r="S34" s="1472">
        <v>0</v>
      </c>
      <c r="T34" s="1472">
        <v>0</v>
      </c>
      <c r="U34" s="1472">
        <v>0</v>
      </c>
      <c r="V34" s="1472">
        <v>0</v>
      </c>
      <c r="W34" s="1472">
        <v>0</v>
      </c>
      <c r="AD34" s="310">
        <v>4.3099999999999996</v>
      </c>
      <c r="AE34" s="291">
        <v>0.56000000000000005</v>
      </c>
      <c r="AF34" s="291">
        <v>4.8699999999999992</v>
      </c>
      <c r="AH34" s="289">
        <v>0.05</v>
      </c>
      <c r="AI34" s="289">
        <v>0.26</v>
      </c>
      <c r="AR34" s="318">
        <v>0.31</v>
      </c>
      <c r="AS34" s="289">
        <v>0.4</v>
      </c>
      <c r="AT34" s="289">
        <v>0.65</v>
      </c>
      <c r="AU34" s="318">
        <v>0.25</v>
      </c>
      <c r="AV34" s="291">
        <v>0.32</v>
      </c>
      <c r="BI34" s="289">
        <v>0.3</v>
      </c>
      <c r="BM34" s="289">
        <v>0.01</v>
      </c>
      <c r="BN34" s="289">
        <v>0.01</v>
      </c>
    </row>
    <row r="35" spans="1:67" s="290" customFormat="1" ht="16.5" customHeight="1">
      <c r="A35" s="1469" t="s">
        <v>193</v>
      </c>
      <c r="B35" s="1453" t="s">
        <v>127</v>
      </c>
      <c r="C35" s="1454" t="s">
        <v>48</v>
      </c>
      <c r="D35" s="1455">
        <v>0</v>
      </c>
      <c r="E35" s="1456">
        <v>0</v>
      </c>
      <c r="F35" s="1472">
        <v>0</v>
      </c>
      <c r="G35" s="1472">
        <v>0</v>
      </c>
      <c r="H35" s="1472">
        <v>0</v>
      </c>
      <c r="I35" s="1472">
        <v>0</v>
      </c>
      <c r="J35" s="1472">
        <v>0</v>
      </c>
      <c r="K35" s="1472">
        <v>0</v>
      </c>
      <c r="L35" s="1472">
        <v>0</v>
      </c>
      <c r="M35" s="1472">
        <v>0</v>
      </c>
      <c r="N35" s="1472">
        <v>0</v>
      </c>
      <c r="O35" s="1472">
        <v>0</v>
      </c>
      <c r="P35" s="1472">
        <v>0</v>
      </c>
      <c r="Q35" s="1472">
        <v>0</v>
      </c>
      <c r="R35" s="1472">
        <v>0</v>
      </c>
      <c r="S35" s="1472">
        <v>0</v>
      </c>
      <c r="T35" s="1472">
        <v>0</v>
      </c>
      <c r="U35" s="1472">
        <v>0</v>
      </c>
      <c r="V35" s="1472">
        <v>0</v>
      </c>
      <c r="W35" s="1472">
        <v>0</v>
      </c>
      <c r="X35" s="289"/>
      <c r="Y35" s="323"/>
      <c r="Z35" s="289"/>
      <c r="AA35" s="289"/>
      <c r="AB35" s="324"/>
      <c r="AC35" s="324"/>
      <c r="AD35" s="310">
        <v>0.13999999999999999</v>
      </c>
      <c r="AE35" s="291">
        <v>-0.1</v>
      </c>
      <c r="AF35" s="291">
        <v>3.999999999999998E-2</v>
      </c>
      <c r="AR35" s="318">
        <v>0</v>
      </c>
      <c r="AS35" s="290">
        <v>0.1</v>
      </c>
      <c r="AU35" s="318">
        <v>-0.1</v>
      </c>
      <c r="AV35" s="291">
        <v>0</v>
      </c>
    </row>
    <row r="36" spans="1:67" ht="16.5" customHeight="1">
      <c r="A36" s="1473" t="s">
        <v>193</v>
      </c>
      <c r="B36" s="1474" t="s">
        <v>129</v>
      </c>
      <c r="C36" s="1473" t="s">
        <v>49</v>
      </c>
      <c r="D36" s="1455">
        <v>0.05</v>
      </c>
      <c r="E36" s="1456">
        <v>0</v>
      </c>
      <c r="F36" s="1472">
        <v>0</v>
      </c>
      <c r="G36" s="1472">
        <v>0</v>
      </c>
      <c r="H36" s="1472">
        <v>0</v>
      </c>
      <c r="I36" s="1472">
        <v>0</v>
      </c>
      <c r="J36" s="1472">
        <v>0</v>
      </c>
      <c r="K36" s="1472">
        <v>0</v>
      </c>
      <c r="L36" s="1472">
        <v>0.05</v>
      </c>
      <c r="M36" s="1472">
        <v>0</v>
      </c>
      <c r="N36" s="1472">
        <v>0</v>
      </c>
      <c r="O36" s="1472">
        <v>0</v>
      </c>
      <c r="P36" s="1472">
        <v>0</v>
      </c>
      <c r="Q36" s="1472">
        <v>0</v>
      </c>
      <c r="R36" s="1472">
        <v>0</v>
      </c>
      <c r="S36" s="1472">
        <v>0</v>
      </c>
      <c r="T36" s="1472">
        <v>0</v>
      </c>
      <c r="U36" s="1472">
        <v>0</v>
      </c>
      <c r="V36" s="1472">
        <v>0</v>
      </c>
      <c r="W36" s="1472">
        <v>0</v>
      </c>
      <c r="AD36" s="310">
        <v>0</v>
      </c>
      <c r="AE36" s="291">
        <v>0</v>
      </c>
      <c r="AF36" s="291">
        <v>0</v>
      </c>
      <c r="AR36" s="318">
        <v>0</v>
      </c>
      <c r="AU36" s="318">
        <v>0</v>
      </c>
      <c r="AV36" s="291">
        <v>0</v>
      </c>
    </row>
    <row r="37" spans="1:67" ht="16.5" customHeight="1">
      <c r="A37" s="1473" t="s">
        <v>193</v>
      </c>
      <c r="B37" s="1474" t="s">
        <v>220</v>
      </c>
      <c r="C37" s="1473" t="s">
        <v>50</v>
      </c>
      <c r="D37" s="1455">
        <v>0.2</v>
      </c>
      <c r="E37" s="1456">
        <v>0</v>
      </c>
      <c r="F37" s="1472">
        <v>0.14000000000000001</v>
      </c>
      <c r="G37" s="1472">
        <v>0</v>
      </c>
      <c r="H37" s="1472">
        <v>0</v>
      </c>
      <c r="I37" s="1472">
        <v>0</v>
      </c>
      <c r="J37" s="1472">
        <v>0</v>
      </c>
      <c r="K37" s="1472">
        <v>0</v>
      </c>
      <c r="L37" s="1472">
        <v>0</v>
      </c>
      <c r="M37" s="1472">
        <v>0</v>
      </c>
      <c r="N37" s="1472">
        <v>0</v>
      </c>
      <c r="O37" s="1472">
        <v>0</v>
      </c>
      <c r="P37" s="1472">
        <v>0</v>
      </c>
      <c r="Q37" s="1472">
        <v>0.06</v>
      </c>
      <c r="R37" s="1472">
        <v>0</v>
      </c>
      <c r="S37" s="1472">
        <v>0</v>
      </c>
      <c r="T37" s="1472">
        <v>0</v>
      </c>
      <c r="U37" s="1472">
        <v>0</v>
      </c>
      <c r="V37" s="1472">
        <v>0</v>
      </c>
      <c r="W37" s="1472">
        <v>0</v>
      </c>
      <c r="AD37" s="310">
        <v>0.26</v>
      </c>
      <c r="AE37" s="291">
        <v>-0.15</v>
      </c>
      <c r="AF37" s="291">
        <v>0.11000000000000001</v>
      </c>
      <c r="AR37" s="318">
        <v>0</v>
      </c>
      <c r="AS37" s="289">
        <v>0.24</v>
      </c>
      <c r="AT37" s="289">
        <v>0.09</v>
      </c>
      <c r="AU37" s="318">
        <v>-0.15</v>
      </c>
      <c r="AV37" s="291">
        <v>0.09</v>
      </c>
      <c r="BO37" s="289">
        <v>0.09</v>
      </c>
    </row>
    <row r="38" spans="1:67" s="290" customFormat="1" ht="16.5" customHeight="1">
      <c r="A38" s="943" t="s">
        <v>193</v>
      </c>
      <c r="B38" s="947" t="s">
        <v>2307</v>
      </c>
      <c r="C38" s="944" t="s">
        <v>51</v>
      </c>
      <c r="D38" s="1455">
        <v>0</v>
      </c>
      <c r="E38" s="1456">
        <v>0</v>
      </c>
      <c r="F38" s="1472">
        <v>0</v>
      </c>
      <c r="G38" s="1472">
        <v>0</v>
      </c>
      <c r="H38" s="1472">
        <v>0</v>
      </c>
      <c r="I38" s="1472">
        <v>0</v>
      </c>
      <c r="J38" s="1472">
        <v>0</v>
      </c>
      <c r="K38" s="1472">
        <v>0</v>
      </c>
      <c r="L38" s="1472">
        <v>0</v>
      </c>
      <c r="M38" s="1472">
        <v>0</v>
      </c>
      <c r="N38" s="1472">
        <v>0</v>
      </c>
      <c r="O38" s="1472">
        <v>0</v>
      </c>
      <c r="P38" s="1472">
        <v>0</v>
      </c>
      <c r="Q38" s="1472">
        <v>0</v>
      </c>
      <c r="R38" s="1472">
        <v>0</v>
      </c>
      <c r="S38" s="1472">
        <v>0</v>
      </c>
      <c r="T38" s="1472">
        <v>0</v>
      </c>
      <c r="U38" s="1472">
        <v>0</v>
      </c>
      <c r="V38" s="1472">
        <v>0</v>
      </c>
      <c r="W38" s="1472">
        <v>0</v>
      </c>
      <c r="X38" s="289"/>
      <c r="Y38" s="323"/>
      <c r="Z38" s="289"/>
      <c r="AA38" s="289"/>
      <c r="AB38" s="324"/>
      <c r="AC38" s="324"/>
      <c r="AD38" s="310">
        <v>0</v>
      </c>
      <c r="AE38" s="291">
        <v>0</v>
      </c>
      <c r="AF38" s="291">
        <v>0</v>
      </c>
      <c r="AR38" s="318">
        <v>0</v>
      </c>
      <c r="AU38" s="318">
        <v>0</v>
      </c>
      <c r="AV38" s="291">
        <v>0</v>
      </c>
    </row>
    <row r="39" spans="1:67" s="292" customFormat="1" ht="16.5" customHeight="1">
      <c r="A39" s="943" t="s">
        <v>193</v>
      </c>
      <c r="B39" s="286" t="s">
        <v>2759</v>
      </c>
      <c r="C39" s="944" t="s">
        <v>46</v>
      </c>
      <c r="D39" s="1455">
        <v>0</v>
      </c>
      <c r="E39" s="1456">
        <v>0</v>
      </c>
      <c r="F39" s="1472">
        <v>0</v>
      </c>
      <c r="G39" s="1472">
        <v>0</v>
      </c>
      <c r="H39" s="1472">
        <v>0</v>
      </c>
      <c r="I39" s="1472">
        <v>0</v>
      </c>
      <c r="J39" s="1472">
        <v>0</v>
      </c>
      <c r="K39" s="1472">
        <v>0</v>
      </c>
      <c r="L39" s="1472">
        <v>0</v>
      </c>
      <c r="M39" s="1472">
        <v>0</v>
      </c>
      <c r="N39" s="1472">
        <v>0</v>
      </c>
      <c r="O39" s="1472">
        <v>0</v>
      </c>
      <c r="P39" s="1472">
        <v>0</v>
      </c>
      <c r="Q39" s="1472">
        <v>0</v>
      </c>
      <c r="R39" s="1472">
        <v>0</v>
      </c>
      <c r="S39" s="1472">
        <v>0</v>
      </c>
      <c r="T39" s="1472">
        <v>0</v>
      </c>
      <c r="U39" s="1472">
        <v>0</v>
      </c>
      <c r="V39" s="1472">
        <v>0</v>
      </c>
      <c r="W39" s="1472">
        <v>0</v>
      </c>
      <c r="X39" s="289"/>
      <c r="Y39" s="323"/>
      <c r="Z39" s="289"/>
      <c r="AA39" s="289"/>
      <c r="AB39" s="324"/>
      <c r="AC39" s="324"/>
      <c r="AD39" s="310">
        <v>0</v>
      </c>
      <c r="AE39" s="291">
        <v>0</v>
      </c>
      <c r="AF39" s="291">
        <v>0</v>
      </c>
      <c r="AR39" s="318">
        <v>0</v>
      </c>
      <c r="AU39" s="318">
        <v>0</v>
      </c>
      <c r="AV39" s="291">
        <v>0</v>
      </c>
    </row>
    <row r="40" spans="1:67" s="290" customFormat="1" ht="30" customHeight="1">
      <c r="A40" s="944" t="s">
        <v>193</v>
      </c>
      <c r="B40" s="286" t="s">
        <v>2760</v>
      </c>
      <c r="C40" s="944" t="s">
        <v>47</v>
      </c>
      <c r="D40" s="1455">
        <v>0</v>
      </c>
      <c r="E40" s="1456">
        <v>0</v>
      </c>
      <c r="F40" s="1472">
        <v>0</v>
      </c>
      <c r="G40" s="1472">
        <v>0</v>
      </c>
      <c r="H40" s="1472">
        <v>0</v>
      </c>
      <c r="I40" s="1472">
        <v>0</v>
      </c>
      <c r="J40" s="1472">
        <v>0</v>
      </c>
      <c r="K40" s="1472">
        <v>0</v>
      </c>
      <c r="L40" s="1472">
        <v>0</v>
      </c>
      <c r="M40" s="1472">
        <v>0</v>
      </c>
      <c r="N40" s="1472">
        <v>0</v>
      </c>
      <c r="O40" s="1472">
        <v>0</v>
      </c>
      <c r="P40" s="1472">
        <v>0</v>
      </c>
      <c r="Q40" s="1472">
        <v>0</v>
      </c>
      <c r="R40" s="1472">
        <v>0</v>
      </c>
      <c r="S40" s="1472">
        <v>0</v>
      </c>
      <c r="T40" s="1472">
        <v>0</v>
      </c>
      <c r="U40" s="1472">
        <v>0</v>
      </c>
      <c r="V40" s="1472">
        <v>0</v>
      </c>
      <c r="W40" s="1472">
        <v>0</v>
      </c>
      <c r="X40" s="289"/>
      <c r="Y40" s="323"/>
      <c r="Z40" s="289"/>
      <c r="AA40" s="289"/>
      <c r="AB40" s="324"/>
      <c r="AC40" s="324"/>
      <c r="AD40" s="310">
        <v>0</v>
      </c>
      <c r="AE40" s="291">
        <v>0</v>
      </c>
      <c r="AF40" s="291">
        <v>0</v>
      </c>
      <c r="AR40" s="318">
        <v>0</v>
      </c>
      <c r="AU40" s="318">
        <v>0</v>
      </c>
      <c r="AV40" s="291">
        <v>0</v>
      </c>
    </row>
    <row r="41" spans="1:67" ht="16.5" hidden="1" customHeight="1">
      <c r="A41" s="943" t="s">
        <v>193</v>
      </c>
      <c r="B41" s="947" t="s">
        <v>2761</v>
      </c>
      <c r="C41" s="944" t="s">
        <v>2762</v>
      </c>
      <c r="D41" s="1455">
        <v>0</v>
      </c>
      <c r="E41" s="1456">
        <v>0</v>
      </c>
      <c r="F41" s="1472">
        <v>0</v>
      </c>
      <c r="G41" s="1472">
        <v>0</v>
      </c>
      <c r="H41" s="1472">
        <v>0</v>
      </c>
      <c r="I41" s="1472">
        <v>0</v>
      </c>
      <c r="J41" s="1472">
        <v>0</v>
      </c>
      <c r="K41" s="1472">
        <v>0</v>
      </c>
      <c r="L41" s="1472">
        <v>0</v>
      </c>
      <c r="M41" s="1472">
        <v>0</v>
      </c>
      <c r="N41" s="1472">
        <v>0</v>
      </c>
      <c r="O41" s="1472">
        <v>0</v>
      </c>
      <c r="P41" s="1472">
        <v>0</v>
      </c>
      <c r="Q41" s="1472">
        <v>0</v>
      </c>
      <c r="R41" s="1472">
        <v>0</v>
      </c>
      <c r="S41" s="1472">
        <v>0</v>
      </c>
      <c r="T41" s="1472">
        <v>0</v>
      </c>
      <c r="U41" s="1472">
        <v>0</v>
      </c>
      <c r="V41" s="1472">
        <v>0</v>
      </c>
      <c r="W41" s="1472">
        <v>0</v>
      </c>
      <c r="AD41" s="310">
        <v>0</v>
      </c>
      <c r="AE41" s="291">
        <v>0</v>
      </c>
      <c r="AF41" s="291">
        <v>0</v>
      </c>
      <c r="AR41" s="318">
        <v>0</v>
      </c>
      <c r="AU41" s="318">
        <v>0</v>
      </c>
      <c r="AV41" s="291">
        <v>0</v>
      </c>
    </row>
    <row r="42" spans="1:67" ht="29.1" hidden="1" customHeight="1">
      <c r="A42" s="943" t="s">
        <v>193</v>
      </c>
      <c r="B42" s="948" t="s">
        <v>2763</v>
      </c>
      <c r="C42" s="944" t="s">
        <v>2764</v>
      </c>
      <c r="D42" s="1455">
        <v>0</v>
      </c>
      <c r="E42" s="1456">
        <v>0</v>
      </c>
      <c r="F42" s="1472">
        <v>0</v>
      </c>
      <c r="G42" s="1472">
        <v>0</v>
      </c>
      <c r="H42" s="1472">
        <v>0</v>
      </c>
      <c r="I42" s="1472">
        <v>0</v>
      </c>
      <c r="J42" s="1472">
        <v>0</v>
      </c>
      <c r="K42" s="1472">
        <v>0</v>
      </c>
      <c r="L42" s="1472">
        <v>0</v>
      </c>
      <c r="M42" s="1472">
        <v>0</v>
      </c>
      <c r="N42" s="1472">
        <v>0</v>
      </c>
      <c r="O42" s="1472">
        <v>0</v>
      </c>
      <c r="P42" s="1472">
        <v>0</v>
      </c>
      <c r="Q42" s="1472">
        <v>0</v>
      </c>
      <c r="R42" s="1472">
        <v>0</v>
      </c>
      <c r="S42" s="1472">
        <v>0</v>
      </c>
      <c r="T42" s="1472">
        <v>0</v>
      </c>
      <c r="U42" s="1472">
        <v>0</v>
      </c>
      <c r="V42" s="1472">
        <v>0</v>
      </c>
      <c r="W42" s="1472">
        <v>0</v>
      </c>
      <c r="AD42" s="310">
        <v>0</v>
      </c>
      <c r="AE42" s="291">
        <v>0</v>
      </c>
      <c r="AF42" s="291">
        <v>0</v>
      </c>
      <c r="AR42" s="318">
        <v>0</v>
      </c>
      <c r="AU42" s="318">
        <v>0</v>
      </c>
      <c r="AV42" s="291">
        <v>0</v>
      </c>
    </row>
    <row r="43" spans="1:67" s="290" customFormat="1" ht="22.5" customHeight="1">
      <c r="A43" s="943" t="s">
        <v>193</v>
      </c>
      <c r="B43" s="286" t="s">
        <v>2765</v>
      </c>
      <c r="C43" s="944" t="s">
        <v>37</v>
      </c>
      <c r="D43" s="1455">
        <v>0</v>
      </c>
      <c r="E43" s="1456">
        <v>0</v>
      </c>
      <c r="F43" s="1472">
        <v>0</v>
      </c>
      <c r="G43" s="1472">
        <v>0</v>
      </c>
      <c r="H43" s="1472">
        <v>0</v>
      </c>
      <c r="I43" s="1472">
        <v>0</v>
      </c>
      <c r="J43" s="1472">
        <v>0</v>
      </c>
      <c r="K43" s="1472">
        <v>0</v>
      </c>
      <c r="L43" s="1472">
        <v>0</v>
      </c>
      <c r="M43" s="1472">
        <v>0</v>
      </c>
      <c r="N43" s="1472">
        <v>0</v>
      </c>
      <c r="O43" s="1472">
        <v>0</v>
      </c>
      <c r="P43" s="1472">
        <v>0</v>
      </c>
      <c r="Q43" s="1472">
        <v>0</v>
      </c>
      <c r="R43" s="1472">
        <v>0</v>
      </c>
      <c r="S43" s="1472">
        <v>0</v>
      </c>
      <c r="T43" s="1472">
        <v>0</v>
      </c>
      <c r="U43" s="1472">
        <v>0</v>
      </c>
      <c r="V43" s="1472">
        <v>0</v>
      </c>
      <c r="W43" s="1472">
        <v>0</v>
      </c>
      <c r="X43" s="289"/>
      <c r="Y43" s="323"/>
      <c r="Z43" s="289"/>
      <c r="AA43" s="289"/>
      <c r="AB43" s="324"/>
      <c r="AC43" s="324"/>
      <c r="AD43" s="310">
        <v>0</v>
      </c>
      <c r="AE43" s="291">
        <v>0</v>
      </c>
      <c r="AF43" s="291">
        <v>0</v>
      </c>
      <c r="AR43" s="318">
        <v>0</v>
      </c>
      <c r="AU43" s="318">
        <v>0</v>
      </c>
      <c r="AV43" s="291">
        <v>0</v>
      </c>
    </row>
    <row r="44" spans="1:67" s="290" customFormat="1" ht="21.95" customHeight="1">
      <c r="A44" s="943" t="s">
        <v>193</v>
      </c>
      <c r="B44" s="947" t="s">
        <v>2766</v>
      </c>
      <c r="C44" s="944" t="s">
        <v>38</v>
      </c>
      <c r="D44" s="1455">
        <v>0</v>
      </c>
      <c r="E44" s="1456">
        <v>0</v>
      </c>
      <c r="F44" s="1472">
        <v>0</v>
      </c>
      <c r="G44" s="1472">
        <v>0</v>
      </c>
      <c r="H44" s="1472">
        <v>0</v>
      </c>
      <c r="I44" s="1472">
        <v>0</v>
      </c>
      <c r="J44" s="1472">
        <v>0</v>
      </c>
      <c r="K44" s="1472">
        <v>0</v>
      </c>
      <c r="L44" s="1472">
        <v>0</v>
      </c>
      <c r="M44" s="1472">
        <v>0</v>
      </c>
      <c r="N44" s="1472">
        <v>0</v>
      </c>
      <c r="O44" s="1472">
        <v>0</v>
      </c>
      <c r="P44" s="1472">
        <v>0</v>
      </c>
      <c r="Q44" s="1472">
        <v>0</v>
      </c>
      <c r="R44" s="1472">
        <v>0</v>
      </c>
      <c r="S44" s="1472">
        <v>0</v>
      </c>
      <c r="T44" s="1472">
        <v>0</v>
      </c>
      <c r="U44" s="1472">
        <v>0</v>
      </c>
      <c r="V44" s="1472">
        <v>0</v>
      </c>
      <c r="W44" s="1472">
        <v>0</v>
      </c>
      <c r="X44" s="289"/>
      <c r="Y44" s="323"/>
      <c r="Z44" s="289"/>
      <c r="AA44" s="289"/>
      <c r="AB44" s="324"/>
      <c r="AC44" s="324"/>
      <c r="AD44" s="310">
        <v>0</v>
      </c>
      <c r="AE44" s="291">
        <v>0</v>
      </c>
      <c r="AF44" s="291">
        <v>0</v>
      </c>
      <c r="AR44" s="318">
        <v>0</v>
      </c>
      <c r="AU44" s="318">
        <v>0</v>
      </c>
      <c r="AV44" s="291">
        <v>0</v>
      </c>
    </row>
    <row r="45" spans="1:67" ht="27.95" customHeight="1">
      <c r="A45" s="944" t="s">
        <v>193</v>
      </c>
      <c r="B45" s="286" t="s">
        <v>2767</v>
      </c>
      <c r="C45" s="944" t="s">
        <v>40</v>
      </c>
      <c r="D45" s="1455">
        <v>6.0000000000000005E-2</v>
      </c>
      <c r="E45" s="1456">
        <v>0.01</v>
      </c>
      <c r="F45" s="1472">
        <v>0</v>
      </c>
      <c r="G45" s="1472">
        <v>0</v>
      </c>
      <c r="H45" s="1472">
        <v>0</v>
      </c>
      <c r="I45" s="1472">
        <v>0</v>
      </c>
      <c r="J45" s="1472">
        <v>0</v>
      </c>
      <c r="K45" s="1472">
        <v>0</v>
      </c>
      <c r="L45" s="1472">
        <v>0</v>
      </c>
      <c r="M45" s="1472">
        <v>0</v>
      </c>
      <c r="N45" s="1472">
        <v>0.04</v>
      </c>
      <c r="O45" s="1472">
        <v>0</v>
      </c>
      <c r="P45" s="1472">
        <v>0</v>
      </c>
      <c r="Q45" s="1472">
        <v>0</v>
      </c>
      <c r="R45" s="1472">
        <v>0</v>
      </c>
      <c r="S45" s="1472">
        <v>0</v>
      </c>
      <c r="T45" s="1472">
        <v>0.01</v>
      </c>
      <c r="U45" s="1472">
        <v>0</v>
      </c>
      <c r="V45" s="1472">
        <v>0</v>
      </c>
      <c r="W45" s="1472">
        <v>0</v>
      </c>
      <c r="AD45" s="310">
        <v>1.17</v>
      </c>
      <c r="AE45" s="291">
        <v>0</v>
      </c>
      <c r="AF45" s="291">
        <v>1.17</v>
      </c>
      <c r="AR45" s="318">
        <v>0</v>
      </c>
      <c r="AU45" s="318">
        <v>0</v>
      </c>
      <c r="AV45" s="291">
        <v>0</v>
      </c>
    </row>
    <row r="46" spans="1:67" ht="18" hidden="1" customHeight="1">
      <c r="A46" s="943" t="s">
        <v>193</v>
      </c>
      <c r="B46" s="947" t="s">
        <v>2819</v>
      </c>
      <c r="C46" s="944" t="s">
        <v>52</v>
      </c>
      <c r="D46" s="1455">
        <v>0</v>
      </c>
      <c r="E46" s="1456">
        <v>0</v>
      </c>
      <c r="F46" s="1472">
        <v>0</v>
      </c>
      <c r="G46" s="1472">
        <v>0</v>
      </c>
      <c r="H46" s="1472">
        <v>0</v>
      </c>
      <c r="I46" s="1472">
        <v>0</v>
      </c>
      <c r="J46" s="1472">
        <v>0</v>
      </c>
      <c r="K46" s="1472">
        <v>0</v>
      </c>
      <c r="L46" s="1472">
        <v>0</v>
      </c>
      <c r="M46" s="1472">
        <v>0</v>
      </c>
      <c r="N46" s="1472">
        <v>0</v>
      </c>
      <c r="O46" s="1472">
        <v>0</v>
      </c>
      <c r="P46" s="1472">
        <v>0</v>
      </c>
      <c r="Q46" s="1472">
        <v>0</v>
      </c>
      <c r="R46" s="1472">
        <v>0</v>
      </c>
      <c r="S46" s="1472">
        <v>0</v>
      </c>
      <c r="T46" s="1472">
        <v>0</v>
      </c>
      <c r="U46" s="1472">
        <v>0</v>
      </c>
      <c r="V46" s="1472">
        <v>0</v>
      </c>
      <c r="W46" s="1472">
        <v>0</v>
      </c>
      <c r="AD46" s="310">
        <v>0</v>
      </c>
      <c r="AE46" s="291">
        <v>0</v>
      </c>
      <c r="AF46" s="291">
        <v>0</v>
      </c>
      <c r="AR46" s="318">
        <v>0</v>
      </c>
      <c r="AU46" s="318">
        <v>0</v>
      </c>
      <c r="AV46" s="291">
        <v>0</v>
      </c>
    </row>
    <row r="47" spans="1:67" s="290" customFormat="1" ht="6" hidden="1" customHeight="1">
      <c r="A47" s="943" t="s">
        <v>193</v>
      </c>
      <c r="B47" s="947" t="s">
        <v>128</v>
      </c>
      <c r="C47" s="944" t="s">
        <v>53</v>
      </c>
      <c r="D47" s="1455">
        <v>0</v>
      </c>
      <c r="E47" s="1456">
        <v>0</v>
      </c>
      <c r="F47" s="1472">
        <v>0</v>
      </c>
      <c r="G47" s="1472">
        <v>0</v>
      </c>
      <c r="H47" s="1472">
        <v>0</v>
      </c>
      <c r="I47" s="1472">
        <v>0</v>
      </c>
      <c r="J47" s="1472">
        <v>0</v>
      </c>
      <c r="K47" s="1472">
        <v>0</v>
      </c>
      <c r="L47" s="1472">
        <v>0</v>
      </c>
      <c r="M47" s="1472">
        <v>0</v>
      </c>
      <c r="N47" s="1472">
        <v>0</v>
      </c>
      <c r="O47" s="1472">
        <v>0</v>
      </c>
      <c r="P47" s="1472">
        <v>0</v>
      </c>
      <c r="Q47" s="1472">
        <v>0</v>
      </c>
      <c r="R47" s="1472">
        <v>0</v>
      </c>
      <c r="S47" s="1472">
        <v>0</v>
      </c>
      <c r="T47" s="1472">
        <v>0</v>
      </c>
      <c r="U47" s="1472">
        <v>0</v>
      </c>
      <c r="V47" s="1472">
        <v>0</v>
      </c>
      <c r="W47" s="1472">
        <v>0</v>
      </c>
      <c r="X47" s="289"/>
      <c r="Y47" s="323"/>
      <c r="Z47" s="289"/>
      <c r="AA47" s="289"/>
      <c r="AB47" s="324"/>
      <c r="AC47" s="324"/>
      <c r="AD47" s="310">
        <v>0</v>
      </c>
      <c r="AE47" s="291">
        <v>0</v>
      </c>
      <c r="AF47" s="291">
        <v>0</v>
      </c>
      <c r="AR47" s="318">
        <v>0</v>
      </c>
      <c r="AU47" s="318">
        <v>0</v>
      </c>
      <c r="AV47" s="291">
        <v>0</v>
      </c>
    </row>
    <row r="48" spans="1:67" s="290" customFormat="1" ht="18.600000000000001" customHeight="1">
      <c r="A48" s="943" t="s">
        <v>193</v>
      </c>
      <c r="B48" s="286" t="s">
        <v>2769</v>
      </c>
      <c r="C48" s="944" t="s">
        <v>54</v>
      </c>
      <c r="D48" s="1455">
        <v>0</v>
      </c>
      <c r="E48" s="1456">
        <v>0</v>
      </c>
      <c r="F48" s="1472">
        <v>0</v>
      </c>
      <c r="G48" s="1472">
        <v>0</v>
      </c>
      <c r="H48" s="1472">
        <v>0</v>
      </c>
      <c r="I48" s="1472">
        <v>0</v>
      </c>
      <c r="J48" s="1472">
        <v>0</v>
      </c>
      <c r="K48" s="1472">
        <v>0</v>
      </c>
      <c r="L48" s="1472">
        <v>0</v>
      </c>
      <c r="M48" s="1472">
        <v>0</v>
      </c>
      <c r="N48" s="1472">
        <v>0</v>
      </c>
      <c r="O48" s="1472">
        <v>0</v>
      </c>
      <c r="P48" s="1472">
        <v>0</v>
      </c>
      <c r="Q48" s="1472">
        <v>0</v>
      </c>
      <c r="R48" s="1472">
        <v>0</v>
      </c>
      <c r="S48" s="1472">
        <v>0</v>
      </c>
      <c r="T48" s="1472">
        <v>0</v>
      </c>
      <c r="U48" s="1472">
        <v>0</v>
      </c>
      <c r="V48" s="1472">
        <v>0</v>
      </c>
      <c r="W48" s="1472">
        <v>0</v>
      </c>
      <c r="X48" s="289"/>
      <c r="Y48" s="323"/>
      <c r="Z48" s="289"/>
      <c r="AA48" s="289"/>
      <c r="AB48" s="324"/>
      <c r="AC48" s="324"/>
      <c r="AD48" s="310">
        <v>0</v>
      </c>
      <c r="AE48" s="291">
        <v>0</v>
      </c>
      <c r="AF48" s="291">
        <v>0</v>
      </c>
      <c r="AR48" s="318">
        <v>0</v>
      </c>
      <c r="AU48" s="318">
        <v>0</v>
      </c>
      <c r="AV48" s="291">
        <v>0</v>
      </c>
    </row>
    <row r="49" spans="1:67" ht="18" hidden="1" customHeight="1">
      <c r="A49" s="943" t="s">
        <v>193</v>
      </c>
      <c r="B49" s="947" t="s">
        <v>2770</v>
      </c>
      <c r="C49" s="944" t="s">
        <v>2771</v>
      </c>
      <c r="D49" s="1455">
        <v>0</v>
      </c>
      <c r="E49" s="1456">
        <v>0</v>
      </c>
      <c r="F49" s="1472">
        <v>0</v>
      </c>
      <c r="G49" s="1472">
        <v>0</v>
      </c>
      <c r="H49" s="1472">
        <v>0</v>
      </c>
      <c r="I49" s="1472">
        <v>0</v>
      </c>
      <c r="J49" s="1472">
        <v>0</v>
      </c>
      <c r="K49" s="1472">
        <v>0</v>
      </c>
      <c r="L49" s="1472">
        <v>0</v>
      </c>
      <c r="M49" s="1472">
        <v>0</v>
      </c>
      <c r="N49" s="1472">
        <v>0</v>
      </c>
      <c r="O49" s="1472">
        <v>0</v>
      </c>
      <c r="P49" s="1472">
        <v>0</v>
      </c>
      <c r="Q49" s="1472">
        <v>0</v>
      </c>
      <c r="R49" s="1472">
        <v>0</v>
      </c>
      <c r="S49" s="1472">
        <v>0</v>
      </c>
      <c r="T49" s="1472">
        <v>0</v>
      </c>
      <c r="U49" s="1472">
        <v>0</v>
      </c>
      <c r="V49" s="1472">
        <v>0</v>
      </c>
      <c r="W49" s="1472">
        <v>0</v>
      </c>
      <c r="AD49" s="310">
        <v>0</v>
      </c>
      <c r="AE49" s="291">
        <v>0</v>
      </c>
      <c r="AF49" s="291">
        <v>0</v>
      </c>
      <c r="AR49" s="318">
        <v>0</v>
      </c>
      <c r="AU49" s="318">
        <v>0</v>
      </c>
      <c r="AV49" s="291">
        <v>0</v>
      </c>
    </row>
    <row r="50" spans="1:67" ht="15" hidden="1" customHeight="1">
      <c r="A50" s="943" t="s">
        <v>193</v>
      </c>
      <c r="B50" s="947" t="s">
        <v>2772</v>
      </c>
      <c r="C50" s="944" t="s">
        <v>2773</v>
      </c>
      <c r="D50" s="1455">
        <v>0</v>
      </c>
      <c r="E50" s="1456">
        <v>0</v>
      </c>
      <c r="F50" s="1472">
        <v>0</v>
      </c>
      <c r="G50" s="1472">
        <v>0</v>
      </c>
      <c r="H50" s="1472">
        <v>0</v>
      </c>
      <c r="I50" s="1472">
        <v>0</v>
      </c>
      <c r="J50" s="1472">
        <v>0</v>
      </c>
      <c r="K50" s="1472">
        <v>0</v>
      </c>
      <c r="L50" s="1472">
        <v>0</v>
      </c>
      <c r="M50" s="1472">
        <v>0</v>
      </c>
      <c r="N50" s="1472">
        <v>0</v>
      </c>
      <c r="O50" s="1472">
        <v>0</v>
      </c>
      <c r="P50" s="1472">
        <v>0</v>
      </c>
      <c r="Q50" s="1472">
        <v>0</v>
      </c>
      <c r="R50" s="1472">
        <v>0</v>
      </c>
      <c r="S50" s="1472">
        <v>0</v>
      </c>
      <c r="T50" s="1472">
        <v>0</v>
      </c>
      <c r="U50" s="1472">
        <v>0</v>
      </c>
      <c r="V50" s="1472">
        <v>0</v>
      </c>
      <c r="W50" s="1472">
        <v>0</v>
      </c>
      <c r="AD50" s="310">
        <v>0.09</v>
      </c>
      <c r="AE50" s="291">
        <v>0.09</v>
      </c>
      <c r="AF50" s="291">
        <v>0.18</v>
      </c>
      <c r="AR50" s="318">
        <v>0</v>
      </c>
      <c r="AT50" s="289">
        <v>0.09</v>
      </c>
      <c r="AU50" s="318">
        <v>0.09</v>
      </c>
      <c r="AV50" s="291">
        <v>0</v>
      </c>
    </row>
    <row r="51" spans="1:67" ht="15" hidden="1" customHeight="1">
      <c r="A51" s="943" t="s">
        <v>193</v>
      </c>
      <c r="B51" s="947" t="s">
        <v>2775</v>
      </c>
      <c r="C51" s="944" t="s">
        <v>2776</v>
      </c>
      <c r="D51" s="1455">
        <v>0</v>
      </c>
      <c r="E51" s="1456">
        <v>0</v>
      </c>
      <c r="F51" s="1472">
        <v>0</v>
      </c>
      <c r="G51" s="1472">
        <v>0</v>
      </c>
      <c r="H51" s="1472">
        <v>0</v>
      </c>
      <c r="I51" s="1472">
        <v>0</v>
      </c>
      <c r="J51" s="1472">
        <v>0</v>
      </c>
      <c r="K51" s="1472">
        <v>0</v>
      </c>
      <c r="L51" s="1472">
        <v>0</v>
      </c>
      <c r="M51" s="1472">
        <v>0</v>
      </c>
      <c r="N51" s="1472">
        <v>0</v>
      </c>
      <c r="O51" s="1472">
        <v>0</v>
      </c>
      <c r="P51" s="1472">
        <v>0</v>
      </c>
      <c r="Q51" s="1472">
        <v>0</v>
      </c>
      <c r="R51" s="1472">
        <v>0</v>
      </c>
      <c r="S51" s="1472">
        <v>0</v>
      </c>
      <c r="T51" s="1472">
        <v>0</v>
      </c>
      <c r="U51" s="1472">
        <v>0</v>
      </c>
      <c r="V51" s="1472">
        <v>0</v>
      </c>
      <c r="W51" s="1472">
        <v>0</v>
      </c>
      <c r="AD51" s="310">
        <v>0</v>
      </c>
      <c r="AE51" s="291">
        <v>0</v>
      </c>
      <c r="AF51" s="291">
        <v>0</v>
      </c>
      <c r="AR51" s="318">
        <v>0</v>
      </c>
      <c r="AU51" s="318">
        <v>0</v>
      </c>
      <c r="AV51" s="291">
        <v>0</v>
      </c>
    </row>
    <row r="52" spans="1:67" ht="23.25" customHeight="1">
      <c r="A52" s="944" t="s">
        <v>68</v>
      </c>
      <c r="B52" s="286" t="s">
        <v>2774</v>
      </c>
      <c r="C52" s="944" t="s">
        <v>113</v>
      </c>
      <c r="D52" s="1455">
        <v>1.4820000000000002</v>
      </c>
      <c r="E52" s="1456">
        <v>0</v>
      </c>
      <c r="F52" s="1472">
        <v>0.01</v>
      </c>
      <c r="G52" s="1472">
        <v>0.12</v>
      </c>
      <c r="H52" s="1472">
        <v>2.1999999999999999E-2</v>
      </c>
      <c r="I52" s="1472">
        <v>0</v>
      </c>
      <c r="J52" s="1472">
        <v>0</v>
      </c>
      <c r="K52" s="1472">
        <v>0.01</v>
      </c>
      <c r="L52" s="1472">
        <v>0</v>
      </c>
      <c r="M52" s="1472">
        <v>0.12</v>
      </c>
      <c r="N52" s="1472">
        <v>0</v>
      </c>
      <c r="O52" s="1472">
        <v>0.11</v>
      </c>
      <c r="P52" s="1472">
        <v>0.04</v>
      </c>
      <c r="Q52" s="1472">
        <v>0.14000000000000001</v>
      </c>
      <c r="R52" s="1472">
        <v>0.85000000000000009</v>
      </c>
      <c r="S52" s="1472">
        <v>0</v>
      </c>
      <c r="T52" s="1472">
        <v>0</v>
      </c>
      <c r="U52" s="1472">
        <v>0.01</v>
      </c>
      <c r="V52" s="1472">
        <v>0</v>
      </c>
      <c r="W52" s="1472">
        <v>0.05</v>
      </c>
      <c r="AD52" s="310">
        <v>6.9300000000000006</v>
      </c>
      <c r="AE52" s="291">
        <v>1.8800000000000001</v>
      </c>
      <c r="AF52" s="291">
        <v>8.81</v>
      </c>
      <c r="AH52" s="289">
        <v>0.15</v>
      </c>
      <c r="AI52" s="289">
        <v>1.62</v>
      </c>
      <c r="AR52" s="318">
        <v>1.77</v>
      </c>
      <c r="AS52" s="289">
        <v>0.15</v>
      </c>
      <c r="AT52" s="289">
        <v>0.26</v>
      </c>
      <c r="AU52" s="318">
        <v>0.11000000000000001</v>
      </c>
      <c r="AV52" s="291">
        <v>0.77</v>
      </c>
      <c r="AZ52" s="289">
        <v>0.04</v>
      </c>
      <c r="BB52" s="289">
        <v>0.69</v>
      </c>
      <c r="BE52" s="289">
        <v>0.04</v>
      </c>
    </row>
    <row r="53" spans="1:67" ht="24" customHeight="1">
      <c r="A53" s="944" t="s">
        <v>69</v>
      </c>
      <c r="B53" s="947" t="s">
        <v>107</v>
      </c>
      <c r="C53" s="944" t="s">
        <v>59</v>
      </c>
      <c r="D53" s="1455">
        <v>0.31943999999999995</v>
      </c>
      <c r="E53" s="1456">
        <v>0.31943999999999995</v>
      </c>
      <c r="F53" s="1472">
        <v>0</v>
      </c>
      <c r="G53" s="1472">
        <v>0</v>
      </c>
      <c r="H53" s="1472">
        <v>0</v>
      </c>
      <c r="I53" s="1472">
        <v>0</v>
      </c>
      <c r="J53" s="1472">
        <v>0</v>
      </c>
      <c r="K53" s="1472">
        <v>0</v>
      </c>
      <c r="L53" s="1472">
        <v>0</v>
      </c>
      <c r="M53" s="1472">
        <v>0</v>
      </c>
      <c r="N53" s="1472">
        <v>0</v>
      </c>
      <c r="O53" s="1472">
        <v>0</v>
      </c>
      <c r="P53" s="1472">
        <v>0</v>
      </c>
      <c r="Q53" s="1472">
        <v>0</v>
      </c>
      <c r="R53" s="1472">
        <v>0</v>
      </c>
      <c r="S53" s="1472">
        <v>0</v>
      </c>
      <c r="T53" s="1472">
        <v>0</v>
      </c>
      <c r="U53" s="1472">
        <v>0</v>
      </c>
      <c r="V53" s="1472">
        <v>0</v>
      </c>
      <c r="W53" s="1472">
        <v>0</v>
      </c>
      <c r="AD53" s="310">
        <v>0.34</v>
      </c>
      <c r="AE53" s="291">
        <v>0.06</v>
      </c>
      <c r="AF53" s="291">
        <v>0.4</v>
      </c>
      <c r="AJ53" s="289">
        <v>0.06</v>
      </c>
      <c r="AR53" s="318">
        <v>0.06</v>
      </c>
      <c r="AU53" s="318">
        <v>0</v>
      </c>
      <c r="AV53" s="291">
        <v>0.01</v>
      </c>
      <c r="BO53" s="289">
        <v>0.01</v>
      </c>
    </row>
    <row r="54" spans="1:67" ht="24" customHeight="1">
      <c r="A54" s="944" t="s">
        <v>70</v>
      </c>
      <c r="B54" s="947" t="s">
        <v>108</v>
      </c>
      <c r="C54" s="944" t="s">
        <v>57</v>
      </c>
      <c r="D54" s="1455">
        <v>0.25982</v>
      </c>
      <c r="E54" s="1456">
        <v>0.16982</v>
      </c>
      <c r="F54" s="1472">
        <v>0</v>
      </c>
      <c r="G54" s="1472">
        <v>0.03</v>
      </c>
      <c r="H54" s="1472">
        <v>0</v>
      </c>
      <c r="I54" s="1472">
        <v>0</v>
      </c>
      <c r="J54" s="1472">
        <v>0</v>
      </c>
      <c r="K54" s="1472">
        <v>0.06</v>
      </c>
      <c r="L54" s="1472">
        <v>0</v>
      </c>
      <c r="M54" s="1472">
        <v>0</v>
      </c>
      <c r="N54" s="1472">
        <v>0</v>
      </c>
      <c r="O54" s="1472">
        <v>0</v>
      </c>
      <c r="P54" s="1472">
        <v>0</v>
      </c>
      <c r="Q54" s="1472">
        <v>0</v>
      </c>
      <c r="R54" s="1472">
        <v>0</v>
      </c>
      <c r="S54" s="1472">
        <v>0</v>
      </c>
      <c r="T54" s="1472">
        <v>0</v>
      </c>
      <c r="U54" s="1472">
        <v>0</v>
      </c>
      <c r="V54" s="1472">
        <v>0</v>
      </c>
      <c r="W54" s="1472">
        <v>0</v>
      </c>
      <c r="AD54" s="310">
        <v>0.17</v>
      </c>
      <c r="AE54" s="291">
        <v>0</v>
      </c>
      <c r="AF54" s="291">
        <v>0.17</v>
      </c>
      <c r="AR54" s="318">
        <v>0</v>
      </c>
      <c r="AU54" s="318">
        <v>0</v>
      </c>
      <c r="AV54" s="291">
        <v>0</v>
      </c>
    </row>
    <row r="55" spans="1:67" ht="18.600000000000001" customHeight="1">
      <c r="A55" s="944" t="s">
        <v>71</v>
      </c>
      <c r="B55" s="947" t="s">
        <v>95</v>
      </c>
      <c r="C55" s="944" t="s">
        <v>24</v>
      </c>
      <c r="D55" s="1455">
        <v>0</v>
      </c>
      <c r="E55" s="1456">
        <v>0</v>
      </c>
      <c r="F55" s="1472">
        <v>0</v>
      </c>
      <c r="G55" s="1472">
        <v>0</v>
      </c>
      <c r="H55" s="1472">
        <v>0</v>
      </c>
      <c r="I55" s="1472">
        <v>0</v>
      </c>
      <c r="J55" s="1472">
        <v>0</v>
      </c>
      <c r="K55" s="1472">
        <v>0</v>
      </c>
      <c r="L55" s="1472">
        <v>0</v>
      </c>
      <c r="M55" s="1472">
        <v>0</v>
      </c>
      <c r="N55" s="1472">
        <v>0</v>
      </c>
      <c r="O55" s="1472">
        <v>0</v>
      </c>
      <c r="P55" s="1472">
        <v>0</v>
      </c>
      <c r="Q55" s="1472">
        <v>0</v>
      </c>
      <c r="R55" s="1472">
        <v>0</v>
      </c>
      <c r="S55" s="1472">
        <v>0</v>
      </c>
      <c r="T55" s="1472">
        <v>0</v>
      </c>
      <c r="U55" s="1472">
        <v>0</v>
      </c>
      <c r="V55" s="1472">
        <v>0</v>
      </c>
      <c r="W55" s="1472">
        <v>0</v>
      </c>
      <c r="AD55" s="310">
        <v>0</v>
      </c>
      <c r="AE55" s="291">
        <v>0</v>
      </c>
      <c r="AF55" s="291">
        <v>0</v>
      </c>
      <c r="AR55" s="318">
        <v>0</v>
      </c>
      <c r="AU55" s="318">
        <v>0</v>
      </c>
      <c r="AV55" s="291">
        <v>0</v>
      </c>
    </row>
    <row r="56" spans="1:67" s="290" customFormat="1" ht="18" hidden="1" customHeight="1">
      <c r="A56" s="944" t="s">
        <v>100</v>
      </c>
      <c r="B56" s="947" t="s">
        <v>109</v>
      </c>
      <c r="C56" s="944" t="s">
        <v>110</v>
      </c>
      <c r="D56" s="1455">
        <v>0</v>
      </c>
      <c r="E56" s="1456">
        <v>0</v>
      </c>
      <c r="F56" s="1472">
        <v>0</v>
      </c>
      <c r="G56" s="1472">
        <v>0</v>
      </c>
      <c r="H56" s="1472">
        <v>0</v>
      </c>
      <c r="I56" s="1472">
        <v>0</v>
      </c>
      <c r="J56" s="1472">
        <v>0</v>
      </c>
      <c r="K56" s="1472">
        <v>0</v>
      </c>
      <c r="L56" s="1472">
        <v>0</v>
      </c>
      <c r="M56" s="1472">
        <v>0</v>
      </c>
      <c r="N56" s="1472">
        <v>0</v>
      </c>
      <c r="O56" s="1472">
        <v>0</v>
      </c>
      <c r="P56" s="1472">
        <v>0</v>
      </c>
      <c r="Q56" s="1472">
        <v>0</v>
      </c>
      <c r="R56" s="1472">
        <v>0</v>
      </c>
      <c r="S56" s="1472">
        <v>0</v>
      </c>
      <c r="T56" s="1472">
        <v>0</v>
      </c>
      <c r="U56" s="1472">
        <v>0</v>
      </c>
      <c r="V56" s="1472">
        <v>0</v>
      </c>
      <c r="W56" s="1472">
        <v>0</v>
      </c>
      <c r="X56" s="289"/>
      <c r="Y56" s="323"/>
      <c r="Z56" s="289"/>
      <c r="AA56" s="289"/>
      <c r="AB56" s="324"/>
      <c r="AC56" s="324"/>
      <c r="AD56" s="310">
        <v>0</v>
      </c>
      <c r="AE56" s="291">
        <v>0</v>
      </c>
      <c r="AF56" s="291">
        <v>0</v>
      </c>
      <c r="AR56" s="318">
        <v>0</v>
      </c>
      <c r="AU56" s="318">
        <v>0</v>
      </c>
      <c r="AV56" s="291">
        <v>0</v>
      </c>
    </row>
    <row r="57" spans="1:67" s="290" customFormat="1" ht="18" hidden="1" customHeight="1">
      <c r="A57" s="944" t="s">
        <v>101</v>
      </c>
      <c r="B57" s="947" t="s">
        <v>133</v>
      </c>
      <c r="C57" s="944" t="s">
        <v>137</v>
      </c>
      <c r="D57" s="1455">
        <v>0</v>
      </c>
      <c r="E57" s="1456">
        <v>0</v>
      </c>
      <c r="F57" s="1472">
        <v>0</v>
      </c>
      <c r="G57" s="1472">
        <v>0</v>
      </c>
      <c r="H57" s="1472">
        <v>0</v>
      </c>
      <c r="I57" s="1472">
        <v>0</v>
      </c>
      <c r="J57" s="1472">
        <v>0</v>
      </c>
      <c r="K57" s="1472">
        <v>0</v>
      </c>
      <c r="L57" s="1472">
        <v>0</v>
      </c>
      <c r="M57" s="1472">
        <v>0</v>
      </c>
      <c r="N57" s="1472">
        <v>0</v>
      </c>
      <c r="O57" s="1472">
        <v>0</v>
      </c>
      <c r="P57" s="1472">
        <v>0</v>
      </c>
      <c r="Q57" s="1472">
        <v>0</v>
      </c>
      <c r="R57" s="1472">
        <v>0</v>
      </c>
      <c r="S57" s="1472">
        <v>0</v>
      </c>
      <c r="T57" s="1472">
        <v>0</v>
      </c>
      <c r="U57" s="1472">
        <v>0</v>
      </c>
      <c r="V57" s="1472">
        <v>0</v>
      </c>
      <c r="W57" s="1472">
        <v>0</v>
      </c>
      <c r="X57" s="289"/>
      <c r="Y57" s="323"/>
      <c r="Z57" s="289"/>
      <c r="AA57" s="289"/>
      <c r="AB57" s="324"/>
      <c r="AC57" s="324"/>
      <c r="AD57" s="310">
        <v>0</v>
      </c>
      <c r="AE57" s="291">
        <v>0</v>
      </c>
      <c r="AF57" s="291">
        <v>0</v>
      </c>
      <c r="AR57" s="318">
        <v>0</v>
      </c>
      <c r="AU57" s="318">
        <v>0</v>
      </c>
      <c r="AV57" s="291">
        <v>0</v>
      </c>
    </row>
    <row r="58" spans="1:67" ht="18" hidden="1" customHeight="1">
      <c r="A58" s="944" t="s">
        <v>102</v>
      </c>
      <c r="B58" s="947" t="s">
        <v>136</v>
      </c>
      <c r="C58" s="944" t="s">
        <v>138</v>
      </c>
      <c r="D58" s="1455">
        <v>0</v>
      </c>
      <c r="E58" s="1456">
        <v>0</v>
      </c>
      <c r="F58" s="1472">
        <v>0</v>
      </c>
      <c r="G58" s="1472">
        <v>0</v>
      </c>
      <c r="H58" s="1472">
        <v>0</v>
      </c>
      <c r="I58" s="1472">
        <v>0</v>
      </c>
      <c r="J58" s="1472">
        <v>0</v>
      </c>
      <c r="K58" s="1472">
        <v>0</v>
      </c>
      <c r="L58" s="1472">
        <v>0</v>
      </c>
      <c r="M58" s="1472">
        <v>0</v>
      </c>
      <c r="N58" s="1472">
        <v>0</v>
      </c>
      <c r="O58" s="1472">
        <v>0</v>
      </c>
      <c r="P58" s="1472">
        <v>0</v>
      </c>
      <c r="Q58" s="1472">
        <v>0</v>
      </c>
      <c r="R58" s="1472">
        <v>0</v>
      </c>
      <c r="S58" s="1472">
        <v>0</v>
      </c>
      <c r="T58" s="1472">
        <v>0</v>
      </c>
      <c r="U58" s="1472">
        <v>0</v>
      </c>
      <c r="V58" s="1472">
        <v>0</v>
      </c>
      <c r="W58" s="1472">
        <v>0</v>
      </c>
      <c r="AD58" s="310">
        <v>0</v>
      </c>
      <c r="AE58" s="291">
        <v>0</v>
      </c>
      <c r="AF58" s="291">
        <v>0</v>
      </c>
      <c r="AR58" s="318">
        <v>0</v>
      </c>
      <c r="AU58" s="318">
        <v>0</v>
      </c>
      <c r="AV58" s="291">
        <v>0</v>
      </c>
    </row>
    <row r="59" spans="1:67" ht="20.100000000000001" customHeight="1">
      <c r="A59" s="944" t="s">
        <v>74</v>
      </c>
      <c r="B59" s="947" t="s">
        <v>2777</v>
      </c>
      <c r="C59" s="944" t="s">
        <v>39</v>
      </c>
      <c r="D59" s="1455">
        <v>0</v>
      </c>
      <c r="E59" s="1456">
        <v>0</v>
      </c>
      <c r="F59" s="1472">
        <v>0</v>
      </c>
      <c r="G59" s="1472">
        <v>0</v>
      </c>
      <c r="H59" s="1472">
        <v>0</v>
      </c>
      <c r="I59" s="1472">
        <v>0</v>
      </c>
      <c r="J59" s="1472">
        <v>0</v>
      </c>
      <c r="K59" s="1472">
        <v>0</v>
      </c>
      <c r="L59" s="1472">
        <v>0</v>
      </c>
      <c r="M59" s="1472">
        <v>0</v>
      </c>
      <c r="N59" s="1472">
        <v>0</v>
      </c>
      <c r="O59" s="1472">
        <v>0</v>
      </c>
      <c r="P59" s="1472">
        <v>0</v>
      </c>
      <c r="Q59" s="1472">
        <v>0</v>
      </c>
      <c r="R59" s="1472">
        <v>0</v>
      </c>
      <c r="S59" s="1472">
        <v>0</v>
      </c>
      <c r="T59" s="1472">
        <v>0</v>
      </c>
      <c r="U59" s="1472">
        <v>0</v>
      </c>
      <c r="V59" s="1472">
        <v>0</v>
      </c>
      <c r="W59" s="1472">
        <v>0</v>
      </c>
      <c r="AD59" s="310">
        <v>0</v>
      </c>
      <c r="AE59" s="291">
        <v>0</v>
      </c>
      <c r="AF59" s="291">
        <v>0</v>
      </c>
      <c r="AR59" s="318">
        <v>0</v>
      </c>
      <c r="AU59" s="318">
        <v>0</v>
      </c>
      <c r="AV59" s="291">
        <v>0</v>
      </c>
    </row>
    <row r="60" spans="1:67" ht="19.5" customHeight="1">
      <c r="A60" s="944" t="s">
        <v>75</v>
      </c>
      <c r="B60" s="286" t="s">
        <v>2778</v>
      </c>
      <c r="C60" s="944" t="s">
        <v>42</v>
      </c>
      <c r="D60" s="1455">
        <v>3.07</v>
      </c>
      <c r="E60" s="1456">
        <v>0</v>
      </c>
      <c r="F60" s="1472">
        <v>0</v>
      </c>
      <c r="G60" s="1472">
        <v>0</v>
      </c>
      <c r="H60" s="1472">
        <v>0.1</v>
      </c>
      <c r="I60" s="1472">
        <v>0.1</v>
      </c>
      <c r="J60" s="1472">
        <v>0.19</v>
      </c>
      <c r="K60" s="1472">
        <v>0.01</v>
      </c>
      <c r="L60" s="1472">
        <v>0</v>
      </c>
      <c r="M60" s="1472">
        <v>0.03</v>
      </c>
      <c r="N60" s="1472">
        <v>0</v>
      </c>
      <c r="O60" s="1472">
        <v>1</v>
      </c>
      <c r="P60" s="1472">
        <v>0.55000000000000004</v>
      </c>
      <c r="Q60" s="1472">
        <v>0</v>
      </c>
      <c r="R60" s="1472">
        <v>0.04</v>
      </c>
      <c r="S60" s="1472">
        <v>0</v>
      </c>
      <c r="T60" s="1472">
        <v>0</v>
      </c>
      <c r="U60" s="1472">
        <v>0.05</v>
      </c>
      <c r="V60" s="1472">
        <v>0</v>
      </c>
      <c r="W60" s="1472">
        <v>1</v>
      </c>
      <c r="AD60" s="310">
        <v>0</v>
      </c>
      <c r="AE60" s="291">
        <v>0</v>
      </c>
      <c r="AF60" s="291">
        <v>0</v>
      </c>
      <c r="AR60" s="318">
        <v>0</v>
      </c>
      <c r="AU60" s="318">
        <v>0</v>
      </c>
      <c r="AV60" s="291">
        <v>0</v>
      </c>
    </row>
    <row r="61" spans="1:67" ht="15" hidden="1" customHeight="1">
      <c r="A61" s="944" t="s">
        <v>76</v>
      </c>
      <c r="B61" s="286" t="s">
        <v>2779</v>
      </c>
      <c r="C61" s="944" t="s">
        <v>41</v>
      </c>
      <c r="D61" s="1455">
        <v>0</v>
      </c>
      <c r="E61" s="1456">
        <v>0</v>
      </c>
      <c r="F61" s="1472">
        <v>0</v>
      </c>
      <c r="G61" s="1472">
        <v>0</v>
      </c>
      <c r="H61" s="1472">
        <v>0</v>
      </c>
      <c r="I61" s="1472">
        <v>0</v>
      </c>
      <c r="J61" s="1472">
        <v>0</v>
      </c>
      <c r="K61" s="1472">
        <v>0</v>
      </c>
      <c r="L61" s="1472">
        <v>0</v>
      </c>
      <c r="M61" s="1472">
        <v>0</v>
      </c>
      <c r="N61" s="1472">
        <v>0</v>
      </c>
      <c r="O61" s="1472">
        <v>0</v>
      </c>
      <c r="P61" s="1472">
        <v>0</v>
      </c>
      <c r="Q61" s="1472">
        <v>0</v>
      </c>
      <c r="R61" s="1472">
        <v>0</v>
      </c>
      <c r="S61" s="1472">
        <v>0</v>
      </c>
      <c r="T61" s="1472">
        <v>0</v>
      </c>
      <c r="U61" s="1472">
        <v>0</v>
      </c>
      <c r="V61" s="1472">
        <v>0</v>
      </c>
      <c r="W61" s="1472">
        <v>0</v>
      </c>
      <c r="AD61" s="310">
        <v>3.04</v>
      </c>
      <c r="AE61" s="291">
        <v>-0.5</v>
      </c>
      <c r="AF61" s="291">
        <v>2.54</v>
      </c>
      <c r="AR61" s="318">
        <v>0</v>
      </c>
      <c r="AS61" s="289">
        <v>0.5</v>
      </c>
      <c r="AU61" s="318">
        <v>-0.5</v>
      </c>
      <c r="AV61" s="291">
        <v>0</v>
      </c>
    </row>
    <row r="62" spans="1:67" ht="18" hidden="1" customHeight="1">
      <c r="A62" s="284" t="s">
        <v>273</v>
      </c>
      <c r="B62" s="286" t="s">
        <v>116</v>
      </c>
      <c r="C62" s="284" t="s">
        <v>55</v>
      </c>
      <c r="D62" s="1475">
        <v>0</v>
      </c>
      <c r="E62" s="1476">
        <v>0</v>
      </c>
      <c r="F62" s="1476">
        <v>0</v>
      </c>
      <c r="G62" s="1476">
        <v>0</v>
      </c>
      <c r="H62" s="1476">
        <v>0</v>
      </c>
      <c r="I62" s="1476">
        <v>0</v>
      </c>
      <c r="J62" s="1476">
        <v>0</v>
      </c>
      <c r="K62" s="1476">
        <v>0</v>
      </c>
      <c r="L62" s="1476">
        <v>0</v>
      </c>
      <c r="M62" s="1476">
        <v>0</v>
      </c>
      <c r="N62" s="1476">
        <v>0</v>
      </c>
      <c r="O62" s="1476">
        <v>0</v>
      </c>
      <c r="P62" s="1476">
        <v>0</v>
      </c>
      <c r="Q62" s="1476">
        <v>0</v>
      </c>
      <c r="R62" s="1476">
        <v>0</v>
      </c>
      <c r="S62" s="1476">
        <v>0</v>
      </c>
      <c r="T62" s="1476">
        <v>0</v>
      </c>
      <c r="U62" s="1476">
        <v>0</v>
      </c>
      <c r="V62" s="1475">
        <v>0</v>
      </c>
      <c r="W62" s="1475">
        <v>0</v>
      </c>
      <c r="AD62" s="310">
        <v>0</v>
      </c>
      <c r="AE62" s="291">
        <v>0</v>
      </c>
      <c r="AF62" s="291">
        <v>0</v>
      </c>
      <c r="AR62" s="318">
        <v>0</v>
      </c>
      <c r="AU62" s="318">
        <v>0</v>
      </c>
      <c r="AV62" s="291">
        <v>0</v>
      </c>
    </row>
    <row r="63" spans="1:67">
      <c r="AH63" s="289">
        <v>0.02</v>
      </c>
      <c r="AK63" s="289">
        <v>0.18</v>
      </c>
      <c r="AR63" s="318">
        <v>0.19999999999999998</v>
      </c>
      <c r="AS63" s="289">
        <v>0.02</v>
      </c>
      <c r="AT63" s="289">
        <v>0.13</v>
      </c>
      <c r="AU63" s="318">
        <v>0.11</v>
      </c>
    </row>
    <row r="64" spans="1:67">
      <c r="AE64" s="291">
        <v>0.31</v>
      </c>
      <c r="AF64" s="291">
        <v>0.31</v>
      </c>
    </row>
  </sheetData>
  <mergeCells count="10">
    <mergeCell ref="A5:A6"/>
    <mergeCell ref="B5:B6"/>
    <mergeCell ref="C5:C6"/>
    <mergeCell ref="D5:D6"/>
    <mergeCell ref="E5:W5"/>
    <mergeCell ref="A1:B1"/>
    <mergeCell ref="A2:W2"/>
    <mergeCell ref="AH2:AU2"/>
    <mergeCell ref="A3:W3"/>
    <mergeCell ref="U4:W4"/>
  </mergeCells>
  <conditionalFormatting sqref="A8:A21 C8:D21 B10:B20 A22:D23 A24:C33 D24:D50 A34">
    <cfRule type="cellIs" dxfId="53" priority="28" stopIfTrue="1" operator="equal">
      <formula>0</formula>
    </cfRule>
  </conditionalFormatting>
  <conditionalFormatting sqref="A35">
    <cfRule type="cellIs" dxfId="52" priority="11" stopIfTrue="1" operator="equal">
      <formula>0</formula>
    </cfRule>
    <cfRule type="cellIs" dxfId="51" priority="12" stopIfTrue="1" operator="equal">
      <formula>0</formula>
    </cfRule>
  </conditionalFormatting>
  <conditionalFormatting sqref="A34:B34">
    <cfRule type="cellIs" dxfId="50" priority="16" stopIfTrue="1" operator="equal">
      <formula>0</formula>
    </cfRule>
  </conditionalFormatting>
  <conditionalFormatting sqref="A35:B35">
    <cfRule type="cellIs" dxfId="49" priority="10" stopIfTrue="1" operator="equal">
      <formula>0</formula>
    </cfRule>
  </conditionalFormatting>
  <conditionalFormatting sqref="A24:C33 A10:D20 A21 C21:D21 A22:D23 A8:A9 C8:D9 A34 D24:D50">
    <cfRule type="cellIs" dxfId="48" priority="27" stopIfTrue="1" operator="equal">
      <formula>0</formula>
    </cfRule>
  </conditionalFormatting>
  <conditionalFormatting sqref="A24:C33">
    <cfRule type="cellIs" dxfId="47" priority="26" stopIfTrue="1" operator="equal">
      <formula>0</formula>
    </cfRule>
  </conditionalFormatting>
  <conditionalFormatting sqref="A8:D9 D53:E61">
    <cfRule type="cellIs" dxfId="46" priority="19" stopIfTrue="1" operator="equal">
      <formula>0</formula>
    </cfRule>
  </conditionalFormatting>
  <conditionalFormatting sqref="A10:D23">
    <cfRule type="cellIs" dxfId="45" priority="22" stopIfTrue="1" operator="equal">
      <formula>0</formula>
    </cfRule>
  </conditionalFormatting>
  <conditionalFormatting sqref="A7:IE7">
    <cfRule type="cellIs" dxfId="44" priority="29" stopIfTrue="1" operator="equal">
      <formula>0</formula>
    </cfRule>
    <cfRule type="cellIs" dxfId="43" priority="31" stopIfTrue="1" operator="equal">
      <formula>0</formula>
    </cfRule>
    <cfRule type="cellIs" dxfId="42" priority="32" stopIfTrue="1" operator="equal">
      <formula>0</formula>
    </cfRule>
  </conditionalFormatting>
  <conditionalFormatting sqref="B8">
    <cfRule type="cellIs" dxfId="41" priority="17" stopIfTrue="1" operator="equal">
      <formula>0</formula>
    </cfRule>
    <cfRule type="cellIs" dxfId="40" priority="18" stopIfTrue="1" operator="equal">
      <formula>0</formula>
    </cfRule>
  </conditionalFormatting>
  <conditionalFormatting sqref="B9">
    <cfRule type="cellIs" dxfId="39" priority="23" stopIfTrue="1" operator="equal">
      <formula>0</formula>
    </cfRule>
    <cfRule type="cellIs" dxfId="38" priority="24" stopIfTrue="1" operator="equal">
      <formula>0</formula>
    </cfRule>
  </conditionalFormatting>
  <conditionalFormatting sqref="B21">
    <cfRule type="cellIs" dxfId="37" priority="20" stopIfTrue="1" operator="equal">
      <formula>0</formula>
    </cfRule>
    <cfRule type="cellIs" dxfId="36" priority="21" stopIfTrue="1" operator="equal">
      <formula>0</formula>
    </cfRule>
  </conditionalFormatting>
  <conditionalFormatting sqref="B34">
    <cfRule type="cellIs" dxfId="35" priority="15" stopIfTrue="1" operator="equal">
      <formula>0</formula>
    </cfRule>
  </conditionalFormatting>
  <conditionalFormatting sqref="B34:C34">
    <cfRule type="cellIs" dxfId="34" priority="14" stopIfTrue="1" operator="equal">
      <formula>0</formula>
    </cfRule>
  </conditionalFormatting>
  <conditionalFormatting sqref="B35:C35">
    <cfRule type="cellIs" dxfId="33" priority="7" stopIfTrue="1" operator="equal">
      <formula>0</formula>
    </cfRule>
    <cfRule type="cellIs" dxfId="32" priority="8" stopIfTrue="1" operator="equal">
      <formula>0</formula>
    </cfRule>
  </conditionalFormatting>
  <conditionalFormatting sqref="C34">
    <cfRule type="cellIs" dxfId="31" priority="13" stopIfTrue="1" operator="equal">
      <formula>0</formula>
    </cfRule>
  </conditionalFormatting>
  <conditionalFormatting sqref="C34:C35">
    <cfRule type="cellIs" dxfId="30" priority="9" stopIfTrue="1" operator="equal">
      <formula>0</formula>
    </cfRule>
  </conditionalFormatting>
  <conditionalFormatting sqref="D8:D52">
    <cfRule type="cellIs" dxfId="29" priority="2" stopIfTrue="1" operator="equal">
      <formula>0</formula>
    </cfRule>
  </conditionalFormatting>
  <conditionalFormatting sqref="D24:D52">
    <cfRule type="cellIs" dxfId="28" priority="5" stopIfTrue="1" operator="equal">
      <formula>0</formula>
    </cfRule>
  </conditionalFormatting>
  <conditionalFormatting sqref="D51:D52">
    <cfRule type="cellIs" dxfId="27" priority="3" stopIfTrue="1" operator="equal">
      <formula>0</formula>
    </cfRule>
  </conditionalFormatting>
  <conditionalFormatting sqref="D51:D61">
    <cfRule type="cellIs" dxfId="26" priority="4" stopIfTrue="1" operator="equal">
      <formula>0</formula>
    </cfRule>
  </conditionalFormatting>
  <conditionalFormatting sqref="D53:D61">
    <cfRule type="cellIs" dxfId="25" priority="25" stopIfTrue="1" operator="equal">
      <formula>0</formula>
    </cfRule>
  </conditionalFormatting>
  <conditionalFormatting sqref="E33:E52">
    <cfRule type="cellIs" dxfId="24" priority="1" stopIfTrue="1" operator="equal">
      <formula>0</formula>
    </cfRule>
  </conditionalFormatting>
  <conditionalFormatting sqref="E8:W30">
    <cfRule type="cellIs" dxfId="23" priority="6" stopIfTrue="1" operator="equal">
      <formula>0</formula>
    </cfRule>
  </conditionalFormatting>
  <printOptions horizontalCentered="1"/>
  <pageMargins left="0.59055118110236227" right="0.31496062992125984" top="0.59055118110236227" bottom="0.39370078740157483" header="0.31496062992125984" footer="0.31496062992125984"/>
  <pageSetup paperSize="8" scale="9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25"/>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61"/>
  <sheetViews>
    <sheetView showZeros="0" view="pageBreakPreview" zoomScaleNormal="65" zoomScaleSheetLayoutView="100" workbookViewId="0">
      <pane ySplit="6" topLeftCell="A14" activePane="bottomLeft" state="frozen"/>
      <selection activeCell="C23" sqref="C23"/>
      <selection pane="bottomLeft" activeCell="C23" sqref="C23"/>
    </sheetView>
  </sheetViews>
  <sheetFormatPr defaultColWidth="9" defaultRowHeight="18.75" customHeight="1"/>
  <cols>
    <col min="1" max="1" width="4.125" style="289" bestFit="1" customWidth="1"/>
    <col min="2" max="2" width="55.125" style="289" customWidth="1"/>
    <col min="3" max="3" width="5" style="289" bestFit="1" customWidth="1"/>
    <col min="4" max="4" width="8" style="289" customWidth="1"/>
    <col min="5" max="5" width="7.875" style="289" customWidth="1"/>
    <col min="6" max="7" width="7.5" style="289" customWidth="1"/>
    <col min="8" max="8" width="7.625" style="289" customWidth="1"/>
    <col min="9" max="9" width="7.5" style="289" customWidth="1"/>
    <col min="10" max="10" width="6.375" style="289" customWidth="1"/>
    <col min="11" max="11" width="6.625" style="289" customWidth="1"/>
    <col min="12" max="13" width="7.5" style="289" customWidth="1"/>
    <col min="14" max="17" width="6.375" style="289" customWidth="1"/>
    <col min="18" max="18" width="6.625" style="289" bestFit="1" customWidth="1"/>
    <col min="19" max="19" width="6.625" style="289" customWidth="1"/>
    <col min="20" max="21" width="6.125" style="289" customWidth="1"/>
    <col min="22" max="22" width="6.5" style="289" customWidth="1"/>
    <col min="23" max="23" width="6.125" style="289" customWidth="1"/>
    <col min="24" max="16384" width="9" style="289"/>
  </cols>
  <sheetData>
    <row r="1" spans="1:23" s="282" customFormat="1" ht="20.100000000000001" customHeight="1">
      <c r="A1" s="1586" t="s">
        <v>263</v>
      </c>
      <c r="B1" s="1586"/>
      <c r="C1" s="281"/>
      <c r="D1" s="281"/>
      <c r="E1" s="281"/>
      <c r="F1" s="281"/>
      <c r="G1" s="281"/>
      <c r="H1" s="281"/>
      <c r="I1" s="281"/>
      <c r="J1" s="281"/>
      <c r="K1" s="281"/>
      <c r="L1" s="281"/>
      <c r="M1" s="281"/>
      <c r="N1" s="281"/>
      <c r="O1" s="281"/>
      <c r="P1" s="281"/>
      <c r="Q1" s="281"/>
      <c r="R1" s="281"/>
      <c r="S1" s="281"/>
      <c r="T1" s="281"/>
      <c r="U1" s="281"/>
      <c r="V1" s="281"/>
      <c r="W1" s="281"/>
    </row>
    <row r="2" spans="1:23" s="282" customFormat="1" ht="21.6" customHeight="1">
      <c r="A2" s="1591" t="s">
        <v>3031</v>
      </c>
      <c r="B2" s="1591"/>
      <c r="C2" s="1591"/>
      <c r="D2" s="1591"/>
      <c r="E2" s="1591"/>
      <c r="F2" s="1591"/>
      <c r="G2" s="1591"/>
      <c r="H2" s="1591"/>
      <c r="I2" s="1591"/>
      <c r="J2" s="1591"/>
      <c r="K2" s="1591"/>
      <c r="L2" s="1591"/>
      <c r="M2" s="1591"/>
      <c r="N2" s="1591"/>
      <c r="O2" s="1591"/>
      <c r="P2" s="1591"/>
      <c r="Q2" s="1591"/>
      <c r="R2" s="1591"/>
      <c r="S2" s="1591"/>
      <c r="T2" s="1591"/>
      <c r="U2" s="1591"/>
      <c r="V2" s="1591"/>
      <c r="W2" s="1591"/>
    </row>
    <row r="3" spans="1:23" s="282" customFormat="1" ht="18.75" hidden="1" customHeight="1">
      <c r="A3" s="1591"/>
      <c r="B3" s="1591"/>
      <c r="C3" s="1591"/>
      <c r="D3" s="1591"/>
      <c r="E3" s="1591"/>
      <c r="F3" s="1591"/>
      <c r="G3" s="1591"/>
      <c r="H3" s="1591"/>
      <c r="I3" s="1591"/>
      <c r="J3" s="1591"/>
      <c r="K3" s="1591"/>
      <c r="L3" s="1591"/>
      <c r="M3" s="1591"/>
      <c r="N3" s="1591"/>
      <c r="O3" s="1591"/>
      <c r="P3" s="1591"/>
      <c r="Q3" s="1591"/>
      <c r="R3" s="1591"/>
      <c r="S3" s="1591"/>
      <c r="T3" s="1591"/>
      <c r="U3" s="1591"/>
      <c r="V3" s="1591"/>
      <c r="W3" s="1591"/>
    </row>
    <row r="4" spans="1:23" s="282" customFormat="1" ht="18.75" customHeight="1">
      <c r="B4" s="1489"/>
      <c r="C4" s="1489"/>
      <c r="D4" s="1489"/>
      <c r="E4" s="1489"/>
      <c r="F4" s="1489"/>
      <c r="G4" s="1489"/>
      <c r="H4" s="1489"/>
      <c r="I4" s="1489"/>
      <c r="J4" s="1489"/>
      <c r="K4" s="1489"/>
      <c r="L4" s="1489"/>
      <c r="M4" s="1489"/>
      <c r="N4" s="1489"/>
      <c r="O4" s="1489"/>
      <c r="P4" s="1489"/>
      <c r="Q4" s="1489"/>
      <c r="R4" s="1489"/>
      <c r="S4" s="1489"/>
      <c r="T4" s="1489"/>
      <c r="U4" s="1595" t="s">
        <v>0</v>
      </c>
      <c r="V4" s="1595"/>
      <c r="W4" s="1595"/>
    </row>
    <row r="5" spans="1:23" s="287" customFormat="1" ht="18.75" customHeight="1">
      <c r="A5" s="1589" t="s">
        <v>1</v>
      </c>
      <c r="B5" s="1589" t="s">
        <v>175</v>
      </c>
      <c r="C5" s="1589" t="s">
        <v>172</v>
      </c>
      <c r="D5" s="1594" t="s">
        <v>146</v>
      </c>
      <c r="E5" s="1545" t="s">
        <v>2836</v>
      </c>
      <c r="F5" s="1545"/>
      <c r="G5" s="1545"/>
      <c r="H5" s="1545"/>
      <c r="I5" s="1545"/>
      <c r="J5" s="1545"/>
      <c r="K5" s="1545"/>
      <c r="L5" s="1545"/>
      <c r="M5" s="1545"/>
      <c r="N5" s="1545"/>
      <c r="O5" s="1545"/>
      <c r="P5" s="1545"/>
      <c r="Q5" s="1545"/>
      <c r="R5" s="1545"/>
      <c r="S5" s="1545"/>
      <c r="T5" s="1545"/>
      <c r="U5" s="1545"/>
      <c r="V5" s="1545"/>
      <c r="W5" s="1545"/>
    </row>
    <row r="6" spans="1:23" s="287" customFormat="1" ht="42" customHeight="1">
      <c r="A6" s="1589"/>
      <c r="B6" s="1589"/>
      <c r="C6" s="1589"/>
      <c r="D6" s="1594"/>
      <c r="E6" s="1013" t="s">
        <v>3010</v>
      </c>
      <c r="F6" s="1013" t="s">
        <v>3011</v>
      </c>
      <c r="G6" s="1013" t="s">
        <v>3012</v>
      </c>
      <c r="H6" s="1013" t="s">
        <v>3013</v>
      </c>
      <c r="I6" s="1013" t="s">
        <v>3014</v>
      </c>
      <c r="J6" s="1013" t="s">
        <v>3015</v>
      </c>
      <c r="K6" s="1013" t="s">
        <v>3016</v>
      </c>
      <c r="L6" s="1013" t="s">
        <v>3017</v>
      </c>
      <c r="M6" s="1013" t="s">
        <v>3018</v>
      </c>
      <c r="N6" s="1013" t="s">
        <v>3019</v>
      </c>
      <c r="O6" s="1013" t="s">
        <v>3020</v>
      </c>
      <c r="P6" s="1013" t="s">
        <v>3021</v>
      </c>
      <c r="Q6" s="1013" t="s">
        <v>3022</v>
      </c>
      <c r="R6" s="1013" t="s">
        <v>3023</v>
      </c>
      <c r="S6" s="1013" t="s">
        <v>3024</v>
      </c>
      <c r="T6" s="1013" t="s">
        <v>3025</v>
      </c>
      <c r="U6" s="1013" t="s">
        <v>3026</v>
      </c>
      <c r="V6" s="1013" t="s">
        <v>3027</v>
      </c>
      <c r="W6" s="1013" t="s">
        <v>3028</v>
      </c>
    </row>
    <row r="7" spans="1:23" s="1490" customFormat="1" ht="26.45" customHeight="1">
      <c r="A7" s="958">
        <v>-1</v>
      </c>
      <c r="B7" s="958">
        <v>-2</v>
      </c>
      <c r="C7" s="958">
        <v>-3</v>
      </c>
      <c r="D7" s="958" t="s">
        <v>3035</v>
      </c>
      <c r="E7" s="958">
        <v>-5</v>
      </c>
      <c r="F7" s="958">
        <v>-6</v>
      </c>
      <c r="G7" s="958">
        <v>-7</v>
      </c>
      <c r="H7" s="958">
        <v>-8</v>
      </c>
      <c r="I7" s="958">
        <v>-9</v>
      </c>
      <c r="J7" s="958">
        <v>-10</v>
      </c>
      <c r="K7" s="958">
        <v>-11</v>
      </c>
      <c r="L7" s="958">
        <v>-12</v>
      </c>
      <c r="M7" s="958">
        <v>-13</v>
      </c>
      <c r="N7" s="958">
        <v>-14</v>
      </c>
      <c r="O7" s="958">
        <v>-15</v>
      </c>
      <c r="P7" s="958">
        <v>-16</v>
      </c>
      <c r="Q7" s="958">
        <v>-17</v>
      </c>
      <c r="R7" s="958">
        <v>-18</v>
      </c>
      <c r="S7" s="958">
        <v>-19</v>
      </c>
      <c r="T7" s="958">
        <v>-20</v>
      </c>
      <c r="U7" s="958">
        <v>-21</v>
      </c>
      <c r="V7" s="958">
        <v>-22</v>
      </c>
      <c r="W7" s="958">
        <v>-23</v>
      </c>
    </row>
    <row r="8" spans="1:23" ht="15.75" customHeight="1">
      <c r="A8" s="967">
        <v>1</v>
      </c>
      <c r="B8" s="1478" t="s">
        <v>3</v>
      </c>
      <c r="C8" s="1479" t="s">
        <v>4</v>
      </c>
      <c r="D8" s="1480">
        <v>0</v>
      </c>
      <c r="E8" s="1480">
        <v>0</v>
      </c>
      <c r="F8" s="1480">
        <v>0</v>
      </c>
      <c r="G8" s="1480">
        <v>0</v>
      </c>
      <c r="H8" s="1480">
        <v>0</v>
      </c>
      <c r="I8" s="1480">
        <v>0</v>
      </c>
      <c r="J8" s="1480">
        <v>0</v>
      </c>
      <c r="K8" s="1480">
        <v>0</v>
      </c>
      <c r="L8" s="1480">
        <v>0</v>
      </c>
      <c r="M8" s="1480">
        <v>0</v>
      </c>
      <c r="N8" s="1480">
        <v>0</v>
      </c>
      <c r="O8" s="1480">
        <v>0</v>
      </c>
      <c r="P8" s="1480">
        <v>0</v>
      </c>
      <c r="Q8" s="1480">
        <v>0</v>
      </c>
      <c r="R8" s="1480">
        <v>0</v>
      </c>
      <c r="S8" s="1480">
        <v>0</v>
      </c>
      <c r="T8" s="1480">
        <v>0</v>
      </c>
      <c r="U8" s="1480">
        <v>0</v>
      </c>
      <c r="V8" s="1480">
        <v>0</v>
      </c>
      <c r="W8" s="1480">
        <v>0</v>
      </c>
    </row>
    <row r="9" spans="1:23" ht="15.75" customHeight="1">
      <c r="A9" s="972"/>
      <c r="B9" s="978" t="s">
        <v>190</v>
      </c>
      <c r="C9" s="1479"/>
      <c r="D9" s="1480"/>
      <c r="E9" s="1480"/>
      <c r="F9" s="1480"/>
      <c r="G9" s="1480"/>
      <c r="H9" s="1480"/>
      <c r="I9" s="1480"/>
      <c r="J9" s="1480"/>
      <c r="K9" s="1480"/>
      <c r="L9" s="1480"/>
      <c r="M9" s="1480"/>
      <c r="N9" s="1480"/>
      <c r="O9" s="1480"/>
      <c r="P9" s="1480"/>
      <c r="Q9" s="1480"/>
      <c r="R9" s="1480"/>
      <c r="S9" s="1480"/>
      <c r="T9" s="1480"/>
      <c r="U9" s="1480"/>
      <c r="V9" s="1480"/>
      <c r="W9" s="1480"/>
    </row>
    <row r="10" spans="1:23" ht="15.75" customHeight="1">
      <c r="A10" s="284" t="s">
        <v>6</v>
      </c>
      <c r="B10" s="976" t="s">
        <v>85</v>
      </c>
      <c r="C10" s="1482" t="s">
        <v>5</v>
      </c>
      <c r="D10" s="1483">
        <v>0</v>
      </c>
      <c r="E10" s="1483">
        <v>0</v>
      </c>
      <c r="F10" s="1483">
        <v>0</v>
      </c>
      <c r="G10" s="1483">
        <v>0</v>
      </c>
      <c r="H10" s="1483">
        <v>0</v>
      </c>
      <c r="I10" s="1483">
        <v>0</v>
      </c>
      <c r="J10" s="1483">
        <v>0</v>
      </c>
      <c r="K10" s="1483">
        <v>0</v>
      </c>
      <c r="L10" s="1483">
        <v>0</v>
      </c>
      <c r="M10" s="1483">
        <v>0</v>
      </c>
      <c r="N10" s="1483">
        <v>0</v>
      </c>
      <c r="O10" s="1483">
        <v>0</v>
      </c>
      <c r="P10" s="1483">
        <v>0</v>
      </c>
      <c r="Q10" s="1483">
        <v>0</v>
      </c>
      <c r="R10" s="1483">
        <v>0</v>
      </c>
      <c r="S10" s="1483">
        <v>0</v>
      </c>
      <c r="T10" s="1483">
        <v>0</v>
      </c>
      <c r="U10" s="1483">
        <v>0</v>
      </c>
      <c r="V10" s="1483">
        <v>0</v>
      </c>
      <c r="W10" s="1483">
        <v>0</v>
      </c>
    </row>
    <row r="11" spans="1:23" ht="15.75" customHeight="1">
      <c r="A11" s="972"/>
      <c r="B11" s="978" t="s">
        <v>2746</v>
      </c>
      <c r="C11" s="1491" t="s">
        <v>7</v>
      </c>
      <c r="D11" s="1483">
        <v>0</v>
      </c>
      <c r="E11" s="1483">
        <v>0</v>
      </c>
      <c r="F11" s="1483">
        <v>0</v>
      </c>
      <c r="G11" s="1483">
        <v>0</v>
      </c>
      <c r="H11" s="1483">
        <v>0</v>
      </c>
      <c r="I11" s="1483">
        <v>0</v>
      </c>
      <c r="J11" s="1483">
        <v>0</v>
      </c>
      <c r="K11" s="1483">
        <v>0</v>
      </c>
      <c r="L11" s="1483">
        <v>0</v>
      </c>
      <c r="M11" s="1483">
        <v>0</v>
      </c>
      <c r="N11" s="1483">
        <v>0</v>
      </c>
      <c r="O11" s="1483">
        <v>0</v>
      </c>
      <c r="P11" s="1483">
        <v>0</v>
      </c>
      <c r="Q11" s="1483">
        <v>0</v>
      </c>
      <c r="R11" s="1483">
        <v>0</v>
      </c>
      <c r="S11" s="1483">
        <v>0</v>
      </c>
      <c r="T11" s="1483">
        <v>0</v>
      </c>
      <c r="U11" s="1483">
        <v>0</v>
      </c>
      <c r="V11" s="1483">
        <v>0</v>
      </c>
      <c r="W11" s="1483">
        <v>0</v>
      </c>
    </row>
    <row r="12" spans="1:23" s="290" customFormat="1" ht="15.75" customHeight="1">
      <c r="A12" s="284" t="s">
        <v>9</v>
      </c>
      <c r="B12" s="976" t="s">
        <v>2747</v>
      </c>
      <c r="C12" s="1482" t="s">
        <v>12</v>
      </c>
      <c r="D12" s="1483">
        <v>0</v>
      </c>
      <c r="E12" s="1483">
        <v>0</v>
      </c>
      <c r="F12" s="1483">
        <v>0</v>
      </c>
      <c r="G12" s="1483">
        <v>0</v>
      </c>
      <c r="H12" s="1483">
        <v>0</v>
      </c>
      <c r="I12" s="1483">
        <v>0</v>
      </c>
      <c r="J12" s="1483">
        <v>0</v>
      </c>
      <c r="K12" s="1483">
        <v>0</v>
      </c>
      <c r="L12" s="1483">
        <v>0</v>
      </c>
      <c r="M12" s="1483">
        <v>0</v>
      </c>
      <c r="N12" s="1483">
        <v>0</v>
      </c>
      <c r="O12" s="1483">
        <v>0</v>
      </c>
      <c r="P12" s="1483">
        <v>0</v>
      </c>
      <c r="Q12" s="1483">
        <v>0</v>
      </c>
      <c r="R12" s="1483">
        <v>0</v>
      </c>
      <c r="S12" s="1483">
        <v>0</v>
      </c>
      <c r="T12" s="1483">
        <v>0</v>
      </c>
      <c r="U12" s="1483">
        <v>0</v>
      </c>
      <c r="V12" s="1483">
        <v>0</v>
      </c>
      <c r="W12" s="1483">
        <v>0</v>
      </c>
    </row>
    <row r="13" spans="1:23" ht="15.75" customHeight="1">
      <c r="A13" s="284" t="s">
        <v>11</v>
      </c>
      <c r="B13" s="976" t="s">
        <v>60</v>
      </c>
      <c r="C13" s="1482" t="s">
        <v>14</v>
      </c>
      <c r="D13" s="1483">
        <v>0</v>
      </c>
      <c r="E13" s="1483">
        <v>0</v>
      </c>
      <c r="F13" s="1483">
        <v>0</v>
      </c>
      <c r="G13" s="1483">
        <v>0</v>
      </c>
      <c r="H13" s="1483">
        <v>0</v>
      </c>
      <c r="I13" s="1483">
        <v>0</v>
      </c>
      <c r="J13" s="1483">
        <v>0</v>
      </c>
      <c r="K13" s="1483">
        <v>0</v>
      </c>
      <c r="L13" s="1483">
        <v>0</v>
      </c>
      <c r="M13" s="1483">
        <v>0</v>
      </c>
      <c r="N13" s="1483">
        <v>0</v>
      </c>
      <c r="O13" s="1483">
        <v>0</v>
      </c>
      <c r="P13" s="1483">
        <v>0</v>
      </c>
      <c r="Q13" s="1483">
        <v>0</v>
      </c>
      <c r="R13" s="1483">
        <v>0</v>
      </c>
      <c r="S13" s="1483">
        <v>0</v>
      </c>
      <c r="T13" s="1483">
        <v>0</v>
      </c>
      <c r="U13" s="1483">
        <v>0</v>
      </c>
      <c r="V13" s="1483">
        <v>0</v>
      </c>
      <c r="W13" s="1483">
        <v>0</v>
      </c>
    </row>
    <row r="14" spans="1:23" ht="15.75" customHeight="1">
      <c r="A14" s="284" t="s">
        <v>13</v>
      </c>
      <c r="B14" s="976" t="s">
        <v>61</v>
      </c>
      <c r="C14" s="1482" t="s">
        <v>16</v>
      </c>
      <c r="D14" s="1483">
        <v>0</v>
      </c>
      <c r="E14" s="1483">
        <v>0</v>
      </c>
      <c r="F14" s="1483">
        <v>0</v>
      </c>
      <c r="G14" s="1483">
        <v>0</v>
      </c>
      <c r="H14" s="1483">
        <v>0</v>
      </c>
      <c r="I14" s="1483">
        <v>0</v>
      </c>
      <c r="J14" s="1483">
        <v>0</v>
      </c>
      <c r="K14" s="1483">
        <v>0</v>
      </c>
      <c r="L14" s="1483">
        <v>0</v>
      </c>
      <c r="M14" s="1483">
        <v>0</v>
      </c>
      <c r="N14" s="1483">
        <v>0</v>
      </c>
      <c r="O14" s="1483">
        <v>0</v>
      </c>
      <c r="P14" s="1483">
        <v>0</v>
      </c>
      <c r="Q14" s="1483">
        <v>0</v>
      </c>
      <c r="R14" s="1483">
        <v>0</v>
      </c>
      <c r="S14" s="1483">
        <v>0</v>
      </c>
      <c r="T14" s="1483">
        <v>0</v>
      </c>
      <c r="U14" s="1483">
        <v>0</v>
      </c>
      <c r="V14" s="1483">
        <v>0</v>
      </c>
      <c r="W14" s="1483">
        <v>0</v>
      </c>
    </row>
    <row r="15" spans="1:23" ht="15.75" customHeight="1">
      <c r="A15" s="284" t="s">
        <v>15</v>
      </c>
      <c r="B15" s="976" t="s">
        <v>62</v>
      </c>
      <c r="C15" s="1482" t="s">
        <v>17</v>
      </c>
      <c r="D15" s="1483">
        <v>0</v>
      </c>
      <c r="E15" s="1483">
        <v>0</v>
      </c>
      <c r="F15" s="1483">
        <v>0</v>
      </c>
      <c r="G15" s="1483">
        <v>0</v>
      </c>
      <c r="H15" s="1483">
        <v>0</v>
      </c>
      <c r="I15" s="1483">
        <v>0</v>
      </c>
      <c r="J15" s="1483">
        <v>0</v>
      </c>
      <c r="K15" s="1483">
        <v>0</v>
      </c>
      <c r="L15" s="1483">
        <v>0</v>
      </c>
      <c r="M15" s="1483">
        <v>0</v>
      </c>
      <c r="N15" s="1483">
        <v>0</v>
      </c>
      <c r="O15" s="1483">
        <v>0</v>
      </c>
      <c r="P15" s="1483">
        <v>0</v>
      </c>
      <c r="Q15" s="1483">
        <v>0</v>
      </c>
      <c r="R15" s="1483">
        <v>0</v>
      </c>
      <c r="S15" s="1483">
        <v>0</v>
      </c>
      <c r="T15" s="1483">
        <v>0</v>
      </c>
      <c r="U15" s="1483">
        <v>0</v>
      </c>
      <c r="V15" s="1483">
        <v>0</v>
      </c>
      <c r="W15" s="1483">
        <v>0</v>
      </c>
    </row>
    <row r="16" spans="1:23" s="290" customFormat="1" ht="15.75" customHeight="1">
      <c r="A16" s="284" t="s">
        <v>64</v>
      </c>
      <c r="B16" s="976" t="s">
        <v>63</v>
      </c>
      <c r="C16" s="284" t="s">
        <v>18</v>
      </c>
      <c r="D16" s="1483">
        <v>0</v>
      </c>
      <c r="E16" s="1483">
        <v>0</v>
      </c>
      <c r="F16" s="1483">
        <v>0</v>
      </c>
      <c r="G16" s="1483">
        <v>0</v>
      </c>
      <c r="H16" s="1483">
        <v>0</v>
      </c>
      <c r="I16" s="1483">
        <v>0</v>
      </c>
      <c r="J16" s="1483">
        <v>0</v>
      </c>
      <c r="K16" s="1483">
        <v>0</v>
      </c>
      <c r="L16" s="1483">
        <v>0</v>
      </c>
      <c r="M16" s="1483">
        <v>0</v>
      </c>
      <c r="N16" s="1483">
        <v>0</v>
      </c>
      <c r="O16" s="1483">
        <v>0</v>
      </c>
      <c r="P16" s="1483">
        <v>0</v>
      </c>
      <c r="Q16" s="1483">
        <v>0</v>
      </c>
      <c r="R16" s="1483">
        <v>0</v>
      </c>
      <c r="S16" s="1483">
        <v>0</v>
      </c>
      <c r="T16" s="1483">
        <v>0</v>
      </c>
      <c r="U16" s="1483">
        <v>0</v>
      </c>
      <c r="V16" s="1483">
        <v>0</v>
      </c>
      <c r="W16" s="1483">
        <v>0</v>
      </c>
    </row>
    <row r="17" spans="1:23" ht="15.75" customHeight="1">
      <c r="A17" s="972"/>
      <c r="B17" s="1492" t="s">
        <v>198</v>
      </c>
      <c r="C17" s="972" t="s">
        <v>187</v>
      </c>
      <c r="D17" s="1483">
        <v>0</v>
      </c>
      <c r="E17" s="1483">
        <v>0</v>
      </c>
      <c r="F17" s="1483">
        <v>0</v>
      </c>
      <c r="G17" s="1483">
        <v>0</v>
      </c>
      <c r="H17" s="1483">
        <v>0</v>
      </c>
      <c r="I17" s="1483">
        <v>0</v>
      </c>
      <c r="J17" s="1483">
        <v>0</v>
      </c>
      <c r="K17" s="1483">
        <v>0</v>
      </c>
      <c r="L17" s="1483">
        <v>0</v>
      </c>
      <c r="M17" s="1483">
        <v>0</v>
      </c>
      <c r="N17" s="1483">
        <v>0</v>
      </c>
      <c r="O17" s="1483">
        <v>0</v>
      </c>
      <c r="P17" s="1483">
        <v>0</v>
      </c>
      <c r="Q17" s="1483">
        <v>0</v>
      </c>
      <c r="R17" s="1483">
        <v>0</v>
      </c>
      <c r="S17" s="1483">
        <v>0</v>
      </c>
      <c r="T17" s="1483">
        <v>0</v>
      </c>
      <c r="U17" s="1483">
        <v>0</v>
      </c>
      <c r="V17" s="1483">
        <v>0</v>
      </c>
      <c r="W17" s="1483">
        <v>0</v>
      </c>
    </row>
    <row r="18" spans="1:23" s="290" customFormat="1" ht="18.600000000000001" customHeight="1">
      <c r="A18" s="284" t="s">
        <v>73</v>
      </c>
      <c r="B18" s="976" t="s">
        <v>72</v>
      </c>
      <c r="C18" s="284" t="s">
        <v>19</v>
      </c>
      <c r="D18" s="1483">
        <v>0</v>
      </c>
      <c r="E18" s="1483">
        <v>0</v>
      </c>
      <c r="F18" s="1483">
        <v>0</v>
      </c>
      <c r="G18" s="1483">
        <v>0</v>
      </c>
      <c r="H18" s="1483">
        <v>0</v>
      </c>
      <c r="I18" s="1483">
        <v>0</v>
      </c>
      <c r="J18" s="1483">
        <v>0</v>
      </c>
      <c r="K18" s="1483">
        <v>0</v>
      </c>
      <c r="L18" s="1483">
        <v>0</v>
      </c>
      <c r="M18" s="1483">
        <v>0</v>
      </c>
      <c r="N18" s="1483">
        <v>0</v>
      </c>
      <c r="O18" s="1483">
        <v>0</v>
      </c>
      <c r="P18" s="1483">
        <v>0</v>
      </c>
      <c r="Q18" s="1483">
        <v>0</v>
      </c>
      <c r="R18" s="1483">
        <v>0</v>
      </c>
      <c r="S18" s="1483">
        <v>0</v>
      </c>
      <c r="T18" s="1483">
        <v>0</v>
      </c>
      <c r="U18" s="1483">
        <v>0</v>
      </c>
      <c r="V18" s="1483">
        <v>0</v>
      </c>
      <c r="W18" s="1483">
        <v>0</v>
      </c>
    </row>
    <row r="19" spans="1:23" ht="17.45" hidden="1" customHeight="1">
      <c r="A19" s="284" t="s">
        <v>86</v>
      </c>
      <c r="B19" s="976" t="s">
        <v>2749</v>
      </c>
      <c r="C19" s="284" t="s">
        <v>2752</v>
      </c>
      <c r="D19" s="1483">
        <v>0</v>
      </c>
      <c r="E19" s="1483">
        <v>0</v>
      </c>
      <c r="F19" s="1483">
        <v>0</v>
      </c>
      <c r="G19" s="1483">
        <v>0</v>
      </c>
      <c r="H19" s="1483">
        <v>0</v>
      </c>
      <c r="I19" s="1483">
        <v>0</v>
      </c>
      <c r="J19" s="1483">
        <v>0</v>
      </c>
      <c r="K19" s="1483">
        <v>0</v>
      </c>
      <c r="L19" s="1483">
        <v>0</v>
      </c>
      <c r="M19" s="1483">
        <v>0</v>
      </c>
      <c r="N19" s="1483">
        <v>0</v>
      </c>
      <c r="O19" s="1483">
        <v>0</v>
      </c>
      <c r="P19" s="1483">
        <v>0</v>
      </c>
      <c r="Q19" s="1483">
        <v>0</v>
      </c>
      <c r="R19" s="1483">
        <v>0</v>
      </c>
      <c r="S19" s="1483">
        <v>0</v>
      </c>
      <c r="T19" s="1483">
        <v>0</v>
      </c>
      <c r="U19" s="1483">
        <v>0</v>
      </c>
      <c r="V19" s="1483">
        <v>0</v>
      </c>
      <c r="W19" s="1483">
        <v>0</v>
      </c>
    </row>
    <row r="20" spans="1:23" ht="18" customHeight="1">
      <c r="A20" s="284" t="s">
        <v>86</v>
      </c>
      <c r="B20" s="976" t="s">
        <v>89</v>
      </c>
      <c r="C20" s="284" t="s">
        <v>20</v>
      </c>
      <c r="D20" s="1483">
        <v>0</v>
      </c>
      <c r="E20" s="1483">
        <v>0</v>
      </c>
      <c r="F20" s="1483">
        <v>0</v>
      </c>
      <c r="G20" s="1483">
        <v>0</v>
      </c>
      <c r="H20" s="1483">
        <v>0</v>
      </c>
      <c r="I20" s="1483">
        <v>0</v>
      </c>
      <c r="J20" s="1483">
        <v>0</v>
      </c>
      <c r="K20" s="1483">
        <v>0</v>
      </c>
      <c r="L20" s="1483">
        <v>0</v>
      </c>
      <c r="M20" s="1483">
        <v>0</v>
      </c>
      <c r="N20" s="1483">
        <v>0</v>
      </c>
      <c r="O20" s="1483">
        <v>0</v>
      </c>
      <c r="P20" s="1483">
        <v>0</v>
      </c>
      <c r="Q20" s="1483">
        <v>0</v>
      </c>
      <c r="R20" s="1483">
        <v>0</v>
      </c>
      <c r="S20" s="1483">
        <v>0</v>
      </c>
      <c r="T20" s="1483">
        <v>0</v>
      </c>
      <c r="U20" s="1483">
        <v>0</v>
      </c>
      <c r="V20" s="1483">
        <v>0</v>
      </c>
      <c r="W20" s="1483">
        <v>0</v>
      </c>
    </row>
    <row r="21" spans="1:23" ht="15.6" customHeight="1">
      <c r="A21" s="967">
        <v>2</v>
      </c>
      <c r="B21" s="1478" t="s">
        <v>21</v>
      </c>
      <c r="C21" s="967" t="s">
        <v>22</v>
      </c>
      <c r="D21" s="1480">
        <v>12.67</v>
      </c>
      <c r="E21" s="1480">
        <v>1.58</v>
      </c>
      <c r="F21" s="1480">
        <v>0</v>
      </c>
      <c r="G21" s="1480">
        <v>0.05</v>
      </c>
      <c r="H21" s="1480">
        <v>0.30000000000000004</v>
      </c>
      <c r="I21" s="1480">
        <v>0.15</v>
      </c>
      <c r="J21" s="1480">
        <v>0.12000000000000001</v>
      </c>
      <c r="K21" s="1480">
        <v>0.31000000000000005</v>
      </c>
      <c r="L21" s="1480">
        <v>0.06</v>
      </c>
      <c r="M21" s="1480">
        <v>0.12000000000000001</v>
      </c>
      <c r="N21" s="1480">
        <v>0.01</v>
      </c>
      <c r="O21" s="1480">
        <v>0.01</v>
      </c>
      <c r="P21" s="1480">
        <v>1.4000000000000001</v>
      </c>
      <c r="Q21" s="1480">
        <v>0.08</v>
      </c>
      <c r="R21" s="1480">
        <v>1.85</v>
      </c>
      <c r="S21" s="1480">
        <v>5.01</v>
      </c>
      <c r="T21" s="1480">
        <v>0.01</v>
      </c>
      <c r="U21" s="1480">
        <v>0.16</v>
      </c>
      <c r="V21" s="1480">
        <v>0.01</v>
      </c>
      <c r="W21" s="1480">
        <v>1.4400000000000002</v>
      </c>
    </row>
    <row r="22" spans="1:23" ht="16.350000000000001" customHeight="1">
      <c r="A22" s="967"/>
      <c r="B22" s="978" t="s">
        <v>190</v>
      </c>
      <c r="C22" s="967"/>
      <c r="D22" s="1480"/>
      <c r="E22" s="1480"/>
      <c r="F22" s="1480"/>
      <c r="G22" s="1480"/>
      <c r="H22" s="1480"/>
      <c r="I22" s="1480"/>
      <c r="J22" s="1480"/>
      <c r="K22" s="1480"/>
      <c r="L22" s="1480"/>
      <c r="M22" s="1480"/>
      <c r="N22" s="1480"/>
      <c r="O22" s="1480"/>
      <c r="P22" s="1480"/>
      <c r="Q22" s="1480"/>
      <c r="R22" s="1480"/>
      <c r="S22" s="1480"/>
      <c r="T22" s="1480"/>
      <c r="U22" s="1480"/>
      <c r="V22" s="1480"/>
      <c r="W22" s="1480"/>
    </row>
    <row r="23" spans="1:23" ht="16.5" customHeight="1">
      <c r="A23" s="284" t="s">
        <v>23</v>
      </c>
      <c r="B23" s="976" t="s">
        <v>65</v>
      </c>
      <c r="C23" s="284" t="s">
        <v>26</v>
      </c>
      <c r="D23" s="1483">
        <v>0</v>
      </c>
      <c r="E23" s="1483">
        <v>0</v>
      </c>
      <c r="F23" s="1483">
        <v>0</v>
      </c>
      <c r="G23" s="1483">
        <v>0</v>
      </c>
      <c r="H23" s="1483">
        <v>0</v>
      </c>
      <c r="I23" s="1483">
        <v>0</v>
      </c>
      <c r="J23" s="1483">
        <v>0</v>
      </c>
      <c r="K23" s="1483">
        <v>0</v>
      </c>
      <c r="L23" s="1483">
        <v>0</v>
      </c>
      <c r="M23" s="1483">
        <v>0</v>
      </c>
      <c r="N23" s="1483">
        <v>0</v>
      </c>
      <c r="O23" s="1483">
        <v>0</v>
      </c>
      <c r="P23" s="1483">
        <v>0</v>
      </c>
      <c r="Q23" s="1483">
        <v>0</v>
      </c>
      <c r="R23" s="1483">
        <v>0</v>
      </c>
      <c r="S23" s="1483">
        <v>0</v>
      </c>
      <c r="T23" s="1483">
        <v>0</v>
      </c>
      <c r="U23" s="1483">
        <v>0</v>
      </c>
      <c r="V23" s="1483">
        <v>0</v>
      </c>
      <c r="W23" s="1483">
        <v>0</v>
      </c>
    </row>
    <row r="24" spans="1:23" s="290" customFormat="1" ht="16.5" customHeight="1">
      <c r="A24" s="284" t="s">
        <v>25</v>
      </c>
      <c r="B24" s="976" t="s">
        <v>66</v>
      </c>
      <c r="C24" s="284" t="s">
        <v>28</v>
      </c>
      <c r="D24" s="1483">
        <v>0.12000000000000001</v>
      </c>
      <c r="E24" s="1483">
        <v>0</v>
      </c>
      <c r="F24" s="1483">
        <v>0</v>
      </c>
      <c r="G24" s="1483">
        <v>0.01</v>
      </c>
      <c r="H24" s="1483">
        <v>0</v>
      </c>
      <c r="I24" s="1483">
        <v>0</v>
      </c>
      <c r="J24" s="1483">
        <v>0</v>
      </c>
      <c r="K24" s="1483">
        <v>0.03</v>
      </c>
      <c r="L24" s="1483">
        <v>0</v>
      </c>
      <c r="M24" s="1483">
        <v>7.0000000000000007E-2</v>
      </c>
      <c r="N24" s="1483">
        <v>0</v>
      </c>
      <c r="O24" s="1483">
        <v>0</v>
      </c>
      <c r="P24" s="1483">
        <v>0</v>
      </c>
      <c r="Q24" s="1483">
        <v>0</v>
      </c>
      <c r="R24" s="1483">
        <v>0.01</v>
      </c>
      <c r="S24" s="1483">
        <v>0</v>
      </c>
      <c r="T24" s="1483">
        <v>0</v>
      </c>
      <c r="U24" s="1483">
        <v>0</v>
      </c>
      <c r="V24" s="1483">
        <v>0</v>
      </c>
      <c r="W24" s="1483">
        <v>0</v>
      </c>
    </row>
    <row r="25" spans="1:23" ht="16.5" hidden="1" customHeight="1">
      <c r="A25" s="284" t="s">
        <v>27</v>
      </c>
      <c r="B25" s="976" t="s">
        <v>67</v>
      </c>
      <c r="C25" s="284" t="s">
        <v>30</v>
      </c>
      <c r="D25" s="1483">
        <v>0</v>
      </c>
      <c r="E25" s="1483">
        <v>0</v>
      </c>
      <c r="F25" s="1483">
        <v>0</v>
      </c>
      <c r="G25" s="1483">
        <v>0</v>
      </c>
      <c r="H25" s="1483">
        <v>0</v>
      </c>
      <c r="I25" s="1483">
        <v>0</v>
      </c>
      <c r="J25" s="1483">
        <v>0</v>
      </c>
      <c r="K25" s="1483">
        <v>0</v>
      </c>
      <c r="L25" s="1483">
        <v>0</v>
      </c>
      <c r="M25" s="1483">
        <v>0</v>
      </c>
      <c r="N25" s="1483">
        <v>0</v>
      </c>
      <c r="O25" s="1483">
        <v>0</v>
      </c>
      <c r="P25" s="1483">
        <v>0</v>
      </c>
      <c r="Q25" s="1483">
        <v>0</v>
      </c>
      <c r="R25" s="1483">
        <v>0</v>
      </c>
      <c r="S25" s="1483">
        <v>0</v>
      </c>
      <c r="T25" s="1483">
        <v>0</v>
      </c>
      <c r="U25" s="1483">
        <v>0</v>
      </c>
      <c r="V25" s="1483">
        <v>0</v>
      </c>
      <c r="W25" s="1483">
        <v>0</v>
      </c>
    </row>
    <row r="26" spans="1:23" ht="16.5" customHeight="1">
      <c r="A26" s="284" t="s">
        <v>27</v>
      </c>
      <c r="B26" s="976" t="s">
        <v>90</v>
      </c>
      <c r="C26" s="284" t="s">
        <v>91</v>
      </c>
      <c r="D26" s="1483">
        <v>1.32</v>
      </c>
      <c r="E26" s="1483">
        <v>0</v>
      </c>
      <c r="F26" s="1483">
        <v>0</v>
      </c>
      <c r="G26" s="1483">
        <v>0</v>
      </c>
      <c r="H26" s="1483">
        <v>0</v>
      </c>
      <c r="I26" s="1483">
        <v>0</v>
      </c>
      <c r="J26" s="1483">
        <v>0</v>
      </c>
      <c r="K26" s="1483">
        <v>0</v>
      </c>
      <c r="L26" s="1483">
        <v>0</v>
      </c>
      <c r="M26" s="1483">
        <v>0</v>
      </c>
      <c r="N26" s="1483">
        <v>0</v>
      </c>
      <c r="O26" s="1483">
        <v>0</v>
      </c>
      <c r="P26" s="1483">
        <v>0</v>
      </c>
      <c r="Q26" s="1483">
        <v>0</v>
      </c>
      <c r="R26" s="1483">
        <v>1.32</v>
      </c>
      <c r="S26" s="1483">
        <v>0</v>
      </c>
      <c r="T26" s="1483">
        <v>0</v>
      </c>
      <c r="U26" s="1483">
        <v>0</v>
      </c>
      <c r="V26" s="1483">
        <v>0</v>
      </c>
      <c r="W26" s="1483">
        <v>0</v>
      </c>
    </row>
    <row r="27" spans="1:23" ht="16.5" customHeight="1">
      <c r="A27" s="284" t="s">
        <v>29</v>
      </c>
      <c r="B27" s="976" t="s">
        <v>92</v>
      </c>
      <c r="C27" s="284" t="s">
        <v>93</v>
      </c>
      <c r="D27" s="1483">
        <v>4</v>
      </c>
      <c r="E27" s="1483">
        <v>0</v>
      </c>
      <c r="F27" s="1483">
        <v>0</v>
      </c>
      <c r="G27" s="1483">
        <v>0</v>
      </c>
      <c r="H27" s="1483">
        <v>0</v>
      </c>
      <c r="I27" s="1483">
        <v>0</v>
      </c>
      <c r="J27" s="1483">
        <v>0</v>
      </c>
      <c r="K27" s="1483">
        <v>0</v>
      </c>
      <c r="L27" s="1483">
        <v>0</v>
      </c>
      <c r="M27" s="1483">
        <v>0</v>
      </c>
      <c r="N27" s="1483">
        <v>0</v>
      </c>
      <c r="O27" s="1483">
        <v>0</v>
      </c>
      <c r="P27" s="1483">
        <v>0</v>
      </c>
      <c r="Q27" s="1483">
        <v>0</v>
      </c>
      <c r="R27" s="1483">
        <v>0</v>
      </c>
      <c r="S27" s="1483">
        <v>4</v>
      </c>
      <c r="T27" s="1483">
        <v>0</v>
      </c>
      <c r="U27" s="1483">
        <v>0</v>
      </c>
      <c r="V27" s="1483">
        <v>0</v>
      </c>
      <c r="W27" s="1483">
        <v>0</v>
      </c>
    </row>
    <row r="28" spans="1:23" ht="16.5" customHeight="1">
      <c r="A28" s="284" t="s">
        <v>31</v>
      </c>
      <c r="B28" s="976" t="s">
        <v>94</v>
      </c>
      <c r="C28" s="284" t="s">
        <v>32</v>
      </c>
      <c r="D28" s="1483">
        <v>0</v>
      </c>
      <c r="E28" s="1483">
        <v>0</v>
      </c>
      <c r="F28" s="1483">
        <v>0</v>
      </c>
      <c r="G28" s="1483">
        <v>0</v>
      </c>
      <c r="H28" s="1483">
        <v>0</v>
      </c>
      <c r="I28" s="1483">
        <v>0</v>
      </c>
      <c r="J28" s="1483">
        <v>0</v>
      </c>
      <c r="K28" s="1483">
        <v>0</v>
      </c>
      <c r="L28" s="1483">
        <v>0</v>
      </c>
      <c r="M28" s="1483">
        <v>0</v>
      </c>
      <c r="N28" s="1483">
        <v>0</v>
      </c>
      <c r="O28" s="1483">
        <v>0</v>
      </c>
      <c r="P28" s="1483">
        <v>0</v>
      </c>
      <c r="Q28" s="1483">
        <v>0</v>
      </c>
      <c r="R28" s="1483">
        <v>0</v>
      </c>
      <c r="S28" s="1483">
        <v>0</v>
      </c>
      <c r="T28" s="1483">
        <v>0</v>
      </c>
      <c r="U28" s="1483">
        <v>0</v>
      </c>
      <c r="V28" s="1483">
        <v>0</v>
      </c>
      <c r="W28" s="1483">
        <v>0</v>
      </c>
    </row>
    <row r="29" spans="1:23" s="988" customFormat="1" ht="16.5" customHeight="1">
      <c r="A29" s="284" t="s">
        <v>33</v>
      </c>
      <c r="B29" s="976" t="s">
        <v>106</v>
      </c>
      <c r="C29" s="284" t="s">
        <v>35</v>
      </c>
      <c r="D29" s="1483">
        <v>0</v>
      </c>
      <c r="E29" s="1483">
        <v>0</v>
      </c>
      <c r="F29" s="1483">
        <v>0</v>
      </c>
      <c r="G29" s="1483">
        <v>0</v>
      </c>
      <c r="H29" s="1483">
        <v>0</v>
      </c>
      <c r="I29" s="1483">
        <v>0</v>
      </c>
      <c r="J29" s="1483">
        <v>0</v>
      </c>
      <c r="K29" s="1483">
        <v>0</v>
      </c>
      <c r="L29" s="1483">
        <v>0</v>
      </c>
      <c r="M29" s="1483">
        <v>0</v>
      </c>
      <c r="N29" s="1483">
        <v>0</v>
      </c>
      <c r="O29" s="1483">
        <v>0</v>
      </c>
      <c r="P29" s="1483">
        <v>0</v>
      </c>
      <c r="Q29" s="1483">
        <v>0</v>
      </c>
      <c r="R29" s="1483">
        <v>0</v>
      </c>
      <c r="S29" s="1483">
        <v>0</v>
      </c>
      <c r="T29" s="1483">
        <v>0</v>
      </c>
      <c r="U29" s="1483">
        <v>0</v>
      </c>
      <c r="V29" s="1483">
        <v>0</v>
      </c>
      <c r="W29" s="1483">
        <v>0</v>
      </c>
    </row>
    <row r="30" spans="1:23" ht="17.45" customHeight="1">
      <c r="A30" s="284" t="s">
        <v>68</v>
      </c>
      <c r="B30" s="976" t="s">
        <v>125</v>
      </c>
      <c r="C30" s="284" t="s">
        <v>43</v>
      </c>
      <c r="D30" s="1483">
        <v>5.39</v>
      </c>
      <c r="E30" s="1483">
        <v>0.13</v>
      </c>
      <c r="F30" s="1483">
        <v>0</v>
      </c>
      <c r="G30" s="1483">
        <v>0</v>
      </c>
      <c r="H30" s="1483">
        <v>0.2</v>
      </c>
      <c r="I30" s="1483">
        <v>0.15</v>
      </c>
      <c r="J30" s="1483">
        <v>0.12000000000000001</v>
      </c>
      <c r="K30" s="1483">
        <v>0.28000000000000003</v>
      </c>
      <c r="L30" s="1483">
        <v>0</v>
      </c>
      <c r="M30" s="1483">
        <v>0.05</v>
      </c>
      <c r="N30" s="1483">
        <v>0.01</v>
      </c>
      <c r="O30" s="1483">
        <v>0.01</v>
      </c>
      <c r="P30" s="1483">
        <v>1.36</v>
      </c>
      <c r="Q30" s="1483">
        <v>0.08</v>
      </c>
      <c r="R30" s="1483">
        <v>0.52</v>
      </c>
      <c r="S30" s="1483">
        <v>1.01</v>
      </c>
      <c r="T30" s="1483">
        <v>0.01</v>
      </c>
      <c r="U30" s="1483">
        <v>0.01</v>
      </c>
      <c r="V30" s="1483">
        <v>0.01</v>
      </c>
      <c r="W30" s="1483">
        <v>1.4400000000000002</v>
      </c>
    </row>
    <row r="31" spans="1:23" ht="15.75" customHeight="1">
      <c r="A31" s="972"/>
      <c r="B31" s="978" t="s">
        <v>190</v>
      </c>
      <c r="C31" s="972"/>
      <c r="D31" s="1483"/>
      <c r="E31" s="1483"/>
      <c r="F31" s="1483"/>
      <c r="G31" s="1483"/>
      <c r="H31" s="1483"/>
      <c r="I31" s="1483"/>
      <c r="J31" s="1483"/>
      <c r="K31" s="1483"/>
      <c r="L31" s="1483"/>
      <c r="M31" s="1483"/>
      <c r="N31" s="1483"/>
      <c r="O31" s="1483"/>
      <c r="P31" s="1483"/>
      <c r="Q31" s="1483"/>
      <c r="R31" s="1483"/>
      <c r="S31" s="1483"/>
      <c r="T31" s="1483"/>
      <c r="U31" s="1483"/>
      <c r="V31" s="1483"/>
      <c r="W31" s="1483"/>
    </row>
    <row r="32" spans="1:23" ht="15.75" customHeight="1">
      <c r="A32" s="284" t="s">
        <v>193</v>
      </c>
      <c r="B32" s="976" t="s">
        <v>2757</v>
      </c>
      <c r="C32" s="284" t="s">
        <v>44</v>
      </c>
      <c r="D32" s="1483">
        <v>4.38</v>
      </c>
      <c r="E32" s="1483">
        <v>0.11</v>
      </c>
      <c r="F32" s="1483">
        <v>0</v>
      </c>
      <c r="G32" s="1483">
        <v>0</v>
      </c>
      <c r="H32" s="1483">
        <v>0</v>
      </c>
      <c r="I32" s="1483">
        <v>0.15</v>
      </c>
      <c r="J32" s="1483">
        <v>0.1</v>
      </c>
      <c r="K32" s="1483">
        <v>0.28000000000000003</v>
      </c>
      <c r="L32" s="1483">
        <v>0</v>
      </c>
      <c r="M32" s="1483">
        <v>0</v>
      </c>
      <c r="N32" s="1483">
        <v>0</v>
      </c>
      <c r="O32" s="1483">
        <v>0</v>
      </c>
      <c r="P32" s="1483">
        <v>1.28</v>
      </c>
      <c r="Q32" s="1483">
        <v>0.08</v>
      </c>
      <c r="R32" s="1483">
        <v>0</v>
      </c>
      <c r="S32" s="1483">
        <v>1</v>
      </c>
      <c r="T32" s="1483">
        <v>0</v>
      </c>
      <c r="U32" s="1483">
        <v>0</v>
      </c>
      <c r="V32" s="1483">
        <v>0.01</v>
      </c>
      <c r="W32" s="1483">
        <v>1.37</v>
      </c>
    </row>
    <row r="33" spans="1:23" ht="15.75" customHeight="1">
      <c r="A33" s="284" t="s">
        <v>193</v>
      </c>
      <c r="B33" s="976" t="s">
        <v>2758</v>
      </c>
      <c r="C33" s="284" t="s">
        <v>45</v>
      </c>
      <c r="D33" s="1483"/>
      <c r="E33" s="1483"/>
      <c r="F33" s="1483"/>
      <c r="G33" s="1483"/>
      <c r="H33" s="1483"/>
      <c r="I33" s="1483"/>
      <c r="J33" s="1483"/>
      <c r="K33" s="1483"/>
      <c r="L33" s="1483"/>
      <c r="M33" s="1483"/>
      <c r="N33" s="1483"/>
      <c r="O33" s="1483"/>
      <c r="P33" s="1483"/>
      <c r="Q33" s="1483"/>
      <c r="R33" s="1483"/>
      <c r="S33" s="1483"/>
      <c r="T33" s="1483"/>
      <c r="U33" s="1483"/>
      <c r="V33" s="1483"/>
      <c r="W33" s="1483"/>
    </row>
    <row r="34" spans="1:23" s="989" customFormat="1" ht="14.25" customHeight="1">
      <c r="A34" s="284" t="s">
        <v>193</v>
      </c>
      <c r="B34" s="286" t="s">
        <v>2770</v>
      </c>
      <c r="C34" s="284" t="s">
        <v>2771</v>
      </c>
      <c r="D34" s="1483">
        <v>0</v>
      </c>
      <c r="E34" s="1483">
        <v>0</v>
      </c>
      <c r="F34" s="1483">
        <v>0</v>
      </c>
      <c r="G34" s="1483">
        <v>0</v>
      </c>
      <c r="H34" s="1483">
        <v>0</v>
      </c>
      <c r="I34" s="1483">
        <v>0</v>
      </c>
      <c r="J34" s="1483">
        <v>0</v>
      </c>
      <c r="K34" s="1483">
        <v>0</v>
      </c>
      <c r="L34" s="1483">
        <v>0</v>
      </c>
      <c r="M34" s="1483">
        <v>0</v>
      </c>
      <c r="N34" s="1483">
        <v>0</v>
      </c>
      <c r="O34" s="1483">
        <v>0</v>
      </c>
      <c r="P34" s="1483">
        <v>0</v>
      </c>
      <c r="Q34" s="1483">
        <v>0</v>
      </c>
      <c r="R34" s="1483">
        <v>0</v>
      </c>
      <c r="S34" s="1483">
        <v>0</v>
      </c>
      <c r="T34" s="1483">
        <v>0</v>
      </c>
      <c r="U34" s="1483">
        <v>0</v>
      </c>
      <c r="V34" s="1483">
        <v>0</v>
      </c>
      <c r="W34" s="1483">
        <v>0</v>
      </c>
    </row>
    <row r="35" spans="1:23" s="989" customFormat="1" ht="14.25" customHeight="1">
      <c r="A35" s="284" t="s">
        <v>193</v>
      </c>
      <c r="B35" s="286" t="s">
        <v>2772</v>
      </c>
      <c r="C35" s="284" t="s">
        <v>2773</v>
      </c>
      <c r="D35" s="1483">
        <v>0</v>
      </c>
      <c r="E35" s="1483">
        <v>0</v>
      </c>
      <c r="F35" s="1483">
        <v>0</v>
      </c>
      <c r="G35" s="1483">
        <v>0</v>
      </c>
      <c r="H35" s="1483">
        <v>0</v>
      </c>
      <c r="I35" s="1483">
        <v>0</v>
      </c>
      <c r="J35" s="1483">
        <v>0</v>
      </c>
      <c r="K35" s="1483">
        <v>0</v>
      </c>
      <c r="L35" s="1483">
        <v>0</v>
      </c>
      <c r="M35" s="1483">
        <v>0</v>
      </c>
      <c r="N35" s="1483">
        <v>0</v>
      </c>
      <c r="O35" s="1483">
        <v>0</v>
      </c>
      <c r="P35" s="1483">
        <v>0</v>
      </c>
      <c r="Q35" s="1483">
        <v>0</v>
      </c>
      <c r="R35" s="1483">
        <v>0</v>
      </c>
      <c r="S35" s="1483">
        <v>0</v>
      </c>
      <c r="T35" s="1483">
        <v>0</v>
      </c>
      <c r="U35" s="1483">
        <v>0</v>
      </c>
      <c r="V35" s="1483">
        <v>0</v>
      </c>
      <c r="W35" s="1483">
        <v>0</v>
      </c>
    </row>
    <row r="36" spans="1:23" ht="15.75" customHeight="1">
      <c r="A36" s="284" t="s">
        <v>193</v>
      </c>
      <c r="B36" s="976" t="s">
        <v>127</v>
      </c>
      <c r="C36" s="284" t="s">
        <v>48</v>
      </c>
      <c r="D36" s="1483">
        <v>0.11</v>
      </c>
      <c r="E36" s="1483">
        <v>0</v>
      </c>
      <c r="F36" s="1483">
        <v>0</v>
      </c>
      <c r="G36" s="1483">
        <v>0</v>
      </c>
      <c r="H36" s="1483">
        <v>0</v>
      </c>
      <c r="I36" s="1483">
        <v>0</v>
      </c>
      <c r="J36" s="1483">
        <v>0</v>
      </c>
      <c r="K36" s="1483">
        <v>0</v>
      </c>
      <c r="L36" s="1483">
        <v>0</v>
      </c>
      <c r="M36" s="1483">
        <v>0.05</v>
      </c>
      <c r="N36" s="1483">
        <v>0</v>
      </c>
      <c r="O36" s="1483">
        <v>0</v>
      </c>
      <c r="P36" s="1483">
        <v>0</v>
      </c>
      <c r="Q36" s="1483">
        <v>0</v>
      </c>
      <c r="R36" s="1483">
        <v>0</v>
      </c>
      <c r="S36" s="1483">
        <v>0</v>
      </c>
      <c r="T36" s="1483">
        <v>0</v>
      </c>
      <c r="U36" s="1483">
        <v>0</v>
      </c>
      <c r="V36" s="1483">
        <v>0</v>
      </c>
      <c r="W36" s="1483">
        <v>0.06</v>
      </c>
    </row>
    <row r="37" spans="1:23" ht="15.75" customHeight="1">
      <c r="A37" s="284" t="s">
        <v>193</v>
      </c>
      <c r="B37" s="976" t="s">
        <v>129</v>
      </c>
      <c r="C37" s="284" t="s">
        <v>49</v>
      </c>
      <c r="D37" s="1483">
        <v>0</v>
      </c>
      <c r="E37" s="1483">
        <v>0</v>
      </c>
      <c r="F37" s="1483">
        <v>0</v>
      </c>
      <c r="G37" s="1483">
        <v>0</v>
      </c>
      <c r="H37" s="1483">
        <v>0</v>
      </c>
      <c r="I37" s="1483">
        <v>0</v>
      </c>
      <c r="J37" s="1483">
        <v>0</v>
      </c>
      <c r="K37" s="1483">
        <v>0</v>
      </c>
      <c r="L37" s="1483">
        <v>0</v>
      </c>
      <c r="M37" s="1483">
        <v>0</v>
      </c>
      <c r="N37" s="1483">
        <v>0</v>
      </c>
      <c r="O37" s="1483">
        <v>0</v>
      </c>
      <c r="P37" s="1483">
        <v>0</v>
      </c>
      <c r="Q37" s="1483">
        <v>0</v>
      </c>
      <c r="R37" s="1483">
        <v>0</v>
      </c>
      <c r="S37" s="1483">
        <v>0</v>
      </c>
      <c r="T37" s="1483">
        <v>0</v>
      </c>
      <c r="U37" s="1483">
        <v>0</v>
      </c>
      <c r="V37" s="1483">
        <v>0</v>
      </c>
      <c r="W37" s="1483">
        <v>0</v>
      </c>
    </row>
    <row r="38" spans="1:23" ht="15.75" customHeight="1">
      <c r="A38" s="284" t="s">
        <v>193</v>
      </c>
      <c r="B38" s="976" t="s">
        <v>220</v>
      </c>
      <c r="C38" s="284" t="s">
        <v>50</v>
      </c>
      <c r="D38" s="1483">
        <v>7.0000000000000007E-2</v>
      </c>
      <c r="E38" s="1483">
        <v>0</v>
      </c>
      <c r="F38" s="1483">
        <v>0</v>
      </c>
      <c r="G38" s="1483">
        <v>0</v>
      </c>
      <c r="H38" s="1483">
        <v>0</v>
      </c>
      <c r="I38" s="1483">
        <v>0</v>
      </c>
      <c r="J38" s="1483">
        <v>0</v>
      </c>
      <c r="K38" s="1483">
        <v>0</v>
      </c>
      <c r="L38" s="1483">
        <v>0</v>
      </c>
      <c r="M38" s="1483">
        <v>0</v>
      </c>
      <c r="N38" s="1483">
        <v>0</v>
      </c>
      <c r="O38" s="1483">
        <v>0</v>
      </c>
      <c r="P38" s="1483">
        <v>7.0000000000000007E-2</v>
      </c>
      <c r="Q38" s="1483">
        <v>0</v>
      </c>
      <c r="R38" s="1483">
        <v>0</v>
      </c>
      <c r="S38" s="1483">
        <v>0</v>
      </c>
      <c r="T38" s="1483">
        <v>0</v>
      </c>
      <c r="U38" s="1483">
        <v>0</v>
      </c>
      <c r="V38" s="1483">
        <v>0</v>
      </c>
      <c r="W38" s="1483">
        <v>0</v>
      </c>
    </row>
    <row r="39" spans="1:23" ht="15.75" customHeight="1">
      <c r="A39" s="284" t="s">
        <v>193</v>
      </c>
      <c r="B39" s="976" t="s">
        <v>2307</v>
      </c>
      <c r="C39" s="284" t="s">
        <v>51</v>
      </c>
      <c r="D39" s="1483">
        <v>0.02</v>
      </c>
      <c r="E39" s="1483">
        <v>0</v>
      </c>
      <c r="F39" s="1483">
        <v>0</v>
      </c>
      <c r="G39" s="1483">
        <v>0</v>
      </c>
      <c r="H39" s="1483">
        <v>0</v>
      </c>
      <c r="I39" s="1483">
        <v>0</v>
      </c>
      <c r="J39" s="1483">
        <v>0.02</v>
      </c>
      <c r="K39" s="1483">
        <v>0</v>
      </c>
      <c r="L39" s="1483">
        <v>0</v>
      </c>
      <c r="M39" s="1483">
        <v>0</v>
      </c>
      <c r="N39" s="1483">
        <v>0</v>
      </c>
      <c r="O39" s="1483">
        <v>0</v>
      </c>
      <c r="P39" s="1483">
        <v>0</v>
      </c>
      <c r="Q39" s="1483">
        <v>0</v>
      </c>
      <c r="R39" s="1483">
        <v>0</v>
      </c>
      <c r="S39" s="1483">
        <v>0</v>
      </c>
      <c r="T39" s="1483">
        <v>0</v>
      </c>
      <c r="U39" s="1483">
        <v>0</v>
      </c>
      <c r="V39" s="1483">
        <v>0</v>
      </c>
      <c r="W39" s="1483">
        <v>0</v>
      </c>
    </row>
    <row r="40" spans="1:23" s="292" customFormat="1" ht="15.75" customHeight="1">
      <c r="A40" s="284" t="s">
        <v>193</v>
      </c>
      <c r="B40" s="976" t="s">
        <v>2759</v>
      </c>
      <c r="C40" s="284" t="s">
        <v>46</v>
      </c>
      <c r="D40" s="1483">
        <v>0.28000000000000008</v>
      </c>
      <c r="E40" s="1483">
        <v>0</v>
      </c>
      <c r="F40" s="1483">
        <v>0</v>
      </c>
      <c r="G40" s="1483">
        <v>0</v>
      </c>
      <c r="H40" s="1483">
        <v>0.2</v>
      </c>
      <c r="I40" s="1483">
        <v>0</v>
      </c>
      <c r="J40" s="1483">
        <v>0</v>
      </c>
      <c r="K40" s="1483">
        <v>0</v>
      </c>
      <c r="L40" s="1483">
        <v>0</v>
      </c>
      <c r="M40" s="1483">
        <v>0</v>
      </c>
      <c r="N40" s="1483">
        <v>0.01</v>
      </c>
      <c r="O40" s="1483">
        <v>0.01</v>
      </c>
      <c r="P40" s="1483">
        <v>0.01</v>
      </c>
      <c r="Q40" s="1483">
        <v>0</v>
      </c>
      <c r="R40" s="1483">
        <v>0.01</v>
      </c>
      <c r="S40" s="1483">
        <v>0.01</v>
      </c>
      <c r="T40" s="1483">
        <v>0.01</v>
      </c>
      <c r="U40" s="1483">
        <v>0.01</v>
      </c>
      <c r="V40" s="1483">
        <v>0</v>
      </c>
      <c r="W40" s="1483">
        <v>0.01</v>
      </c>
    </row>
    <row r="41" spans="1:23" ht="18.600000000000001" customHeight="1">
      <c r="A41" s="284" t="s">
        <v>193</v>
      </c>
      <c r="B41" s="976" t="s">
        <v>2760</v>
      </c>
      <c r="C41" s="284" t="s">
        <v>47</v>
      </c>
      <c r="D41" s="1483">
        <v>0</v>
      </c>
      <c r="E41" s="1483">
        <v>0</v>
      </c>
      <c r="F41" s="1483">
        <v>0</v>
      </c>
      <c r="G41" s="1483">
        <v>0</v>
      </c>
      <c r="H41" s="1483">
        <v>0</v>
      </c>
      <c r="I41" s="1483">
        <v>0</v>
      </c>
      <c r="J41" s="1483">
        <v>0</v>
      </c>
      <c r="K41" s="1483">
        <v>0</v>
      </c>
      <c r="L41" s="1483">
        <v>0</v>
      </c>
      <c r="M41" s="1483">
        <v>0</v>
      </c>
      <c r="N41" s="1483">
        <v>0</v>
      </c>
      <c r="O41" s="1483">
        <v>0</v>
      </c>
      <c r="P41" s="1483">
        <v>0</v>
      </c>
      <c r="Q41" s="1483">
        <v>0</v>
      </c>
      <c r="R41" s="1483">
        <v>0</v>
      </c>
      <c r="S41" s="1483">
        <v>0</v>
      </c>
      <c r="T41" s="1483">
        <v>0</v>
      </c>
      <c r="U41" s="1483">
        <v>0</v>
      </c>
      <c r="V41" s="1483">
        <v>0</v>
      </c>
      <c r="W41" s="1483">
        <v>0</v>
      </c>
    </row>
    <row r="42" spans="1:23" ht="17.45" hidden="1" customHeight="1">
      <c r="A42" s="284" t="s">
        <v>193</v>
      </c>
      <c r="B42" s="976" t="s">
        <v>2761</v>
      </c>
      <c r="C42" s="284" t="s">
        <v>2762</v>
      </c>
      <c r="D42" s="1483">
        <v>0</v>
      </c>
      <c r="E42" s="1483">
        <v>0</v>
      </c>
      <c r="F42" s="1483">
        <v>0</v>
      </c>
      <c r="G42" s="1483">
        <v>0</v>
      </c>
      <c r="H42" s="1483">
        <v>0</v>
      </c>
      <c r="I42" s="1483">
        <v>0</v>
      </c>
      <c r="J42" s="1483">
        <v>0</v>
      </c>
      <c r="K42" s="1483">
        <v>0</v>
      </c>
      <c r="L42" s="1483">
        <v>0</v>
      </c>
      <c r="M42" s="1483">
        <v>0</v>
      </c>
      <c r="N42" s="1483">
        <v>0</v>
      </c>
      <c r="O42" s="1483">
        <v>0</v>
      </c>
      <c r="P42" s="1483">
        <v>0</v>
      </c>
      <c r="Q42" s="1483">
        <v>0</v>
      </c>
      <c r="R42" s="1483">
        <v>0</v>
      </c>
      <c r="S42" s="1483">
        <v>0</v>
      </c>
      <c r="T42" s="1483">
        <v>0</v>
      </c>
      <c r="U42" s="1483">
        <v>0</v>
      </c>
      <c r="V42" s="1483">
        <v>0</v>
      </c>
      <c r="W42" s="1483">
        <v>0</v>
      </c>
    </row>
    <row r="43" spans="1:23" ht="15.6" customHeight="1">
      <c r="A43" s="284" t="s">
        <v>193</v>
      </c>
      <c r="B43" s="976" t="s">
        <v>2763</v>
      </c>
      <c r="C43" s="284" t="s">
        <v>2764</v>
      </c>
      <c r="D43" s="1483">
        <v>0.51</v>
      </c>
      <c r="E43" s="1483">
        <v>0</v>
      </c>
      <c r="F43" s="1483">
        <v>0</v>
      </c>
      <c r="G43" s="1483">
        <v>0</v>
      </c>
      <c r="H43" s="1483">
        <v>0</v>
      </c>
      <c r="I43" s="1483">
        <v>0</v>
      </c>
      <c r="J43" s="1483">
        <v>0</v>
      </c>
      <c r="K43" s="1483">
        <v>0</v>
      </c>
      <c r="L43" s="1483">
        <v>0</v>
      </c>
      <c r="M43" s="1483">
        <v>0</v>
      </c>
      <c r="N43" s="1483">
        <v>0</v>
      </c>
      <c r="O43" s="1483">
        <v>0</v>
      </c>
      <c r="P43" s="1483">
        <v>0</v>
      </c>
      <c r="Q43" s="1483">
        <v>0</v>
      </c>
      <c r="R43" s="1483">
        <v>0.51</v>
      </c>
      <c r="S43" s="1483">
        <v>0</v>
      </c>
      <c r="T43" s="1483">
        <v>0</v>
      </c>
      <c r="U43" s="1483">
        <v>0</v>
      </c>
      <c r="V43" s="1483">
        <v>0</v>
      </c>
      <c r="W43" s="1483">
        <v>0</v>
      </c>
    </row>
    <row r="44" spans="1:23" ht="15" customHeight="1">
      <c r="A44" s="284" t="s">
        <v>193</v>
      </c>
      <c r="B44" s="976" t="s">
        <v>2765</v>
      </c>
      <c r="C44" s="284" t="s">
        <v>37</v>
      </c>
      <c r="D44" s="1483">
        <v>0</v>
      </c>
      <c r="E44" s="1483">
        <v>0</v>
      </c>
      <c r="F44" s="1483">
        <v>0</v>
      </c>
      <c r="G44" s="1483">
        <v>0</v>
      </c>
      <c r="H44" s="1483">
        <v>0</v>
      </c>
      <c r="I44" s="1483">
        <v>0</v>
      </c>
      <c r="J44" s="1483">
        <v>0</v>
      </c>
      <c r="K44" s="1483">
        <v>0</v>
      </c>
      <c r="L44" s="1483">
        <v>0</v>
      </c>
      <c r="M44" s="1483">
        <v>0</v>
      </c>
      <c r="N44" s="1483">
        <v>0</v>
      </c>
      <c r="O44" s="1483">
        <v>0</v>
      </c>
      <c r="P44" s="1483">
        <v>0</v>
      </c>
      <c r="Q44" s="1483">
        <v>0</v>
      </c>
      <c r="R44" s="1483">
        <v>0</v>
      </c>
      <c r="S44" s="1483">
        <v>0</v>
      </c>
      <c r="T44" s="1483">
        <v>0</v>
      </c>
      <c r="U44" s="1483">
        <v>0</v>
      </c>
      <c r="V44" s="1483">
        <v>0</v>
      </c>
      <c r="W44" s="1483">
        <v>0</v>
      </c>
    </row>
    <row r="45" spans="1:23" ht="15" customHeight="1">
      <c r="A45" s="284" t="s">
        <v>193</v>
      </c>
      <c r="B45" s="976" t="s">
        <v>2766</v>
      </c>
      <c r="C45" s="284" t="s">
        <v>38</v>
      </c>
      <c r="D45" s="1483">
        <v>0</v>
      </c>
      <c r="E45" s="1483">
        <v>0</v>
      </c>
      <c r="F45" s="1483">
        <v>0</v>
      </c>
      <c r="G45" s="1483">
        <v>0</v>
      </c>
      <c r="H45" s="1483">
        <v>0</v>
      </c>
      <c r="I45" s="1483">
        <v>0</v>
      </c>
      <c r="J45" s="1483">
        <v>0</v>
      </c>
      <c r="K45" s="1483">
        <v>0</v>
      </c>
      <c r="L45" s="1483">
        <v>0</v>
      </c>
      <c r="M45" s="1483">
        <v>0</v>
      </c>
      <c r="N45" s="1483">
        <v>0</v>
      </c>
      <c r="O45" s="1483">
        <v>0</v>
      </c>
      <c r="P45" s="1483">
        <v>0</v>
      </c>
      <c r="Q45" s="1483">
        <v>0</v>
      </c>
      <c r="R45" s="1483">
        <v>0</v>
      </c>
      <c r="S45" s="1483">
        <v>0</v>
      </c>
      <c r="T45" s="1483">
        <v>0</v>
      </c>
      <c r="U45" s="1483">
        <v>0</v>
      </c>
      <c r="V45" s="1483">
        <v>0</v>
      </c>
      <c r="W45" s="1483">
        <v>0</v>
      </c>
    </row>
    <row r="46" spans="1:23" ht="18" customHeight="1">
      <c r="A46" s="284" t="s">
        <v>193</v>
      </c>
      <c r="B46" s="976" t="s">
        <v>2767</v>
      </c>
      <c r="C46" s="284" t="s">
        <v>40</v>
      </c>
      <c r="D46" s="1483">
        <v>0.02</v>
      </c>
      <c r="E46" s="1483">
        <v>0.02</v>
      </c>
      <c r="F46" s="1483">
        <v>0</v>
      </c>
      <c r="G46" s="1483">
        <v>0</v>
      </c>
      <c r="H46" s="1483">
        <v>0</v>
      </c>
      <c r="I46" s="1483">
        <v>0</v>
      </c>
      <c r="J46" s="1483">
        <v>0</v>
      </c>
      <c r="K46" s="1483">
        <v>0</v>
      </c>
      <c r="L46" s="1483">
        <v>0</v>
      </c>
      <c r="M46" s="1483">
        <v>0</v>
      </c>
      <c r="N46" s="1483">
        <v>0</v>
      </c>
      <c r="O46" s="1483">
        <v>0</v>
      </c>
      <c r="P46" s="1483">
        <v>0</v>
      </c>
      <c r="Q46" s="1483">
        <v>0</v>
      </c>
      <c r="R46" s="1483">
        <v>0</v>
      </c>
      <c r="S46" s="1483">
        <v>0</v>
      </c>
      <c r="T46" s="1483">
        <v>0</v>
      </c>
      <c r="U46" s="1483">
        <v>0</v>
      </c>
      <c r="V46" s="1483">
        <v>0</v>
      </c>
      <c r="W46" s="1483">
        <v>0</v>
      </c>
    </row>
    <row r="47" spans="1:23" ht="15" customHeight="1">
      <c r="A47" s="284" t="s">
        <v>193</v>
      </c>
      <c r="B47" s="976" t="s">
        <v>132</v>
      </c>
      <c r="C47" s="284" t="s">
        <v>52</v>
      </c>
      <c r="D47" s="1483">
        <v>0</v>
      </c>
      <c r="E47" s="1483">
        <v>0</v>
      </c>
      <c r="F47" s="1483">
        <v>0</v>
      </c>
      <c r="G47" s="1483">
        <v>0</v>
      </c>
      <c r="H47" s="1483">
        <v>0</v>
      </c>
      <c r="I47" s="1483">
        <v>0</v>
      </c>
      <c r="J47" s="1483">
        <v>0</v>
      </c>
      <c r="K47" s="1483">
        <v>0</v>
      </c>
      <c r="L47" s="1483">
        <v>0</v>
      </c>
      <c r="M47" s="1483">
        <v>0</v>
      </c>
      <c r="N47" s="1483">
        <v>0</v>
      </c>
      <c r="O47" s="1483">
        <v>0</v>
      </c>
      <c r="P47" s="1483">
        <v>0</v>
      </c>
      <c r="Q47" s="1483">
        <v>0</v>
      </c>
      <c r="R47" s="1483">
        <v>0</v>
      </c>
      <c r="S47" s="1483">
        <v>0</v>
      </c>
      <c r="T47" s="1483">
        <v>0</v>
      </c>
      <c r="U47" s="1483">
        <v>0</v>
      </c>
      <c r="V47" s="1483">
        <v>0</v>
      </c>
      <c r="W47" s="1483">
        <v>0</v>
      </c>
    </row>
    <row r="48" spans="1:23" ht="18" hidden="1" customHeight="1">
      <c r="A48" s="284" t="s">
        <v>193</v>
      </c>
      <c r="B48" s="976" t="s">
        <v>2768</v>
      </c>
      <c r="C48" s="284" t="s">
        <v>53</v>
      </c>
      <c r="D48" s="1483">
        <v>0</v>
      </c>
      <c r="E48" s="1483">
        <v>0</v>
      </c>
      <c r="F48" s="1483">
        <v>0</v>
      </c>
      <c r="G48" s="1483">
        <v>0</v>
      </c>
      <c r="H48" s="1483">
        <v>0</v>
      </c>
      <c r="I48" s="1483">
        <v>0</v>
      </c>
      <c r="J48" s="1483">
        <v>0</v>
      </c>
      <c r="K48" s="1483">
        <v>0</v>
      </c>
      <c r="L48" s="1483">
        <v>0</v>
      </c>
      <c r="M48" s="1483">
        <v>0</v>
      </c>
      <c r="N48" s="1483">
        <v>0</v>
      </c>
      <c r="O48" s="1483">
        <v>0</v>
      </c>
      <c r="P48" s="1483">
        <v>0</v>
      </c>
      <c r="Q48" s="1483">
        <v>0</v>
      </c>
      <c r="R48" s="1483">
        <v>0</v>
      </c>
      <c r="S48" s="1483">
        <v>0</v>
      </c>
      <c r="T48" s="1483">
        <v>0</v>
      </c>
      <c r="U48" s="1483">
        <v>0</v>
      </c>
      <c r="V48" s="1483">
        <v>0</v>
      </c>
      <c r="W48" s="1483">
        <v>0</v>
      </c>
    </row>
    <row r="49" spans="1:23" ht="18" customHeight="1">
      <c r="A49" s="284" t="s">
        <v>193</v>
      </c>
      <c r="B49" s="976" t="s">
        <v>2769</v>
      </c>
      <c r="C49" s="284" t="s">
        <v>54</v>
      </c>
      <c r="D49" s="1483">
        <v>0</v>
      </c>
      <c r="E49" s="1483">
        <v>0</v>
      </c>
      <c r="F49" s="1483">
        <v>0</v>
      </c>
      <c r="G49" s="1483">
        <v>0</v>
      </c>
      <c r="H49" s="1483">
        <v>0</v>
      </c>
      <c r="I49" s="1483">
        <v>0</v>
      </c>
      <c r="J49" s="1483">
        <v>0</v>
      </c>
      <c r="K49" s="1483">
        <v>0</v>
      </c>
      <c r="L49" s="1483">
        <v>0</v>
      </c>
      <c r="M49" s="1483">
        <v>0</v>
      </c>
      <c r="N49" s="1483">
        <v>0</v>
      </c>
      <c r="O49" s="1483">
        <v>0</v>
      </c>
      <c r="P49" s="1483">
        <v>0</v>
      </c>
      <c r="Q49" s="1483">
        <v>0</v>
      </c>
      <c r="R49" s="1483">
        <v>0</v>
      </c>
      <c r="S49" s="1483">
        <v>0</v>
      </c>
      <c r="T49" s="1483">
        <v>0</v>
      </c>
      <c r="U49" s="1483">
        <v>0</v>
      </c>
      <c r="V49" s="1483">
        <v>0</v>
      </c>
      <c r="W49" s="1483">
        <v>0</v>
      </c>
    </row>
    <row r="50" spans="1:23" s="989" customFormat="1" ht="14.25" customHeight="1">
      <c r="A50" s="284" t="s">
        <v>193</v>
      </c>
      <c r="B50" s="286" t="s">
        <v>2775</v>
      </c>
      <c r="C50" s="284" t="s">
        <v>2776</v>
      </c>
      <c r="D50" s="1483">
        <v>0</v>
      </c>
      <c r="E50" s="1483">
        <v>0</v>
      </c>
      <c r="F50" s="1483">
        <v>0</v>
      </c>
      <c r="G50" s="1483">
        <v>0</v>
      </c>
      <c r="H50" s="1483">
        <v>0</v>
      </c>
      <c r="I50" s="1483">
        <v>0</v>
      </c>
      <c r="J50" s="1483">
        <v>0</v>
      </c>
      <c r="K50" s="1483">
        <v>0</v>
      </c>
      <c r="L50" s="1483">
        <v>0</v>
      </c>
      <c r="M50" s="1483">
        <v>0</v>
      </c>
      <c r="N50" s="1483">
        <v>0</v>
      </c>
      <c r="O50" s="1483">
        <v>0</v>
      </c>
      <c r="P50" s="1483">
        <v>0</v>
      </c>
      <c r="Q50" s="1483">
        <v>0</v>
      </c>
      <c r="R50" s="1483">
        <v>0</v>
      </c>
      <c r="S50" s="1483">
        <v>0</v>
      </c>
      <c r="T50" s="1483">
        <v>0</v>
      </c>
      <c r="U50" s="1483">
        <v>0</v>
      </c>
      <c r="V50" s="1483">
        <v>0</v>
      </c>
      <c r="W50" s="1483">
        <v>0</v>
      </c>
    </row>
    <row r="51" spans="1:23" ht="14.25" customHeight="1">
      <c r="A51" s="284" t="s">
        <v>69</v>
      </c>
      <c r="B51" s="286" t="s">
        <v>2774</v>
      </c>
      <c r="C51" s="284" t="s">
        <v>113</v>
      </c>
      <c r="D51" s="1483">
        <v>0</v>
      </c>
      <c r="E51" s="1483">
        <v>0</v>
      </c>
      <c r="F51" s="1483">
        <v>0</v>
      </c>
      <c r="G51" s="1483">
        <v>0</v>
      </c>
      <c r="H51" s="1483">
        <v>0</v>
      </c>
      <c r="I51" s="1483">
        <v>0</v>
      </c>
      <c r="J51" s="1483">
        <v>0</v>
      </c>
      <c r="K51" s="1483">
        <v>0</v>
      </c>
      <c r="L51" s="1483">
        <v>0</v>
      </c>
      <c r="M51" s="1483">
        <v>0</v>
      </c>
      <c r="N51" s="1483">
        <v>0</v>
      </c>
      <c r="O51" s="1483">
        <v>0</v>
      </c>
      <c r="P51" s="1483">
        <v>0</v>
      </c>
      <c r="Q51" s="1483">
        <v>0</v>
      </c>
      <c r="R51" s="1483">
        <v>0</v>
      </c>
      <c r="S51" s="1483">
        <v>0</v>
      </c>
      <c r="T51" s="1483">
        <v>0</v>
      </c>
      <c r="U51" s="1483">
        <v>0</v>
      </c>
      <c r="V51" s="1483">
        <v>0</v>
      </c>
      <c r="W51" s="1483">
        <v>0</v>
      </c>
    </row>
    <row r="52" spans="1:23" ht="14.25" customHeight="1">
      <c r="A52" s="284" t="s">
        <v>70</v>
      </c>
      <c r="B52" s="286" t="s">
        <v>107</v>
      </c>
      <c r="C52" s="284" t="s">
        <v>59</v>
      </c>
      <c r="D52" s="1483">
        <v>0.29000000000000004</v>
      </c>
      <c r="E52" s="1483">
        <v>0</v>
      </c>
      <c r="F52" s="1483">
        <v>0</v>
      </c>
      <c r="G52" s="1483">
        <v>0.04</v>
      </c>
      <c r="H52" s="1483">
        <v>0</v>
      </c>
      <c r="I52" s="1483">
        <v>0</v>
      </c>
      <c r="J52" s="1483">
        <v>0</v>
      </c>
      <c r="K52" s="1483">
        <v>0</v>
      </c>
      <c r="L52" s="1483">
        <v>0.06</v>
      </c>
      <c r="M52" s="1483">
        <v>0</v>
      </c>
      <c r="N52" s="1483">
        <v>0</v>
      </c>
      <c r="O52" s="1483">
        <v>0</v>
      </c>
      <c r="P52" s="1483">
        <v>0.04</v>
      </c>
      <c r="Q52" s="1483">
        <v>0</v>
      </c>
      <c r="R52" s="1483">
        <v>0</v>
      </c>
      <c r="S52" s="1483">
        <v>0</v>
      </c>
      <c r="T52" s="1483">
        <v>0</v>
      </c>
      <c r="U52" s="1483">
        <v>0.15</v>
      </c>
      <c r="V52" s="1483">
        <v>0</v>
      </c>
      <c r="W52" s="1483">
        <v>0</v>
      </c>
    </row>
    <row r="53" spans="1:23" ht="14.25" customHeight="1">
      <c r="A53" s="284" t="s">
        <v>71</v>
      </c>
      <c r="B53" s="286" t="s">
        <v>108</v>
      </c>
      <c r="C53" s="284" t="s">
        <v>57</v>
      </c>
      <c r="D53" s="1483">
        <v>1.45</v>
      </c>
      <c r="E53" s="1483">
        <v>1.45</v>
      </c>
      <c r="F53" s="1483">
        <v>0</v>
      </c>
      <c r="G53" s="1483">
        <v>0</v>
      </c>
      <c r="H53" s="1483">
        <v>0</v>
      </c>
      <c r="I53" s="1483">
        <v>0</v>
      </c>
      <c r="J53" s="1483">
        <v>0</v>
      </c>
      <c r="K53" s="1483">
        <v>0</v>
      </c>
      <c r="L53" s="1483">
        <v>0</v>
      </c>
      <c r="M53" s="1483">
        <v>0</v>
      </c>
      <c r="N53" s="1483">
        <v>0</v>
      </c>
      <c r="O53" s="1483">
        <v>0</v>
      </c>
      <c r="P53" s="1483">
        <v>0</v>
      </c>
      <c r="Q53" s="1483">
        <v>0</v>
      </c>
      <c r="R53" s="1483">
        <v>0</v>
      </c>
      <c r="S53" s="1483">
        <v>0</v>
      </c>
      <c r="T53" s="1483">
        <v>0</v>
      </c>
      <c r="U53" s="1483">
        <v>0</v>
      </c>
      <c r="V53" s="1483">
        <v>0</v>
      </c>
      <c r="W53" s="1483">
        <v>0</v>
      </c>
    </row>
    <row r="54" spans="1:23" ht="14.25" customHeight="1">
      <c r="A54" s="284" t="s">
        <v>74</v>
      </c>
      <c r="B54" s="286" t="s">
        <v>95</v>
      </c>
      <c r="C54" s="284" t="s">
        <v>24</v>
      </c>
      <c r="D54" s="1483">
        <v>0.1</v>
      </c>
      <c r="E54" s="1483">
        <v>0</v>
      </c>
      <c r="F54" s="1483">
        <v>0</v>
      </c>
      <c r="G54" s="1483">
        <v>0</v>
      </c>
      <c r="H54" s="1483">
        <v>0.1</v>
      </c>
      <c r="I54" s="1483">
        <v>0</v>
      </c>
      <c r="J54" s="1483">
        <v>0</v>
      </c>
      <c r="K54" s="1483">
        <v>0</v>
      </c>
      <c r="L54" s="1483">
        <v>0</v>
      </c>
      <c r="M54" s="1483">
        <v>0</v>
      </c>
      <c r="N54" s="1483">
        <v>0</v>
      </c>
      <c r="O54" s="1483">
        <v>0</v>
      </c>
      <c r="P54" s="1483">
        <v>0</v>
      </c>
      <c r="Q54" s="1483">
        <v>0</v>
      </c>
      <c r="R54" s="1483">
        <v>0</v>
      </c>
      <c r="S54" s="1483">
        <v>0</v>
      </c>
      <c r="T54" s="1483">
        <v>0</v>
      </c>
      <c r="U54" s="1483">
        <v>0</v>
      </c>
      <c r="V54" s="1483">
        <v>0</v>
      </c>
      <c r="W54" s="1483">
        <v>0</v>
      </c>
    </row>
    <row r="55" spans="1:23" ht="14.25" hidden="1" customHeight="1">
      <c r="A55" s="284" t="s">
        <v>100</v>
      </c>
      <c r="B55" s="286" t="s">
        <v>109</v>
      </c>
      <c r="C55" s="284" t="s">
        <v>110</v>
      </c>
      <c r="D55" s="1483"/>
      <c r="E55" s="1483"/>
      <c r="F55" s="1483"/>
      <c r="G55" s="1483"/>
      <c r="H55" s="1483"/>
      <c r="I55" s="1483"/>
      <c r="J55" s="1483"/>
      <c r="K55" s="1483"/>
      <c r="L55" s="1483"/>
      <c r="M55" s="1483"/>
      <c r="N55" s="1483"/>
      <c r="O55" s="1483"/>
      <c r="P55" s="1483"/>
      <c r="Q55" s="1483"/>
      <c r="R55" s="1483"/>
      <c r="S55" s="1483"/>
      <c r="T55" s="1483"/>
      <c r="U55" s="1483"/>
      <c r="V55" s="1483"/>
      <c r="W55" s="1483"/>
    </row>
    <row r="56" spans="1:23" s="290" customFormat="1" ht="18" hidden="1" customHeight="1">
      <c r="A56" s="284" t="s">
        <v>101</v>
      </c>
      <c r="B56" s="976" t="s">
        <v>133</v>
      </c>
      <c r="C56" s="284" t="s">
        <v>137</v>
      </c>
      <c r="D56" s="1483"/>
      <c r="E56" s="1483"/>
      <c r="F56" s="1483"/>
      <c r="G56" s="1483"/>
      <c r="H56" s="1483"/>
      <c r="I56" s="1483"/>
      <c r="J56" s="1483"/>
      <c r="K56" s="1483"/>
      <c r="L56" s="1483"/>
      <c r="M56" s="1483"/>
      <c r="N56" s="1483"/>
      <c r="O56" s="1483"/>
      <c r="P56" s="1483"/>
      <c r="Q56" s="1483"/>
      <c r="R56" s="1483"/>
      <c r="S56" s="1483"/>
      <c r="T56" s="1483"/>
      <c r="U56" s="1483"/>
      <c r="V56" s="1483"/>
      <c r="W56" s="1483"/>
    </row>
    <row r="57" spans="1:23" ht="20.100000000000001" hidden="1" customHeight="1">
      <c r="A57" s="284" t="s">
        <v>102</v>
      </c>
      <c r="B57" s="976" t="s">
        <v>136</v>
      </c>
      <c r="C57" s="284" t="s">
        <v>138</v>
      </c>
      <c r="D57" s="1483"/>
      <c r="E57" s="1483"/>
      <c r="F57" s="1483"/>
      <c r="G57" s="1483"/>
      <c r="H57" s="1483"/>
      <c r="I57" s="1483"/>
      <c r="J57" s="1483"/>
      <c r="K57" s="1483"/>
      <c r="L57" s="1483"/>
      <c r="M57" s="1483"/>
      <c r="N57" s="1483"/>
      <c r="O57" s="1483"/>
      <c r="P57" s="1483"/>
      <c r="Q57" s="1483"/>
      <c r="R57" s="1483"/>
      <c r="S57" s="1483"/>
      <c r="T57" s="1483"/>
      <c r="U57" s="1483"/>
      <c r="V57" s="1483"/>
      <c r="W57" s="1483"/>
    </row>
    <row r="58" spans="1:23" ht="16.350000000000001" customHeight="1">
      <c r="A58" s="284" t="s">
        <v>75</v>
      </c>
      <c r="B58" s="286" t="s">
        <v>2777</v>
      </c>
      <c r="C58" s="284" t="s">
        <v>39</v>
      </c>
      <c r="D58" s="1483">
        <v>0</v>
      </c>
      <c r="E58" s="1483">
        <v>0</v>
      </c>
      <c r="F58" s="1483">
        <v>0</v>
      </c>
      <c r="G58" s="1483">
        <v>0</v>
      </c>
      <c r="H58" s="1483">
        <v>0</v>
      </c>
      <c r="I58" s="1483">
        <v>0</v>
      </c>
      <c r="J58" s="1483">
        <v>0</v>
      </c>
      <c r="K58" s="1483">
        <v>0</v>
      </c>
      <c r="L58" s="1483">
        <v>0</v>
      </c>
      <c r="M58" s="1483">
        <v>0</v>
      </c>
      <c r="N58" s="1483">
        <v>0</v>
      </c>
      <c r="O58" s="1483">
        <v>0</v>
      </c>
      <c r="P58" s="1483">
        <v>0</v>
      </c>
      <c r="Q58" s="1483">
        <v>0</v>
      </c>
      <c r="R58" s="1483">
        <v>0</v>
      </c>
      <c r="S58" s="1483">
        <v>0</v>
      </c>
      <c r="T58" s="1483">
        <v>0</v>
      </c>
      <c r="U58" s="1483">
        <v>0</v>
      </c>
      <c r="V58" s="1483">
        <v>0</v>
      </c>
      <c r="W58" s="1483">
        <v>0</v>
      </c>
    </row>
    <row r="59" spans="1:23" s="989" customFormat="1" ht="16.350000000000001" customHeight="1">
      <c r="A59" s="284" t="s">
        <v>76</v>
      </c>
      <c r="B59" s="286" t="s">
        <v>2778</v>
      </c>
      <c r="C59" s="284" t="s">
        <v>42</v>
      </c>
      <c r="D59" s="1483">
        <v>0</v>
      </c>
      <c r="E59" s="1483">
        <v>0</v>
      </c>
      <c r="F59" s="1483">
        <v>0</v>
      </c>
      <c r="G59" s="1483">
        <v>0</v>
      </c>
      <c r="H59" s="1483">
        <v>0</v>
      </c>
      <c r="I59" s="1483">
        <v>0</v>
      </c>
      <c r="J59" s="1483">
        <v>0</v>
      </c>
      <c r="K59" s="1483">
        <v>0</v>
      </c>
      <c r="L59" s="1483">
        <v>0</v>
      </c>
      <c r="M59" s="1483">
        <v>0</v>
      </c>
      <c r="N59" s="1483">
        <v>0</v>
      </c>
      <c r="O59" s="1483">
        <v>0</v>
      </c>
      <c r="P59" s="1483">
        <v>0</v>
      </c>
      <c r="Q59" s="1483">
        <v>0</v>
      </c>
      <c r="R59" s="1483">
        <v>0</v>
      </c>
      <c r="S59" s="1483">
        <v>0</v>
      </c>
      <c r="T59" s="1483">
        <v>0</v>
      </c>
      <c r="U59" s="1483">
        <v>0</v>
      </c>
      <c r="V59" s="1483">
        <v>0</v>
      </c>
      <c r="W59" s="1483">
        <v>0</v>
      </c>
    </row>
    <row r="60" spans="1:23" s="989" customFormat="1" ht="16.350000000000001" customHeight="1">
      <c r="A60" s="284" t="s">
        <v>82</v>
      </c>
      <c r="B60" s="286" t="s">
        <v>2779</v>
      </c>
      <c r="C60" s="284" t="s">
        <v>41</v>
      </c>
      <c r="D60" s="1483">
        <v>0</v>
      </c>
      <c r="E60" s="1483">
        <v>0</v>
      </c>
      <c r="F60" s="1483">
        <v>0</v>
      </c>
      <c r="G60" s="1483">
        <v>0</v>
      </c>
      <c r="H60" s="1483">
        <v>0</v>
      </c>
      <c r="I60" s="1483">
        <v>0</v>
      </c>
      <c r="J60" s="1483">
        <v>0</v>
      </c>
      <c r="K60" s="1483">
        <v>0</v>
      </c>
      <c r="L60" s="1483">
        <v>0</v>
      </c>
      <c r="M60" s="1483">
        <v>0</v>
      </c>
      <c r="N60" s="1483">
        <v>0</v>
      </c>
      <c r="O60" s="1483">
        <v>0</v>
      </c>
      <c r="P60" s="1483">
        <v>0</v>
      </c>
      <c r="Q60" s="1483">
        <v>0</v>
      </c>
      <c r="R60" s="1483">
        <v>0</v>
      </c>
      <c r="S60" s="1483">
        <v>0</v>
      </c>
      <c r="T60" s="1483">
        <v>0</v>
      </c>
      <c r="U60" s="1483">
        <v>0</v>
      </c>
      <c r="V60" s="1483">
        <v>0</v>
      </c>
      <c r="W60" s="1483">
        <v>0</v>
      </c>
    </row>
    <row r="61" spans="1:23" ht="16.350000000000001" customHeight="1">
      <c r="A61" s="284" t="s">
        <v>83</v>
      </c>
      <c r="B61" s="286" t="s">
        <v>116</v>
      </c>
      <c r="C61" s="284" t="s">
        <v>55</v>
      </c>
      <c r="D61" s="1483">
        <v>0</v>
      </c>
      <c r="E61" s="1483">
        <v>0</v>
      </c>
      <c r="F61" s="1483">
        <v>0</v>
      </c>
      <c r="G61" s="1483">
        <v>0</v>
      </c>
      <c r="H61" s="1483">
        <v>0</v>
      </c>
      <c r="I61" s="1483">
        <v>0</v>
      </c>
      <c r="J61" s="1483">
        <v>0</v>
      </c>
      <c r="K61" s="1483">
        <v>0</v>
      </c>
      <c r="L61" s="1483">
        <v>0</v>
      </c>
      <c r="M61" s="1483">
        <v>0</v>
      </c>
      <c r="N61" s="1483">
        <v>0</v>
      </c>
      <c r="O61" s="1483">
        <v>0</v>
      </c>
      <c r="P61" s="1483">
        <v>0</v>
      </c>
      <c r="Q61" s="1483">
        <v>0</v>
      </c>
      <c r="R61" s="1483">
        <v>0</v>
      </c>
      <c r="S61" s="1483">
        <v>0</v>
      </c>
      <c r="T61" s="1483">
        <v>0</v>
      </c>
      <c r="U61" s="1483">
        <v>0</v>
      </c>
      <c r="V61" s="1483">
        <v>0</v>
      </c>
      <c r="W61" s="1483">
        <v>0</v>
      </c>
    </row>
  </sheetData>
  <mergeCells count="9">
    <mergeCell ref="A1:B1"/>
    <mergeCell ref="A2:W2"/>
    <mergeCell ref="A5:A6"/>
    <mergeCell ref="B5:B6"/>
    <mergeCell ref="C5:C6"/>
    <mergeCell ref="D5:D6"/>
    <mergeCell ref="A3:W3"/>
    <mergeCell ref="E5:W5"/>
    <mergeCell ref="U4:W4"/>
  </mergeCells>
  <phoneticPr fontId="107" type="noConversion"/>
  <conditionalFormatting sqref="A7:IG7">
    <cfRule type="cellIs" dxfId="22" priority="5" stopIfTrue="1" operator="equal">
      <formula>0</formula>
    </cfRule>
    <cfRule type="cellIs" dxfId="21" priority="7" stopIfTrue="1" operator="equal">
      <formula>0</formula>
    </cfRule>
    <cfRule type="cellIs" dxfId="20" priority="8" stopIfTrue="1" operator="equal">
      <formula>0</formula>
    </cfRule>
  </conditionalFormatting>
  <conditionalFormatting sqref="C8:C15">
    <cfRule type="cellIs" dxfId="19" priority="1" stopIfTrue="1" operator="equal">
      <formula>0</formula>
    </cfRule>
    <cfRule type="cellIs" dxfId="18" priority="3" stopIfTrue="1" operator="equal">
      <formula>0</formula>
    </cfRule>
    <cfRule type="cellIs" dxfId="17" priority="4" stopIfTrue="1" operator="equal">
      <formula>0</formula>
    </cfRule>
  </conditionalFormatting>
  <printOptions horizontalCentered="1"/>
  <pageMargins left="0.59055118110236227" right="0.23622047244094491" top="0.39370078740157483" bottom="0.39370078740157483" header="0.31496062992125984" footer="0.31496062992125984"/>
  <pageSetup paperSize="8" scale="90" orientation="landscape"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U473"/>
  <sheetViews>
    <sheetView showZeros="0" tabSelected="1" view="pageBreakPreview" zoomScale="55" zoomScaleNormal="85" zoomScaleSheetLayoutView="55" workbookViewId="0">
      <pane xSplit="8" ySplit="8" topLeftCell="J370" activePane="bottomRight" state="frozen"/>
      <selection activeCell="C23" sqref="C23"/>
      <selection pane="topRight" activeCell="C23" sqref="C23"/>
      <selection pane="bottomLeft" activeCell="C23" sqref="C23"/>
      <selection pane="bottomRight" activeCell="B370" sqref="B370"/>
    </sheetView>
  </sheetViews>
  <sheetFormatPr defaultColWidth="8.125" defaultRowHeight="12.75"/>
  <cols>
    <col min="1" max="1" width="5.375" style="1116" bestFit="1" customWidth="1"/>
    <col min="2" max="2" width="37.25" style="1349" customWidth="1"/>
    <col min="3" max="3" width="19.25" style="1178" hidden="1" customWidth="1"/>
    <col min="4" max="4" width="11.75" style="1178" hidden="1" customWidth="1"/>
    <col min="5" max="5" width="5.75" style="1178" hidden="1" customWidth="1"/>
    <col min="6" max="6" width="7.75" style="1444" customWidth="1"/>
    <col min="7" max="7" width="7.5" style="1444" customWidth="1"/>
    <col min="8" max="8" width="6.75" style="1445" customWidth="1"/>
    <col min="9" max="9" width="5.125" style="1445" hidden="1" customWidth="1"/>
    <col min="10" max="11" width="5.625" style="1444" customWidth="1"/>
    <col min="12" max="12" width="5.625" style="1444" hidden="1" customWidth="1"/>
    <col min="13" max="14" width="5.625" style="1444" customWidth="1"/>
    <col min="15" max="15" width="5.75" style="1444" hidden="1" customWidth="1"/>
    <col min="16" max="16" width="5.625" style="1444" hidden="1" customWidth="1"/>
    <col min="17" max="18" width="5.75" style="1444" hidden="1" customWidth="1"/>
    <col min="19" max="19" width="6.625" style="1444" customWidth="1"/>
    <col min="20" max="20" width="5.375" style="1444" hidden="1" customWidth="1"/>
    <col min="21" max="21" width="5" style="1444" customWidth="1"/>
    <col min="22" max="22" width="5" style="1444" hidden="1" customWidth="1"/>
    <col min="23" max="23" width="4.25" style="1444" hidden="1" customWidth="1"/>
    <col min="24" max="24" width="4.375" style="1444" hidden="1" customWidth="1"/>
    <col min="25" max="26" width="5.75" style="1444" hidden="1" customWidth="1"/>
    <col min="27" max="27" width="4.75" style="1444" customWidth="1"/>
    <col min="28" max="28" width="5.375" style="1444" customWidth="1"/>
    <col min="29" max="29" width="5.375" style="1444" hidden="1" customWidth="1"/>
    <col min="30" max="30" width="5.625" style="1444" hidden="1" customWidth="1"/>
    <col min="31" max="31" width="5.25" style="1444" customWidth="1"/>
    <col min="32" max="32" width="5" style="1444" customWidth="1"/>
    <col min="33" max="34" width="5.375" style="1444" customWidth="1"/>
    <col min="35" max="35" width="5.125" style="1444" customWidth="1"/>
    <col min="36" max="36" width="5.5" style="1444" hidden="1" customWidth="1"/>
    <col min="37" max="37" width="5.75" style="1444" customWidth="1"/>
    <col min="38" max="42" width="4.75" style="1444" hidden="1" customWidth="1"/>
    <col min="43" max="43" width="5.375" style="1444" customWidth="1"/>
    <col min="44" max="45" width="4.625" style="1444" hidden="1" customWidth="1"/>
    <col min="46" max="46" width="5.125" style="1444" hidden="1" customWidth="1"/>
    <col min="47" max="48" width="4.625" style="1444" hidden="1" customWidth="1"/>
    <col min="49" max="49" width="5.125" style="1444" hidden="1" customWidth="1"/>
    <col min="50" max="52" width="5" style="1444" customWidth="1"/>
    <col min="53" max="53" width="5" style="1444" hidden="1" customWidth="1"/>
    <col min="54" max="54" width="5.375" style="1444" customWidth="1"/>
    <col min="55" max="55" width="5" style="1444" customWidth="1"/>
    <col min="56" max="57" width="5" style="1444" hidden="1" customWidth="1"/>
    <col min="58" max="58" width="6.25" style="1444" customWidth="1"/>
    <col min="59" max="60" width="5.125" style="1444" hidden="1" customWidth="1"/>
    <col min="61" max="61" width="19.25" style="1178" customWidth="1"/>
    <col min="62" max="62" width="35.875" style="1121" customWidth="1"/>
    <col min="63" max="63" width="28.375" style="1121" customWidth="1"/>
    <col min="64" max="64" width="14.875" style="1121" hidden="1" customWidth="1"/>
    <col min="65" max="65" width="21.5" style="1121" hidden="1" customWidth="1"/>
    <col min="66" max="66" width="10.375" style="1121" customWidth="1"/>
    <col min="67" max="67" width="13.125" style="1121" customWidth="1"/>
    <col min="68" max="68" width="10.125" style="1121" customWidth="1"/>
    <col min="69" max="69" width="24.5" style="1179" customWidth="1"/>
    <col min="70" max="70" width="36.75" style="1179" customWidth="1"/>
    <col min="71" max="71" width="21.5" style="1121" customWidth="1"/>
    <col min="72" max="72" width="26" style="1178" customWidth="1"/>
    <col min="73" max="16384" width="8.125" style="1178"/>
  </cols>
  <sheetData>
    <row r="1" spans="1:72" ht="21.6" customHeight="1">
      <c r="A1" s="1626" t="s">
        <v>259</v>
      </c>
      <c r="B1" s="1626"/>
      <c r="C1" s="1185"/>
      <c r="D1" s="1185"/>
      <c r="E1" s="1186"/>
      <c r="F1" s="1187"/>
      <c r="G1" s="1187"/>
      <c r="H1" s="1188"/>
      <c r="I1" s="1188"/>
      <c r="J1" s="1187"/>
      <c r="K1" s="1187"/>
      <c r="L1" s="1187"/>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1187"/>
      <c r="AO1" s="1187"/>
      <c r="AP1" s="1187"/>
      <c r="AQ1" s="1187"/>
      <c r="AR1" s="1187"/>
      <c r="AS1" s="1187"/>
      <c r="AT1" s="1187"/>
      <c r="AU1" s="1187"/>
      <c r="AV1" s="1187"/>
      <c r="AW1" s="1187"/>
      <c r="AX1" s="1187"/>
      <c r="AY1" s="1187"/>
      <c r="AZ1" s="1187"/>
      <c r="BA1" s="1187"/>
      <c r="BB1" s="1187"/>
      <c r="BC1" s="1187"/>
      <c r="BD1" s="1187"/>
      <c r="BE1" s="1187"/>
      <c r="BF1" s="1187"/>
      <c r="BG1" s="1187"/>
      <c r="BH1" s="1187"/>
      <c r="BI1" s="1185"/>
      <c r="BJ1" s="1189" t="s">
        <v>3040</v>
      </c>
      <c r="BK1" s="1189"/>
      <c r="BL1" s="1189"/>
      <c r="BM1" s="1189"/>
      <c r="BN1" s="1189"/>
      <c r="BO1" s="1189"/>
      <c r="BS1" s="1190"/>
    </row>
    <row r="2" spans="1:72" ht="20.45" customHeight="1">
      <c r="A2" s="1627" t="s">
        <v>3041</v>
      </c>
      <c r="B2" s="1628"/>
      <c r="C2" s="1627"/>
      <c r="D2" s="1627"/>
      <c r="E2" s="1627"/>
      <c r="F2" s="1627"/>
      <c r="G2" s="1627"/>
      <c r="H2" s="1627"/>
      <c r="I2" s="1627"/>
      <c r="J2" s="1627"/>
      <c r="K2" s="1627"/>
      <c r="L2" s="1627"/>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1627"/>
      <c r="AO2" s="1627"/>
      <c r="AP2" s="1627"/>
      <c r="AQ2" s="1627"/>
      <c r="AR2" s="1627"/>
      <c r="AS2" s="1627"/>
      <c r="AT2" s="1627"/>
      <c r="AU2" s="1627"/>
      <c r="AV2" s="1627"/>
      <c r="AW2" s="1627"/>
      <c r="AX2" s="1627"/>
      <c r="AY2" s="1627"/>
      <c r="AZ2" s="1627"/>
      <c r="BA2" s="1627"/>
      <c r="BB2" s="1627"/>
      <c r="BC2" s="1627"/>
      <c r="BD2" s="1627"/>
      <c r="BE2" s="1627"/>
      <c r="BF2" s="1627"/>
      <c r="BG2" s="1627"/>
      <c r="BH2" s="1627"/>
      <c r="BI2" s="1627"/>
      <c r="BJ2" s="1627"/>
      <c r="BK2" s="1627"/>
      <c r="BL2" s="1627"/>
      <c r="BM2" s="1627"/>
      <c r="BN2" s="1017"/>
      <c r="BO2" s="1017"/>
      <c r="BP2" s="1018"/>
      <c r="BQ2" s="1019"/>
      <c r="BR2" s="1019"/>
      <c r="BS2" s="1178"/>
    </row>
    <row r="3" spans="1:72" ht="21" customHeight="1">
      <c r="A3" s="1627" t="s">
        <v>3042</v>
      </c>
      <c r="B3" s="1628"/>
      <c r="C3" s="1627"/>
      <c r="D3" s="1627"/>
      <c r="E3" s="1627"/>
      <c r="F3" s="1627"/>
      <c r="G3" s="1627"/>
      <c r="H3" s="1627"/>
      <c r="I3" s="1627"/>
      <c r="J3" s="1627"/>
      <c r="K3" s="1627"/>
      <c r="L3" s="1627"/>
      <c r="M3" s="1627"/>
      <c r="N3" s="1627"/>
      <c r="O3" s="1627"/>
      <c r="P3" s="1627"/>
      <c r="Q3" s="1627"/>
      <c r="R3" s="1627"/>
      <c r="S3" s="1627"/>
      <c r="T3" s="1627"/>
      <c r="U3" s="1627"/>
      <c r="V3" s="1627"/>
      <c r="W3" s="1627"/>
      <c r="X3" s="1627"/>
      <c r="Y3" s="1627"/>
      <c r="Z3" s="1627"/>
      <c r="AA3" s="1627"/>
      <c r="AB3" s="1627"/>
      <c r="AC3" s="1627"/>
      <c r="AD3" s="1627"/>
      <c r="AE3" s="1627"/>
      <c r="AF3" s="1627"/>
      <c r="AG3" s="1627"/>
      <c r="AH3" s="1627"/>
      <c r="AI3" s="1627"/>
      <c r="AJ3" s="1627"/>
      <c r="AK3" s="1627"/>
      <c r="AL3" s="1627"/>
      <c r="AM3" s="1627"/>
      <c r="AN3" s="1627"/>
      <c r="AO3" s="1627"/>
      <c r="AP3" s="1627"/>
      <c r="AQ3" s="1627"/>
      <c r="AR3" s="1627"/>
      <c r="AS3" s="1627"/>
      <c r="AT3" s="1627"/>
      <c r="AU3" s="1627"/>
      <c r="AV3" s="1627"/>
      <c r="AW3" s="1627"/>
      <c r="AX3" s="1627"/>
      <c r="AY3" s="1627"/>
      <c r="AZ3" s="1627"/>
      <c r="BA3" s="1627"/>
      <c r="BB3" s="1627"/>
      <c r="BC3" s="1627"/>
      <c r="BD3" s="1627"/>
      <c r="BE3" s="1627"/>
      <c r="BF3" s="1627"/>
      <c r="BG3" s="1627"/>
      <c r="BH3" s="1627"/>
      <c r="BI3" s="1627"/>
      <c r="BJ3" s="1627"/>
      <c r="BK3" s="1627"/>
      <c r="BL3" s="1627"/>
      <c r="BM3" s="1627"/>
      <c r="BN3" s="1017"/>
      <c r="BO3" s="1017"/>
      <c r="BP3" s="1018"/>
      <c r="BQ3" s="1019"/>
      <c r="BR3" s="1019"/>
      <c r="BS3" s="1178"/>
    </row>
    <row r="4" spans="1:72" ht="8.1" customHeight="1">
      <c r="A4" s="1018"/>
      <c r="B4" s="1020"/>
      <c r="C4" s="1018"/>
      <c r="D4" s="1018"/>
      <c r="E4" s="1018"/>
      <c r="F4" s="1021"/>
      <c r="G4" s="1021"/>
      <c r="H4" s="1022"/>
      <c r="I4" s="1022"/>
      <c r="J4" s="1021"/>
      <c r="K4" s="1021"/>
      <c r="L4" s="1021"/>
      <c r="M4" s="1021"/>
      <c r="N4" s="1021"/>
      <c r="O4" s="1021"/>
      <c r="P4" s="1021"/>
      <c r="Q4" s="1021"/>
      <c r="R4" s="1021"/>
      <c r="S4" s="1021"/>
      <c r="T4" s="1021"/>
      <c r="U4" s="1021"/>
      <c r="V4" s="1021"/>
      <c r="W4" s="1021"/>
      <c r="X4" s="1021"/>
      <c r="Y4" s="1021"/>
      <c r="Z4" s="1021"/>
      <c r="AA4" s="1021"/>
      <c r="AB4" s="1021"/>
      <c r="AC4" s="1021"/>
      <c r="AD4" s="1021"/>
      <c r="AE4" s="1021"/>
      <c r="AF4" s="1021"/>
      <c r="AG4" s="1021"/>
      <c r="AH4" s="1021"/>
      <c r="AI4" s="1021"/>
      <c r="AJ4" s="1021"/>
      <c r="AK4" s="1021"/>
      <c r="AL4" s="1021"/>
      <c r="AM4" s="1021"/>
      <c r="AN4" s="1021"/>
      <c r="AO4" s="1021"/>
      <c r="AP4" s="1021"/>
      <c r="AQ4" s="1021"/>
      <c r="AR4" s="1021"/>
      <c r="AS4" s="1021"/>
      <c r="AT4" s="1021"/>
      <c r="AU4" s="1021"/>
      <c r="AV4" s="1021"/>
      <c r="AW4" s="1021"/>
      <c r="AX4" s="1021"/>
      <c r="AY4" s="1021"/>
      <c r="AZ4" s="1021"/>
      <c r="BA4" s="1021"/>
      <c r="BB4" s="1021"/>
      <c r="BC4" s="1021"/>
      <c r="BD4" s="1021"/>
      <c r="BE4" s="1021"/>
      <c r="BF4" s="1021"/>
      <c r="BG4" s="1021"/>
      <c r="BH4" s="1021"/>
      <c r="BI4" s="1018"/>
      <c r="BJ4" s="1018"/>
      <c r="BK4" s="1018"/>
      <c r="BL4" s="1018"/>
    </row>
    <row r="5" spans="1:72" ht="18.75" customHeight="1">
      <c r="A5" s="1629" t="s">
        <v>170</v>
      </c>
      <c r="B5" s="1623" t="s">
        <v>276</v>
      </c>
      <c r="C5" s="1625" t="s">
        <v>1909</v>
      </c>
      <c r="D5" s="1625" t="s">
        <v>3043</v>
      </c>
      <c r="E5" s="1630" t="s">
        <v>3044</v>
      </c>
      <c r="F5" s="1623" t="s">
        <v>3045</v>
      </c>
      <c r="G5" s="1623" t="s">
        <v>3046</v>
      </c>
      <c r="H5" s="1623" t="s">
        <v>280</v>
      </c>
      <c r="I5" s="1191"/>
      <c r="J5" s="1617" t="s">
        <v>3047</v>
      </c>
      <c r="K5" s="1617"/>
      <c r="L5" s="1617"/>
      <c r="M5" s="1617"/>
      <c r="N5" s="1617"/>
      <c r="O5" s="1617"/>
      <c r="P5" s="1617"/>
      <c r="Q5" s="1617"/>
      <c r="R5" s="1617"/>
      <c r="S5" s="1617"/>
      <c r="T5" s="1617"/>
      <c r="U5" s="1617"/>
      <c r="V5" s="1617"/>
      <c r="W5" s="1617"/>
      <c r="X5" s="1617"/>
      <c r="Y5" s="1617"/>
      <c r="Z5" s="1617"/>
      <c r="AA5" s="1617"/>
      <c r="AB5" s="1617"/>
      <c r="AC5" s="1617"/>
      <c r="AD5" s="1617"/>
      <c r="AE5" s="1617"/>
      <c r="AF5" s="1617"/>
      <c r="AG5" s="1617"/>
      <c r="AH5" s="1617"/>
      <c r="AI5" s="1617"/>
      <c r="AJ5" s="1617"/>
      <c r="AK5" s="1617"/>
      <c r="AL5" s="1617"/>
      <c r="AM5" s="1617"/>
      <c r="AN5" s="1617"/>
      <c r="AO5" s="1617"/>
      <c r="AP5" s="1617"/>
      <c r="AQ5" s="1617"/>
      <c r="AR5" s="1617"/>
      <c r="AS5" s="1617"/>
      <c r="AT5" s="1617"/>
      <c r="AU5" s="1617"/>
      <c r="AV5" s="1617"/>
      <c r="AW5" s="1617"/>
      <c r="AX5" s="1617"/>
      <c r="AY5" s="1617"/>
      <c r="AZ5" s="1617"/>
      <c r="BA5" s="1617"/>
      <c r="BB5" s="1617"/>
      <c r="BC5" s="1617"/>
      <c r="BD5" s="1617"/>
      <c r="BE5" s="1617"/>
      <c r="BF5" s="1617"/>
      <c r="BG5" s="1617"/>
      <c r="BH5" s="1617"/>
      <c r="BI5" s="1624" t="s">
        <v>3048</v>
      </c>
      <c r="BJ5" s="1625" t="s">
        <v>3049</v>
      </c>
      <c r="BK5" s="1625" t="s">
        <v>3050</v>
      </c>
      <c r="BL5" s="1625" t="s">
        <v>1907</v>
      </c>
      <c r="BM5" s="1619" t="s">
        <v>283</v>
      </c>
      <c r="BN5" s="1619" t="s">
        <v>283</v>
      </c>
      <c r="BO5" s="1122"/>
      <c r="BP5" s="1620" t="s">
        <v>3051</v>
      </c>
      <c r="BQ5" s="1621" t="s">
        <v>3052</v>
      </c>
      <c r="BR5" s="1621" t="s">
        <v>281</v>
      </c>
      <c r="BS5" s="1622" t="s">
        <v>3053</v>
      </c>
      <c r="BT5" s="1616" t="s">
        <v>3054</v>
      </c>
    </row>
    <row r="6" spans="1:72" ht="18.75" customHeight="1">
      <c r="A6" s="1629"/>
      <c r="B6" s="1623"/>
      <c r="C6" s="1625"/>
      <c r="D6" s="1625"/>
      <c r="E6" s="1630"/>
      <c r="F6" s="1623"/>
      <c r="G6" s="1623"/>
      <c r="H6" s="1623"/>
      <c r="I6" s="1191"/>
      <c r="J6" s="1617" t="s">
        <v>1908</v>
      </c>
      <c r="K6" s="1617"/>
      <c r="L6" s="1617"/>
      <c r="M6" s="1617"/>
      <c r="N6" s="1617"/>
      <c r="O6" s="1617"/>
      <c r="P6" s="1617"/>
      <c r="Q6" s="1617"/>
      <c r="R6" s="1617"/>
      <c r="S6" s="1617"/>
      <c r="T6" s="1617"/>
      <c r="U6" s="1617"/>
      <c r="V6" s="1617"/>
      <c r="W6" s="1617"/>
      <c r="X6" s="1617"/>
      <c r="Y6" s="1617"/>
      <c r="Z6" s="1617"/>
      <c r="AA6" s="1617"/>
      <c r="AB6" s="1617"/>
      <c r="AC6" s="1617"/>
      <c r="AD6" s="1617"/>
      <c r="AE6" s="1617"/>
      <c r="AF6" s="1617"/>
      <c r="AG6" s="1617"/>
      <c r="AH6" s="1617"/>
      <c r="AI6" s="1617"/>
      <c r="AJ6" s="1617"/>
      <c r="AK6" s="1617"/>
      <c r="AL6" s="1617"/>
      <c r="AM6" s="1617"/>
      <c r="AN6" s="1617"/>
      <c r="AO6" s="1617"/>
      <c r="AP6" s="1617"/>
      <c r="AQ6" s="1617"/>
      <c r="AR6" s="1617"/>
      <c r="AS6" s="1617"/>
      <c r="AT6" s="1617"/>
      <c r="AU6" s="1617"/>
      <c r="AV6" s="1617"/>
      <c r="AW6" s="1617"/>
      <c r="AX6" s="1617"/>
      <c r="AY6" s="1617"/>
      <c r="AZ6" s="1617"/>
      <c r="BA6" s="1617"/>
      <c r="BB6" s="1617"/>
      <c r="BC6" s="1617"/>
      <c r="BD6" s="1617"/>
      <c r="BE6" s="1617"/>
      <c r="BF6" s="1617"/>
      <c r="BG6" s="1617"/>
      <c r="BH6" s="1617"/>
      <c r="BI6" s="1624"/>
      <c r="BJ6" s="1625"/>
      <c r="BK6" s="1625"/>
      <c r="BL6" s="1625"/>
      <c r="BM6" s="1619"/>
      <c r="BN6" s="1619"/>
      <c r="BO6" s="1122"/>
      <c r="BP6" s="1620"/>
      <c r="BQ6" s="1621"/>
      <c r="BR6" s="1621"/>
      <c r="BS6" s="1622"/>
      <c r="BT6" s="1616"/>
    </row>
    <row r="7" spans="1:72" s="1126" customFormat="1" ht="54" customHeight="1">
      <c r="A7" s="1629"/>
      <c r="B7" s="1623"/>
      <c r="C7" s="1625"/>
      <c r="D7" s="1625"/>
      <c r="E7" s="1630"/>
      <c r="F7" s="1623"/>
      <c r="G7" s="1623"/>
      <c r="H7" s="1623"/>
      <c r="I7" s="1191"/>
      <c r="J7" s="1191" t="s">
        <v>7</v>
      </c>
      <c r="K7" s="1191" t="s">
        <v>8</v>
      </c>
      <c r="L7" s="1192" t="s">
        <v>10</v>
      </c>
      <c r="M7" s="1193" t="s">
        <v>12</v>
      </c>
      <c r="N7" s="1193" t="s">
        <v>14</v>
      </c>
      <c r="O7" s="1193" t="s">
        <v>16</v>
      </c>
      <c r="P7" s="1192" t="s">
        <v>17</v>
      </c>
      <c r="Q7" s="1192" t="s">
        <v>18</v>
      </c>
      <c r="R7" s="1192" t="s">
        <v>187</v>
      </c>
      <c r="S7" s="1193" t="s">
        <v>188</v>
      </c>
      <c r="T7" s="1193" t="s">
        <v>189</v>
      </c>
      <c r="U7" s="1193" t="s">
        <v>19</v>
      </c>
      <c r="V7" s="1192" t="s">
        <v>20</v>
      </c>
      <c r="W7" s="1193" t="s">
        <v>26</v>
      </c>
      <c r="X7" s="1194" t="s">
        <v>28</v>
      </c>
      <c r="Y7" s="1194" t="s">
        <v>30</v>
      </c>
      <c r="Z7" s="1194" t="s">
        <v>91</v>
      </c>
      <c r="AA7" s="1193" t="s">
        <v>93</v>
      </c>
      <c r="AB7" s="1193" t="s">
        <v>32</v>
      </c>
      <c r="AC7" s="1193" t="s">
        <v>35</v>
      </c>
      <c r="AD7" s="1193" t="s">
        <v>34</v>
      </c>
      <c r="AE7" s="1193" t="s">
        <v>44</v>
      </c>
      <c r="AF7" s="1193" t="s">
        <v>45</v>
      </c>
      <c r="AG7" s="1193" t="s">
        <v>48</v>
      </c>
      <c r="AH7" s="1193" t="s">
        <v>49</v>
      </c>
      <c r="AI7" s="1193" t="s">
        <v>50</v>
      </c>
      <c r="AJ7" s="1193" t="s">
        <v>51</v>
      </c>
      <c r="AK7" s="1193" t="s">
        <v>46</v>
      </c>
      <c r="AL7" s="1192" t="s">
        <v>47</v>
      </c>
      <c r="AM7" s="1192" t="s">
        <v>2762</v>
      </c>
      <c r="AN7" s="1192" t="s">
        <v>2764</v>
      </c>
      <c r="AO7" s="1192" t="s">
        <v>37</v>
      </c>
      <c r="AP7" s="1192" t="s">
        <v>38</v>
      </c>
      <c r="AQ7" s="1193" t="s">
        <v>40</v>
      </c>
      <c r="AR7" s="1192" t="s">
        <v>52</v>
      </c>
      <c r="AS7" s="1192" t="s">
        <v>53</v>
      </c>
      <c r="AT7" s="1193" t="s">
        <v>54</v>
      </c>
      <c r="AU7" s="1192" t="s">
        <v>2771</v>
      </c>
      <c r="AV7" s="1192" t="s">
        <v>2773</v>
      </c>
      <c r="AW7" s="1192" t="s">
        <v>113</v>
      </c>
      <c r="AX7" s="1193" t="s">
        <v>59</v>
      </c>
      <c r="AY7" s="1193" t="s">
        <v>57</v>
      </c>
      <c r="AZ7" s="1193" t="s">
        <v>24</v>
      </c>
      <c r="BA7" s="1192" t="s">
        <v>2776</v>
      </c>
      <c r="BB7" s="1193" t="s">
        <v>39</v>
      </c>
      <c r="BC7" s="1193" t="s">
        <v>42</v>
      </c>
      <c r="BD7" s="1195" t="s">
        <v>41</v>
      </c>
      <c r="BE7" s="1192" t="s">
        <v>55</v>
      </c>
      <c r="BF7" s="1193" t="s">
        <v>81</v>
      </c>
      <c r="BG7" s="1196" t="s">
        <v>137</v>
      </c>
      <c r="BH7" s="1196" t="s">
        <v>138</v>
      </c>
      <c r="BI7" s="1624"/>
      <c r="BJ7" s="1625"/>
      <c r="BK7" s="1625"/>
      <c r="BL7" s="1625"/>
      <c r="BM7" s="1619"/>
      <c r="BN7" s="1619"/>
      <c r="BO7" s="1122"/>
      <c r="BP7" s="1620"/>
      <c r="BQ7" s="1621"/>
      <c r="BR7" s="1621"/>
      <c r="BS7" s="1622"/>
      <c r="BT7" s="1616"/>
    </row>
    <row r="8" spans="1:72" s="1126" customFormat="1" ht="30" customHeight="1">
      <c r="A8" s="1197" t="s">
        <v>3055</v>
      </c>
      <c r="B8" s="1198" t="s">
        <v>3056</v>
      </c>
      <c r="C8" s="1197" t="s">
        <v>3057</v>
      </c>
      <c r="D8" s="1197"/>
      <c r="E8" s="1198"/>
      <c r="F8" s="1199" t="s">
        <v>3058</v>
      </c>
      <c r="G8" s="1199" t="s">
        <v>3059</v>
      </c>
      <c r="H8" s="1199" t="s">
        <v>4022</v>
      </c>
      <c r="I8" s="1199"/>
      <c r="J8" s="1200" t="s">
        <v>3060</v>
      </c>
      <c r="K8" s="1201" t="s">
        <v>3061</v>
      </c>
      <c r="L8" s="1201"/>
      <c r="M8" s="1200" t="s">
        <v>3062</v>
      </c>
      <c r="N8" s="1201" t="s">
        <v>3063</v>
      </c>
      <c r="O8" s="1201" t="s">
        <v>3064</v>
      </c>
      <c r="P8" s="1201"/>
      <c r="Q8" s="1201"/>
      <c r="R8" s="1201"/>
      <c r="S8" s="1201" t="s">
        <v>3065</v>
      </c>
      <c r="T8" s="1200" t="s">
        <v>3064</v>
      </c>
      <c r="U8" s="1200" t="s">
        <v>3064</v>
      </c>
      <c r="V8" s="1200"/>
      <c r="W8" s="1200" t="s">
        <v>3066</v>
      </c>
      <c r="X8" s="1200" t="s">
        <v>3067</v>
      </c>
      <c r="Y8" s="1200"/>
      <c r="Z8" s="1200"/>
      <c r="AA8" s="1201" t="s">
        <v>3068</v>
      </c>
      <c r="AB8" s="1201" t="s">
        <v>3069</v>
      </c>
      <c r="AC8" s="1200" t="s">
        <v>3066</v>
      </c>
      <c r="AD8" s="1201" t="s">
        <v>3070</v>
      </c>
      <c r="AE8" s="1201" t="s">
        <v>3066</v>
      </c>
      <c r="AF8" s="1200" t="s">
        <v>3067</v>
      </c>
      <c r="AG8" s="1200" t="s">
        <v>3071</v>
      </c>
      <c r="AH8" s="1201" t="s">
        <v>3070</v>
      </c>
      <c r="AI8" s="1200" t="s">
        <v>3072</v>
      </c>
      <c r="AJ8" s="1201"/>
      <c r="AK8" s="1200" t="s">
        <v>3073</v>
      </c>
      <c r="AL8" s="1200" t="s">
        <v>3072</v>
      </c>
      <c r="AM8" s="1201"/>
      <c r="AN8" s="1200" t="s">
        <v>3073</v>
      </c>
      <c r="AO8" s="1200" t="s">
        <v>3072</v>
      </c>
      <c r="AP8" s="1201"/>
      <c r="AQ8" s="1200" t="s">
        <v>3074</v>
      </c>
      <c r="AR8" s="1200" t="s">
        <v>3072</v>
      </c>
      <c r="AS8" s="1201"/>
      <c r="AT8" s="1200" t="s">
        <v>3073</v>
      </c>
      <c r="AU8" s="1200" t="s">
        <v>3072</v>
      </c>
      <c r="AV8" s="1201"/>
      <c r="AW8" s="1200" t="s">
        <v>3073</v>
      </c>
      <c r="AX8" s="1200" t="s">
        <v>3075</v>
      </c>
      <c r="AY8" s="1200" t="s">
        <v>3076</v>
      </c>
      <c r="AZ8" s="1200" t="s">
        <v>3077</v>
      </c>
      <c r="BA8" s="1200" t="s">
        <v>3072</v>
      </c>
      <c r="BB8" s="1200" t="s">
        <v>3078</v>
      </c>
      <c r="BC8" s="1200" t="s">
        <v>3079</v>
      </c>
      <c r="BD8" s="1200" t="s">
        <v>3072</v>
      </c>
      <c r="BE8" s="1201"/>
      <c r="BF8" s="1200" t="s">
        <v>3080</v>
      </c>
      <c r="BG8" s="1202"/>
      <c r="BH8" s="1202"/>
      <c r="BI8" s="1197" t="s">
        <v>4023</v>
      </c>
      <c r="BJ8" s="1197" t="s">
        <v>4024</v>
      </c>
      <c r="BK8" s="1197" t="s">
        <v>3081</v>
      </c>
      <c r="BL8" s="1197"/>
      <c r="BM8" s="1197" t="s">
        <v>3057</v>
      </c>
      <c r="BN8" s="1197" t="s">
        <v>3082</v>
      </c>
      <c r="BO8" s="1203"/>
      <c r="BP8" s="1204"/>
      <c r="BQ8" s="1205"/>
      <c r="BR8" s="1205"/>
      <c r="BS8" s="1206" t="s">
        <v>3057</v>
      </c>
      <c r="BT8" s="1125"/>
    </row>
    <row r="9" spans="1:72" s="1212" customFormat="1" ht="37.5" customHeight="1">
      <c r="A9" s="1023" t="s">
        <v>1259</v>
      </c>
      <c r="B9" s="1207" t="s">
        <v>3083</v>
      </c>
      <c r="C9" s="1024"/>
      <c r="D9" s="1024"/>
      <c r="E9" s="1025"/>
      <c r="F9" s="1026">
        <f t="shared" ref="F9:F101" si="0">G9+H9</f>
        <v>17.780000000000005</v>
      </c>
      <c r="G9" s="1026">
        <f>G10+G25</f>
        <v>0</v>
      </c>
      <c r="H9" s="1026">
        <f>SUM(J9:BF9)</f>
        <v>17.780000000000005</v>
      </c>
      <c r="I9" s="1026"/>
      <c r="J9" s="1026">
        <f>J10+J25</f>
        <v>0.24</v>
      </c>
      <c r="K9" s="1026">
        <f t="shared" ref="K9:BF9" si="1">K10+K25</f>
        <v>0.1</v>
      </c>
      <c r="L9" s="1026">
        <f t="shared" si="1"/>
        <v>0</v>
      </c>
      <c r="M9" s="1026">
        <f t="shared" si="1"/>
        <v>0.41000000000000003</v>
      </c>
      <c r="N9" s="1026">
        <f t="shared" si="1"/>
        <v>0.18000000000000002</v>
      </c>
      <c r="O9" s="1026">
        <f t="shared" si="1"/>
        <v>0</v>
      </c>
      <c r="P9" s="1026">
        <f t="shared" si="1"/>
        <v>0</v>
      </c>
      <c r="Q9" s="1026">
        <f t="shared" si="1"/>
        <v>0</v>
      </c>
      <c r="R9" s="1026">
        <f t="shared" si="1"/>
        <v>0</v>
      </c>
      <c r="S9" s="1026">
        <f t="shared" si="1"/>
        <v>16.36</v>
      </c>
      <c r="T9" s="1026">
        <f t="shared" si="1"/>
        <v>0</v>
      </c>
      <c r="U9" s="1026">
        <f t="shared" si="1"/>
        <v>0.03</v>
      </c>
      <c r="V9" s="1026">
        <f t="shared" si="1"/>
        <v>0</v>
      </c>
      <c r="W9" s="1026">
        <f t="shared" si="1"/>
        <v>0</v>
      </c>
      <c r="X9" s="1026">
        <f t="shared" si="1"/>
        <v>0</v>
      </c>
      <c r="Y9" s="1026">
        <f t="shared" si="1"/>
        <v>0</v>
      </c>
      <c r="Z9" s="1026">
        <f t="shared" si="1"/>
        <v>0</v>
      </c>
      <c r="AA9" s="1026">
        <f t="shared" si="1"/>
        <v>0</v>
      </c>
      <c r="AB9" s="1026">
        <f t="shared" si="1"/>
        <v>0.01</v>
      </c>
      <c r="AC9" s="1026">
        <f t="shared" si="1"/>
        <v>0</v>
      </c>
      <c r="AD9" s="1026">
        <f t="shared" si="1"/>
        <v>0</v>
      </c>
      <c r="AE9" s="1026">
        <f t="shared" si="1"/>
        <v>0.01</v>
      </c>
      <c r="AF9" s="1026">
        <f t="shared" si="1"/>
        <v>0</v>
      </c>
      <c r="AG9" s="1026">
        <f t="shared" si="1"/>
        <v>0</v>
      </c>
      <c r="AH9" s="1026">
        <f t="shared" si="1"/>
        <v>0.01</v>
      </c>
      <c r="AI9" s="1026">
        <f t="shared" si="1"/>
        <v>0.14000000000000001</v>
      </c>
      <c r="AJ9" s="1026">
        <f t="shared" si="1"/>
        <v>0</v>
      </c>
      <c r="AK9" s="1026">
        <f t="shared" si="1"/>
        <v>0</v>
      </c>
      <c r="AL9" s="1026">
        <f t="shared" si="1"/>
        <v>0</v>
      </c>
      <c r="AM9" s="1026">
        <f t="shared" si="1"/>
        <v>0</v>
      </c>
      <c r="AN9" s="1026">
        <f t="shared" si="1"/>
        <v>0</v>
      </c>
      <c r="AO9" s="1026">
        <f t="shared" si="1"/>
        <v>0</v>
      </c>
      <c r="AP9" s="1026">
        <f t="shared" si="1"/>
        <v>0</v>
      </c>
      <c r="AQ9" s="1026">
        <f t="shared" si="1"/>
        <v>0</v>
      </c>
      <c r="AR9" s="1026">
        <f t="shared" si="1"/>
        <v>0</v>
      </c>
      <c r="AS9" s="1026">
        <f t="shared" si="1"/>
        <v>0</v>
      </c>
      <c r="AT9" s="1026">
        <f t="shared" si="1"/>
        <v>0</v>
      </c>
      <c r="AU9" s="1026">
        <f t="shared" si="1"/>
        <v>0</v>
      </c>
      <c r="AV9" s="1026">
        <f t="shared" si="1"/>
        <v>0</v>
      </c>
      <c r="AW9" s="1026">
        <f t="shared" si="1"/>
        <v>0</v>
      </c>
      <c r="AX9" s="1026">
        <f t="shared" si="1"/>
        <v>0.02</v>
      </c>
      <c r="AY9" s="1026">
        <f t="shared" si="1"/>
        <v>0</v>
      </c>
      <c r="AZ9" s="1026">
        <f t="shared" si="1"/>
        <v>0.15000000000000002</v>
      </c>
      <c r="BA9" s="1026">
        <f t="shared" si="1"/>
        <v>0</v>
      </c>
      <c r="BB9" s="1026">
        <f t="shared" si="1"/>
        <v>0</v>
      </c>
      <c r="BC9" s="1026">
        <f t="shared" si="1"/>
        <v>0</v>
      </c>
      <c r="BD9" s="1026">
        <f t="shared" si="1"/>
        <v>0</v>
      </c>
      <c r="BE9" s="1026">
        <f t="shared" si="1"/>
        <v>0</v>
      </c>
      <c r="BF9" s="1026">
        <f t="shared" si="1"/>
        <v>0.12000000000000001</v>
      </c>
      <c r="BG9" s="1027"/>
      <c r="BH9" s="1027"/>
      <c r="BI9" s="1024"/>
      <c r="BJ9" s="1208"/>
      <c r="BK9" s="1209"/>
      <c r="BL9" s="1209"/>
      <c r="BM9" s="1208"/>
      <c r="BN9" s="1208"/>
      <c r="BO9" s="1122"/>
      <c r="BP9" s="1122"/>
      <c r="BQ9" s="1123"/>
      <c r="BR9" s="1123"/>
      <c r="BS9" s="1210"/>
      <c r="BT9" s="1211"/>
    </row>
    <row r="10" spans="1:72" s="1212" customFormat="1" ht="29.25" customHeight="1">
      <c r="A10" s="1023" t="s">
        <v>3084</v>
      </c>
      <c r="B10" s="1207" t="s">
        <v>3085</v>
      </c>
      <c r="C10" s="1024"/>
      <c r="D10" s="1024"/>
      <c r="E10" s="1025"/>
      <c r="F10" s="1026">
        <f>G10+H10</f>
        <v>17.78</v>
      </c>
      <c r="G10" s="1026">
        <f>G11+G13</f>
        <v>0</v>
      </c>
      <c r="H10" s="1026">
        <f>H11+H13</f>
        <v>17.78</v>
      </c>
      <c r="I10" s="1026"/>
      <c r="J10" s="1026">
        <f>J11+J13</f>
        <v>0.24</v>
      </c>
      <c r="K10" s="1026">
        <f t="shared" ref="K10:BH10" si="2">K11+K13</f>
        <v>0.1</v>
      </c>
      <c r="L10" s="1026">
        <f t="shared" si="2"/>
        <v>0</v>
      </c>
      <c r="M10" s="1026">
        <f t="shared" si="2"/>
        <v>0.41000000000000003</v>
      </c>
      <c r="N10" s="1026">
        <f t="shared" si="2"/>
        <v>0.18000000000000002</v>
      </c>
      <c r="O10" s="1026">
        <f t="shared" si="2"/>
        <v>0</v>
      </c>
      <c r="P10" s="1026">
        <f t="shared" si="2"/>
        <v>0</v>
      </c>
      <c r="Q10" s="1026">
        <f t="shared" si="2"/>
        <v>0</v>
      </c>
      <c r="R10" s="1026">
        <f t="shared" si="2"/>
        <v>0</v>
      </c>
      <c r="S10" s="1026">
        <f t="shared" si="2"/>
        <v>16.36</v>
      </c>
      <c r="T10" s="1026">
        <f t="shared" si="2"/>
        <v>0</v>
      </c>
      <c r="U10" s="1026">
        <f t="shared" si="2"/>
        <v>0.03</v>
      </c>
      <c r="V10" s="1026">
        <f t="shared" si="2"/>
        <v>0</v>
      </c>
      <c r="W10" s="1026">
        <f t="shared" si="2"/>
        <v>0</v>
      </c>
      <c r="X10" s="1026">
        <f t="shared" si="2"/>
        <v>0</v>
      </c>
      <c r="Y10" s="1026">
        <f t="shared" si="2"/>
        <v>0</v>
      </c>
      <c r="Z10" s="1026">
        <f t="shared" si="2"/>
        <v>0</v>
      </c>
      <c r="AA10" s="1026">
        <f t="shared" si="2"/>
        <v>0</v>
      </c>
      <c r="AB10" s="1026">
        <f t="shared" si="2"/>
        <v>0.01</v>
      </c>
      <c r="AC10" s="1026">
        <f t="shared" si="2"/>
        <v>0</v>
      </c>
      <c r="AD10" s="1026">
        <f t="shared" si="2"/>
        <v>0</v>
      </c>
      <c r="AE10" s="1026">
        <f t="shared" si="2"/>
        <v>0.01</v>
      </c>
      <c r="AF10" s="1026">
        <f t="shared" si="2"/>
        <v>0</v>
      </c>
      <c r="AG10" s="1026">
        <f t="shared" si="2"/>
        <v>0</v>
      </c>
      <c r="AH10" s="1026">
        <f t="shared" si="2"/>
        <v>0.01</v>
      </c>
      <c r="AI10" s="1026">
        <f t="shared" si="2"/>
        <v>0.14000000000000001</v>
      </c>
      <c r="AJ10" s="1026">
        <f t="shared" si="2"/>
        <v>0</v>
      </c>
      <c r="AK10" s="1026">
        <f t="shared" si="2"/>
        <v>0</v>
      </c>
      <c r="AL10" s="1026">
        <f t="shared" si="2"/>
        <v>0</v>
      </c>
      <c r="AM10" s="1026">
        <f t="shared" si="2"/>
        <v>0</v>
      </c>
      <c r="AN10" s="1026">
        <f t="shared" si="2"/>
        <v>0</v>
      </c>
      <c r="AO10" s="1026">
        <f t="shared" si="2"/>
        <v>0</v>
      </c>
      <c r="AP10" s="1026">
        <f t="shared" si="2"/>
        <v>0</v>
      </c>
      <c r="AQ10" s="1026">
        <f t="shared" si="2"/>
        <v>0</v>
      </c>
      <c r="AR10" s="1026">
        <f t="shared" si="2"/>
        <v>0</v>
      </c>
      <c r="AS10" s="1026">
        <f t="shared" si="2"/>
        <v>0</v>
      </c>
      <c r="AT10" s="1026">
        <f t="shared" si="2"/>
        <v>0</v>
      </c>
      <c r="AU10" s="1026">
        <f t="shared" si="2"/>
        <v>0</v>
      </c>
      <c r="AV10" s="1026">
        <f t="shared" si="2"/>
        <v>0</v>
      </c>
      <c r="AW10" s="1026">
        <f t="shared" si="2"/>
        <v>0</v>
      </c>
      <c r="AX10" s="1026">
        <f t="shared" si="2"/>
        <v>0.02</v>
      </c>
      <c r="AY10" s="1026">
        <f t="shared" si="2"/>
        <v>0</v>
      </c>
      <c r="AZ10" s="1026">
        <f t="shared" si="2"/>
        <v>0.15000000000000002</v>
      </c>
      <c r="BA10" s="1026">
        <f t="shared" si="2"/>
        <v>0</v>
      </c>
      <c r="BB10" s="1026">
        <f t="shared" si="2"/>
        <v>0</v>
      </c>
      <c r="BC10" s="1026">
        <f t="shared" si="2"/>
        <v>0</v>
      </c>
      <c r="BD10" s="1026">
        <f t="shared" si="2"/>
        <v>0</v>
      </c>
      <c r="BE10" s="1026">
        <f t="shared" si="2"/>
        <v>0</v>
      </c>
      <c r="BF10" s="1026">
        <f t="shared" si="2"/>
        <v>0.12000000000000001</v>
      </c>
      <c r="BG10" s="1027">
        <f t="shared" si="2"/>
        <v>0</v>
      </c>
      <c r="BH10" s="1027">
        <f t="shared" si="2"/>
        <v>0</v>
      </c>
      <c r="BI10" s="1024"/>
      <c r="BJ10" s="1208"/>
      <c r="BK10" s="1209"/>
      <c r="BL10" s="1209"/>
      <c r="BM10" s="1208"/>
      <c r="BN10" s="1208"/>
      <c r="BO10" s="1122"/>
      <c r="BP10" s="1122"/>
      <c r="BQ10" s="1123"/>
      <c r="BR10" s="1123"/>
      <c r="BS10" s="1210"/>
      <c r="BT10" s="1211"/>
    </row>
    <row r="11" spans="1:72" s="1126" customFormat="1" ht="19.5" customHeight="1">
      <c r="A11" s="1023" t="s">
        <v>78</v>
      </c>
      <c r="B11" s="1213" t="s">
        <v>65</v>
      </c>
      <c r="C11" s="1024"/>
      <c r="D11" s="1024"/>
      <c r="E11" s="1024"/>
      <c r="F11" s="1026">
        <f t="shared" si="0"/>
        <v>16</v>
      </c>
      <c r="G11" s="1026">
        <f>G12</f>
        <v>0</v>
      </c>
      <c r="H11" s="1026">
        <f>SUM(J11:BF11)</f>
        <v>16</v>
      </c>
      <c r="I11" s="1026"/>
      <c r="J11" s="1026">
        <f>SUM(J12:J12)</f>
        <v>0</v>
      </c>
      <c r="K11" s="1026">
        <f>SUM(K12:K12)</f>
        <v>0</v>
      </c>
      <c r="L11" s="1026"/>
      <c r="M11" s="1026">
        <f>SUM(M12:M12)</f>
        <v>0.2</v>
      </c>
      <c r="N11" s="1026">
        <f>SUM(N12:N12)</f>
        <v>0</v>
      </c>
      <c r="O11" s="1026">
        <f>SUM(O12:O12)</f>
        <v>0</v>
      </c>
      <c r="P11" s="1026"/>
      <c r="Q11" s="1026"/>
      <c r="R11" s="1026"/>
      <c r="S11" s="1026">
        <f>SUM(S12:S12)</f>
        <v>15.8</v>
      </c>
      <c r="T11" s="1026">
        <f>SUM(T12:T12)</f>
        <v>0</v>
      </c>
      <c r="U11" s="1026">
        <f>SUM(U12:U12)</f>
        <v>0</v>
      </c>
      <c r="V11" s="1026"/>
      <c r="W11" s="1026">
        <f>SUM(W12:W12)</f>
        <v>0</v>
      </c>
      <c r="X11" s="1026"/>
      <c r="Y11" s="1026"/>
      <c r="Z11" s="1026"/>
      <c r="AA11" s="1026">
        <f>SUM(AA12:AA12)</f>
        <v>0</v>
      </c>
      <c r="AB11" s="1026"/>
      <c r="AC11" s="1026">
        <f t="shared" ref="AC11:AI11" si="3">SUM(AC12:AC12)</f>
        <v>0</v>
      </c>
      <c r="AD11" s="1026">
        <f t="shared" si="3"/>
        <v>0</v>
      </c>
      <c r="AE11" s="1026">
        <f t="shared" si="3"/>
        <v>0</v>
      </c>
      <c r="AF11" s="1026">
        <f t="shared" si="3"/>
        <v>0</v>
      </c>
      <c r="AG11" s="1026">
        <f t="shared" si="3"/>
        <v>0</v>
      </c>
      <c r="AH11" s="1026">
        <f t="shared" si="3"/>
        <v>0</v>
      </c>
      <c r="AI11" s="1026">
        <f t="shared" si="3"/>
        <v>0</v>
      </c>
      <c r="AJ11" s="1026"/>
      <c r="AK11" s="1026"/>
      <c r="AL11" s="1026"/>
      <c r="AM11" s="1026"/>
      <c r="AN11" s="1026"/>
      <c r="AO11" s="1026"/>
      <c r="AP11" s="1026"/>
      <c r="AQ11" s="1026"/>
      <c r="AR11" s="1026"/>
      <c r="AS11" s="1026"/>
      <c r="AT11" s="1026">
        <f>SUM(AT12:AT12)</f>
        <v>0</v>
      </c>
      <c r="AU11" s="1026"/>
      <c r="AV11" s="1026"/>
      <c r="AW11" s="1026">
        <f>SUM(AW12:AW12)</f>
        <v>0</v>
      </c>
      <c r="AX11" s="1026">
        <f>SUM(AX12:AX12)</f>
        <v>0</v>
      </c>
      <c r="AY11" s="1026">
        <f>SUM(AY12:AY12)</f>
        <v>0</v>
      </c>
      <c r="AZ11" s="1026">
        <f>SUM(AZ12:AZ12)</f>
        <v>0</v>
      </c>
      <c r="BA11" s="1026"/>
      <c r="BB11" s="1026"/>
      <c r="BC11" s="1026">
        <f>SUM(BC12:BC12)</f>
        <v>0</v>
      </c>
      <c r="BD11" s="1026"/>
      <c r="BE11" s="1026"/>
      <c r="BF11" s="1026">
        <f>SUM(BF12:BF12)</f>
        <v>0</v>
      </c>
      <c r="BG11" s="1027"/>
      <c r="BH11" s="1027"/>
      <c r="BI11" s="1024"/>
      <c r="BJ11" s="1191"/>
      <c r="BK11" s="1214"/>
      <c r="BL11" s="1214"/>
      <c r="BM11" s="1208"/>
      <c r="BN11" s="1208"/>
      <c r="BO11" s="1122"/>
      <c r="BP11" s="1122"/>
      <c r="BQ11" s="1123"/>
      <c r="BR11" s="1123"/>
      <c r="BS11" s="1210"/>
      <c r="BT11" s="1125"/>
    </row>
    <row r="12" spans="1:72" ht="41.45" customHeight="1">
      <c r="A12" s="1028">
        <v>1</v>
      </c>
      <c r="B12" s="1215" t="s">
        <v>3086</v>
      </c>
      <c r="C12" s="1216" t="s">
        <v>3020</v>
      </c>
      <c r="D12" s="1120" t="s">
        <v>3087</v>
      </c>
      <c r="E12" s="1216" t="s">
        <v>26</v>
      </c>
      <c r="F12" s="1029">
        <f t="shared" si="0"/>
        <v>16</v>
      </c>
      <c r="G12" s="1029"/>
      <c r="H12" s="1029">
        <f>SUM(J12:BF12)</f>
        <v>16</v>
      </c>
      <c r="I12" s="1029">
        <v>2030</v>
      </c>
      <c r="J12" s="1029"/>
      <c r="K12" s="1029"/>
      <c r="L12" s="1029"/>
      <c r="M12" s="1029">
        <v>0.2</v>
      </c>
      <c r="N12" s="1029"/>
      <c r="O12" s="1029"/>
      <c r="P12" s="1029"/>
      <c r="Q12" s="1029"/>
      <c r="R12" s="1029"/>
      <c r="S12" s="1029">
        <v>15.8</v>
      </c>
      <c r="T12" s="1029"/>
      <c r="U12" s="1029"/>
      <c r="V12" s="1029"/>
      <c r="W12" s="1029"/>
      <c r="X12" s="1029"/>
      <c r="Y12" s="1029"/>
      <c r="Z12" s="1029"/>
      <c r="AA12" s="1029"/>
      <c r="AB12" s="1029"/>
      <c r="AC12" s="1029"/>
      <c r="AD12" s="1029"/>
      <c r="AE12" s="1029"/>
      <c r="AF12" s="1029"/>
      <c r="AG12" s="1029"/>
      <c r="AH12" s="1029"/>
      <c r="AI12" s="1029"/>
      <c r="AJ12" s="1029"/>
      <c r="AK12" s="1029"/>
      <c r="AL12" s="1029"/>
      <c r="AM12" s="1029"/>
      <c r="AN12" s="1029"/>
      <c r="AO12" s="1029"/>
      <c r="AP12" s="1029"/>
      <c r="AQ12" s="1029"/>
      <c r="AR12" s="1029"/>
      <c r="AS12" s="1029"/>
      <c r="AT12" s="1029"/>
      <c r="AU12" s="1029"/>
      <c r="AV12" s="1029"/>
      <c r="AW12" s="1029"/>
      <c r="AX12" s="1029"/>
      <c r="AY12" s="1029"/>
      <c r="AZ12" s="1029"/>
      <c r="BA12" s="1029"/>
      <c r="BB12" s="1029"/>
      <c r="BC12" s="1029"/>
      <c r="BD12" s="1029"/>
      <c r="BE12" s="1029"/>
      <c r="BF12" s="1029"/>
      <c r="BG12" s="1029"/>
      <c r="BH12" s="1029"/>
      <c r="BI12" s="1216" t="s">
        <v>3088</v>
      </c>
      <c r="BJ12" s="1119" t="s">
        <v>3089</v>
      </c>
      <c r="BK12" s="1120" t="s">
        <v>3090</v>
      </c>
      <c r="BL12" s="1120" t="s">
        <v>1923</v>
      </c>
      <c r="BM12" s="1120" t="s">
        <v>3091</v>
      </c>
      <c r="BN12" s="1120" t="s">
        <v>291</v>
      </c>
      <c r="BP12" s="1121">
        <v>1</v>
      </c>
      <c r="BS12" s="1124" t="s">
        <v>3092</v>
      </c>
      <c r="BT12" s="1118"/>
    </row>
    <row r="13" spans="1:72" s="1126" customFormat="1" ht="22.5" customHeight="1">
      <c r="A13" s="1030" t="s">
        <v>79</v>
      </c>
      <c r="B13" s="1213" t="s">
        <v>66</v>
      </c>
      <c r="C13" s="1193"/>
      <c r="D13" s="1193"/>
      <c r="E13" s="1193"/>
      <c r="F13" s="1026">
        <f t="shared" si="0"/>
        <v>1.78</v>
      </c>
      <c r="G13" s="1026">
        <f>SUM(G14:G16)</f>
        <v>0</v>
      </c>
      <c r="H13" s="1026">
        <f>SUM(H14:H24)</f>
        <v>1.78</v>
      </c>
      <c r="I13" s="1029"/>
      <c r="J13" s="1026">
        <f>SUM(J14:J24)</f>
        <v>0.24</v>
      </c>
      <c r="K13" s="1026">
        <f>SUM(K14:K24)</f>
        <v>0.1</v>
      </c>
      <c r="L13" s="1026"/>
      <c r="M13" s="1026">
        <f>SUM(M14:M24)</f>
        <v>0.21000000000000002</v>
      </c>
      <c r="N13" s="1026">
        <f>SUM(N14:N24)</f>
        <v>0.18000000000000002</v>
      </c>
      <c r="O13" s="1026">
        <f>SUM(O14:O24)</f>
        <v>0</v>
      </c>
      <c r="P13" s="1026"/>
      <c r="Q13" s="1026"/>
      <c r="R13" s="1026"/>
      <c r="S13" s="1026">
        <f>SUM(S14:S24)</f>
        <v>0.56000000000000005</v>
      </c>
      <c r="T13" s="1026">
        <f>SUM(T14:T24)</f>
        <v>0</v>
      </c>
      <c r="U13" s="1026">
        <f>SUM(U14:U24)</f>
        <v>0.03</v>
      </c>
      <c r="V13" s="1026"/>
      <c r="W13" s="1026">
        <f>SUM(W14:W24)</f>
        <v>0</v>
      </c>
      <c r="X13" s="1026"/>
      <c r="Y13" s="1026"/>
      <c r="Z13" s="1026"/>
      <c r="AA13" s="1026">
        <f t="shared" ref="AA13:AJ13" si="4">SUM(AA14:AA24)</f>
        <v>0</v>
      </c>
      <c r="AB13" s="1026">
        <f t="shared" si="4"/>
        <v>0.01</v>
      </c>
      <c r="AC13" s="1026">
        <f t="shared" si="4"/>
        <v>0</v>
      </c>
      <c r="AD13" s="1026">
        <f t="shared" si="4"/>
        <v>0</v>
      </c>
      <c r="AE13" s="1026">
        <f t="shared" si="4"/>
        <v>0.01</v>
      </c>
      <c r="AF13" s="1026">
        <f t="shared" si="4"/>
        <v>0</v>
      </c>
      <c r="AG13" s="1026">
        <f t="shared" si="4"/>
        <v>0</v>
      </c>
      <c r="AH13" s="1026">
        <f t="shared" si="4"/>
        <v>0.01</v>
      </c>
      <c r="AI13" s="1026">
        <f t="shared" si="4"/>
        <v>0.14000000000000001</v>
      </c>
      <c r="AJ13" s="1026">
        <f t="shared" si="4"/>
        <v>0</v>
      </c>
      <c r="AK13" s="1026"/>
      <c r="AL13" s="1026"/>
      <c r="AM13" s="1026"/>
      <c r="AN13" s="1026"/>
      <c r="AO13" s="1026"/>
      <c r="AP13" s="1026"/>
      <c r="AQ13" s="1026">
        <f>SUM(AQ14:AQ24)</f>
        <v>0</v>
      </c>
      <c r="AR13" s="1026"/>
      <c r="AS13" s="1026"/>
      <c r="AT13" s="1026">
        <f>SUM(AT14:AT24)</f>
        <v>0</v>
      </c>
      <c r="AU13" s="1026"/>
      <c r="AV13" s="1026"/>
      <c r="AW13" s="1026">
        <f>SUM(AW14:AW24)</f>
        <v>0</v>
      </c>
      <c r="AX13" s="1026">
        <f>SUM(AX14:AX24)</f>
        <v>0.02</v>
      </c>
      <c r="AY13" s="1026">
        <f>SUM(AY14:AY24)</f>
        <v>0</v>
      </c>
      <c r="AZ13" s="1026">
        <f>SUM(AZ14:AZ24)</f>
        <v>0.15000000000000002</v>
      </c>
      <c r="BA13" s="1026"/>
      <c r="BB13" s="1026">
        <f>SUM(BB14:BB24)</f>
        <v>0</v>
      </c>
      <c r="BC13" s="1026">
        <f>SUM(BC14:BC24)</f>
        <v>0</v>
      </c>
      <c r="BD13" s="1026"/>
      <c r="BE13" s="1026"/>
      <c r="BF13" s="1026">
        <f>SUM(BF14:BF24)</f>
        <v>0.12000000000000001</v>
      </c>
      <c r="BG13" s="1027"/>
      <c r="BH13" s="1027"/>
      <c r="BI13" s="1193"/>
      <c r="BJ13" s="1217"/>
      <c r="BK13" s="1208"/>
      <c r="BL13" s="1208"/>
      <c r="BM13" s="1208"/>
      <c r="BN13" s="1208"/>
      <c r="BO13" s="1122"/>
      <c r="BP13" s="1122"/>
      <c r="BQ13" s="1123"/>
      <c r="BR13" s="1123"/>
      <c r="BS13" s="1210"/>
      <c r="BT13" s="1125"/>
    </row>
    <row r="14" spans="1:72" ht="27.95" customHeight="1">
      <c r="A14" s="1028">
        <f>+A12+1</f>
        <v>2</v>
      </c>
      <c r="B14" s="1130" t="s">
        <v>3093</v>
      </c>
      <c r="C14" s="1127" t="s">
        <v>3027</v>
      </c>
      <c r="D14" s="1120" t="s">
        <v>3087</v>
      </c>
      <c r="E14" s="1118" t="s">
        <v>28</v>
      </c>
      <c r="F14" s="1031">
        <f t="shared" si="0"/>
        <v>0.2</v>
      </c>
      <c r="G14" s="1031"/>
      <c r="H14" s="1029">
        <f t="shared" ref="H14:H20" si="5">SUM(J14:BF14)</f>
        <v>0.2</v>
      </c>
      <c r="I14" s="1029">
        <v>2030</v>
      </c>
      <c r="J14" s="1031"/>
      <c r="K14" s="1031"/>
      <c r="L14" s="1031"/>
      <c r="M14" s="1031"/>
      <c r="N14" s="1031"/>
      <c r="O14" s="1031"/>
      <c r="P14" s="1031"/>
      <c r="Q14" s="1031"/>
      <c r="R14" s="1031"/>
      <c r="S14" s="1029">
        <v>0.2</v>
      </c>
      <c r="T14" s="1031"/>
      <c r="U14" s="1031"/>
      <c r="V14" s="1031"/>
      <c r="W14" s="1031"/>
      <c r="X14" s="1031"/>
      <c r="Y14" s="1031"/>
      <c r="Z14" s="1031"/>
      <c r="AA14" s="1031"/>
      <c r="AB14" s="1031"/>
      <c r="AC14" s="1031"/>
      <c r="AD14" s="1031"/>
      <c r="AE14" s="1031"/>
      <c r="AF14" s="1031"/>
      <c r="AG14" s="1031"/>
      <c r="AH14" s="1031"/>
      <c r="AI14" s="1031"/>
      <c r="AJ14" s="1031"/>
      <c r="AK14" s="1031"/>
      <c r="AL14" s="1031"/>
      <c r="AM14" s="1031"/>
      <c r="AN14" s="1031"/>
      <c r="AO14" s="1031"/>
      <c r="AP14" s="1031"/>
      <c r="AQ14" s="1031"/>
      <c r="AR14" s="1031"/>
      <c r="AS14" s="1031"/>
      <c r="AT14" s="1031"/>
      <c r="AU14" s="1031"/>
      <c r="AV14" s="1031"/>
      <c r="AW14" s="1031"/>
      <c r="AX14" s="1031"/>
      <c r="AY14" s="1031"/>
      <c r="AZ14" s="1031"/>
      <c r="BA14" s="1031"/>
      <c r="BB14" s="1031"/>
      <c r="BC14" s="1031"/>
      <c r="BD14" s="1031"/>
      <c r="BE14" s="1031"/>
      <c r="BF14" s="1031"/>
      <c r="BG14" s="1031"/>
      <c r="BH14" s="1031"/>
      <c r="BI14" s="1127" t="s">
        <v>3094</v>
      </c>
      <c r="BJ14" s="1120" t="s">
        <v>3095</v>
      </c>
      <c r="BK14" s="1604" t="s">
        <v>3096</v>
      </c>
      <c r="BL14" s="1120" t="s">
        <v>1917</v>
      </c>
      <c r="BM14" s="1120" t="s">
        <v>3097</v>
      </c>
      <c r="BN14" s="1120" t="s">
        <v>291</v>
      </c>
      <c r="BP14" s="1121">
        <v>1</v>
      </c>
      <c r="BS14" s="1124" t="s">
        <v>3092</v>
      </c>
      <c r="BT14" s="1118"/>
    </row>
    <row r="15" spans="1:72" s="1126" customFormat="1" ht="32.1" customHeight="1">
      <c r="A15" s="1028">
        <f>+A14+1</f>
        <v>3</v>
      </c>
      <c r="B15" s="1215" t="s">
        <v>3098</v>
      </c>
      <c r="C15" s="1216" t="s">
        <v>3013</v>
      </c>
      <c r="D15" s="1120" t="s">
        <v>3087</v>
      </c>
      <c r="E15" s="1118" t="s">
        <v>28</v>
      </c>
      <c r="F15" s="1029">
        <f t="shared" si="0"/>
        <v>0.08</v>
      </c>
      <c r="G15" s="1029"/>
      <c r="H15" s="1029">
        <f t="shared" si="5"/>
        <v>0.08</v>
      </c>
      <c r="I15" s="1029">
        <v>2030</v>
      </c>
      <c r="J15" s="1029"/>
      <c r="K15" s="1029"/>
      <c r="L15" s="1029"/>
      <c r="M15" s="1029"/>
      <c r="N15" s="1029"/>
      <c r="O15" s="1029"/>
      <c r="P15" s="1029"/>
      <c r="Q15" s="1029"/>
      <c r="R15" s="1029"/>
      <c r="S15" s="1029"/>
      <c r="T15" s="1029"/>
      <c r="U15" s="1029"/>
      <c r="V15" s="1029"/>
      <c r="W15" s="1029"/>
      <c r="X15" s="1029"/>
      <c r="Y15" s="1029"/>
      <c r="Z15" s="1029"/>
      <c r="AA15" s="1029"/>
      <c r="AB15" s="1029"/>
      <c r="AC15" s="1029"/>
      <c r="AD15" s="1029"/>
      <c r="AE15" s="1029"/>
      <c r="AF15" s="1029"/>
      <c r="AG15" s="1029"/>
      <c r="AH15" s="1029">
        <v>0.01</v>
      </c>
      <c r="AI15" s="1029"/>
      <c r="AJ15" s="1029"/>
      <c r="AK15" s="1029"/>
      <c r="AL15" s="1029"/>
      <c r="AM15" s="1029"/>
      <c r="AN15" s="1029"/>
      <c r="AO15" s="1029"/>
      <c r="AP15" s="1029"/>
      <c r="AQ15" s="1029"/>
      <c r="AR15" s="1029"/>
      <c r="AS15" s="1029"/>
      <c r="AT15" s="1029"/>
      <c r="AU15" s="1029"/>
      <c r="AV15" s="1029"/>
      <c r="AW15" s="1029"/>
      <c r="AX15" s="1029"/>
      <c r="AY15" s="1029"/>
      <c r="AZ15" s="1029">
        <v>7.0000000000000007E-2</v>
      </c>
      <c r="BA15" s="1029"/>
      <c r="BB15" s="1029"/>
      <c r="BC15" s="1029"/>
      <c r="BD15" s="1029"/>
      <c r="BE15" s="1029"/>
      <c r="BF15" s="1029"/>
      <c r="BG15" s="1029"/>
      <c r="BH15" s="1029"/>
      <c r="BI15" s="1216" t="s">
        <v>3099</v>
      </c>
      <c r="BJ15" s="1120" t="s">
        <v>3100</v>
      </c>
      <c r="BK15" s="1604"/>
      <c r="BL15" s="1120" t="s">
        <v>1923</v>
      </c>
      <c r="BM15" s="1120" t="s">
        <v>3101</v>
      </c>
      <c r="BN15" s="1120" t="s">
        <v>298</v>
      </c>
      <c r="BO15" s="1121"/>
      <c r="BP15" s="1121">
        <v>1</v>
      </c>
      <c r="BQ15" s="1179"/>
      <c r="BR15" s="1179"/>
      <c r="BS15" s="1124" t="s">
        <v>3092</v>
      </c>
      <c r="BT15" s="1125"/>
    </row>
    <row r="16" spans="1:72" s="1126" customFormat="1" ht="27.95" customHeight="1">
      <c r="A16" s="1028">
        <f>+A15+1</f>
        <v>4</v>
      </c>
      <c r="B16" s="1215" t="s">
        <v>3102</v>
      </c>
      <c r="C16" s="1216" t="s">
        <v>3023</v>
      </c>
      <c r="D16" s="1120" t="s">
        <v>3087</v>
      </c>
      <c r="E16" s="1118" t="s">
        <v>28</v>
      </c>
      <c r="F16" s="1029">
        <f t="shared" si="0"/>
        <v>0.12</v>
      </c>
      <c r="G16" s="1029"/>
      <c r="H16" s="1029">
        <f t="shared" si="5"/>
        <v>0.12</v>
      </c>
      <c r="I16" s="1029">
        <v>2030</v>
      </c>
      <c r="J16" s="1029"/>
      <c r="K16" s="1029">
        <v>0.04</v>
      </c>
      <c r="L16" s="1029"/>
      <c r="M16" s="1029">
        <v>0.05</v>
      </c>
      <c r="N16" s="1029"/>
      <c r="O16" s="1029"/>
      <c r="P16" s="1029"/>
      <c r="Q16" s="1029"/>
      <c r="R16" s="1029"/>
      <c r="S16" s="1029"/>
      <c r="T16" s="1029"/>
      <c r="U16" s="1029">
        <v>0.02</v>
      </c>
      <c r="V16" s="1029"/>
      <c r="W16" s="1029"/>
      <c r="X16" s="1029"/>
      <c r="Y16" s="1029"/>
      <c r="Z16" s="1029"/>
      <c r="AA16" s="1029"/>
      <c r="AB16" s="1029"/>
      <c r="AC16" s="1029"/>
      <c r="AD16" s="1029"/>
      <c r="AE16" s="1029"/>
      <c r="AF16" s="1029"/>
      <c r="AG16" s="1029"/>
      <c r="AH16" s="1029"/>
      <c r="AI16" s="1029"/>
      <c r="AJ16" s="1029"/>
      <c r="AK16" s="1029"/>
      <c r="AL16" s="1029"/>
      <c r="AM16" s="1029"/>
      <c r="AN16" s="1029"/>
      <c r="AO16" s="1029"/>
      <c r="AP16" s="1029"/>
      <c r="AQ16" s="1029"/>
      <c r="AR16" s="1029"/>
      <c r="AS16" s="1029"/>
      <c r="AT16" s="1029"/>
      <c r="AU16" s="1029"/>
      <c r="AV16" s="1029"/>
      <c r="AW16" s="1029"/>
      <c r="AX16" s="1029"/>
      <c r="AY16" s="1029"/>
      <c r="AZ16" s="1029"/>
      <c r="BA16" s="1029"/>
      <c r="BB16" s="1029"/>
      <c r="BC16" s="1029"/>
      <c r="BD16" s="1029"/>
      <c r="BE16" s="1029"/>
      <c r="BF16" s="1029">
        <v>0.01</v>
      </c>
      <c r="BG16" s="1029"/>
      <c r="BH16" s="1029"/>
      <c r="BI16" s="1216" t="s">
        <v>3103</v>
      </c>
      <c r="BJ16" s="1120" t="s">
        <v>3104</v>
      </c>
      <c r="BK16" s="1604"/>
      <c r="BL16" s="1120" t="s">
        <v>1917</v>
      </c>
      <c r="BM16" s="1120" t="s">
        <v>3105</v>
      </c>
      <c r="BN16" s="1120" t="s">
        <v>291</v>
      </c>
      <c r="BO16" s="1121"/>
      <c r="BP16" s="1121">
        <v>1</v>
      </c>
      <c r="BQ16" s="1179" t="s">
        <v>3106</v>
      </c>
      <c r="BR16" s="1179" t="s">
        <v>3107</v>
      </c>
      <c r="BS16" s="1124" t="s">
        <v>3108</v>
      </c>
      <c r="BT16" s="1125"/>
    </row>
    <row r="17" spans="1:72" s="1126" customFormat="1" ht="35.25" customHeight="1">
      <c r="A17" s="1028">
        <f>A16+1</f>
        <v>5</v>
      </c>
      <c r="B17" s="1130" t="s">
        <v>3109</v>
      </c>
      <c r="C17" s="1032" t="s">
        <v>3015</v>
      </c>
      <c r="D17" s="1120" t="s">
        <v>3087</v>
      </c>
      <c r="E17" s="1120" t="s">
        <v>28</v>
      </c>
      <c r="F17" s="1029">
        <f t="shared" si="0"/>
        <v>0.19</v>
      </c>
      <c r="G17" s="1031"/>
      <c r="H17" s="1029">
        <f t="shared" si="5"/>
        <v>0.19</v>
      </c>
      <c r="I17" s="1029">
        <v>2030</v>
      </c>
      <c r="J17" s="1029"/>
      <c r="K17" s="1029"/>
      <c r="L17" s="1029"/>
      <c r="M17" s="1029"/>
      <c r="N17" s="1031"/>
      <c r="O17" s="1029"/>
      <c r="P17" s="1029"/>
      <c r="Q17" s="1029"/>
      <c r="R17" s="1029"/>
      <c r="S17" s="1029">
        <v>0.19</v>
      </c>
      <c r="T17" s="1029"/>
      <c r="U17" s="1029"/>
      <c r="V17" s="1029"/>
      <c r="W17" s="1029"/>
      <c r="X17" s="1029"/>
      <c r="Y17" s="1029"/>
      <c r="Z17" s="1029"/>
      <c r="AA17" s="1029"/>
      <c r="AB17" s="1029"/>
      <c r="AC17" s="1029"/>
      <c r="AD17" s="1029"/>
      <c r="AE17" s="1029"/>
      <c r="AF17" s="1029"/>
      <c r="AG17" s="1029"/>
      <c r="AH17" s="1029"/>
      <c r="AI17" s="1029"/>
      <c r="AJ17" s="1029"/>
      <c r="AK17" s="1029"/>
      <c r="AL17" s="1029"/>
      <c r="AM17" s="1029"/>
      <c r="AN17" s="1029"/>
      <c r="AO17" s="1029"/>
      <c r="AP17" s="1029"/>
      <c r="AQ17" s="1029"/>
      <c r="AR17" s="1029"/>
      <c r="AS17" s="1029"/>
      <c r="AT17" s="1029"/>
      <c r="AU17" s="1029"/>
      <c r="AV17" s="1029"/>
      <c r="AW17" s="1029"/>
      <c r="AX17" s="1029"/>
      <c r="AY17" s="1029"/>
      <c r="AZ17" s="1029"/>
      <c r="BA17" s="1029"/>
      <c r="BB17" s="1029"/>
      <c r="BC17" s="1029"/>
      <c r="BD17" s="1029"/>
      <c r="BE17" s="1029"/>
      <c r="BF17" s="1029"/>
      <c r="BG17" s="1029"/>
      <c r="BH17" s="1029"/>
      <c r="BI17" s="1032" t="s">
        <v>3110</v>
      </c>
      <c r="BJ17" s="1120" t="s">
        <v>3111</v>
      </c>
      <c r="BK17" s="1604"/>
      <c r="BL17" s="1120" t="s">
        <v>1923</v>
      </c>
      <c r="BM17" s="1120" t="s">
        <v>3101</v>
      </c>
      <c r="BN17" s="1120" t="s">
        <v>298</v>
      </c>
      <c r="BO17" s="1121"/>
      <c r="BP17" s="1121">
        <v>1</v>
      </c>
      <c r="BQ17" s="1179"/>
      <c r="BR17" s="1179"/>
      <c r="BS17" s="1124" t="s">
        <v>3092</v>
      </c>
      <c r="BT17" s="1125"/>
    </row>
    <row r="18" spans="1:72" s="1126" customFormat="1" ht="31.5" customHeight="1">
      <c r="A18" s="1028">
        <f t="shared" ref="A18:A24" si="6">A17+1</f>
        <v>6</v>
      </c>
      <c r="B18" s="1219" t="s">
        <v>3112</v>
      </c>
      <c r="C18" s="1032" t="s">
        <v>3113</v>
      </c>
      <c r="D18" s="1120" t="s">
        <v>3087</v>
      </c>
      <c r="E18" s="1120" t="s">
        <v>28</v>
      </c>
      <c r="F18" s="1029">
        <f t="shared" si="0"/>
        <v>0.18</v>
      </c>
      <c r="G18" s="1031"/>
      <c r="H18" s="1029">
        <f t="shared" si="5"/>
        <v>0.18</v>
      </c>
      <c r="I18" s="1029">
        <v>2030</v>
      </c>
      <c r="J18" s="1029"/>
      <c r="K18" s="1029"/>
      <c r="L18" s="1029"/>
      <c r="M18" s="1029"/>
      <c r="N18" s="1031"/>
      <c r="O18" s="1029"/>
      <c r="P18" s="1029"/>
      <c r="Q18" s="1029"/>
      <c r="R18" s="1029"/>
      <c r="S18" s="1029">
        <v>0.12</v>
      </c>
      <c r="T18" s="1029"/>
      <c r="U18" s="1029"/>
      <c r="V18" s="1029"/>
      <c r="W18" s="1029"/>
      <c r="X18" s="1029"/>
      <c r="Y18" s="1029"/>
      <c r="Z18" s="1029"/>
      <c r="AA18" s="1029"/>
      <c r="AB18" s="1029">
        <v>0.01</v>
      </c>
      <c r="AC18" s="1029"/>
      <c r="AD18" s="1029"/>
      <c r="AE18" s="1029"/>
      <c r="AF18" s="1029"/>
      <c r="AG18" s="1029"/>
      <c r="AH18" s="1029"/>
      <c r="AI18" s="1029"/>
      <c r="AJ18" s="1029"/>
      <c r="AK18" s="1029"/>
      <c r="AL18" s="1029"/>
      <c r="AM18" s="1029"/>
      <c r="AN18" s="1029"/>
      <c r="AO18" s="1029"/>
      <c r="AP18" s="1029"/>
      <c r="AQ18" s="1029"/>
      <c r="AR18" s="1029"/>
      <c r="AS18" s="1029"/>
      <c r="AT18" s="1029"/>
      <c r="AU18" s="1029"/>
      <c r="AV18" s="1029"/>
      <c r="AW18" s="1029"/>
      <c r="AX18" s="1029">
        <v>0.02</v>
      </c>
      <c r="AY18" s="1029"/>
      <c r="AZ18" s="1029">
        <v>0.02</v>
      </c>
      <c r="BA18" s="1029"/>
      <c r="BB18" s="1029"/>
      <c r="BC18" s="1029"/>
      <c r="BD18" s="1029"/>
      <c r="BE18" s="1029"/>
      <c r="BF18" s="1029">
        <v>0.01</v>
      </c>
      <c r="BG18" s="1029"/>
      <c r="BH18" s="1029"/>
      <c r="BI18" s="1032" t="s">
        <v>3114</v>
      </c>
      <c r="BJ18" s="1119" t="s">
        <v>3115</v>
      </c>
      <c r="BK18" s="1604"/>
      <c r="BL18" s="1120" t="s">
        <v>1917</v>
      </c>
      <c r="BM18" s="1120" t="s">
        <v>3105</v>
      </c>
      <c r="BN18" s="1120" t="s">
        <v>291</v>
      </c>
      <c r="BO18" s="1121"/>
      <c r="BP18" s="1121">
        <v>1</v>
      </c>
      <c r="BQ18" s="1179"/>
      <c r="BR18" s="1179"/>
      <c r="BS18" s="1124" t="s">
        <v>3092</v>
      </c>
      <c r="BT18" s="1125"/>
    </row>
    <row r="19" spans="1:72" s="1126" customFormat="1" ht="32.1" customHeight="1">
      <c r="A19" s="1028">
        <f t="shared" si="6"/>
        <v>7</v>
      </c>
      <c r="B19" s="1130" t="s">
        <v>3116</v>
      </c>
      <c r="C19" s="1032" t="s">
        <v>3020</v>
      </c>
      <c r="D19" s="1120" t="s">
        <v>3087</v>
      </c>
      <c r="E19" s="1120" t="s">
        <v>28</v>
      </c>
      <c r="F19" s="1029">
        <f t="shared" si="0"/>
        <v>0.16</v>
      </c>
      <c r="G19" s="1031"/>
      <c r="H19" s="1029">
        <f t="shared" si="5"/>
        <v>0.16</v>
      </c>
      <c r="I19" s="1029">
        <v>2030</v>
      </c>
      <c r="J19" s="1029"/>
      <c r="K19" s="1029"/>
      <c r="L19" s="1029"/>
      <c r="M19" s="1029">
        <v>0.02</v>
      </c>
      <c r="N19" s="1031">
        <v>0.14000000000000001</v>
      </c>
      <c r="O19" s="1029"/>
      <c r="P19" s="1029"/>
      <c r="Q19" s="1029"/>
      <c r="R19" s="1029"/>
      <c r="S19" s="1029"/>
      <c r="T19" s="1029"/>
      <c r="U19" s="1029"/>
      <c r="V19" s="1029"/>
      <c r="W19" s="1029"/>
      <c r="X19" s="1029"/>
      <c r="Y19" s="1029"/>
      <c r="Z19" s="1029"/>
      <c r="AA19" s="1029"/>
      <c r="AB19" s="1029"/>
      <c r="AC19" s="1029"/>
      <c r="AD19" s="1029"/>
      <c r="AE19" s="1029"/>
      <c r="AF19" s="1029"/>
      <c r="AG19" s="1029"/>
      <c r="AH19" s="1029"/>
      <c r="AI19" s="1029"/>
      <c r="AJ19" s="1029"/>
      <c r="AK19" s="1029"/>
      <c r="AL19" s="1029"/>
      <c r="AM19" s="1029"/>
      <c r="AN19" s="1029"/>
      <c r="AO19" s="1029"/>
      <c r="AP19" s="1029"/>
      <c r="AQ19" s="1029"/>
      <c r="AR19" s="1029"/>
      <c r="AS19" s="1029"/>
      <c r="AT19" s="1029"/>
      <c r="AU19" s="1029"/>
      <c r="AV19" s="1029"/>
      <c r="AW19" s="1029"/>
      <c r="AX19" s="1029"/>
      <c r="AY19" s="1029"/>
      <c r="AZ19" s="1029"/>
      <c r="BA19" s="1029"/>
      <c r="BB19" s="1029"/>
      <c r="BC19" s="1029"/>
      <c r="BD19" s="1029"/>
      <c r="BE19" s="1029"/>
      <c r="BF19" s="1029"/>
      <c r="BG19" s="1029"/>
      <c r="BH19" s="1029"/>
      <c r="BI19" s="1032" t="s">
        <v>3117</v>
      </c>
      <c r="BJ19" s="1120" t="s">
        <v>3118</v>
      </c>
      <c r="BK19" s="1604"/>
      <c r="BL19" s="1120" t="s">
        <v>1917</v>
      </c>
      <c r="BM19" s="1120" t="s">
        <v>3119</v>
      </c>
      <c r="BN19" s="1120" t="s">
        <v>291</v>
      </c>
      <c r="BO19" s="1121"/>
      <c r="BP19" s="1121">
        <v>1</v>
      </c>
      <c r="BQ19" s="1179"/>
      <c r="BR19" s="1179"/>
      <c r="BS19" s="1124" t="s">
        <v>3092</v>
      </c>
      <c r="BT19" s="1125"/>
    </row>
    <row r="20" spans="1:72" s="1126" customFormat="1" ht="26.25" customHeight="1">
      <c r="A20" s="1028">
        <f t="shared" si="6"/>
        <v>8</v>
      </c>
      <c r="B20" s="1130" t="s">
        <v>3120</v>
      </c>
      <c r="C20" s="1032" t="s">
        <v>3028</v>
      </c>
      <c r="D20" s="1120" t="s">
        <v>3087</v>
      </c>
      <c r="E20" s="1120" t="s">
        <v>28</v>
      </c>
      <c r="F20" s="1029">
        <f t="shared" si="0"/>
        <v>0.21000000000000002</v>
      </c>
      <c r="G20" s="1031"/>
      <c r="H20" s="1029">
        <f t="shared" si="5"/>
        <v>0.21000000000000002</v>
      </c>
      <c r="I20" s="1029">
        <v>2030</v>
      </c>
      <c r="J20" s="1029">
        <v>7.0000000000000007E-2</v>
      </c>
      <c r="K20" s="1029">
        <v>0.01</v>
      </c>
      <c r="L20" s="1029"/>
      <c r="M20" s="1029">
        <v>0.08</v>
      </c>
      <c r="N20" s="1031">
        <v>0.04</v>
      </c>
      <c r="O20" s="1029"/>
      <c r="P20" s="1029"/>
      <c r="Q20" s="1029"/>
      <c r="R20" s="1029"/>
      <c r="S20" s="1029"/>
      <c r="T20" s="1029"/>
      <c r="U20" s="1029"/>
      <c r="V20" s="1029"/>
      <c r="W20" s="1029"/>
      <c r="X20" s="1029"/>
      <c r="Y20" s="1029"/>
      <c r="Z20" s="1029"/>
      <c r="AA20" s="1029"/>
      <c r="AB20" s="1029"/>
      <c r="AC20" s="1029"/>
      <c r="AD20" s="1029"/>
      <c r="AE20" s="1029">
        <v>0.01</v>
      </c>
      <c r="AF20" s="1029"/>
      <c r="AG20" s="1029"/>
      <c r="AH20" s="1029"/>
      <c r="AI20" s="1029"/>
      <c r="AJ20" s="1029"/>
      <c r="AK20" s="1029"/>
      <c r="AL20" s="1029"/>
      <c r="AM20" s="1029"/>
      <c r="AN20" s="1029"/>
      <c r="AO20" s="1029"/>
      <c r="AP20" s="1029"/>
      <c r="AQ20" s="1029"/>
      <c r="AR20" s="1029"/>
      <c r="AS20" s="1029"/>
      <c r="AT20" s="1029"/>
      <c r="AU20" s="1029"/>
      <c r="AV20" s="1029"/>
      <c r="AW20" s="1029"/>
      <c r="AX20" s="1029"/>
      <c r="AY20" s="1029"/>
      <c r="AZ20" s="1029"/>
      <c r="BA20" s="1029"/>
      <c r="BB20" s="1029"/>
      <c r="BC20" s="1029"/>
      <c r="BD20" s="1029"/>
      <c r="BE20" s="1029"/>
      <c r="BF20" s="1029"/>
      <c r="BG20" s="1029"/>
      <c r="BH20" s="1029"/>
      <c r="BI20" s="1032" t="s">
        <v>3121</v>
      </c>
      <c r="BJ20" s="1120" t="s">
        <v>3122</v>
      </c>
      <c r="BK20" s="1604"/>
      <c r="BL20" s="1120" t="s">
        <v>1923</v>
      </c>
      <c r="BM20" s="1120" t="s">
        <v>3101</v>
      </c>
      <c r="BN20" s="1120" t="s">
        <v>298</v>
      </c>
      <c r="BO20" s="1121"/>
      <c r="BP20" s="1121">
        <v>1</v>
      </c>
      <c r="BQ20" s="1179"/>
      <c r="BR20" s="1179"/>
      <c r="BS20" s="1124" t="s">
        <v>3092</v>
      </c>
      <c r="BT20" s="1125"/>
    </row>
    <row r="21" spans="1:72" s="1126" customFormat="1" ht="32.1" customHeight="1">
      <c r="A21" s="1028">
        <f t="shared" si="6"/>
        <v>9</v>
      </c>
      <c r="B21" s="1117" t="s">
        <v>3123</v>
      </c>
      <c r="C21" s="1032" t="s">
        <v>3017</v>
      </c>
      <c r="D21" s="1120" t="s">
        <v>3087</v>
      </c>
      <c r="E21" s="1118" t="s">
        <v>28</v>
      </c>
      <c r="F21" s="1029">
        <f t="shared" si="0"/>
        <v>0.13</v>
      </c>
      <c r="G21" s="1029"/>
      <c r="H21" s="1029">
        <f>SUM(J21:BI21)</f>
        <v>0.13</v>
      </c>
      <c r="I21" s="1029">
        <v>2030</v>
      </c>
      <c r="J21" s="1033">
        <v>0.11</v>
      </c>
      <c r="K21" s="1033"/>
      <c r="L21" s="1033"/>
      <c r="M21" s="1033">
        <v>0.02</v>
      </c>
      <c r="N21" s="1029"/>
      <c r="O21" s="1029"/>
      <c r="P21" s="1029"/>
      <c r="Q21" s="1029"/>
      <c r="R21" s="1029"/>
      <c r="S21" s="1029"/>
      <c r="T21" s="1029"/>
      <c r="U21" s="1029"/>
      <c r="V21" s="1029"/>
      <c r="W21" s="1029"/>
      <c r="X21" s="1029"/>
      <c r="Y21" s="1029"/>
      <c r="Z21" s="1029"/>
      <c r="AA21" s="1029"/>
      <c r="AB21" s="1029"/>
      <c r="AC21" s="1029"/>
      <c r="AD21" s="1029"/>
      <c r="AE21" s="1029"/>
      <c r="AF21" s="1029"/>
      <c r="AG21" s="1029"/>
      <c r="AH21" s="1029"/>
      <c r="AI21" s="1029"/>
      <c r="AJ21" s="1029"/>
      <c r="AK21" s="1029"/>
      <c r="AL21" s="1029"/>
      <c r="AM21" s="1029"/>
      <c r="AN21" s="1029"/>
      <c r="AO21" s="1029"/>
      <c r="AP21" s="1029"/>
      <c r="AQ21" s="1029"/>
      <c r="AR21" s="1029"/>
      <c r="AS21" s="1029"/>
      <c r="AT21" s="1029"/>
      <c r="AU21" s="1029"/>
      <c r="AV21" s="1029"/>
      <c r="AW21" s="1029"/>
      <c r="AX21" s="1029"/>
      <c r="AY21" s="1029"/>
      <c r="AZ21" s="1029"/>
      <c r="BA21" s="1029"/>
      <c r="BB21" s="1029"/>
      <c r="BC21" s="1029"/>
      <c r="BD21" s="1029"/>
      <c r="BE21" s="1029"/>
      <c r="BF21" s="1029"/>
      <c r="BG21" s="1029"/>
      <c r="BH21" s="1029"/>
      <c r="BI21" s="1032" t="s">
        <v>3124</v>
      </c>
      <c r="BJ21" s="1120" t="s">
        <v>3125</v>
      </c>
      <c r="BK21" s="1604"/>
      <c r="BL21" s="1120" t="s">
        <v>1923</v>
      </c>
      <c r="BM21" s="1120" t="s">
        <v>3101</v>
      </c>
      <c r="BN21" s="1120" t="s">
        <v>298</v>
      </c>
      <c r="BO21" s="1121"/>
      <c r="BP21" s="1121">
        <v>1</v>
      </c>
      <c r="BQ21" s="1179" t="s">
        <v>3126</v>
      </c>
      <c r="BR21" s="1179" t="s">
        <v>3127</v>
      </c>
      <c r="BS21" s="1124"/>
      <c r="BT21" s="1125"/>
    </row>
    <row r="22" spans="1:72" s="1126" customFormat="1" ht="33" customHeight="1">
      <c r="A22" s="1028">
        <f t="shared" si="6"/>
        <v>10</v>
      </c>
      <c r="B22" s="1117" t="s">
        <v>3128</v>
      </c>
      <c r="C22" s="1032" t="s">
        <v>3018</v>
      </c>
      <c r="D22" s="1120" t="s">
        <v>3087</v>
      </c>
      <c r="E22" s="1118" t="s">
        <v>28</v>
      </c>
      <c r="F22" s="1029">
        <f t="shared" si="0"/>
        <v>0.17</v>
      </c>
      <c r="G22" s="1029"/>
      <c r="H22" s="1029">
        <f>SUM(J22:BI22)</f>
        <v>0.17</v>
      </c>
      <c r="I22" s="1029">
        <v>2030</v>
      </c>
      <c r="J22" s="1029"/>
      <c r="K22" s="1029">
        <v>0.05</v>
      </c>
      <c r="L22" s="1029"/>
      <c r="M22" s="1029"/>
      <c r="N22" s="1029"/>
      <c r="O22" s="1029"/>
      <c r="P22" s="1029"/>
      <c r="Q22" s="1029"/>
      <c r="R22" s="1029"/>
      <c r="S22" s="1029">
        <v>0.05</v>
      </c>
      <c r="T22" s="1029"/>
      <c r="U22" s="1029"/>
      <c r="V22" s="1029"/>
      <c r="W22" s="1029"/>
      <c r="X22" s="1029"/>
      <c r="Y22" s="1029"/>
      <c r="Z22" s="1029"/>
      <c r="AA22" s="1029"/>
      <c r="AB22" s="1029"/>
      <c r="AC22" s="1029"/>
      <c r="AD22" s="1029"/>
      <c r="AE22" s="1029"/>
      <c r="AF22" s="1029"/>
      <c r="AG22" s="1029"/>
      <c r="AH22" s="1029"/>
      <c r="AI22" s="1029"/>
      <c r="AJ22" s="1029"/>
      <c r="AK22" s="1029"/>
      <c r="AL22" s="1029"/>
      <c r="AM22" s="1029"/>
      <c r="AN22" s="1029"/>
      <c r="AO22" s="1029"/>
      <c r="AP22" s="1029"/>
      <c r="AQ22" s="1029"/>
      <c r="AR22" s="1029"/>
      <c r="AS22" s="1029"/>
      <c r="AT22" s="1029"/>
      <c r="AU22" s="1029"/>
      <c r="AV22" s="1029"/>
      <c r="AW22" s="1029"/>
      <c r="AX22" s="1029"/>
      <c r="AY22" s="1029"/>
      <c r="AZ22" s="1029"/>
      <c r="BA22" s="1029"/>
      <c r="BB22" s="1029"/>
      <c r="BC22" s="1029"/>
      <c r="BD22" s="1029"/>
      <c r="BE22" s="1029"/>
      <c r="BF22" s="1029">
        <v>7.0000000000000007E-2</v>
      </c>
      <c r="BG22" s="1029"/>
      <c r="BH22" s="1029"/>
      <c r="BI22" s="1032" t="s">
        <v>3129</v>
      </c>
      <c r="BJ22" s="1120" t="s">
        <v>3130</v>
      </c>
      <c r="BK22" s="1604"/>
      <c r="BL22" s="1120" t="s">
        <v>1923</v>
      </c>
      <c r="BM22" s="1120" t="s">
        <v>3101</v>
      </c>
      <c r="BN22" s="1120" t="s">
        <v>298</v>
      </c>
      <c r="BO22" s="1121"/>
      <c r="BP22" s="1121">
        <v>1</v>
      </c>
      <c r="BQ22" s="1179"/>
      <c r="BR22" s="1179"/>
      <c r="BS22" s="1124" t="s">
        <v>3092</v>
      </c>
      <c r="BT22" s="1125"/>
    </row>
    <row r="23" spans="1:72" s="1126" customFormat="1" ht="29.1" customHeight="1">
      <c r="A23" s="1028">
        <f t="shared" si="6"/>
        <v>11</v>
      </c>
      <c r="B23" s="1117" t="s">
        <v>3131</v>
      </c>
      <c r="C23" s="1032" t="s">
        <v>3011</v>
      </c>
      <c r="D23" s="1120" t="s">
        <v>3087</v>
      </c>
      <c r="E23" s="1120" t="s">
        <v>28</v>
      </c>
      <c r="F23" s="1029">
        <f t="shared" si="0"/>
        <v>0.14000000000000001</v>
      </c>
      <c r="G23" s="1029"/>
      <c r="H23" s="1029">
        <f>SUM(J23:BI23)</f>
        <v>0.14000000000000001</v>
      </c>
      <c r="I23" s="1029">
        <v>2030</v>
      </c>
      <c r="J23" s="1029"/>
      <c r="K23" s="1029"/>
      <c r="L23" s="1029"/>
      <c r="M23" s="1029"/>
      <c r="N23" s="1029"/>
      <c r="O23" s="1029"/>
      <c r="P23" s="1029"/>
      <c r="Q23" s="1029"/>
      <c r="R23" s="1029"/>
      <c r="S23" s="1029"/>
      <c r="T23" s="1029"/>
      <c r="U23" s="1029"/>
      <c r="V23" s="1029"/>
      <c r="W23" s="1029"/>
      <c r="X23" s="1029"/>
      <c r="Y23" s="1029"/>
      <c r="Z23" s="1029"/>
      <c r="AA23" s="1029"/>
      <c r="AB23" s="1029"/>
      <c r="AC23" s="1029"/>
      <c r="AD23" s="1029"/>
      <c r="AE23" s="1029"/>
      <c r="AF23" s="1029"/>
      <c r="AG23" s="1029"/>
      <c r="AH23" s="1029"/>
      <c r="AI23" s="1029">
        <v>0.14000000000000001</v>
      </c>
      <c r="AJ23" s="1029"/>
      <c r="AK23" s="1029"/>
      <c r="AL23" s="1029"/>
      <c r="AM23" s="1029"/>
      <c r="AN23" s="1029"/>
      <c r="AO23" s="1029"/>
      <c r="AP23" s="1029"/>
      <c r="AQ23" s="1029"/>
      <c r="AR23" s="1029"/>
      <c r="AS23" s="1029"/>
      <c r="AT23" s="1029"/>
      <c r="AU23" s="1029"/>
      <c r="AV23" s="1029"/>
      <c r="AW23" s="1029"/>
      <c r="AX23" s="1029"/>
      <c r="AY23" s="1029"/>
      <c r="AZ23" s="1029"/>
      <c r="BA23" s="1029"/>
      <c r="BB23" s="1029"/>
      <c r="BC23" s="1029"/>
      <c r="BD23" s="1029"/>
      <c r="BE23" s="1029"/>
      <c r="BF23" s="1029"/>
      <c r="BG23" s="1029"/>
      <c r="BH23" s="1029"/>
      <c r="BI23" s="1032" t="s">
        <v>3132</v>
      </c>
      <c r="BJ23" s="1119" t="s">
        <v>3133</v>
      </c>
      <c r="BK23" s="1604"/>
      <c r="BL23" s="1120" t="s">
        <v>1923</v>
      </c>
      <c r="BM23" s="1120" t="s">
        <v>3101</v>
      </c>
      <c r="BN23" s="1120" t="s">
        <v>298</v>
      </c>
      <c r="BO23" s="1121"/>
      <c r="BP23" s="1121">
        <v>1</v>
      </c>
      <c r="BQ23" s="1179" t="s">
        <v>3106</v>
      </c>
      <c r="BR23" s="1179" t="s">
        <v>3134</v>
      </c>
      <c r="BS23" s="1124"/>
      <c r="BT23" s="1125"/>
    </row>
    <row r="24" spans="1:72" s="1126" customFormat="1" ht="31.5" customHeight="1">
      <c r="A24" s="1028">
        <f t="shared" si="6"/>
        <v>12</v>
      </c>
      <c r="B24" s="1130" t="s">
        <v>3135</v>
      </c>
      <c r="C24" s="1032" t="s">
        <v>3016</v>
      </c>
      <c r="D24" s="1120" t="s">
        <v>3087</v>
      </c>
      <c r="E24" s="1120" t="s">
        <v>28</v>
      </c>
      <c r="F24" s="1029">
        <f t="shared" si="0"/>
        <v>0.19999999999999998</v>
      </c>
      <c r="G24" s="1029"/>
      <c r="H24" s="1029">
        <f>SUM(J24:BI24)</f>
        <v>0.19999999999999998</v>
      </c>
      <c r="I24" s="1029">
        <v>2030</v>
      </c>
      <c r="J24" s="1029">
        <v>0.06</v>
      </c>
      <c r="K24" s="1029"/>
      <c r="L24" s="1029"/>
      <c r="M24" s="1029">
        <v>4.0000000000000008E-2</v>
      </c>
      <c r="N24" s="1029"/>
      <c r="O24" s="1029"/>
      <c r="P24" s="1029"/>
      <c r="Q24" s="1029"/>
      <c r="R24" s="1029"/>
      <c r="S24" s="1029"/>
      <c r="T24" s="1029"/>
      <c r="U24" s="1029">
        <v>0.01</v>
      </c>
      <c r="V24" s="1029"/>
      <c r="W24" s="1029"/>
      <c r="X24" s="1029"/>
      <c r="Y24" s="1029"/>
      <c r="Z24" s="1029"/>
      <c r="AA24" s="1029"/>
      <c r="AB24" s="1029"/>
      <c r="AC24" s="1029"/>
      <c r="AD24" s="1029"/>
      <c r="AE24" s="1029"/>
      <c r="AF24" s="1029"/>
      <c r="AG24" s="1029"/>
      <c r="AH24" s="1029"/>
      <c r="AI24" s="1029"/>
      <c r="AJ24" s="1029"/>
      <c r="AK24" s="1029"/>
      <c r="AL24" s="1029"/>
      <c r="AM24" s="1029"/>
      <c r="AN24" s="1029"/>
      <c r="AO24" s="1029"/>
      <c r="AP24" s="1029"/>
      <c r="AQ24" s="1029"/>
      <c r="AR24" s="1029"/>
      <c r="AS24" s="1029"/>
      <c r="AT24" s="1029"/>
      <c r="AU24" s="1029"/>
      <c r="AV24" s="1029"/>
      <c r="AW24" s="1029"/>
      <c r="AX24" s="1029"/>
      <c r="AY24" s="1029"/>
      <c r="AZ24" s="1029">
        <v>0.06</v>
      </c>
      <c r="BA24" s="1029"/>
      <c r="BB24" s="1029"/>
      <c r="BC24" s="1029"/>
      <c r="BD24" s="1029"/>
      <c r="BE24" s="1029"/>
      <c r="BF24" s="1029">
        <v>0.03</v>
      </c>
      <c r="BG24" s="1029"/>
      <c r="BH24" s="1029"/>
      <c r="BI24" s="1032" t="s">
        <v>3136</v>
      </c>
      <c r="BJ24" s="1120" t="s">
        <v>3137</v>
      </c>
      <c r="BK24" s="1604"/>
      <c r="BL24" s="1120" t="s">
        <v>1923</v>
      </c>
      <c r="BM24" s="1120" t="s">
        <v>3101</v>
      </c>
      <c r="BN24" s="1120" t="s">
        <v>298</v>
      </c>
      <c r="BO24" s="1121"/>
      <c r="BP24" s="1121">
        <v>1</v>
      </c>
      <c r="BQ24" s="1179"/>
      <c r="BR24" s="1179"/>
      <c r="BS24" s="1124"/>
      <c r="BT24" s="1125"/>
    </row>
    <row r="25" spans="1:72" s="1177" customFormat="1" ht="35.450000000000003" customHeight="1">
      <c r="A25" s="1208" t="s">
        <v>3138</v>
      </c>
      <c r="B25" s="1207" t="s">
        <v>3139</v>
      </c>
      <c r="C25" s="1127"/>
      <c r="D25" s="1127"/>
      <c r="E25" s="1208"/>
      <c r="F25" s="1026">
        <f t="shared" si="0"/>
        <v>0</v>
      </c>
      <c r="G25" s="1029"/>
      <c r="H25" s="1026">
        <f>SUM(J25:BF25)</f>
        <v>0</v>
      </c>
      <c r="I25" s="1029">
        <v>2030</v>
      </c>
      <c r="J25" s="1029"/>
      <c r="K25" s="1029"/>
      <c r="L25" s="1029"/>
      <c r="M25" s="1029"/>
      <c r="N25" s="1029"/>
      <c r="O25" s="1029"/>
      <c r="P25" s="1029"/>
      <c r="Q25" s="1029"/>
      <c r="R25" s="1029"/>
      <c r="S25" s="1029"/>
      <c r="T25" s="1029"/>
      <c r="U25" s="1029"/>
      <c r="V25" s="1029"/>
      <c r="W25" s="1029"/>
      <c r="X25" s="1029"/>
      <c r="Y25" s="1029"/>
      <c r="Z25" s="1029"/>
      <c r="AA25" s="1029"/>
      <c r="AB25" s="1029"/>
      <c r="AC25" s="1029"/>
      <c r="AD25" s="1029"/>
      <c r="AE25" s="1029"/>
      <c r="AF25" s="1029"/>
      <c r="AG25" s="1029"/>
      <c r="AH25" s="1029"/>
      <c r="AI25" s="1029"/>
      <c r="AJ25" s="1029"/>
      <c r="AK25" s="1029"/>
      <c r="AL25" s="1029"/>
      <c r="AM25" s="1029"/>
      <c r="AN25" s="1029"/>
      <c r="AO25" s="1029"/>
      <c r="AP25" s="1029"/>
      <c r="AQ25" s="1029"/>
      <c r="AR25" s="1029"/>
      <c r="AS25" s="1029"/>
      <c r="AT25" s="1029"/>
      <c r="AU25" s="1029"/>
      <c r="AV25" s="1029"/>
      <c r="AW25" s="1029"/>
      <c r="AX25" s="1029"/>
      <c r="AY25" s="1029"/>
      <c r="AZ25" s="1029"/>
      <c r="BA25" s="1029"/>
      <c r="BB25" s="1029"/>
      <c r="BC25" s="1029"/>
      <c r="BD25" s="1029"/>
      <c r="BE25" s="1029"/>
      <c r="BF25" s="1029"/>
      <c r="BG25" s="1034"/>
      <c r="BH25" s="1034"/>
      <c r="BI25" s="1127"/>
      <c r="BJ25" s="1120"/>
      <c r="BK25" s="1220"/>
      <c r="BL25" s="1220"/>
      <c r="BM25" s="1120"/>
      <c r="BN25" s="1120"/>
      <c r="BO25" s="1121"/>
      <c r="BP25" s="1121"/>
      <c r="BQ25" s="1179"/>
      <c r="BR25" s="1179"/>
      <c r="BS25" s="1124"/>
      <c r="BT25" s="1221"/>
    </row>
    <row r="26" spans="1:72" s="1177" customFormat="1" ht="34.5" customHeight="1">
      <c r="A26" s="1208" t="s">
        <v>78</v>
      </c>
      <c r="B26" s="1207" t="s">
        <v>3140</v>
      </c>
      <c r="C26" s="1127"/>
      <c r="D26" s="1127"/>
      <c r="E26" s="1208"/>
      <c r="F26" s="1026">
        <f t="shared" si="0"/>
        <v>0</v>
      </c>
      <c r="G26" s="1029"/>
      <c r="H26" s="1026">
        <f>SUM(J26:BF26)</f>
        <v>0</v>
      </c>
      <c r="I26" s="1029">
        <v>2030</v>
      </c>
      <c r="J26" s="1029"/>
      <c r="K26" s="1029"/>
      <c r="L26" s="1029"/>
      <c r="M26" s="1029"/>
      <c r="N26" s="1029"/>
      <c r="O26" s="1029"/>
      <c r="P26" s="1029"/>
      <c r="Q26" s="1029"/>
      <c r="R26" s="1029"/>
      <c r="S26" s="1029"/>
      <c r="T26" s="1029"/>
      <c r="U26" s="1029"/>
      <c r="V26" s="1029"/>
      <c r="W26" s="1029"/>
      <c r="X26" s="1029"/>
      <c r="Y26" s="1029"/>
      <c r="Z26" s="1029"/>
      <c r="AA26" s="1029"/>
      <c r="AB26" s="1029"/>
      <c r="AC26" s="1029"/>
      <c r="AD26" s="1029"/>
      <c r="AE26" s="1029"/>
      <c r="AF26" s="1029"/>
      <c r="AG26" s="1029"/>
      <c r="AH26" s="1029"/>
      <c r="AI26" s="1029"/>
      <c r="AJ26" s="1029"/>
      <c r="AK26" s="1029"/>
      <c r="AL26" s="1029"/>
      <c r="AM26" s="1029"/>
      <c r="AN26" s="1029"/>
      <c r="AO26" s="1029"/>
      <c r="AP26" s="1029"/>
      <c r="AQ26" s="1029"/>
      <c r="AR26" s="1029"/>
      <c r="AS26" s="1029"/>
      <c r="AT26" s="1029"/>
      <c r="AU26" s="1029"/>
      <c r="AV26" s="1029"/>
      <c r="AW26" s="1029"/>
      <c r="AX26" s="1029"/>
      <c r="AY26" s="1029"/>
      <c r="AZ26" s="1029"/>
      <c r="BA26" s="1029"/>
      <c r="BB26" s="1029"/>
      <c r="BC26" s="1029"/>
      <c r="BD26" s="1029"/>
      <c r="BE26" s="1029"/>
      <c r="BF26" s="1029"/>
      <c r="BG26" s="1034"/>
      <c r="BH26" s="1034"/>
      <c r="BI26" s="1127"/>
      <c r="BJ26" s="1120"/>
      <c r="BK26" s="1220"/>
      <c r="BL26" s="1220"/>
      <c r="BM26" s="1120"/>
      <c r="BN26" s="1120"/>
      <c r="BO26" s="1121"/>
      <c r="BP26" s="1121"/>
      <c r="BQ26" s="1179"/>
      <c r="BR26" s="1179"/>
      <c r="BS26" s="1124"/>
      <c r="BT26" s="1221"/>
    </row>
    <row r="27" spans="1:72" s="1177" customFormat="1" ht="42" customHeight="1">
      <c r="A27" s="1208" t="s">
        <v>79</v>
      </c>
      <c r="B27" s="1207" t="s">
        <v>3141</v>
      </c>
      <c r="C27" s="1127"/>
      <c r="D27" s="1127"/>
      <c r="E27" s="1208"/>
      <c r="F27" s="1026">
        <f t="shared" si="0"/>
        <v>0</v>
      </c>
      <c r="G27" s="1029"/>
      <c r="H27" s="1026">
        <f>SUM(J27:BF27)</f>
        <v>0</v>
      </c>
      <c r="I27" s="1029">
        <v>2030</v>
      </c>
      <c r="J27" s="1029"/>
      <c r="K27" s="1029"/>
      <c r="L27" s="1029"/>
      <c r="M27" s="1029"/>
      <c r="N27" s="1029"/>
      <c r="O27" s="1029"/>
      <c r="P27" s="1029"/>
      <c r="Q27" s="1029"/>
      <c r="R27" s="1029"/>
      <c r="S27" s="1029"/>
      <c r="T27" s="1029"/>
      <c r="U27" s="1029"/>
      <c r="V27" s="1029"/>
      <c r="W27" s="1029"/>
      <c r="X27" s="1029"/>
      <c r="Y27" s="1029"/>
      <c r="Z27" s="1029"/>
      <c r="AA27" s="1029"/>
      <c r="AB27" s="1029"/>
      <c r="AC27" s="1029"/>
      <c r="AD27" s="1029"/>
      <c r="AE27" s="1029"/>
      <c r="AF27" s="1029"/>
      <c r="AG27" s="1029"/>
      <c r="AH27" s="1029"/>
      <c r="AI27" s="1029"/>
      <c r="AJ27" s="1029"/>
      <c r="AK27" s="1029"/>
      <c r="AL27" s="1029"/>
      <c r="AM27" s="1029"/>
      <c r="AN27" s="1029"/>
      <c r="AO27" s="1029"/>
      <c r="AP27" s="1029"/>
      <c r="AQ27" s="1029"/>
      <c r="AR27" s="1029"/>
      <c r="AS27" s="1029"/>
      <c r="AT27" s="1029"/>
      <c r="AU27" s="1029"/>
      <c r="AV27" s="1029"/>
      <c r="AW27" s="1029"/>
      <c r="AX27" s="1029"/>
      <c r="AY27" s="1029"/>
      <c r="AZ27" s="1029"/>
      <c r="BA27" s="1029"/>
      <c r="BB27" s="1029"/>
      <c r="BC27" s="1029"/>
      <c r="BD27" s="1029"/>
      <c r="BE27" s="1029"/>
      <c r="BF27" s="1029"/>
      <c r="BG27" s="1034"/>
      <c r="BH27" s="1034"/>
      <c r="BI27" s="1127"/>
      <c r="BJ27" s="1120"/>
      <c r="BK27" s="1220"/>
      <c r="BL27" s="1220"/>
      <c r="BM27" s="1120"/>
      <c r="BN27" s="1120"/>
      <c r="BO27" s="1121"/>
      <c r="BP27" s="1121"/>
      <c r="BQ27" s="1179"/>
      <c r="BR27" s="1179"/>
      <c r="BS27" s="1124"/>
      <c r="BT27" s="1221"/>
    </row>
    <row r="28" spans="1:72" s="1177" customFormat="1" ht="30.95" customHeight="1">
      <c r="A28" s="1208" t="s">
        <v>1290</v>
      </c>
      <c r="B28" s="1207" t="s">
        <v>3142</v>
      </c>
      <c r="C28" s="1127"/>
      <c r="D28" s="1127"/>
      <c r="E28" s="1120"/>
      <c r="F28" s="1026">
        <f>G28+H28</f>
        <v>2052.55035</v>
      </c>
      <c r="G28" s="1026">
        <f>G29+G222+G226</f>
        <v>1892.79</v>
      </c>
      <c r="H28" s="1026">
        <f>H29+H222+H226</f>
        <v>159.76034999999996</v>
      </c>
      <c r="I28" s="1029">
        <v>2030</v>
      </c>
      <c r="J28" s="1026">
        <f t="shared" ref="J28:BF28" si="7">J29+J222+J226</f>
        <v>15.019850000000002</v>
      </c>
      <c r="K28" s="1026">
        <f t="shared" si="7"/>
        <v>6.4779999999999998</v>
      </c>
      <c r="L28" s="1026">
        <f t="shared" si="7"/>
        <v>0</v>
      </c>
      <c r="M28" s="1026">
        <f t="shared" si="7"/>
        <v>29.595500000000001</v>
      </c>
      <c r="N28" s="1026">
        <f t="shared" si="7"/>
        <v>13.405000000000001</v>
      </c>
      <c r="O28" s="1026">
        <f t="shared" si="7"/>
        <v>0</v>
      </c>
      <c r="P28" s="1026">
        <f t="shared" si="7"/>
        <v>0</v>
      </c>
      <c r="Q28" s="1026">
        <f t="shared" si="7"/>
        <v>0</v>
      </c>
      <c r="R28" s="1026">
        <f t="shared" si="7"/>
        <v>0</v>
      </c>
      <c r="S28" s="1026">
        <f t="shared" si="7"/>
        <v>65.760999999999996</v>
      </c>
      <c r="T28" s="1026">
        <f t="shared" si="7"/>
        <v>0</v>
      </c>
      <c r="U28" s="1026">
        <f t="shared" si="7"/>
        <v>3.06</v>
      </c>
      <c r="V28" s="1026">
        <f t="shared" si="7"/>
        <v>0</v>
      </c>
      <c r="W28" s="1026">
        <f t="shared" si="7"/>
        <v>0</v>
      </c>
      <c r="X28" s="1026">
        <f t="shared" si="7"/>
        <v>0</v>
      </c>
      <c r="Y28" s="1026">
        <f t="shared" si="7"/>
        <v>0</v>
      </c>
      <c r="Z28" s="1026">
        <f t="shared" si="7"/>
        <v>0</v>
      </c>
      <c r="AA28" s="1026">
        <f t="shared" si="7"/>
        <v>0.04</v>
      </c>
      <c r="AB28" s="1026">
        <f t="shared" si="7"/>
        <v>0.02</v>
      </c>
      <c r="AC28" s="1026">
        <f t="shared" si="7"/>
        <v>0</v>
      </c>
      <c r="AD28" s="1026">
        <f t="shared" si="7"/>
        <v>0</v>
      </c>
      <c r="AE28" s="1026">
        <f t="shared" si="7"/>
        <v>7.0393899999999991</v>
      </c>
      <c r="AF28" s="1026">
        <f t="shared" si="7"/>
        <v>0.28134999999999999</v>
      </c>
      <c r="AG28" s="1026">
        <f t="shared" si="7"/>
        <v>0.03</v>
      </c>
      <c r="AH28" s="1026">
        <f t="shared" si="7"/>
        <v>0.05</v>
      </c>
      <c r="AI28" s="1026">
        <f t="shared" si="7"/>
        <v>0.06</v>
      </c>
      <c r="AJ28" s="1026">
        <f t="shared" si="7"/>
        <v>0</v>
      </c>
      <c r="AK28" s="1026">
        <f t="shared" si="7"/>
        <v>2E-3</v>
      </c>
      <c r="AL28" s="1026">
        <f t="shared" si="7"/>
        <v>0</v>
      </c>
      <c r="AM28" s="1026">
        <f t="shared" si="7"/>
        <v>0</v>
      </c>
      <c r="AN28" s="1026">
        <f t="shared" si="7"/>
        <v>0</v>
      </c>
      <c r="AO28" s="1026">
        <f t="shared" si="7"/>
        <v>0</v>
      </c>
      <c r="AP28" s="1026">
        <f t="shared" si="7"/>
        <v>0</v>
      </c>
      <c r="AQ28" s="1026">
        <f t="shared" si="7"/>
        <v>8.6000000000000007E-2</v>
      </c>
      <c r="AR28" s="1026">
        <f t="shared" si="7"/>
        <v>0</v>
      </c>
      <c r="AS28" s="1026">
        <f t="shared" si="7"/>
        <v>0</v>
      </c>
      <c r="AT28" s="1026">
        <f t="shared" si="7"/>
        <v>0</v>
      </c>
      <c r="AU28" s="1026">
        <f t="shared" si="7"/>
        <v>0</v>
      </c>
      <c r="AV28" s="1026">
        <f t="shared" si="7"/>
        <v>0</v>
      </c>
      <c r="AW28" s="1026">
        <f t="shared" si="7"/>
        <v>0</v>
      </c>
      <c r="AX28" s="1026">
        <f t="shared" si="7"/>
        <v>1.9680000000000002</v>
      </c>
      <c r="AY28" s="1026">
        <f t="shared" si="7"/>
        <v>1.1024400000000001</v>
      </c>
      <c r="AZ28" s="1026">
        <f t="shared" si="7"/>
        <v>0.21982000000000002</v>
      </c>
      <c r="BA28" s="1026">
        <f t="shared" si="7"/>
        <v>0</v>
      </c>
      <c r="BB28" s="1026">
        <f t="shared" si="7"/>
        <v>0.11</v>
      </c>
      <c r="BC28" s="1026">
        <f t="shared" si="7"/>
        <v>3.08</v>
      </c>
      <c r="BD28" s="1026">
        <f t="shared" si="7"/>
        <v>0</v>
      </c>
      <c r="BE28" s="1026">
        <f t="shared" si="7"/>
        <v>0</v>
      </c>
      <c r="BF28" s="1026">
        <f t="shared" si="7"/>
        <v>12.552</v>
      </c>
      <c r="BG28" s="1035"/>
      <c r="BH28" s="1035"/>
      <c r="BI28" s="1127"/>
      <c r="BJ28" s="1120"/>
      <c r="BK28" s="1120"/>
      <c r="BL28" s="1120"/>
      <c r="BM28" s="1120"/>
      <c r="BN28" s="1120"/>
      <c r="BO28" s="1121"/>
      <c r="BP28" s="1121"/>
      <c r="BQ28" s="1179"/>
      <c r="BR28" s="1179"/>
      <c r="BS28" s="1124"/>
      <c r="BT28" s="1221"/>
    </row>
    <row r="29" spans="1:72" s="1126" customFormat="1" ht="44.25" customHeight="1">
      <c r="A29" s="1208" t="s">
        <v>3143</v>
      </c>
      <c r="B29" s="1207" t="s">
        <v>3144</v>
      </c>
      <c r="C29" s="1222"/>
      <c r="D29" s="1222"/>
      <c r="E29" s="1208"/>
      <c r="F29" s="1026">
        <f>F32+F94+F100+F106+F108+F113+F209+F211+F216+F218+F220+F30</f>
        <v>187.06035</v>
      </c>
      <c r="G29" s="1026">
        <f t="shared" ref="G29" si="8">G32+G94+G100+G106+G108+G113+G209+G211+G216+G218+G220+G30</f>
        <v>73.549999999999983</v>
      </c>
      <c r="H29" s="1026">
        <f>H32+H94+H100+H106+H108+H113+H209+H211+H216+H218+H220+H30</f>
        <v>117.02034999999998</v>
      </c>
      <c r="I29" s="1029">
        <v>2030</v>
      </c>
      <c r="J29" s="1026">
        <f>J32+J94+J96+J100+J106+J108+J113+J207+J209+J211+J216++J218+J220+J30</f>
        <v>10.07985</v>
      </c>
      <c r="K29" s="1026">
        <f t="shared" ref="K29:BF29" si="9">K32+K94+K96+K100+K106+K108+K113+K207+K209+K211+K216++K218+K220+K30</f>
        <v>4.5579999999999998</v>
      </c>
      <c r="L29" s="1026">
        <f t="shared" si="9"/>
        <v>0</v>
      </c>
      <c r="M29" s="1026">
        <f t="shared" si="9"/>
        <v>19.955500000000001</v>
      </c>
      <c r="N29" s="1026">
        <f t="shared" si="9"/>
        <v>9.4450000000000003</v>
      </c>
      <c r="O29" s="1026">
        <f t="shared" si="9"/>
        <v>0</v>
      </c>
      <c r="P29" s="1026">
        <f t="shared" si="9"/>
        <v>0</v>
      </c>
      <c r="Q29" s="1026">
        <f t="shared" si="9"/>
        <v>0</v>
      </c>
      <c r="R29" s="1026">
        <f t="shared" si="9"/>
        <v>0</v>
      </c>
      <c r="S29" s="1026">
        <f t="shared" si="9"/>
        <v>51.491</v>
      </c>
      <c r="T29" s="1026">
        <f t="shared" si="9"/>
        <v>0</v>
      </c>
      <c r="U29" s="1026">
        <f t="shared" si="9"/>
        <v>2.25</v>
      </c>
      <c r="V29" s="1026">
        <f t="shared" si="9"/>
        <v>0</v>
      </c>
      <c r="W29" s="1026">
        <f t="shared" si="9"/>
        <v>0</v>
      </c>
      <c r="X29" s="1026">
        <f t="shared" si="9"/>
        <v>0</v>
      </c>
      <c r="Y29" s="1026">
        <f t="shared" si="9"/>
        <v>0</v>
      </c>
      <c r="Z29" s="1026">
        <f t="shared" si="9"/>
        <v>0</v>
      </c>
      <c r="AA29" s="1026">
        <f t="shared" si="9"/>
        <v>0</v>
      </c>
      <c r="AB29" s="1026">
        <f t="shared" si="9"/>
        <v>0</v>
      </c>
      <c r="AC29" s="1026">
        <f t="shared" si="9"/>
        <v>0</v>
      </c>
      <c r="AD29" s="1026">
        <f t="shared" si="9"/>
        <v>0</v>
      </c>
      <c r="AE29" s="1026">
        <f t="shared" si="9"/>
        <v>7.0393899999999991</v>
      </c>
      <c r="AF29" s="1026">
        <f t="shared" si="9"/>
        <v>0.28134999999999999</v>
      </c>
      <c r="AG29" s="1026">
        <f t="shared" si="9"/>
        <v>0.03</v>
      </c>
      <c r="AH29" s="1026">
        <f t="shared" si="9"/>
        <v>0.05</v>
      </c>
      <c r="AI29" s="1026">
        <f t="shared" si="9"/>
        <v>0.06</v>
      </c>
      <c r="AJ29" s="1026">
        <f t="shared" si="9"/>
        <v>0</v>
      </c>
      <c r="AK29" s="1026">
        <f t="shared" si="9"/>
        <v>2E-3</v>
      </c>
      <c r="AL29" s="1026">
        <f t="shared" si="9"/>
        <v>0</v>
      </c>
      <c r="AM29" s="1026">
        <f t="shared" si="9"/>
        <v>0</v>
      </c>
      <c r="AN29" s="1026">
        <f t="shared" si="9"/>
        <v>0</v>
      </c>
      <c r="AO29" s="1026">
        <f t="shared" si="9"/>
        <v>0</v>
      </c>
      <c r="AP29" s="1026">
        <f t="shared" si="9"/>
        <v>0</v>
      </c>
      <c r="AQ29" s="1026">
        <f t="shared" si="9"/>
        <v>8.6000000000000007E-2</v>
      </c>
      <c r="AR29" s="1026">
        <f t="shared" si="9"/>
        <v>0</v>
      </c>
      <c r="AS29" s="1026">
        <f t="shared" si="9"/>
        <v>0</v>
      </c>
      <c r="AT29" s="1026">
        <f t="shared" si="9"/>
        <v>0</v>
      </c>
      <c r="AU29" s="1026">
        <f t="shared" si="9"/>
        <v>0</v>
      </c>
      <c r="AV29" s="1026">
        <f t="shared" si="9"/>
        <v>0</v>
      </c>
      <c r="AW29" s="1026">
        <f t="shared" si="9"/>
        <v>0</v>
      </c>
      <c r="AX29" s="1026">
        <f t="shared" si="9"/>
        <v>1.4480000000000002</v>
      </c>
      <c r="AY29" s="1026">
        <f t="shared" si="9"/>
        <v>1.1024400000000001</v>
      </c>
      <c r="AZ29" s="1026">
        <f t="shared" si="9"/>
        <v>0.18982000000000002</v>
      </c>
      <c r="BA29" s="1026">
        <f t="shared" si="9"/>
        <v>0</v>
      </c>
      <c r="BB29" s="1026">
        <f t="shared" si="9"/>
        <v>0.11</v>
      </c>
      <c r="BC29" s="1026">
        <f t="shared" si="9"/>
        <v>3.08</v>
      </c>
      <c r="BD29" s="1026">
        <f t="shared" si="9"/>
        <v>0</v>
      </c>
      <c r="BE29" s="1026">
        <f t="shared" si="9"/>
        <v>0</v>
      </c>
      <c r="BF29" s="1026">
        <f t="shared" si="9"/>
        <v>5.9619999999999997</v>
      </c>
      <c r="BG29" s="1035">
        <f>SUM(BG32,BG94,BG96,BG100,BG106,BG108,BG113,BG207,BG209,BG211,BG216,BG218,BG220)</f>
        <v>0</v>
      </c>
      <c r="BH29" s="1035">
        <f>SUM(BH32,BH94,BH96,BH100,BH106,BH108,BH113,BH207,BH209,BH211,BH216,BH218,BH220)</f>
        <v>0</v>
      </c>
      <c r="BI29" s="1222"/>
      <c r="BJ29" s="1208"/>
      <c r="BK29" s="1208"/>
      <c r="BL29" s="1208"/>
      <c r="BM29" s="1208"/>
      <c r="BN29" s="1208"/>
      <c r="BO29" s="1122"/>
      <c r="BP29" s="1122"/>
      <c r="BQ29" s="1123"/>
      <c r="BR29" s="1123"/>
      <c r="BS29" s="1210"/>
      <c r="BT29" s="1125"/>
    </row>
    <row r="30" spans="1:72" s="1126" customFormat="1" ht="44.25" customHeight="1">
      <c r="A30" s="1036" t="s">
        <v>78</v>
      </c>
      <c r="B30" s="1223" t="s">
        <v>90</v>
      </c>
      <c r="C30" s="1224"/>
      <c r="D30" s="1131"/>
      <c r="E30" s="1225"/>
      <c r="F30" s="1037">
        <f>G30+H30</f>
        <v>30</v>
      </c>
      <c r="G30" s="1037">
        <f>G31</f>
        <v>0</v>
      </c>
      <c r="H30" s="1037">
        <f t="shared" ref="H30:H31" si="10">SUM(J30:BH30)</f>
        <v>30</v>
      </c>
      <c r="I30" s="1038">
        <v>2030</v>
      </c>
      <c r="J30" s="1037">
        <f>J31</f>
        <v>0</v>
      </c>
      <c r="K30" s="1037">
        <f t="shared" ref="K30:BH30" si="11">K31</f>
        <v>1.56</v>
      </c>
      <c r="L30" s="1037">
        <f t="shared" si="11"/>
        <v>0</v>
      </c>
      <c r="M30" s="1037">
        <f t="shared" si="11"/>
        <v>12.01</v>
      </c>
      <c r="N30" s="1037">
        <f t="shared" si="11"/>
        <v>0.79</v>
      </c>
      <c r="O30" s="1037">
        <f t="shared" si="11"/>
        <v>0</v>
      </c>
      <c r="P30" s="1037">
        <f t="shared" si="11"/>
        <v>0</v>
      </c>
      <c r="Q30" s="1037">
        <f t="shared" si="11"/>
        <v>0</v>
      </c>
      <c r="R30" s="1037">
        <f t="shared" si="11"/>
        <v>0</v>
      </c>
      <c r="S30" s="1037">
        <f t="shared" si="11"/>
        <v>12.65</v>
      </c>
      <c r="T30" s="1037">
        <f t="shared" si="11"/>
        <v>0</v>
      </c>
      <c r="U30" s="1037">
        <f t="shared" si="11"/>
        <v>0.05</v>
      </c>
      <c r="V30" s="1037">
        <f t="shared" si="11"/>
        <v>0</v>
      </c>
      <c r="W30" s="1037">
        <f t="shared" si="11"/>
        <v>0</v>
      </c>
      <c r="X30" s="1037">
        <f t="shared" si="11"/>
        <v>0</v>
      </c>
      <c r="Y30" s="1037">
        <f t="shared" si="11"/>
        <v>0</v>
      </c>
      <c r="Z30" s="1037">
        <f t="shared" si="11"/>
        <v>0</v>
      </c>
      <c r="AA30" s="1037">
        <f t="shared" si="11"/>
        <v>0</v>
      </c>
      <c r="AB30" s="1037">
        <f t="shared" si="11"/>
        <v>0</v>
      </c>
      <c r="AC30" s="1037">
        <f t="shared" si="11"/>
        <v>0</v>
      </c>
      <c r="AD30" s="1037">
        <f t="shared" si="11"/>
        <v>0</v>
      </c>
      <c r="AE30" s="1037">
        <f t="shared" si="11"/>
        <v>0.8</v>
      </c>
      <c r="AF30" s="1037">
        <f t="shared" si="11"/>
        <v>0.04</v>
      </c>
      <c r="AG30" s="1037">
        <f t="shared" si="11"/>
        <v>0</v>
      </c>
      <c r="AH30" s="1037">
        <f t="shared" si="11"/>
        <v>0</v>
      </c>
      <c r="AI30" s="1037">
        <f t="shared" si="11"/>
        <v>0</v>
      </c>
      <c r="AJ30" s="1037">
        <f t="shared" si="11"/>
        <v>0</v>
      </c>
      <c r="AK30" s="1037">
        <f t="shared" si="11"/>
        <v>0</v>
      </c>
      <c r="AL30" s="1037">
        <f t="shared" si="11"/>
        <v>0</v>
      </c>
      <c r="AM30" s="1037">
        <f t="shared" si="11"/>
        <v>0</v>
      </c>
      <c r="AN30" s="1037">
        <f t="shared" si="11"/>
        <v>0</v>
      </c>
      <c r="AO30" s="1037">
        <f t="shared" si="11"/>
        <v>0</v>
      </c>
      <c r="AP30" s="1037">
        <f t="shared" si="11"/>
        <v>0</v>
      </c>
      <c r="AQ30" s="1037">
        <f t="shared" si="11"/>
        <v>0</v>
      </c>
      <c r="AR30" s="1037">
        <f t="shared" si="11"/>
        <v>0</v>
      </c>
      <c r="AS30" s="1037">
        <f t="shared" si="11"/>
        <v>0</v>
      </c>
      <c r="AT30" s="1037">
        <f t="shared" si="11"/>
        <v>0</v>
      </c>
      <c r="AU30" s="1037">
        <f t="shared" si="11"/>
        <v>0</v>
      </c>
      <c r="AV30" s="1226"/>
      <c r="AW30" s="1037">
        <f>AW31</f>
        <v>0</v>
      </c>
      <c r="AX30" s="1037">
        <f t="shared" si="11"/>
        <v>0.78</v>
      </c>
      <c r="AY30" s="1037">
        <f t="shared" si="11"/>
        <v>0</v>
      </c>
      <c r="AZ30" s="1037">
        <f t="shared" si="11"/>
        <v>0</v>
      </c>
      <c r="BA30" s="1037">
        <f t="shared" si="11"/>
        <v>0</v>
      </c>
      <c r="BB30" s="1037">
        <f t="shared" si="11"/>
        <v>0</v>
      </c>
      <c r="BC30" s="1037">
        <f t="shared" si="11"/>
        <v>0</v>
      </c>
      <c r="BD30" s="1037">
        <f t="shared" si="11"/>
        <v>0</v>
      </c>
      <c r="BE30" s="1037">
        <f t="shared" si="11"/>
        <v>0</v>
      </c>
      <c r="BF30" s="1037">
        <f t="shared" si="11"/>
        <v>1.32</v>
      </c>
      <c r="BG30" s="1037">
        <f t="shared" si="11"/>
        <v>0</v>
      </c>
      <c r="BH30" s="1037">
        <f t="shared" si="11"/>
        <v>0</v>
      </c>
      <c r="BI30" s="1222"/>
      <c r="BJ30" s="1208"/>
      <c r="BK30" s="1208"/>
      <c r="BL30" s="1208"/>
      <c r="BM30" s="1208"/>
      <c r="BN30" s="1208"/>
      <c r="BO30" s="1122"/>
      <c r="BP30" s="1122"/>
      <c r="BQ30" s="1123"/>
      <c r="BR30" s="1123"/>
      <c r="BS30" s="1210"/>
      <c r="BT30" s="1125"/>
    </row>
    <row r="31" spans="1:72" s="1126" customFormat="1" ht="44.25" customHeight="1">
      <c r="A31" s="1227">
        <f>A24+1</f>
        <v>13</v>
      </c>
      <c r="B31" s="1228" t="s">
        <v>3145</v>
      </c>
      <c r="C31" s="1131" t="s">
        <v>3023</v>
      </c>
      <c r="D31" s="1131" t="s">
        <v>3087</v>
      </c>
      <c r="E31" s="1131" t="s">
        <v>91</v>
      </c>
      <c r="F31" s="1229">
        <f>SUM(G31:H31)</f>
        <v>30</v>
      </c>
      <c r="G31" s="1229"/>
      <c r="H31" s="1229">
        <f t="shared" si="10"/>
        <v>30</v>
      </c>
      <c r="I31" s="1038">
        <v>2030</v>
      </c>
      <c r="J31" s="1128"/>
      <c r="K31" s="1128">
        <v>1.56</v>
      </c>
      <c r="L31" s="1128"/>
      <c r="M31" s="1129">
        <f>12.01</f>
        <v>12.01</v>
      </c>
      <c r="N31" s="1129">
        <v>0.79</v>
      </c>
      <c r="O31" s="1128"/>
      <c r="P31" s="1128"/>
      <c r="Q31" s="1128"/>
      <c r="R31" s="1128"/>
      <c r="S31" s="1129">
        <v>12.65</v>
      </c>
      <c r="T31" s="1128"/>
      <c r="U31" s="1129">
        <v>0.05</v>
      </c>
      <c r="V31" s="1128"/>
      <c r="W31" s="1128"/>
      <c r="X31" s="1128"/>
      <c r="Y31" s="1128"/>
      <c r="Z31" s="1128"/>
      <c r="AA31" s="1128"/>
      <c r="AB31" s="1128"/>
      <c r="AC31" s="1128"/>
      <c r="AD31" s="1128"/>
      <c r="AE31" s="1129">
        <v>0.8</v>
      </c>
      <c r="AF31" s="1129">
        <v>0.04</v>
      </c>
      <c r="AG31" s="1128"/>
      <c r="AH31" s="1128"/>
      <c r="AI31" s="1128"/>
      <c r="AJ31" s="1128"/>
      <c r="AK31" s="1128"/>
      <c r="AL31" s="1128"/>
      <c r="AM31" s="1128"/>
      <c r="AN31" s="1128"/>
      <c r="AO31" s="1128"/>
      <c r="AP31" s="1128"/>
      <c r="AQ31" s="1128"/>
      <c r="AR31" s="1128"/>
      <c r="AS31" s="1128"/>
      <c r="AT31" s="1128"/>
      <c r="AU31" s="1128"/>
      <c r="AV31" s="1230"/>
      <c r="AW31" s="1128"/>
      <c r="AX31" s="1129">
        <v>0.78</v>
      </c>
      <c r="AY31" s="1128"/>
      <c r="AZ31" s="1128"/>
      <c r="BA31" s="1128"/>
      <c r="BB31" s="1128"/>
      <c r="BC31" s="1128"/>
      <c r="BD31" s="1128"/>
      <c r="BE31" s="1128"/>
      <c r="BF31" s="1129">
        <v>1.32</v>
      </c>
      <c r="BG31" s="1128"/>
      <c r="BH31" s="1128"/>
      <c r="BI31" s="1145" t="s">
        <v>3146</v>
      </c>
      <c r="BJ31" s="1231" t="s">
        <v>3147</v>
      </c>
      <c r="BK31" s="1208"/>
      <c r="BL31" s="1208"/>
      <c r="BM31" s="1208"/>
      <c r="BN31" s="1208" t="s">
        <v>298</v>
      </c>
      <c r="BO31" s="1122"/>
      <c r="BP31" s="1122">
        <v>1</v>
      </c>
      <c r="BQ31" s="1123"/>
      <c r="BR31" s="1123"/>
      <c r="BS31" s="1210"/>
      <c r="BT31" s="1125"/>
    </row>
    <row r="32" spans="1:72" ht="22.5" customHeight="1">
      <c r="A32" s="1023" t="s">
        <v>79</v>
      </c>
      <c r="B32" s="1207" t="s">
        <v>2757</v>
      </c>
      <c r="C32" s="1127"/>
      <c r="D32" s="1127"/>
      <c r="E32" s="1118"/>
      <c r="F32" s="1026">
        <f>F33+F36+F39+F40+F41+F44+F47+F51+F55+F64+F67+F68+F69+F70+F71+F72+F73+F74+F75+F76+F77+F78+F79</f>
        <v>136.79634999999999</v>
      </c>
      <c r="G32" s="1026">
        <f t="shared" ref="G32:BH32" si="12">G33+G36+G39+G40+G41+G44+G47+G51+G55+G64+G67+G68+G69+G70+G71+G72+G73+G74+G75+G76+G77+G78+G79</f>
        <v>72.069999999999993</v>
      </c>
      <c r="H32" s="1026">
        <f t="shared" si="12"/>
        <v>68.726349999999996</v>
      </c>
      <c r="I32" s="1026">
        <f t="shared" si="12"/>
        <v>81200</v>
      </c>
      <c r="J32" s="1026">
        <f t="shared" si="12"/>
        <v>5.2928500000000005</v>
      </c>
      <c r="K32" s="1026">
        <f t="shared" si="12"/>
        <v>1.8300000000000003</v>
      </c>
      <c r="L32" s="1026">
        <f t="shared" si="12"/>
        <v>0</v>
      </c>
      <c r="M32" s="1026">
        <f t="shared" si="12"/>
        <v>5.2915000000000001</v>
      </c>
      <c r="N32" s="1026">
        <f t="shared" si="12"/>
        <v>6.7499999999999991</v>
      </c>
      <c r="O32" s="1026">
        <f t="shared" si="12"/>
        <v>0</v>
      </c>
      <c r="P32" s="1026">
        <f t="shared" si="12"/>
        <v>0</v>
      </c>
      <c r="Q32" s="1026">
        <f t="shared" si="12"/>
        <v>0</v>
      </c>
      <c r="R32" s="1026">
        <f t="shared" si="12"/>
        <v>0</v>
      </c>
      <c r="S32" s="1026">
        <f t="shared" si="12"/>
        <v>32.909999999999997</v>
      </c>
      <c r="T32" s="1026">
        <f t="shared" si="12"/>
        <v>0</v>
      </c>
      <c r="U32" s="1026">
        <f t="shared" si="12"/>
        <v>2.1900000000000004</v>
      </c>
      <c r="V32" s="1026">
        <f t="shared" si="12"/>
        <v>0</v>
      </c>
      <c r="W32" s="1026">
        <f t="shared" si="12"/>
        <v>0</v>
      </c>
      <c r="X32" s="1026">
        <f t="shared" si="12"/>
        <v>0</v>
      </c>
      <c r="Y32" s="1026">
        <f t="shared" si="12"/>
        <v>0</v>
      </c>
      <c r="Z32" s="1026">
        <f t="shared" si="12"/>
        <v>0</v>
      </c>
      <c r="AA32" s="1026">
        <f t="shared" si="12"/>
        <v>0</v>
      </c>
      <c r="AB32" s="1026">
        <f t="shared" si="12"/>
        <v>0</v>
      </c>
      <c r="AC32" s="1026">
        <f t="shared" si="12"/>
        <v>0</v>
      </c>
      <c r="AD32" s="1026">
        <f t="shared" si="12"/>
        <v>0</v>
      </c>
      <c r="AE32" s="1026">
        <f t="shared" si="12"/>
        <v>6.1413899999999995</v>
      </c>
      <c r="AF32" s="1026">
        <f t="shared" si="12"/>
        <v>0.24135000000000001</v>
      </c>
      <c r="AG32" s="1026">
        <f t="shared" si="12"/>
        <v>0.03</v>
      </c>
      <c r="AH32" s="1026">
        <f t="shared" si="12"/>
        <v>0</v>
      </c>
      <c r="AI32" s="1026">
        <f t="shared" si="12"/>
        <v>0.06</v>
      </c>
      <c r="AJ32" s="1026">
        <f t="shared" si="12"/>
        <v>0</v>
      </c>
      <c r="AK32" s="1026">
        <f t="shared" si="12"/>
        <v>0</v>
      </c>
      <c r="AL32" s="1026">
        <f t="shared" si="12"/>
        <v>0</v>
      </c>
      <c r="AM32" s="1026">
        <f t="shared" si="12"/>
        <v>0</v>
      </c>
      <c r="AN32" s="1026">
        <f t="shared" si="12"/>
        <v>0</v>
      </c>
      <c r="AO32" s="1026">
        <f t="shared" si="12"/>
        <v>0</v>
      </c>
      <c r="AP32" s="1026">
        <f t="shared" si="12"/>
        <v>0</v>
      </c>
      <c r="AQ32" s="1026">
        <f t="shared" si="12"/>
        <v>0.02</v>
      </c>
      <c r="AR32" s="1026">
        <f t="shared" si="12"/>
        <v>0</v>
      </c>
      <c r="AS32" s="1026">
        <f t="shared" si="12"/>
        <v>0</v>
      </c>
      <c r="AT32" s="1026">
        <f t="shared" si="12"/>
        <v>0</v>
      </c>
      <c r="AU32" s="1026">
        <f t="shared" si="12"/>
        <v>0</v>
      </c>
      <c r="AV32" s="1026">
        <f t="shared" si="12"/>
        <v>0</v>
      </c>
      <c r="AW32" s="1026">
        <f t="shared" si="12"/>
        <v>0</v>
      </c>
      <c r="AX32" s="1026">
        <f t="shared" si="12"/>
        <v>0.51</v>
      </c>
      <c r="AY32" s="1026">
        <f t="shared" si="12"/>
        <v>0.83943999999999996</v>
      </c>
      <c r="AZ32" s="1026">
        <f t="shared" si="12"/>
        <v>0.18982000000000002</v>
      </c>
      <c r="BA32" s="1026">
        <f t="shared" si="12"/>
        <v>0</v>
      </c>
      <c r="BB32" s="1026">
        <f t="shared" si="12"/>
        <v>0.11</v>
      </c>
      <c r="BC32" s="1026">
        <f t="shared" si="12"/>
        <v>2.94</v>
      </c>
      <c r="BD32" s="1026">
        <f t="shared" si="12"/>
        <v>0</v>
      </c>
      <c r="BE32" s="1026">
        <f t="shared" si="12"/>
        <v>0</v>
      </c>
      <c r="BF32" s="1026">
        <f t="shared" si="12"/>
        <v>3.38</v>
      </c>
      <c r="BG32" s="1026">
        <f t="shared" si="12"/>
        <v>0</v>
      </c>
      <c r="BH32" s="1026">
        <f t="shared" si="12"/>
        <v>0</v>
      </c>
      <c r="BI32" s="1127"/>
      <c r="BJ32" s="1120"/>
      <c r="BK32" s="1120"/>
      <c r="BL32" s="1120"/>
      <c r="BM32" s="1120"/>
      <c r="BN32" s="1120"/>
      <c r="BS32" s="1124"/>
      <c r="BT32" s="1118"/>
    </row>
    <row r="33" spans="1:72" s="1118" customFormat="1" ht="93.95" customHeight="1">
      <c r="A33" s="1028">
        <f>A31+1</f>
        <v>14</v>
      </c>
      <c r="B33" s="1215" t="s">
        <v>3148</v>
      </c>
      <c r="C33" s="1119"/>
      <c r="D33" s="1119"/>
      <c r="E33" s="1120" t="s">
        <v>3149</v>
      </c>
      <c r="F33" s="1029">
        <f>G33+H33</f>
        <v>9.4</v>
      </c>
      <c r="G33" s="1031"/>
      <c r="H33" s="1029">
        <f>SUM(J33:BF33)</f>
        <v>9.4</v>
      </c>
      <c r="I33" s="1029">
        <v>2030</v>
      </c>
      <c r="J33" s="1031">
        <f>J34+J35</f>
        <v>2.1</v>
      </c>
      <c r="K33" s="1031">
        <f t="shared" ref="K33:BH33" si="13">K34+K35</f>
        <v>0</v>
      </c>
      <c r="L33" s="1031">
        <f t="shared" si="13"/>
        <v>0</v>
      </c>
      <c r="M33" s="1031">
        <f t="shared" si="13"/>
        <v>2.15</v>
      </c>
      <c r="N33" s="1031">
        <f t="shared" si="13"/>
        <v>0.65999999999999992</v>
      </c>
      <c r="O33" s="1031">
        <f t="shared" si="13"/>
        <v>0</v>
      </c>
      <c r="P33" s="1031">
        <f t="shared" si="13"/>
        <v>0</v>
      </c>
      <c r="Q33" s="1031">
        <f t="shared" si="13"/>
        <v>0</v>
      </c>
      <c r="R33" s="1031">
        <f t="shared" si="13"/>
        <v>0</v>
      </c>
      <c r="S33" s="1031">
        <f t="shared" si="13"/>
        <v>1.78</v>
      </c>
      <c r="T33" s="1031">
        <f t="shared" si="13"/>
        <v>0</v>
      </c>
      <c r="U33" s="1031">
        <f t="shared" si="13"/>
        <v>0.85000000000000009</v>
      </c>
      <c r="V33" s="1031">
        <f t="shared" si="13"/>
        <v>0</v>
      </c>
      <c r="W33" s="1031">
        <f t="shared" si="13"/>
        <v>0</v>
      </c>
      <c r="X33" s="1031">
        <f t="shared" si="13"/>
        <v>0</v>
      </c>
      <c r="Y33" s="1031">
        <f t="shared" si="13"/>
        <v>0</v>
      </c>
      <c r="Z33" s="1031">
        <f t="shared" si="13"/>
        <v>0</v>
      </c>
      <c r="AA33" s="1031">
        <f t="shared" si="13"/>
        <v>0</v>
      </c>
      <c r="AB33" s="1031">
        <f t="shared" si="13"/>
        <v>0</v>
      </c>
      <c r="AC33" s="1031">
        <f t="shared" si="13"/>
        <v>0</v>
      </c>
      <c r="AD33" s="1031">
        <f t="shared" si="13"/>
        <v>0</v>
      </c>
      <c r="AE33" s="1031">
        <f t="shared" si="13"/>
        <v>0.8</v>
      </c>
      <c r="AF33" s="1031">
        <f t="shared" si="13"/>
        <v>0.1</v>
      </c>
      <c r="AG33" s="1031">
        <f t="shared" si="13"/>
        <v>0.03</v>
      </c>
      <c r="AH33" s="1031">
        <f t="shared" si="13"/>
        <v>0</v>
      </c>
      <c r="AI33" s="1031">
        <f t="shared" si="13"/>
        <v>0</v>
      </c>
      <c r="AJ33" s="1031">
        <f t="shared" si="13"/>
        <v>0</v>
      </c>
      <c r="AK33" s="1031">
        <f t="shared" si="13"/>
        <v>0</v>
      </c>
      <c r="AL33" s="1031">
        <f t="shared" si="13"/>
        <v>0</v>
      </c>
      <c r="AM33" s="1031">
        <f t="shared" si="13"/>
        <v>0</v>
      </c>
      <c r="AN33" s="1031">
        <f t="shared" si="13"/>
        <v>0</v>
      </c>
      <c r="AO33" s="1031">
        <f t="shared" si="13"/>
        <v>0</v>
      </c>
      <c r="AP33" s="1031">
        <f t="shared" si="13"/>
        <v>0</v>
      </c>
      <c r="AQ33" s="1031">
        <f t="shared" si="13"/>
        <v>0.02</v>
      </c>
      <c r="AR33" s="1031">
        <f t="shared" si="13"/>
        <v>0</v>
      </c>
      <c r="AS33" s="1031">
        <f t="shared" si="13"/>
        <v>0</v>
      </c>
      <c r="AT33" s="1031">
        <f t="shared" si="13"/>
        <v>0</v>
      </c>
      <c r="AU33" s="1031">
        <f t="shared" si="13"/>
        <v>0</v>
      </c>
      <c r="AV33" s="1031">
        <f t="shared" si="13"/>
        <v>0</v>
      </c>
      <c r="AW33" s="1031">
        <f t="shared" si="13"/>
        <v>0</v>
      </c>
      <c r="AX33" s="1031">
        <f t="shared" si="13"/>
        <v>0</v>
      </c>
      <c r="AY33" s="1031">
        <f t="shared" si="13"/>
        <v>0.56999999999999995</v>
      </c>
      <c r="AZ33" s="1031">
        <f t="shared" si="13"/>
        <v>0.01</v>
      </c>
      <c r="BA33" s="1031">
        <f t="shared" si="13"/>
        <v>0</v>
      </c>
      <c r="BB33" s="1031">
        <f t="shared" si="13"/>
        <v>0.11</v>
      </c>
      <c r="BC33" s="1031">
        <f t="shared" si="13"/>
        <v>0.01</v>
      </c>
      <c r="BD33" s="1031">
        <f t="shared" si="13"/>
        <v>0</v>
      </c>
      <c r="BE33" s="1031">
        <f t="shared" si="13"/>
        <v>0</v>
      </c>
      <c r="BF33" s="1031">
        <f t="shared" si="13"/>
        <v>0.21000000000000002</v>
      </c>
      <c r="BG33" s="1039">
        <f t="shared" si="13"/>
        <v>0</v>
      </c>
      <c r="BH33" s="1039">
        <f t="shared" si="13"/>
        <v>0</v>
      </c>
      <c r="BI33" s="1119" t="s">
        <v>3150</v>
      </c>
      <c r="BJ33" s="1120" t="s">
        <v>3151</v>
      </c>
      <c r="BK33" s="1119" t="s">
        <v>3152</v>
      </c>
      <c r="BL33" s="1119" t="s">
        <v>1917</v>
      </c>
      <c r="BM33" s="1120" t="s">
        <v>3153</v>
      </c>
      <c r="BN33" s="1120" t="s">
        <v>291</v>
      </c>
      <c r="BO33" s="1121"/>
      <c r="BP33" s="1121">
        <v>1</v>
      </c>
      <c r="BQ33" s="1179" t="s">
        <v>3154</v>
      </c>
      <c r="BR33" s="1232" t="s">
        <v>3155</v>
      </c>
      <c r="BS33" s="1124"/>
    </row>
    <row r="34" spans="1:72" s="1165" customFormat="1" ht="22.5" hidden="1" customHeight="1">
      <c r="A34" s="1040"/>
      <c r="B34" s="1233"/>
      <c r="C34" s="1234" t="s">
        <v>3156</v>
      </c>
      <c r="D34" s="1120" t="s">
        <v>3087</v>
      </c>
      <c r="E34" s="1234" t="s">
        <v>44</v>
      </c>
      <c r="F34" s="1041">
        <f t="shared" ref="F34:F35" si="14">G34+H34</f>
        <v>5.61</v>
      </c>
      <c r="G34" s="1042"/>
      <c r="H34" s="1041">
        <f t="shared" ref="H34:H35" si="15">SUM(J34:BF34)</f>
        <v>5.61</v>
      </c>
      <c r="I34" s="1029">
        <v>2030</v>
      </c>
      <c r="J34" s="1235">
        <v>1.05</v>
      </c>
      <c r="K34" s="1042"/>
      <c r="L34" s="1042"/>
      <c r="M34" s="1235">
        <v>1.1499999999999999</v>
      </c>
      <c r="N34" s="1235">
        <v>0.36</v>
      </c>
      <c r="O34" s="1042"/>
      <c r="P34" s="1042"/>
      <c r="Q34" s="1042"/>
      <c r="R34" s="1042"/>
      <c r="S34" s="1041">
        <v>0.91</v>
      </c>
      <c r="T34" s="1042"/>
      <c r="U34" s="1235">
        <v>0.55000000000000004</v>
      </c>
      <c r="V34" s="1235"/>
      <c r="W34" s="1042"/>
      <c r="X34" s="1042"/>
      <c r="Y34" s="1042"/>
      <c r="Z34" s="1042"/>
      <c r="AA34" s="1042"/>
      <c r="AB34" s="1042"/>
      <c r="AC34" s="1042"/>
      <c r="AD34" s="1042"/>
      <c r="AE34" s="1042">
        <v>0.8</v>
      </c>
      <c r="AF34" s="1042">
        <v>0.05</v>
      </c>
      <c r="AG34" s="1042">
        <v>0.03</v>
      </c>
      <c r="AH34" s="1042"/>
      <c r="AI34" s="1042"/>
      <c r="AJ34" s="1042"/>
      <c r="AK34" s="1042"/>
      <c r="AL34" s="1042"/>
      <c r="AM34" s="1042"/>
      <c r="AN34" s="1042"/>
      <c r="AO34" s="1042"/>
      <c r="AP34" s="1042"/>
      <c r="AQ34" s="1042">
        <v>0.02</v>
      </c>
      <c r="AR34" s="1042"/>
      <c r="AS34" s="1042"/>
      <c r="AT34" s="1042"/>
      <c r="AU34" s="1042"/>
      <c r="AV34" s="1042"/>
      <c r="AW34" s="1042"/>
      <c r="AX34" s="1042"/>
      <c r="AY34" s="1042">
        <v>0.56999999999999995</v>
      </c>
      <c r="AZ34" s="1042">
        <v>0.01</v>
      </c>
      <c r="BA34" s="1042"/>
      <c r="BB34" s="1042"/>
      <c r="BC34" s="1042"/>
      <c r="BD34" s="1042"/>
      <c r="BE34" s="1042"/>
      <c r="BF34" s="1236">
        <v>0.11</v>
      </c>
      <c r="BG34" s="1237"/>
      <c r="BH34" s="1237"/>
      <c r="BI34" s="1237"/>
      <c r="BJ34" s="1234"/>
      <c r="BK34" s="1237"/>
      <c r="BL34" s="1237"/>
      <c r="BM34" s="1234"/>
      <c r="BN34" s="1234"/>
      <c r="BO34" s="1238"/>
      <c r="BP34" s="1238"/>
      <c r="BQ34" s="1239"/>
      <c r="BR34" s="1240"/>
      <c r="BS34" s="1241"/>
      <c r="BT34" s="1242"/>
    </row>
    <row r="35" spans="1:72" s="1165" customFormat="1" ht="22.5" hidden="1" customHeight="1">
      <c r="A35" s="1040"/>
      <c r="B35" s="1233"/>
      <c r="C35" s="1237" t="s">
        <v>3015</v>
      </c>
      <c r="D35" s="1120" t="s">
        <v>3087</v>
      </c>
      <c r="E35" s="1234" t="s">
        <v>44</v>
      </c>
      <c r="F35" s="1041">
        <f t="shared" si="14"/>
        <v>3.7899999999999991</v>
      </c>
      <c r="G35" s="1042"/>
      <c r="H35" s="1041">
        <f t="shared" si="15"/>
        <v>3.7899999999999991</v>
      </c>
      <c r="I35" s="1029">
        <v>2030</v>
      </c>
      <c r="J35" s="1235">
        <v>1.05</v>
      </c>
      <c r="K35" s="1042"/>
      <c r="L35" s="1042"/>
      <c r="M35" s="1235">
        <v>1</v>
      </c>
      <c r="N35" s="1235">
        <v>0.3</v>
      </c>
      <c r="O35" s="1042"/>
      <c r="P35" s="1042"/>
      <c r="Q35" s="1042"/>
      <c r="R35" s="1042"/>
      <c r="S35" s="1041">
        <v>0.87</v>
      </c>
      <c r="T35" s="1042"/>
      <c r="U35" s="1235">
        <v>0.3</v>
      </c>
      <c r="V35" s="1235"/>
      <c r="W35" s="1042"/>
      <c r="X35" s="1042"/>
      <c r="Y35" s="1042"/>
      <c r="Z35" s="1042"/>
      <c r="AA35" s="1042"/>
      <c r="AB35" s="1042"/>
      <c r="AC35" s="1042"/>
      <c r="AD35" s="1042"/>
      <c r="AE35" s="1042"/>
      <c r="AF35" s="1042">
        <v>0.05</v>
      </c>
      <c r="AG35" s="1042"/>
      <c r="AH35" s="1042"/>
      <c r="AI35" s="1042"/>
      <c r="AJ35" s="1042"/>
      <c r="AK35" s="1042"/>
      <c r="AL35" s="1042"/>
      <c r="AM35" s="1042"/>
      <c r="AN35" s="1042"/>
      <c r="AO35" s="1042"/>
      <c r="AP35" s="1042"/>
      <c r="AQ35" s="1042"/>
      <c r="AR35" s="1042"/>
      <c r="AS35" s="1042"/>
      <c r="AT35" s="1042"/>
      <c r="AU35" s="1042"/>
      <c r="AV35" s="1042"/>
      <c r="AW35" s="1042"/>
      <c r="AX35" s="1042"/>
      <c r="AY35" s="1042"/>
      <c r="AZ35" s="1042"/>
      <c r="BA35" s="1042"/>
      <c r="BB35" s="1042">
        <v>0.11</v>
      </c>
      <c r="BC35" s="1042">
        <v>0.01</v>
      </c>
      <c r="BD35" s="1042"/>
      <c r="BE35" s="1042"/>
      <c r="BF35" s="1236">
        <v>0.1</v>
      </c>
      <c r="BG35" s="1237"/>
      <c r="BH35" s="1237"/>
      <c r="BI35" s="1237"/>
      <c r="BJ35" s="1234"/>
      <c r="BK35" s="1237"/>
      <c r="BL35" s="1237"/>
      <c r="BM35" s="1234"/>
      <c r="BN35" s="1234"/>
      <c r="BO35" s="1238"/>
      <c r="BP35" s="1238"/>
      <c r="BQ35" s="1239"/>
      <c r="BR35" s="1240"/>
      <c r="BS35" s="1241"/>
      <c r="BT35" s="1242"/>
    </row>
    <row r="36" spans="1:72" ht="114.95" customHeight="1">
      <c r="A36" s="1028">
        <f>+A33+1</f>
        <v>15</v>
      </c>
      <c r="B36" s="1215" t="s">
        <v>3157</v>
      </c>
      <c r="C36" s="1120"/>
      <c r="D36" s="1120"/>
      <c r="E36" s="1176" t="s">
        <v>3149</v>
      </c>
      <c r="F36" s="1029">
        <f>G36+H36</f>
        <v>23.959999999999997</v>
      </c>
      <c r="G36" s="1043">
        <f>18.67-9.57</f>
        <v>9.1000000000000014</v>
      </c>
      <c r="H36" s="1029">
        <f>SUM(J36:BH36)</f>
        <v>14.859999999999996</v>
      </c>
      <c r="I36" s="1029">
        <v>2030</v>
      </c>
      <c r="J36" s="1043">
        <f>J37+J38</f>
        <v>0.25</v>
      </c>
      <c r="K36" s="1043">
        <f t="shared" ref="K36:BH36" si="16">K37+K38</f>
        <v>0.26</v>
      </c>
      <c r="L36" s="1043">
        <f t="shared" si="16"/>
        <v>0</v>
      </c>
      <c r="M36" s="1043">
        <f t="shared" si="16"/>
        <v>0.26999999999999996</v>
      </c>
      <c r="N36" s="1043">
        <f t="shared" si="16"/>
        <v>0.66</v>
      </c>
      <c r="O36" s="1043">
        <f t="shared" si="16"/>
        <v>0</v>
      </c>
      <c r="P36" s="1043">
        <f t="shared" si="16"/>
        <v>0</v>
      </c>
      <c r="Q36" s="1043">
        <f t="shared" si="16"/>
        <v>0</v>
      </c>
      <c r="R36" s="1043">
        <f t="shared" si="16"/>
        <v>0</v>
      </c>
      <c r="S36" s="1043">
        <f t="shared" si="16"/>
        <v>7.68</v>
      </c>
      <c r="T36" s="1043">
        <f t="shared" si="16"/>
        <v>0</v>
      </c>
      <c r="U36" s="1043">
        <f t="shared" si="16"/>
        <v>0.01</v>
      </c>
      <c r="V36" s="1043">
        <f t="shared" si="16"/>
        <v>0</v>
      </c>
      <c r="W36" s="1043">
        <f t="shared" si="16"/>
        <v>0</v>
      </c>
      <c r="X36" s="1043">
        <f t="shared" si="16"/>
        <v>0</v>
      </c>
      <c r="Y36" s="1043">
        <f t="shared" si="16"/>
        <v>0</v>
      </c>
      <c r="Z36" s="1043">
        <f t="shared" si="16"/>
        <v>0</v>
      </c>
      <c r="AA36" s="1043">
        <f t="shared" si="16"/>
        <v>0</v>
      </c>
      <c r="AB36" s="1043">
        <f t="shared" si="16"/>
        <v>0</v>
      </c>
      <c r="AC36" s="1043">
        <f t="shared" si="16"/>
        <v>0</v>
      </c>
      <c r="AD36" s="1043">
        <f t="shared" si="16"/>
        <v>0</v>
      </c>
      <c r="AE36" s="1043">
        <f t="shared" si="16"/>
        <v>5.26</v>
      </c>
      <c r="AF36" s="1043">
        <f t="shared" si="16"/>
        <v>0.03</v>
      </c>
      <c r="AG36" s="1043">
        <f t="shared" si="16"/>
        <v>0</v>
      </c>
      <c r="AH36" s="1043">
        <f t="shared" si="16"/>
        <v>0</v>
      </c>
      <c r="AI36" s="1043">
        <f t="shared" si="16"/>
        <v>0</v>
      </c>
      <c r="AJ36" s="1043">
        <f t="shared" si="16"/>
        <v>0</v>
      </c>
      <c r="AK36" s="1043">
        <f t="shared" si="16"/>
        <v>0</v>
      </c>
      <c r="AL36" s="1043">
        <f t="shared" si="16"/>
        <v>0</v>
      </c>
      <c r="AM36" s="1043">
        <f t="shared" si="16"/>
        <v>0</v>
      </c>
      <c r="AN36" s="1043">
        <f t="shared" si="16"/>
        <v>0</v>
      </c>
      <c r="AO36" s="1043">
        <f t="shared" si="16"/>
        <v>0</v>
      </c>
      <c r="AP36" s="1043">
        <f t="shared" si="16"/>
        <v>0</v>
      </c>
      <c r="AQ36" s="1043">
        <f t="shared" si="16"/>
        <v>0</v>
      </c>
      <c r="AR36" s="1043">
        <f t="shared" si="16"/>
        <v>0</v>
      </c>
      <c r="AS36" s="1043">
        <f t="shared" si="16"/>
        <v>0</v>
      </c>
      <c r="AT36" s="1043">
        <f t="shared" si="16"/>
        <v>0</v>
      </c>
      <c r="AU36" s="1043">
        <f t="shared" si="16"/>
        <v>0</v>
      </c>
      <c r="AV36" s="1043">
        <f t="shared" si="16"/>
        <v>0</v>
      </c>
      <c r="AW36" s="1043">
        <f t="shared" si="16"/>
        <v>0</v>
      </c>
      <c r="AX36" s="1043">
        <f t="shared" si="16"/>
        <v>0.12</v>
      </c>
      <c r="AY36" s="1043">
        <f t="shared" si="16"/>
        <v>0</v>
      </c>
      <c r="AZ36" s="1043">
        <f t="shared" si="16"/>
        <v>0</v>
      </c>
      <c r="BA36" s="1043">
        <f t="shared" si="16"/>
        <v>0</v>
      </c>
      <c r="BB36" s="1043">
        <f t="shared" si="16"/>
        <v>0</v>
      </c>
      <c r="BC36" s="1043">
        <f t="shared" si="16"/>
        <v>0.04</v>
      </c>
      <c r="BD36" s="1043">
        <f t="shared" si="16"/>
        <v>0</v>
      </c>
      <c r="BE36" s="1043">
        <f t="shared" si="16"/>
        <v>0</v>
      </c>
      <c r="BF36" s="1043">
        <f t="shared" si="16"/>
        <v>0.28000000000000003</v>
      </c>
      <c r="BG36" s="1043">
        <f t="shared" si="16"/>
        <v>0</v>
      </c>
      <c r="BH36" s="1043">
        <f t="shared" si="16"/>
        <v>0</v>
      </c>
      <c r="BI36" s="1120" t="s">
        <v>3158</v>
      </c>
      <c r="BJ36" s="1120"/>
      <c r="BK36" s="1120" t="s">
        <v>3159</v>
      </c>
      <c r="BL36" s="1120" t="s">
        <v>1917</v>
      </c>
      <c r="BM36" s="1120" t="s">
        <v>3160</v>
      </c>
      <c r="BN36" s="1120" t="s">
        <v>291</v>
      </c>
      <c r="BO36" s="1121" t="s">
        <v>3161</v>
      </c>
      <c r="BP36" s="1121">
        <v>1</v>
      </c>
      <c r="BQ36" s="1243" t="s">
        <v>3162</v>
      </c>
      <c r="BR36" s="1232" t="s">
        <v>3163</v>
      </c>
      <c r="BS36" s="1124"/>
      <c r="BT36" s="1118"/>
    </row>
    <row r="37" spans="1:72" s="1165" customFormat="1" ht="14.25" hidden="1" customHeight="1">
      <c r="A37" s="1040"/>
      <c r="B37" s="1233"/>
      <c r="C37" s="1234" t="s">
        <v>3016</v>
      </c>
      <c r="D37" s="1120" t="s">
        <v>3087</v>
      </c>
      <c r="E37" s="1236" t="s">
        <v>44</v>
      </c>
      <c r="F37" s="1029">
        <f t="shared" ref="F37:F38" si="17">G37+H37</f>
        <v>1.9000000000000001</v>
      </c>
      <c r="G37" s="1044"/>
      <c r="H37" s="1029">
        <f t="shared" ref="H37:H38" si="18">SUM(J37:BF37)</f>
        <v>1.9000000000000001</v>
      </c>
      <c r="I37" s="1029">
        <v>2030</v>
      </c>
      <c r="J37" s="1044">
        <v>0.16</v>
      </c>
      <c r="K37" s="1044"/>
      <c r="L37" s="1044"/>
      <c r="M37" s="1044">
        <v>0.05</v>
      </c>
      <c r="N37" s="1044">
        <v>0.13</v>
      </c>
      <c r="O37" s="1041"/>
      <c r="P37" s="1041"/>
      <c r="Q37" s="1041"/>
      <c r="R37" s="1041"/>
      <c r="S37" s="1041">
        <v>0.67</v>
      </c>
      <c r="T37" s="1041"/>
      <c r="U37" s="1042">
        <v>0.01</v>
      </c>
      <c r="V37" s="1042"/>
      <c r="W37" s="1042"/>
      <c r="X37" s="1042"/>
      <c r="Y37" s="1042"/>
      <c r="Z37" s="1042"/>
      <c r="AA37" s="1042"/>
      <c r="AB37" s="1042"/>
      <c r="AC37" s="1042"/>
      <c r="AD37" s="1042"/>
      <c r="AE37" s="1042">
        <v>0.58000000000000007</v>
      </c>
      <c r="AF37" s="1042">
        <v>0.01</v>
      </c>
      <c r="AG37" s="1042"/>
      <c r="AH37" s="1042"/>
      <c r="AI37" s="1042"/>
      <c r="AJ37" s="1042"/>
      <c r="AK37" s="1042"/>
      <c r="AL37" s="1042"/>
      <c r="AM37" s="1042"/>
      <c r="AN37" s="1042"/>
      <c r="AO37" s="1042"/>
      <c r="AP37" s="1042"/>
      <c r="AQ37" s="1042"/>
      <c r="AR37" s="1042"/>
      <c r="AS37" s="1042"/>
      <c r="AT37" s="1042"/>
      <c r="AU37" s="1042"/>
      <c r="AV37" s="1042"/>
      <c r="AW37" s="1042"/>
      <c r="AX37" s="1042"/>
      <c r="AY37" s="1042"/>
      <c r="AZ37" s="1042"/>
      <c r="BA37" s="1042"/>
      <c r="BB37" s="1042"/>
      <c r="BC37" s="1042">
        <v>0.01</v>
      </c>
      <c r="BD37" s="1042"/>
      <c r="BE37" s="1042"/>
      <c r="BF37" s="1042">
        <v>0.28000000000000003</v>
      </c>
      <c r="BG37" s="1042"/>
      <c r="BH37" s="1042"/>
      <c r="BI37" s="1234"/>
      <c r="BJ37" s="1234"/>
      <c r="BK37" s="1234"/>
      <c r="BL37" s="1234"/>
      <c r="BM37" s="1234"/>
      <c r="BN37" s="1234"/>
      <c r="BO37" s="1238"/>
      <c r="BP37" s="1238"/>
      <c r="BQ37" s="1244"/>
      <c r="BR37" s="1240"/>
      <c r="BS37" s="1241"/>
      <c r="BT37" s="1242"/>
    </row>
    <row r="38" spans="1:72" s="1165" customFormat="1" ht="14.25" hidden="1" customHeight="1">
      <c r="A38" s="1040"/>
      <c r="B38" s="1233"/>
      <c r="C38" s="1234" t="s">
        <v>3018</v>
      </c>
      <c r="D38" s="1120" t="s">
        <v>3087</v>
      </c>
      <c r="E38" s="1236" t="s">
        <v>44</v>
      </c>
      <c r="F38" s="1029">
        <f t="shared" si="17"/>
        <v>12.959999999999997</v>
      </c>
      <c r="G38" s="1044"/>
      <c r="H38" s="1029">
        <f t="shared" si="18"/>
        <v>12.959999999999997</v>
      </c>
      <c r="I38" s="1029">
        <v>2030</v>
      </c>
      <c r="J38" s="1044">
        <v>0.09</v>
      </c>
      <c r="K38" s="1044">
        <v>0.26</v>
      </c>
      <c r="L38" s="1044"/>
      <c r="M38" s="1044">
        <v>0.21999999999999997</v>
      </c>
      <c r="N38" s="1044">
        <v>0.53</v>
      </c>
      <c r="O38" s="1041"/>
      <c r="P38" s="1041"/>
      <c r="Q38" s="1041"/>
      <c r="R38" s="1041"/>
      <c r="S38" s="1041">
        <v>7.01</v>
      </c>
      <c r="T38" s="1041"/>
      <c r="U38" s="1042"/>
      <c r="V38" s="1042"/>
      <c r="W38" s="1042"/>
      <c r="X38" s="1042"/>
      <c r="Y38" s="1042"/>
      <c r="Z38" s="1042"/>
      <c r="AA38" s="1042"/>
      <c r="AB38" s="1042"/>
      <c r="AC38" s="1042"/>
      <c r="AD38" s="1042"/>
      <c r="AE38" s="1042">
        <v>4.68</v>
      </c>
      <c r="AF38" s="1042">
        <v>0.02</v>
      </c>
      <c r="AG38" s="1042"/>
      <c r="AH38" s="1042"/>
      <c r="AI38" s="1042"/>
      <c r="AJ38" s="1042"/>
      <c r="AK38" s="1042"/>
      <c r="AL38" s="1042"/>
      <c r="AM38" s="1042"/>
      <c r="AN38" s="1042"/>
      <c r="AO38" s="1042"/>
      <c r="AP38" s="1042"/>
      <c r="AQ38" s="1042"/>
      <c r="AR38" s="1042"/>
      <c r="AS38" s="1042"/>
      <c r="AT38" s="1042"/>
      <c r="AU38" s="1042"/>
      <c r="AV38" s="1042"/>
      <c r="AW38" s="1042"/>
      <c r="AX38" s="1042">
        <v>0.12</v>
      </c>
      <c r="AY38" s="1042"/>
      <c r="AZ38" s="1042"/>
      <c r="BA38" s="1042"/>
      <c r="BB38" s="1042"/>
      <c r="BC38" s="1042">
        <v>0.03</v>
      </c>
      <c r="BD38" s="1042"/>
      <c r="BE38" s="1042"/>
      <c r="BF38" s="1042"/>
      <c r="BG38" s="1042"/>
      <c r="BH38" s="1042"/>
      <c r="BI38" s="1234"/>
      <c r="BJ38" s="1234"/>
      <c r="BK38" s="1234"/>
      <c r="BL38" s="1234"/>
      <c r="BM38" s="1234"/>
      <c r="BN38" s="1234"/>
      <c r="BO38" s="1238"/>
      <c r="BP38" s="1238"/>
      <c r="BQ38" s="1244"/>
      <c r="BR38" s="1240"/>
      <c r="BS38" s="1241"/>
      <c r="BT38" s="1242"/>
    </row>
    <row r="39" spans="1:72" ht="119.1" customHeight="1">
      <c r="A39" s="1028">
        <f>+A36+1</f>
        <v>16</v>
      </c>
      <c r="B39" s="1166" t="s">
        <v>3164</v>
      </c>
      <c r="C39" s="1032" t="s">
        <v>3156</v>
      </c>
      <c r="D39" s="1120" t="s">
        <v>3087</v>
      </c>
      <c r="E39" s="1118" t="s">
        <v>44</v>
      </c>
      <c r="F39" s="1029">
        <f>G39+H39</f>
        <v>4.2200000000000006</v>
      </c>
      <c r="G39" s="1029">
        <v>3.22</v>
      </c>
      <c r="H39" s="1029">
        <f>SUM(J39:BF39)</f>
        <v>1</v>
      </c>
      <c r="I39" s="1029">
        <v>2030</v>
      </c>
      <c r="J39" s="1029">
        <f>1.41-1.05</f>
        <v>0.35999999999999988</v>
      </c>
      <c r="K39" s="1029"/>
      <c r="L39" s="1029"/>
      <c r="M39" s="1029">
        <f>0.66-0.3</f>
        <v>0.36000000000000004</v>
      </c>
      <c r="N39" s="1029">
        <v>0.06</v>
      </c>
      <c r="O39" s="1029"/>
      <c r="P39" s="1029"/>
      <c r="Q39" s="1029"/>
      <c r="R39" s="1029"/>
      <c r="S39" s="1029"/>
      <c r="T39" s="1029"/>
      <c r="U39" s="1029"/>
      <c r="V39" s="1029"/>
      <c r="W39" s="1029"/>
      <c r="X39" s="1029"/>
      <c r="Y39" s="1029"/>
      <c r="Z39" s="1029"/>
      <c r="AA39" s="1029"/>
      <c r="AB39" s="1029"/>
      <c r="AC39" s="1029"/>
      <c r="AD39" s="1029"/>
      <c r="AE39" s="1029"/>
      <c r="AF39" s="1029"/>
      <c r="AG39" s="1029"/>
      <c r="AH39" s="1029"/>
      <c r="AI39" s="1029"/>
      <c r="AJ39" s="1029"/>
      <c r="AK39" s="1029"/>
      <c r="AL39" s="1029"/>
      <c r="AM39" s="1029"/>
      <c r="AN39" s="1029"/>
      <c r="AO39" s="1029"/>
      <c r="AP39" s="1029"/>
      <c r="AQ39" s="1029"/>
      <c r="AR39" s="1029"/>
      <c r="AS39" s="1029"/>
      <c r="AT39" s="1029"/>
      <c r="AU39" s="1029"/>
      <c r="AV39" s="1029"/>
      <c r="AW39" s="1029"/>
      <c r="AX39" s="1029"/>
      <c r="AY39" s="1029">
        <f>0.57-0.35</f>
        <v>0.21999999999999997</v>
      </c>
      <c r="AZ39" s="1029"/>
      <c r="BA39" s="1029"/>
      <c r="BB39" s="1029"/>
      <c r="BC39" s="1029"/>
      <c r="BD39" s="1029"/>
      <c r="BE39" s="1029"/>
      <c r="BF39" s="1029"/>
      <c r="BG39" s="1029"/>
      <c r="BH39" s="1029"/>
      <c r="BI39" s="1032" t="s">
        <v>3165</v>
      </c>
      <c r="BJ39" s="1120" t="s">
        <v>3166</v>
      </c>
      <c r="BK39" s="1245" t="s">
        <v>3167</v>
      </c>
      <c r="BL39" s="1119" t="s">
        <v>1917</v>
      </c>
      <c r="BM39" s="1120" t="s">
        <v>3153</v>
      </c>
      <c r="BN39" s="1120" t="s">
        <v>291</v>
      </c>
      <c r="BO39" s="1121" t="s">
        <v>3168</v>
      </c>
      <c r="BP39" s="1121">
        <v>1</v>
      </c>
      <c r="BQ39" s="1246"/>
      <c r="BR39" s="1232"/>
      <c r="BS39" s="1124"/>
      <c r="BT39" s="1118"/>
    </row>
    <row r="40" spans="1:72" s="1177" customFormat="1" ht="183" customHeight="1">
      <c r="A40" s="1028">
        <f t="shared" ref="A40:A41" si="19">+A39+1</f>
        <v>17</v>
      </c>
      <c r="B40" s="1247" t="s">
        <v>3169</v>
      </c>
      <c r="C40" s="1032" t="s">
        <v>3156</v>
      </c>
      <c r="D40" s="1120" t="s">
        <v>3087</v>
      </c>
      <c r="E40" s="1045" t="s">
        <v>44</v>
      </c>
      <c r="F40" s="1029">
        <f>G40+H40</f>
        <v>1.0663500000000001</v>
      </c>
      <c r="G40" s="1031"/>
      <c r="H40" s="1029">
        <f>SUM(J40:BF40)</f>
        <v>1.0663500000000001</v>
      </c>
      <c r="I40" s="1029">
        <v>2030</v>
      </c>
      <c r="J40" s="1029">
        <v>0.27284999999999998</v>
      </c>
      <c r="K40" s="1029"/>
      <c r="L40" s="1029"/>
      <c r="M40" s="1029">
        <v>0.13150000000000001</v>
      </c>
      <c r="N40" s="1031">
        <v>0.31</v>
      </c>
      <c r="O40" s="1029"/>
      <c r="P40" s="1029"/>
      <c r="Q40" s="1029"/>
      <c r="R40" s="1029"/>
      <c r="S40" s="1029"/>
      <c r="T40" s="1029"/>
      <c r="U40" s="1029">
        <v>0.04</v>
      </c>
      <c r="V40" s="1029"/>
      <c r="W40" s="1029"/>
      <c r="X40" s="1029"/>
      <c r="Y40" s="1029"/>
      <c r="Z40" s="1029"/>
      <c r="AA40" s="1029"/>
      <c r="AB40" s="1029"/>
      <c r="AC40" s="1029"/>
      <c r="AD40" s="1029"/>
      <c r="AE40" s="1029">
        <v>8.1390000000000004E-2</v>
      </c>
      <c r="AF40" s="1029">
        <v>1.1350000000000001E-2</v>
      </c>
      <c r="AG40" s="1029"/>
      <c r="AH40" s="1029"/>
      <c r="AI40" s="1029"/>
      <c r="AJ40" s="1029"/>
      <c r="AK40" s="1029"/>
      <c r="AL40" s="1029"/>
      <c r="AM40" s="1029"/>
      <c r="AN40" s="1029"/>
      <c r="AO40" s="1029"/>
      <c r="AP40" s="1029"/>
      <c r="AQ40" s="1029"/>
      <c r="AR40" s="1029"/>
      <c r="AS40" s="1029"/>
      <c r="AT40" s="1029"/>
      <c r="AU40" s="1029"/>
      <c r="AV40" s="1029"/>
      <c r="AW40" s="1029"/>
      <c r="AX40" s="1029"/>
      <c r="AY40" s="1029">
        <v>4.9439999999999998E-2</v>
      </c>
      <c r="AZ40" s="1029">
        <v>0.16982</v>
      </c>
      <c r="BA40" s="1029"/>
      <c r="BB40" s="1029"/>
      <c r="BC40" s="1029"/>
      <c r="BD40" s="1029"/>
      <c r="BE40" s="1029"/>
      <c r="BF40" s="1029"/>
      <c r="BG40" s="1029"/>
      <c r="BH40" s="1029"/>
      <c r="BI40" s="1032" t="s">
        <v>3170</v>
      </c>
      <c r="BJ40" s="1248" t="s">
        <v>3171</v>
      </c>
      <c r="BK40" s="1245" t="s">
        <v>3172</v>
      </c>
      <c r="BL40" s="1119" t="s">
        <v>1917</v>
      </c>
      <c r="BM40" s="1120" t="s">
        <v>3153</v>
      </c>
      <c r="BN40" s="1120" t="s">
        <v>291</v>
      </c>
      <c r="BO40" s="1121"/>
      <c r="BP40" s="1121">
        <v>1</v>
      </c>
      <c r="BQ40" s="1246" t="s">
        <v>3173</v>
      </c>
      <c r="BR40" s="1232" t="s">
        <v>3174</v>
      </c>
      <c r="BS40" s="1124"/>
      <c r="BT40" s="1221"/>
    </row>
    <row r="41" spans="1:72" s="1177" customFormat="1" ht="34.5" customHeight="1">
      <c r="A41" s="1028">
        <f t="shared" si="19"/>
        <v>18</v>
      </c>
      <c r="B41" s="1215" t="s">
        <v>3175</v>
      </c>
      <c r="C41" s="1118" t="s">
        <v>3026</v>
      </c>
      <c r="D41" s="1118"/>
      <c r="E41" s="1120"/>
      <c r="F41" s="1029">
        <f t="shared" ref="F41:F46" si="20">G41+H41</f>
        <v>2.61</v>
      </c>
      <c r="G41" s="1031"/>
      <c r="H41" s="1029">
        <f t="shared" ref="H41:H46" si="21">SUM(J41:BF41)</f>
        <v>2.61</v>
      </c>
      <c r="I41" s="1029"/>
      <c r="J41" s="1249">
        <f>J42+J43</f>
        <v>0</v>
      </c>
      <c r="K41" s="1249">
        <f t="shared" ref="K41:BG41" si="22">K42+K43</f>
        <v>0.2</v>
      </c>
      <c r="L41" s="1249">
        <f t="shared" si="22"/>
        <v>0</v>
      </c>
      <c r="M41" s="1249">
        <f t="shared" si="22"/>
        <v>0.2</v>
      </c>
      <c r="N41" s="1249">
        <f t="shared" si="22"/>
        <v>0.90000000000000013</v>
      </c>
      <c r="O41" s="1249">
        <f t="shared" si="22"/>
        <v>0</v>
      </c>
      <c r="P41" s="1249">
        <f t="shared" si="22"/>
        <v>0</v>
      </c>
      <c r="Q41" s="1249">
        <f t="shared" si="22"/>
        <v>0</v>
      </c>
      <c r="R41" s="1249">
        <f t="shared" si="22"/>
        <v>0</v>
      </c>
      <c r="S41" s="1249">
        <f t="shared" si="22"/>
        <v>1.2</v>
      </c>
      <c r="T41" s="1249">
        <f t="shared" si="22"/>
        <v>0</v>
      </c>
      <c r="U41" s="1249">
        <f t="shared" si="22"/>
        <v>0.06</v>
      </c>
      <c r="V41" s="1249">
        <f t="shared" si="22"/>
        <v>0</v>
      </c>
      <c r="W41" s="1249">
        <f t="shared" si="22"/>
        <v>0</v>
      </c>
      <c r="X41" s="1249">
        <f t="shared" si="22"/>
        <v>0</v>
      </c>
      <c r="Y41" s="1249">
        <f t="shared" si="22"/>
        <v>0</v>
      </c>
      <c r="Z41" s="1249">
        <f t="shared" si="22"/>
        <v>0</v>
      </c>
      <c r="AA41" s="1249">
        <f t="shared" si="22"/>
        <v>0</v>
      </c>
      <c r="AB41" s="1249">
        <f t="shared" si="22"/>
        <v>0</v>
      </c>
      <c r="AC41" s="1249">
        <f t="shared" si="22"/>
        <v>0</v>
      </c>
      <c r="AD41" s="1249">
        <f t="shared" si="22"/>
        <v>0</v>
      </c>
      <c r="AE41" s="1249">
        <f t="shared" si="22"/>
        <v>0</v>
      </c>
      <c r="AF41" s="1249">
        <f t="shared" si="22"/>
        <v>0</v>
      </c>
      <c r="AG41" s="1249">
        <f t="shared" si="22"/>
        <v>0</v>
      </c>
      <c r="AH41" s="1249">
        <f t="shared" si="22"/>
        <v>0</v>
      </c>
      <c r="AI41" s="1249">
        <f t="shared" si="22"/>
        <v>0</v>
      </c>
      <c r="AJ41" s="1249">
        <f t="shared" si="22"/>
        <v>0</v>
      </c>
      <c r="AK41" s="1249">
        <f t="shared" si="22"/>
        <v>0</v>
      </c>
      <c r="AL41" s="1249">
        <f t="shared" si="22"/>
        <v>0</v>
      </c>
      <c r="AM41" s="1249">
        <f t="shared" si="22"/>
        <v>0</v>
      </c>
      <c r="AN41" s="1249">
        <f t="shared" si="22"/>
        <v>0</v>
      </c>
      <c r="AO41" s="1249">
        <f t="shared" si="22"/>
        <v>0</v>
      </c>
      <c r="AP41" s="1249">
        <f t="shared" si="22"/>
        <v>0</v>
      </c>
      <c r="AQ41" s="1249">
        <f t="shared" si="22"/>
        <v>0</v>
      </c>
      <c r="AR41" s="1249">
        <f t="shared" si="22"/>
        <v>0</v>
      </c>
      <c r="AS41" s="1249">
        <f t="shared" si="22"/>
        <v>0</v>
      </c>
      <c r="AT41" s="1249">
        <f t="shared" si="22"/>
        <v>0</v>
      </c>
      <c r="AU41" s="1249">
        <f t="shared" si="22"/>
        <v>0</v>
      </c>
      <c r="AV41" s="1249">
        <f t="shared" si="22"/>
        <v>0</v>
      </c>
      <c r="AW41" s="1249">
        <f t="shared" si="22"/>
        <v>0</v>
      </c>
      <c r="AX41" s="1249">
        <f t="shared" si="22"/>
        <v>0</v>
      </c>
      <c r="AY41" s="1249">
        <f t="shared" si="22"/>
        <v>0</v>
      </c>
      <c r="AZ41" s="1249">
        <f t="shared" si="22"/>
        <v>0</v>
      </c>
      <c r="BA41" s="1249">
        <f t="shared" si="22"/>
        <v>0</v>
      </c>
      <c r="BB41" s="1249">
        <f t="shared" si="22"/>
        <v>0</v>
      </c>
      <c r="BC41" s="1249">
        <f t="shared" si="22"/>
        <v>0.05</v>
      </c>
      <c r="BD41" s="1249">
        <f t="shared" si="22"/>
        <v>0</v>
      </c>
      <c r="BE41" s="1249">
        <f t="shared" si="22"/>
        <v>0</v>
      </c>
      <c r="BF41" s="1249">
        <f t="shared" si="22"/>
        <v>0</v>
      </c>
      <c r="BG41" s="1250">
        <f t="shared" si="22"/>
        <v>0</v>
      </c>
      <c r="BH41" s="1029"/>
      <c r="BI41" s="1120" t="s">
        <v>3176</v>
      </c>
      <c r="BJ41" s="1120"/>
      <c r="BK41" s="1604" t="s">
        <v>3177</v>
      </c>
      <c r="BL41" s="1119"/>
      <c r="BM41" s="1120"/>
      <c r="BN41" s="1120" t="s">
        <v>298</v>
      </c>
      <c r="BO41" s="1121"/>
      <c r="BP41" s="1121">
        <v>1</v>
      </c>
      <c r="BQ41" s="1246"/>
      <c r="BR41" s="1232"/>
      <c r="BS41" s="1124"/>
      <c r="BT41" s="1221"/>
    </row>
    <row r="42" spans="1:72" s="1254" customFormat="1" ht="24.6" customHeight="1">
      <c r="A42" s="1040"/>
      <c r="B42" s="1233" t="s">
        <v>3178</v>
      </c>
      <c r="C42" s="1242" t="s">
        <v>3026</v>
      </c>
      <c r="D42" s="1120" t="s">
        <v>3087</v>
      </c>
      <c r="E42" s="1234" t="s">
        <v>44</v>
      </c>
      <c r="F42" s="1041">
        <f t="shared" si="20"/>
        <v>2.11</v>
      </c>
      <c r="G42" s="1042"/>
      <c r="H42" s="1041">
        <f t="shared" si="21"/>
        <v>2.11</v>
      </c>
      <c r="I42" s="1029">
        <v>2030</v>
      </c>
      <c r="J42" s="1251"/>
      <c r="K42" s="1251">
        <v>0.2</v>
      </c>
      <c r="L42" s="1251"/>
      <c r="M42" s="1251">
        <v>0.2</v>
      </c>
      <c r="N42" s="1251">
        <f>1.6-0.98-0.02</f>
        <v>0.60000000000000009</v>
      </c>
      <c r="O42" s="1251"/>
      <c r="P42" s="1251"/>
      <c r="Q42" s="1251"/>
      <c r="R42" s="1251"/>
      <c r="S42" s="1251">
        <f>1.2-0.2</f>
        <v>1</v>
      </c>
      <c r="T42" s="1251"/>
      <c r="U42" s="1251">
        <v>0.06</v>
      </c>
      <c r="V42" s="1251"/>
      <c r="W42" s="1251"/>
      <c r="X42" s="1251"/>
      <c r="Y42" s="1251"/>
      <c r="Z42" s="1251"/>
      <c r="AA42" s="1251"/>
      <c r="AB42" s="1251"/>
      <c r="AC42" s="1251"/>
      <c r="AD42" s="1251"/>
      <c r="AE42" s="1251"/>
      <c r="AF42" s="1251"/>
      <c r="AG42" s="1251"/>
      <c r="AH42" s="1251"/>
      <c r="AI42" s="1251"/>
      <c r="AJ42" s="1251"/>
      <c r="AK42" s="1251"/>
      <c r="AL42" s="1251"/>
      <c r="AM42" s="1251"/>
      <c r="AN42" s="1251"/>
      <c r="AO42" s="1251"/>
      <c r="AP42" s="1251"/>
      <c r="AQ42" s="1251"/>
      <c r="AR42" s="1251"/>
      <c r="AS42" s="1251"/>
      <c r="AT42" s="1251"/>
      <c r="AU42" s="1251"/>
      <c r="AV42" s="1251"/>
      <c r="AW42" s="1251"/>
      <c r="AX42" s="1251"/>
      <c r="AY42" s="1251"/>
      <c r="AZ42" s="1251"/>
      <c r="BA42" s="1251"/>
      <c r="BB42" s="1251"/>
      <c r="BC42" s="1251">
        <v>0.05</v>
      </c>
      <c r="BD42" s="1251"/>
      <c r="BE42" s="1251"/>
      <c r="BF42" s="1251"/>
      <c r="BG42" s="1252"/>
      <c r="BH42" s="1041"/>
      <c r="BI42" s="1234"/>
      <c r="BJ42" s="1234"/>
      <c r="BK42" s="1604"/>
      <c r="BL42" s="1237"/>
      <c r="BM42" s="1234"/>
      <c r="BN42" s="1234"/>
      <c r="BO42" s="1238"/>
      <c r="BP42" s="1238"/>
      <c r="BQ42" s="1253"/>
      <c r="BR42" s="1240"/>
      <c r="BS42" s="1241"/>
      <c r="BT42" s="1252"/>
    </row>
    <row r="43" spans="1:72" s="1254" customFormat="1" ht="24.6" customHeight="1">
      <c r="A43" s="1040"/>
      <c r="B43" s="1233" t="s">
        <v>3179</v>
      </c>
      <c r="C43" s="1242" t="s">
        <v>3026</v>
      </c>
      <c r="D43" s="1120" t="s">
        <v>3087</v>
      </c>
      <c r="E43" s="1234" t="s">
        <v>37</v>
      </c>
      <c r="F43" s="1041">
        <f t="shared" si="20"/>
        <v>0.5</v>
      </c>
      <c r="G43" s="1042"/>
      <c r="H43" s="1041">
        <f t="shared" si="21"/>
        <v>0.5</v>
      </c>
      <c r="I43" s="1029">
        <v>2030</v>
      </c>
      <c r="J43" s="1251"/>
      <c r="K43" s="1251"/>
      <c r="L43" s="1251"/>
      <c r="M43" s="1251"/>
      <c r="N43" s="1251">
        <v>0.3</v>
      </c>
      <c r="O43" s="1251"/>
      <c r="P43" s="1251"/>
      <c r="Q43" s="1251"/>
      <c r="R43" s="1251"/>
      <c r="S43" s="1251">
        <v>0.2</v>
      </c>
      <c r="T43" s="1251"/>
      <c r="U43" s="1251"/>
      <c r="V43" s="1251"/>
      <c r="W43" s="1251"/>
      <c r="X43" s="1251"/>
      <c r="Y43" s="1251"/>
      <c r="Z43" s="1251"/>
      <c r="AA43" s="1251"/>
      <c r="AB43" s="1251"/>
      <c r="AC43" s="1251"/>
      <c r="AD43" s="1251"/>
      <c r="AE43" s="1251"/>
      <c r="AF43" s="1251"/>
      <c r="AG43" s="1251"/>
      <c r="AH43" s="1251"/>
      <c r="AI43" s="1251"/>
      <c r="AJ43" s="1251"/>
      <c r="AK43" s="1251"/>
      <c r="AL43" s="1251"/>
      <c r="AM43" s="1251"/>
      <c r="AN43" s="1251"/>
      <c r="AO43" s="1251"/>
      <c r="AP43" s="1251"/>
      <c r="AQ43" s="1251"/>
      <c r="AR43" s="1251"/>
      <c r="AS43" s="1251"/>
      <c r="AT43" s="1251"/>
      <c r="AU43" s="1251"/>
      <c r="AV43" s="1251"/>
      <c r="AW43" s="1251"/>
      <c r="AX43" s="1251"/>
      <c r="AY43" s="1251"/>
      <c r="AZ43" s="1251"/>
      <c r="BA43" s="1251"/>
      <c r="BB43" s="1251"/>
      <c r="BC43" s="1251"/>
      <c r="BD43" s="1251"/>
      <c r="BE43" s="1251"/>
      <c r="BF43" s="1251"/>
      <c r="BG43" s="1252"/>
      <c r="BH43" s="1041"/>
      <c r="BI43" s="1234"/>
      <c r="BJ43" s="1234"/>
      <c r="BK43" s="1604"/>
      <c r="BL43" s="1237"/>
      <c r="BM43" s="1234"/>
      <c r="BN43" s="1234"/>
      <c r="BO43" s="1238"/>
      <c r="BP43" s="1238"/>
      <c r="BQ43" s="1253"/>
      <c r="BR43" s="1240"/>
      <c r="BS43" s="1241"/>
      <c r="BT43" s="1252"/>
    </row>
    <row r="44" spans="1:72" s="1177" customFormat="1" ht="31.5" customHeight="1">
      <c r="A44" s="1028">
        <f>A41+1</f>
        <v>19</v>
      </c>
      <c r="B44" s="1215" t="s">
        <v>3180</v>
      </c>
      <c r="C44" s="1118" t="s">
        <v>3015</v>
      </c>
      <c r="D44" s="1118"/>
      <c r="E44" s="1120"/>
      <c r="F44" s="1029">
        <f t="shared" si="20"/>
        <v>2.2600000000000002</v>
      </c>
      <c r="G44" s="1031"/>
      <c r="H44" s="1029">
        <f t="shared" si="21"/>
        <v>2.2600000000000002</v>
      </c>
      <c r="I44" s="1029"/>
      <c r="J44" s="1033">
        <f>J45+J46</f>
        <v>0</v>
      </c>
      <c r="K44" s="1033">
        <f t="shared" ref="K44:BG44" si="23">K45+K46</f>
        <v>0.88</v>
      </c>
      <c r="L44" s="1033">
        <f t="shared" si="23"/>
        <v>0</v>
      </c>
      <c r="M44" s="1033">
        <f t="shared" si="23"/>
        <v>0.2</v>
      </c>
      <c r="N44" s="1033">
        <f t="shared" si="23"/>
        <v>0.49</v>
      </c>
      <c r="O44" s="1033">
        <f t="shared" si="23"/>
        <v>0</v>
      </c>
      <c r="P44" s="1033">
        <f t="shared" si="23"/>
        <v>0</v>
      </c>
      <c r="Q44" s="1033">
        <f t="shared" si="23"/>
        <v>0</v>
      </c>
      <c r="R44" s="1033">
        <f t="shared" si="23"/>
        <v>0</v>
      </c>
      <c r="S44" s="1033">
        <f t="shared" si="23"/>
        <v>0.5</v>
      </c>
      <c r="T44" s="1033">
        <f t="shared" si="23"/>
        <v>0</v>
      </c>
      <c r="U44" s="1033">
        <f t="shared" si="23"/>
        <v>0</v>
      </c>
      <c r="V44" s="1033">
        <f t="shared" si="23"/>
        <v>0</v>
      </c>
      <c r="W44" s="1033">
        <f t="shared" si="23"/>
        <v>0</v>
      </c>
      <c r="X44" s="1033">
        <f t="shared" si="23"/>
        <v>0</v>
      </c>
      <c r="Y44" s="1033">
        <f t="shared" si="23"/>
        <v>0</v>
      </c>
      <c r="Z44" s="1033">
        <f t="shared" si="23"/>
        <v>0</v>
      </c>
      <c r="AA44" s="1033">
        <f t="shared" si="23"/>
        <v>0</v>
      </c>
      <c r="AB44" s="1033">
        <f t="shared" si="23"/>
        <v>0</v>
      </c>
      <c r="AC44" s="1033">
        <f t="shared" si="23"/>
        <v>0</v>
      </c>
      <c r="AD44" s="1033">
        <f t="shared" si="23"/>
        <v>0</v>
      </c>
      <c r="AE44" s="1033">
        <f t="shared" si="23"/>
        <v>0</v>
      </c>
      <c r="AF44" s="1033">
        <f t="shared" si="23"/>
        <v>0</v>
      </c>
      <c r="AG44" s="1033">
        <f t="shared" si="23"/>
        <v>0</v>
      </c>
      <c r="AH44" s="1033">
        <f t="shared" si="23"/>
        <v>0</v>
      </c>
      <c r="AI44" s="1033">
        <f t="shared" si="23"/>
        <v>0</v>
      </c>
      <c r="AJ44" s="1033">
        <f t="shared" si="23"/>
        <v>0</v>
      </c>
      <c r="AK44" s="1033">
        <f t="shared" si="23"/>
        <v>0</v>
      </c>
      <c r="AL44" s="1033">
        <f t="shared" si="23"/>
        <v>0</v>
      </c>
      <c r="AM44" s="1033">
        <f t="shared" si="23"/>
        <v>0</v>
      </c>
      <c r="AN44" s="1033">
        <f t="shared" si="23"/>
        <v>0</v>
      </c>
      <c r="AO44" s="1033">
        <f t="shared" si="23"/>
        <v>0</v>
      </c>
      <c r="AP44" s="1033">
        <f t="shared" si="23"/>
        <v>0</v>
      </c>
      <c r="AQ44" s="1033">
        <f t="shared" si="23"/>
        <v>0</v>
      </c>
      <c r="AR44" s="1033">
        <f t="shared" si="23"/>
        <v>0</v>
      </c>
      <c r="AS44" s="1033">
        <f t="shared" si="23"/>
        <v>0</v>
      </c>
      <c r="AT44" s="1033">
        <f t="shared" si="23"/>
        <v>0</v>
      </c>
      <c r="AU44" s="1033">
        <f t="shared" si="23"/>
        <v>0</v>
      </c>
      <c r="AV44" s="1033">
        <f t="shared" si="23"/>
        <v>0</v>
      </c>
      <c r="AW44" s="1033">
        <f t="shared" si="23"/>
        <v>0</v>
      </c>
      <c r="AX44" s="1033">
        <f t="shared" si="23"/>
        <v>0</v>
      </c>
      <c r="AY44" s="1033">
        <f t="shared" si="23"/>
        <v>0</v>
      </c>
      <c r="AZ44" s="1033">
        <f t="shared" si="23"/>
        <v>0</v>
      </c>
      <c r="BA44" s="1033">
        <f t="shared" si="23"/>
        <v>0</v>
      </c>
      <c r="BB44" s="1033">
        <f t="shared" si="23"/>
        <v>0</v>
      </c>
      <c r="BC44" s="1033">
        <f t="shared" si="23"/>
        <v>0.19</v>
      </c>
      <c r="BD44" s="1033">
        <f t="shared" si="23"/>
        <v>0</v>
      </c>
      <c r="BE44" s="1033">
        <f t="shared" si="23"/>
        <v>0</v>
      </c>
      <c r="BF44" s="1033">
        <f t="shared" si="23"/>
        <v>0</v>
      </c>
      <c r="BG44" s="1033">
        <f t="shared" si="23"/>
        <v>0</v>
      </c>
      <c r="BH44" s="1029"/>
      <c r="BI44" s="1120" t="s">
        <v>3110</v>
      </c>
      <c r="BJ44" s="1120"/>
      <c r="BK44" s="1604"/>
      <c r="BL44" s="1119"/>
      <c r="BM44" s="1120"/>
      <c r="BN44" s="1120" t="s">
        <v>298</v>
      </c>
      <c r="BO44" s="1121"/>
      <c r="BP44" s="1121">
        <v>1</v>
      </c>
      <c r="BQ44" s="1246"/>
      <c r="BR44" s="1232"/>
      <c r="BS44" s="1124"/>
      <c r="BT44" s="1221"/>
    </row>
    <row r="45" spans="1:72" s="1254" customFormat="1" ht="21" customHeight="1">
      <c r="A45" s="1040"/>
      <c r="B45" s="1233" t="s">
        <v>3178</v>
      </c>
      <c r="C45" s="1234" t="s">
        <v>3015</v>
      </c>
      <c r="D45" s="1120" t="s">
        <v>3087</v>
      </c>
      <c r="E45" s="1234" t="s">
        <v>44</v>
      </c>
      <c r="F45" s="1041">
        <f t="shared" si="20"/>
        <v>1.28</v>
      </c>
      <c r="G45" s="1042"/>
      <c r="H45" s="1041">
        <f t="shared" si="21"/>
        <v>1.28</v>
      </c>
      <c r="I45" s="1029">
        <v>2030</v>
      </c>
      <c r="J45" s="1251"/>
      <c r="K45" s="1251">
        <v>0.88</v>
      </c>
      <c r="L45" s="1251"/>
      <c r="M45" s="1251">
        <v>0.2</v>
      </c>
      <c r="N45" s="1251">
        <v>0.01</v>
      </c>
      <c r="O45" s="1251"/>
      <c r="P45" s="1251"/>
      <c r="Q45" s="1251"/>
      <c r="R45" s="1251"/>
      <c r="S45" s="1251"/>
      <c r="T45" s="1251"/>
      <c r="U45" s="1251"/>
      <c r="V45" s="1251"/>
      <c r="W45" s="1251"/>
      <c r="X45" s="1251"/>
      <c r="Y45" s="1251"/>
      <c r="Z45" s="1251"/>
      <c r="AA45" s="1251"/>
      <c r="AB45" s="1251"/>
      <c r="AC45" s="1251"/>
      <c r="AD45" s="1251"/>
      <c r="AE45" s="1251"/>
      <c r="AF45" s="1251"/>
      <c r="AG45" s="1251"/>
      <c r="AH45" s="1251"/>
      <c r="AI45" s="1251"/>
      <c r="AJ45" s="1251"/>
      <c r="AK45" s="1251"/>
      <c r="AL45" s="1251"/>
      <c r="AM45" s="1251"/>
      <c r="AN45" s="1251"/>
      <c r="AO45" s="1251"/>
      <c r="AP45" s="1251"/>
      <c r="AQ45" s="1251"/>
      <c r="AR45" s="1251"/>
      <c r="AS45" s="1251"/>
      <c r="AT45" s="1251"/>
      <c r="AU45" s="1251"/>
      <c r="AV45" s="1251"/>
      <c r="AW45" s="1251"/>
      <c r="AX45" s="1251"/>
      <c r="AY45" s="1251"/>
      <c r="AZ45" s="1251"/>
      <c r="BA45" s="1251"/>
      <c r="BB45" s="1251"/>
      <c r="BC45" s="1251">
        <f>0.39-0.2</f>
        <v>0.19</v>
      </c>
      <c r="BD45" s="1251"/>
      <c r="BE45" s="1251"/>
      <c r="BF45" s="1251"/>
      <c r="BG45" s="1255"/>
      <c r="BH45" s="1041"/>
      <c r="BI45" s="1046"/>
      <c r="BJ45" s="1256"/>
      <c r="BK45" s="1257"/>
      <c r="BL45" s="1237"/>
      <c r="BM45" s="1234"/>
      <c r="BN45" s="1234"/>
      <c r="BO45" s="1238"/>
      <c r="BP45" s="1238"/>
      <c r="BQ45" s="1253"/>
      <c r="BR45" s="1240"/>
      <c r="BS45" s="1241"/>
      <c r="BT45" s="1252"/>
    </row>
    <row r="46" spans="1:72" s="1254" customFormat="1" ht="21" customHeight="1">
      <c r="A46" s="1040"/>
      <c r="B46" s="1233" t="s">
        <v>3179</v>
      </c>
      <c r="C46" s="1234" t="s">
        <v>3015</v>
      </c>
      <c r="D46" s="1120" t="s">
        <v>3087</v>
      </c>
      <c r="E46" s="1234" t="s">
        <v>37</v>
      </c>
      <c r="F46" s="1041">
        <f t="shared" si="20"/>
        <v>0.98</v>
      </c>
      <c r="G46" s="1042"/>
      <c r="H46" s="1041">
        <f t="shared" si="21"/>
        <v>0.98</v>
      </c>
      <c r="I46" s="1029">
        <v>2030</v>
      </c>
      <c r="J46" s="1251"/>
      <c r="K46" s="1251"/>
      <c r="L46" s="1251"/>
      <c r="M46" s="1251"/>
      <c r="N46" s="1251">
        <v>0.48</v>
      </c>
      <c r="O46" s="1251"/>
      <c r="P46" s="1251"/>
      <c r="Q46" s="1251"/>
      <c r="R46" s="1251"/>
      <c r="S46" s="1251">
        <f>0.9-0.4</f>
        <v>0.5</v>
      </c>
      <c r="T46" s="1251"/>
      <c r="U46" s="1251"/>
      <c r="V46" s="1251"/>
      <c r="W46" s="1251"/>
      <c r="X46" s="1251"/>
      <c r="Y46" s="1251"/>
      <c r="Z46" s="1251"/>
      <c r="AA46" s="1251"/>
      <c r="AB46" s="1251"/>
      <c r="AC46" s="1251"/>
      <c r="AD46" s="1251"/>
      <c r="AE46" s="1251"/>
      <c r="AF46" s="1251"/>
      <c r="AG46" s="1251"/>
      <c r="AH46" s="1251"/>
      <c r="AI46" s="1251"/>
      <c r="AJ46" s="1251"/>
      <c r="AK46" s="1251"/>
      <c r="AL46" s="1251"/>
      <c r="AM46" s="1251"/>
      <c r="AN46" s="1251"/>
      <c r="AO46" s="1251"/>
      <c r="AP46" s="1251"/>
      <c r="AQ46" s="1251"/>
      <c r="AR46" s="1251"/>
      <c r="AS46" s="1251"/>
      <c r="AT46" s="1251"/>
      <c r="AU46" s="1251"/>
      <c r="AV46" s="1251"/>
      <c r="AW46" s="1251"/>
      <c r="AX46" s="1251"/>
      <c r="AY46" s="1251"/>
      <c r="AZ46" s="1251"/>
      <c r="BA46" s="1251"/>
      <c r="BB46" s="1251"/>
      <c r="BC46" s="1251"/>
      <c r="BD46" s="1251"/>
      <c r="BE46" s="1251"/>
      <c r="BF46" s="1251"/>
      <c r="BG46" s="1255"/>
      <c r="BH46" s="1041"/>
      <c r="BI46" s="1046"/>
      <c r="BJ46" s="1256"/>
      <c r="BK46" s="1257"/>
      <c r="BL46" s="1237"/>
      <c r="BM46" s="1234"/>
      <c r="BN46" s="1234"/>
      <c r="BO46" s="1238"/>
      <c r="BP46" s="1238"/>
      <c r="BQ46" s="1253"/>
      <c r="BR46" s="1240"/>
      <c r="BS46" s="1241"/>
      <c r="BT46" s="1252"/>
    </row>
    <row r="47" spans="1:72" ht="108.75" customHeight="1">
      <c r="A47" s="1028">
        <f>A44+1</f>
        <v>20</v>
      </c>
      <c r="B47" s="1130" t="s">
        <v>3181</v>
      </c>
      <c r="C47" s="1120"/>
      <c r="D47" s="1120"/>
      <c r="E47" s="1258" t="s">
        <v>3149</v>
      </c>
      <c r="F47" s="1029">
        <f t="shared" si="0"/>
        <v>0.30000000000000004</v>
      </c>
      <c r="G47" s="1029"/>
      <c r="H47" s="1029">
        <f>SUM(J47:BF47)</f>
        <v>0.30000000000000004</v>
      </c>
      <c r="I47" s="1029">
        <v>2030</v>
      </c>
      <c r="J47" s="1047">
        <f>0.04-0.02</f>
        <v>0.02</v>
      </c>
      <c r="K47" s="1029"/>
      <c r="L47" s="1029"/>
      <c r="M47" s="1047">
        <f>0.21-0.1-0.08</f>
        <v>2.9999999999999985E-2</v>
      </c>
      <c r="N47" s="1047">
        <f>0.28-0.1-0.15</f>
        <v>3.0000000000000027E-2</v>
      </c>
      <c r="O47" s="1029"/>
      <c r="P47" s="1029"/>
      <c r="Q47" s="1029"/>
      <c r="R47" s="1029"/>
      <c r="S47" s="1047">
        <f>0.83-0.6-0.04</f>
        <v>0.18999999999999997</v>
      </c>
      <c r="T47" s="1029"/>
      <c r="U47" s="1029"/>
      <c r="V47" s="1029"/>
      <c r="W47" s="1029"/>
      <c r="X47" s="1029"/>
      <c r="Y47" s="1029"/>
      <c r="Z47" s="1029"/>
      <c r="AA47" s="1029"/>
      <c r="AB47" s="1029"/>
      <c r="AC47" s="1029"/>
      <c r="AD47" s="1029"/>
      <c r="AE47" s="1029"/>
      <c r="AF47" s="1029"/>
      <c r="AG47" s="1029"/>
      <c r="AH47" s="1029"/>
      <c r="AI47" s="1029"/>
      <c r="AJ47" s="1029"/>
      <c r="AK47" s="1029"/>
      <c r="AL47" s="1029"/>
      <c r="AM47" s="1029"/>
      <c r="AN47" s="1029"/>
      <c r="AO47" s="1029"/>
      <c r="AP47" s="1029"/>
      <c r="AQ47" s="1029"/>
      <c r="AR47" s="1029"/>
      <c r="AS47" s="1029"/>
      <c r="AT47" s="1029"/>
      <c r="AU47" s="1029"/>
      <c r="AV47" s="1029"/>
      <c r="AW47" s="1029"/>
      <c r="AX47" s="1029"/>
      <c r="AY47" s="1029"/>
      <c r="AZ47" s="1029"/>
      <c r="BA47" s="1029"/>
      <c r="BB47" s="1029"/>
      <c r="BC47" s="1029"/>
      <c r="BD47" s="1029"/>
      <c r="BE47" s="1029"/>
      <c r="BF47" s="1029">
        <v>0.03</v>
      </c>
      <c r="BG47" s="1029"/>
      <c r="BH47" s="1029"/>
      <c r="BI47" s="1120" t="s">
        <v>3182</v>
      </c>
      <c r="BJ47" s="1120"/>
      <c r="BK47" s="1259" t="s">
        <v>3183</v>
      </c>
      <c r="BL47" s="1259" t="s">
        <v>1917</v>
      </c>
      <c r="BM47" s="1120" t="s">
        <v>3097</v>
      </c>
      <c r="BN47" s="1120" t="s">
        <v>291</v>
      </c>
      <c r="BO47" s="1121" t="s">
        <v>3184</v>
      </c>
      <c r="BP47" s="1121">
        <v>1</v>
      </c>
      <c r="BQ47" s="1243" t="s">
        <v>3185</v>
      </c>
      <c r="BR47" s="1260" t="s">
        <v>3186</v>
      </c>
      <c r="BS47" s="1124" t="s">
        <v>3184</v>
      </c>
      <c r="BT47" s="1118"/>
    </row>
    <row r="48" spans="1:72" s="1165" customFormat="1" hidden="1">
      <c r="A48" s="1040"/>
      <c r="B48" s="1261"/>
      <c r="C48" s="1234" t="s">
        <v>3187</v>
      </c>
      <c r="D48" s="1120" t="s">
        <v>3087</v>
      </c>
      <c r="E48" s="1262" t="s">
        <v>44</v>
      </c>
      <c r="F48" s="1041">
        <f t="shared" si="0"/>
        <v>9.0000000000000011E-2</v>
      </c>
      <c r="G48" s="1041"/>
      <c r="H48" s="1041">
        <f t="shared" ref="H48:H50" si="24">SUM(J48:BF48)</f>
        <v>9.0000000000000011E-2</v>
      </c>
      <c r="I48" s="1029">
        <v>2030</v>
      </c>
      <c r="J48" s="1048">
        <v>0.02</v>
      </c>
      <c r="K48" s="1041"/>
      <c r="L48" s="1041"/>
      <c r="M48" s="1048"/>
      <c r="N48" s="1048"/>
      <c r="O48" s="1041"/>
      <c r="P48" s="1041"/>
      <c r="Q48" s="1041"/>
      <c r="R48" s="1041"/>
      <c r="S48" s="1048">
        <v>0.05</v>
      </c>
      <c r="T48" s="1041"/>
      <c r="U48" s="1041"/>
      <c r="V48" s="1041"/>
      <c r="W48" s="1041"/>
      <c r="X48" s="1041"/>
      <c r="Y48" s="1041"/>
      <c r="Z48" s="1041"/>
      <c r="AA48" s="1041"/>
      <c r="AB48" s="1041"/>
      <c r="AC48" s="1041"/>
      <c r="AD48" s="1041"/>
      <c r="AE48" s="1041"/>
      <c r="AF48" s="1041"/>
      <c r="AG48" s="1041"/>
      <c r="AH48" s="1041"/>
      <c r="AI48" s="1041"/>
      <c r="AJ48" s="1041"/>
      <c r="AK48" s="1041"/>
      <c r="AL48" s="1041"/>
      <c r="AM48" s="1041"/>
      <c r="AN48" s="1041"/>
      <c r="AO48" s="1041"/>
      <c r="AP48" s="1041"/>
      <c r="AQ48" s="1041"/>
      <c r="AR48" s="1041"/>
      <c r="AS48" s="1041"/>
      <c r="AT48" s="1041"/>
      <c r="AU48" s="1041"/>
      <c r="AV48" s="1041"/>
      <c r="AW48" s="1041"/>
      <c r="AX48" s="1041"/>
      <c r="AY48" s="1041"/>
      <c r="AZ48" s="1041"/>
      <c r="BA48" s="1041"/>
      <c r="BB48" s="1041"/>
      <c r="BC48" s="1041"/>
      <c r="BD48" s="1041"/>
      <c r="BE48" s="1041"/>
      <c r="BF48" s="1041">
        <v>0.02</v>
      </c>
      <c r="BG48" s="1041"/>
      <c r="BH48" s="1041"/>
      <c r="BI48" s="1234"/>
      <c r="BJ48" s="1234"/>
      <c r="BK48" s="1263"/>
      <c r="BL48" s="1263"/>
      <c r="BM48" s="1234"/>
      <c r="BN48" s="1234"/>
      <c r="BO48" s="1238"/>
      <c r="BP48" s="1238"/>
      <c r="BQ48" s="1244"/>
      <c r="BR48" s="1264"/>
      <c r="BS48" s="1241"/>
      <c r="BT48" s="1242"/>
    </row>
    <row r="49" spans="1:72" s="1165" customFormat="1" hidden="1">
      <c r="A49" s="1040"/>
      <c r="B49" s="1261"/>
      <c r="C49" s="1234" t="s">
        <v>3027</v>
      </c>
      <c r="D49" s="1120" t="s">
        <v>3087</v>
      </c>
      <c r="E49" s="1262" t="s">
        <v>44</v>
      </c>
      <c r="F49" s="1041">
        <f t="shared" si="0"/>
        <v>0.09</v>
      </c>
      <c r="G49" s="1041"/>
      <c r="H49" s="1041">
        <f t="shared" si="24"/>
        <v>0.09</v>
      </c>
      <c r="I49" s="1029">
        <v>2030</v>
      </c>
      <c r="J49" s="1048"/>
      <c r="K49" s="1041"/>
      <c r="L49" s="1041"/>
      <c r="M49" s="1048">
        <v>0.02</v>
      </c>
      <c r="N49" s="1048">
        <v>0.01</v>
      </c>
      <c r="O49" s="1041"/>
      <c r="P49" s="1041"/>
      <c r="Q49" s="1041"/>
      <c r="R49" s="1041"/>
      <c r="S49" s="1048">
        <v>0.05</v>
      </c>
      <c r="T49" s="1041"/>
      <c r="U49" s="1041"/>
      <c r="V49" s="1041"/>
      <c r="W49" s="1041"/>
      <c r="X49" s="1041"/>
      <c r="Y49" s="1041"/>
      <c r="Z49" s="1041"/>
      <c r="AA49" s="1041"/>
      <c r="AB49" s="1041"/>
      <c r="AC49" s="1041"/>
      <c r="AD49" s="1041"/>
      <c r="AE49" s="1041"/>
      <c r="AF49" s="1041"/>
      <c r="AG49" s="1041"/>
      <c r="AH49" s="1041"/>
      <c r="AI49" s="1041"/>
      <c r="AJ49" s="1041"/>
      <c r="AK49" s="1041"/>
      <c r="AL49" s="1041"/>
      <c r="AM49" s="1041"/>
      <c r="AN49" s="1041"/>
      <c r="AO49" s="1041"/>
      <c r="AP49" s="1041"/>
      <c r="AQ49" s="1041"/>
      <c r="AR49" s="1041"/>
      <c r="AS49" s="1041"/>
      <c r="AT49" s="1041"/>
      <c r="AU49" s="1041"/>
      <c r="AV49" s="1041"/>
      <c r="AW49" s="1041"/>
      <c r="AX49" s="1041"/>
      <c r="AY49" s="1041"/>
      <c r="AZ49" s="1041"/>
      <c r="BA49" s="1041"/>
      <c r="BB49" s="1041"/>
      <c r="BC49" s="1041"/>
      <c r="BD49" s="1041"/>
      <c r="BE49" s="1041"/>
      <c r="BF49" s="1041">
        <v>0.01</v>
      </c>
      <c r="BG49" s="1041"/>
      <c r="BH49" s="1041"/>
      <c r="BI49" s="1234"/>
      <c r="BJ49" s="1234"/>
      <c r="BK49" s="1263"/>
      <c r="BL49" s="1263"/>
      <c r="BM49" s="1234"/>
      <c r="BN49" s="1234"/>
      <c r="BO49" s="1238"/>
      <c r="BP49" s="1238"/>
      <c r="BQ49" s="1244"/>
      <c r="BR49" s="1264"/>
      <c r="BS49" s="1241"/>
      <c r="BT49" s="1242"/>
    </row>
    <row r="50" spans="1:72" s="1165" customFormat="1" hidden="1">
      <c r="A50" s="1040"/>
      <c r="B50" s="1261"/>
      <c r="C50" s="1234" t="s">
        <v>3028</v>
      </c>
      <c r="D50" s="1120" t="s">
        <v>3087</v>
      </c>
      <c r="E50" s="1262" t="s">
        <v>44</v>
      </c>
      <c r="F50" s="1041">
        <f t="shared" si="0"/>
        <v>0.12</v>
      </c>
      <c r="G50" s="1041"/>
      <c r="H50" s="1041">
        <f t="shared" si="24"/>
        <v>0.12</v>
      </c>
      <c r="I50" s="1029">
        <v>2030</v>
      </c>
      <c r="J50" s="1048"/>
      <c r="K50" s="1041"/>
      <c r="L50" s="1041"/>
      <c r="M50" s="1048">
        <v>0.01</v>
      </c>
      <c r="N50" s="1048">
        <v>0.02</v>
      </c>
      <c r="O50" s="1041"/>
      <c r="P50" s="1041"/>
      <c r="Q50" s="1041"/>
      <c r="R50" s="1041"/>
      <c r="S50" s="1048">
        <v>0.09</v>
      </c>
      <c r="T50" s="1041"/>
      <c r="U50" s="1041"/>
      <c r="V50" s="1041"/>
      <c r="W50" s="1041"/>
      <c r="X50" s="1041"/>
      <c r="Y50" s="1041"/>
      <c r="Z50" s="1041"/>
      <c r="AA50" s="1041"/>
      <c r="AB50" s="1041"/>
      <c r="AC50" s="1041"/>
      <c r="AD50" s="1041"/>
      <c r="AE50" s="1041"/>
      <c r="AF50" s="1041"/>
      <c r="AG50" s="1041"/>
      <c r="AH50" s="1041"/>
      <c r="AI50" s="1041"/>
      <c r="AJ50" s="1041"/>
      <c r="AK50" s="1041"/>
      <c r="AL50" s="1041"/>
      <c r="AM50" s="1041"/>
      <c r="AN50" s="1041"/>
      <c r="AO50" s="1041"/>
      <c r="AP50" s="1041"/>
      <c r="AQ50" s="1041"/>
      <c r="AR50" s="1041"/>
      <c r="AS50" s="1041"/>
      <c r="AT50" s="1041"/>
      <c r="AU50" s="1041"/>
      <c r="AV50" s="1041"/>
      <c r="AW50" s="1041"/>
      <c r="AX50" s="1041"/>
      <c r="AY50" s="1041"/>
      <c r="AZ50" s="1041"/>
      <c r="BA50" s="1041"/>
      <c r="BB50" s="1041"/>
      <c r="BC50" s="1041"/>
      <c r="BD50" s="1041"/>
      <c r="BE50" s="1041"/>
      <c r="BF50" s="1041"/>
      <c r="BG50" s="1041"/>
      <c r="BH50" s="1041"/>
      <c r="BI50" s="1234"/>
      <c r="BJ50" s="1234"/>
      <c r="BK50" s="1263"/>
      <c r="BL50" s="1263"/>
      <c r="BM50" s="1234"/>
      <c r="BN50" s="1234"/>
      <c r="BO50" s="1238"/>
      <c r="BP50" s="1238"/>
      <c r="BQ50" s="1244"/>
      <c r="BR50" s="1264"/>
      <c r="BS50" s="1241"/>
      <c r="BT50" s="1242"/>
    </row>
    <row r="51" spans="1:72" ht="99" customHeight="1">
      <c r="A51" s="1028">
        <f>+A47+1</f>
        <v>21</v>
      </c>
      <c r="B51" s="1117" t="s">
        <v>3188</v>
      </c>
      <c r="C51" s="1049"/>
      <c r="D51" s="1049"/>
      <c r="E51" s="1118"/>
      <c r="F51" s="1029">
        <f>G51+H51</f>
        <v>38.64</v>
      </c>
      <c r="G51" s="1029">
        <v>30.49</v>
      </c>
      <c r="H51" s="1029">
        <f>SUM(J51:BI51)</f>
        <v>8.15</v>
      </c>
      <c r="I51" s="1029">
        <v>2030</v>
      </c>
      <c r="J51" s="1173">
        <v>0.11</v>
      </c>
      <c r="K51" s="1173">
        <v>0.13</v>
      </c>
      <c r="L51" s="1173"/>
      <c r="M51" s="1173">
        <v>0.18</v>
      </c>
      <c r="N51" s="1173">
        <v>0.24</v>
      </c>
      <c r="O51" s="1031"/>
      <c r="P51" s="1031"/>
      <c r="Q51" s="1031"/>
      <c r="R51" s="1031"/>
      <c r="S51" s="1031">
        <f>7.23</f>
        <v>7.23</v>
      </c>
      <c r="T51" s="1031"/>
      <c r="U51" s="1031"/>
      <c r="V51" s="1031"/>
      <c r="W51" s="1031"/>
      <c r="X51" s="1031"/>
      <c r="Y51" s="1031"/>
      <c r="Z51" s="1031"/>
      <c r="AA51" s="1031"/>
      <c r="AB51" s="1031"/>
      <c r="AC51" s="1031"/>
      <c r="AD51" s="1031"/>
      <c r="AE51" s="1031"/>
      <c r="AF51" s="1031"/>
      <c r="AG51" s="1031"/>
      <c r="AH51" s="1031"/>
      <c r="AI51" s="1031">
        <v>0.06</v>
      </c>
      <c r="AJ51" s="1031"/>
      <c r="AK51" s="1031"/>
      <c r="AL51" s="1031"/>
      <c r="AM51" s="1031"/>
      <c r="AN51" s="1031"/>
      <c r="AO51" s="1031"/>
      <c r="AP51" s="1031"/>
      <c r="AQ51" s="1031"/>
      <c r="AR51" s="1031"/>
      <c r="AS51" s="1031"/>
      <c r="AT51" s="1031"/>
      <c r="AU51" s="1031"/>
      <c r="AV51" s="1031"/>
      <c r="AW51" s="1031"/>
      <c r="AX51" s="1031">
        <v>0.19</v>
      </c>
      <c r="AY51" s="1031"/>
      <c r="AZ51" s="1031">
        <v>0.01</v>
      </c>
      <c r="BA51" s="1031"/>
      <c r="BB51" s="1031"/>
      <c r="BC51" s="1031"/>
      <c r="BD51" s="1031"/>
      <c r="BE51" s="1031"/>
      <c r="BF51" s="1031"/>
      <c r="BG51" s="1031"/>
      <c r="BH51" s="1031"/>
      <c r="BI51" s="1049" t="s">
        <v>3189</v>
      </c>
      <c r="BJ51" s="1265"/>
      <c r="BK51" s="1120" t="s">
        <v>3190</v>
      </c>
      <c r="BL51" s="1120" t="s">
        <v>1917</v>
      </c>
      <c r="BM51" s="1120" t="s">
        <v>3191</v>
      </c>
      <c r="BN51" s="1120" t="s">
        <v>3192</v>
      </c>
      <c r="BO51" s="1121" t="s">
        <v>3193</v>
      </c>
      <c r="BP51" s="1121">
        <v>1</v>
      </c>
      <c r="BQ51" s="1243" t="s">
        <v>3106</v>
      </c>
      <c r="BR51" s="1232" t="s">
        <v>3194</v>
      </c>
      <c r="BS51" s="1124" t="s">
        <v>291</v>
      </c>
      <c r="BT51" s="1118" t="s">
        <v>3195</v>
      </c>
    </row>
    <row r="52" spans="1:72" s="1165" customFormat="1" ht="17.25" hidden="1" customHeight="1">
      <c r="A52" s="1040" t="s">
        <v>193</v>
      </c>
      <c r="B52" s="1261" t="s">
        <v>3196</v>
      </c>
      <c r="C52" s="1234" t="s">
        <v>3197</v>
      </c>
      <c r="D52" s="1120" t="s">
        <v>3087</v>
      </c>
      <c r="E52" s="1242" t="s">
        <v>44</v>
      </c>
      <c r="F52" s="1041">
        <f t="shared" ref="F52:F54" si="25">G52+H52</f>
        <v>4.83</v>
      </c>
      <c r="G52" s="1041"/>
      <c r="H52" s="1041">
        <f t="shared" ref="H52:H55" si="26">SUM(J52:BF52)</f>
        <v>4.83</v>
      </c>
      <c r="I52" s="1029">
        <v>2030</v>
      </c>
      <c r="J52" s="1266">
        <v>0.11</v>
      </c>
      <c r="K52" s="1266">
        <v>0.1</v>
      </c>
      <c r="L52" s="1266"/>
      <c r="M52" s="1266">
        <v>0.13</v>
      </c>
      <c r="N52" s="1266">
        <v>0.1</v>
      </c>
      <c r="O52" s="1042"/>
      <c r="P52" s="1042"/>
      <c r="Q52" s="1042"/>
      <c r="R52" s="1042"/>
      <c r="S52" s="1042">
        <v>4.2300000000000004</v>
      </c>
      <c r="T52" s="1042"/>
      <c r="U52" s="1042"/>
      <c r="V52" s="1042"/>
      <c r="W52" s="1042"/>
      <c r="X52" s="1042"/>
      <c r="Y52" s="1042"/>
      <c r="Z52" s="1042"/>
      <c r="AA52" s="1042"/>
      <c r="AB52" s="1042"/>
      <c r="AC52" s="1042"/>
      <c r="AD52" s="1042"/>
      <c r="AE52" s="1042"/>
      <c r="AF52" s="1042"/>
      <c r="AG52" s="1042"/>
      <c r="AH52" s="1042"/>
      <c r="AI52" s="1042">
        <v>0.06</v>
      </c>
      <c r="AJ52" s="1042"/>
      <c r="AK52" s="1042"/>
      <c r="AL52" s="1042"/>
      <c r="AM52" s="1042"/>
      <c r="AN52" s="1042"/>
      <c r="AO52" s="1042"/>
      <c r="AP52" s="1042"/>
      <c r="AQ52" s="1042"/>
      <c r="AR52" s="1042"/>
      <c r="AS52" s="1042"/>
      <c r="AT52" s="1042"/>
      <c r="AU52" s="1042"/>
      <c r="AV52" s="1042"/>
      <c r="AW52" s="1042"/>
      <c r="AX52" s="1042">
        <v>0.1</v>
      </c>
      <c r="AY52" s="1042"/>
      <c r="AZ52" s="1042"/>
      <c r="BA52" s="1042"/>
      <c r="BB52" s="1042"/>
      <c r="BC52" s="1042"/>
      <c r="BD52" s="1042"/>
      <c r="BE52" s="1042"/>
      <c r="BF52" s="1042"/>
      <c r="BG52" s="1042"/>
      <c r="BH52" s="1042"/>
      <c r="BI52" s="1050"/>
      <c r="BJ52" s="1267"/>
      <c r="BK52" s="1234"/>
      <c r="BL52" s="1234"/>
      <c r="BM52" s="1234"/>
      <c r="BN52" s="1234"/>
      <c r="BO52" s="1238"/>
      <c r="BP52" s="1238"/>
      <c r="BQ52" s="1244"/>
      <c r="BR52" s="1240"/>
      <c r="BS52" s="1241"/>
      <c r="BT52" s="1242"/>
    </row>
    <row r="53" spans="1:72" s="1165" customFormat="1" ht="21.75" hidden="1" customHeight="1">
      <c r="A53" s="1040" t="s">
        <v>193</v>
      </c>
      <c r="B53" s="1261" t="s">
        <v>3196</v>
      </c>
      <c r="C53" s="1234" t="s">
        <v>3113</v>
      </c>
      <c r="D53" s="1120" t="s">
        <v>3087</v>
      </c>
      <c r="E53" s="1242" t="s">
        <v>44</v>
      </c>
      <c r="F53" s="1041">
        <f t="shared" si="25"/>
        <v>3.32</v>
      </c>
      <c r="G53" s="1041"/>
      <c r="H53" s="1041">
        <f t="shared" si="26"/>
        <v>3.32</v>
      </c>
      <c r="I53" s="1029">
        <v>2030</v>
      </c>
      <c r="J53" s="1266"/>
      <c r="K53" s="1266">
        <v>0.03</v>
      </c>
      <c r="L53" s="1266"/>
      <c r="M53" s="1266">
        <v>0.05</v>
      </c>
      <c r="N53" s="1266">
        <v>0.14000000000000001</v>
      </c>
      <c r="O53" s="1042"/>
      <c r="P53" s="1042"/>
      <c r="Q53" s="1042"/>
      <c r="R53" s="1042"/>
      <c r="S53" s="1042">
        <v>3</v>
      </c>
      <c r="T53" s="1042"/>
      <c r="U53" s="1042"/>
      <c r="V53" s="1042"/>
      <c r="W53" s="1042"/>
      <c r="X53" s="1042"/>
      <c r="Y53" s="1042"/>
      <c r="Z53" s="1042"/>
      <c r="AA53" s="1042"/>
      <c r="AB53" s="1042"/>
      <c r="AC53" s="1042"/>
      <c r="AD53" s="1042"/>
      <c r="AE53" s="1042"/>
      <c r="AF53" s="1042"/>
      <c r="AG53" s="1042"/>
      <c r="AH53" s="1042"/>
      <c r="AI53" s="1042"/>
      <c r="AJ53" s="1042"/>
      <c r="AK53" s="1042"/>
      <c r="AL53" s="1042"/>
      <c r="AM53" s="1042"/>
      <c r="AN53" s="1042"/>
      <c r="AO53" s="1042"/>
      <c r="AP53" s="1042"/>
      <c r="AQ53" s="1042"/>
      <c r="AR53" s="1042"/>
      <c r="AS53" s="1042"/>
      <c r="AT53" s="1042"/>
      <c r="AU53" s="1042"/>
      <c r="AV53" s="1042"/>
      <c r="AW53" s="1042"/>
      <c r="AX53" s="1042">
        <v>0.09</v>
      </c>
      <c r="AY53" s="1042"/>
      <c r="AZ53" s="1042">
        <v>0.01</v>
      </c>
      <c r="BA53" s="1042"/>
      <c r="BB53" s="1042"/>
      <c r="BC53" s="1042"/>
      <c r="BD53" s="1042"/>
      <c r="BE53" s="1042"/>
      <c r="BF53" s="1042"/>
      <c r="BG53" s="1042"/>
      <c r="BH53" s="1042"/>
      <c r="BI53" s="1050"/>
      <c r="BJ53" s="1267"/>
      <c r="BK53" s="1234"/>
      <c r="BL53" s="1234"/>
      <c r="BM53" s="1234"/>
      <c r="BN53" s="1234"/>
      <c r="BO53" s="1238"/>
      <c r="BP53" s="1238"/>
      <c r="BQ53" s="1244"/>
      <c r="BR53" s="1240"/>
      <c r="BS53" s="1241"/>
      <c r="BT53" s="1242"/>
    </row>
    <row r="54" spans="1:72" s="1165" customFormat="1" ht="21.75" hidden="1" customHeight="1">
      <c r="A54" s="1040" t="s">
        <v>193</v>
      </c>
      <c r="B54" s="1261" t="s">
        <v>3179</v>
      </c>
      <c r="C54" s="1234" t="s">
        <v>3197</v>
      </c>
      <c r="D54" s="1120" t="s">
        <v>3087</v>
      </c>
      <c r="E54" s="1242" t="s">
        <v>37</v>
      </c>
      <c r="F54" s="1041">
        <f t="shared" si="25"/>
        <v>0</v>
      </c>
      <c r="G54" s="1041"/>
      <c r="H54" s="1041">
        <f t="shared" si="26"/>
        <v>0</v>
      </c>
      <c r="I54" s="1029">
        <v>2030</v>
      </c>
      <c r="J54" s="1266"/>
      <c r="K54" s="1266"/>
      <c r="L54" s="1266"/>
      <c r="M54" s="1266"/>
      <c r="N54" s="1266"/>
      <c r="O54" s="1042"/>
      <c r="P54" s="1042"/>
      <c r="Q54" s="1042"/>
      <c r="R54" s="1042"/>
      <c r="S54" s="1042"/>
      <c r="T54" s="1042"/>
      <c r="U54" s="1042"/>
      <c r="V54" s="1042"/>
      <c r="W54" s="1042"/>
      <c r="X54" s="1042"/>
      <c r="Y54" s="1042"/>
      <c r="Z54" s="1042"/>
      <c r="AA54" s="1042"/>
      <c r="AB54" s="1042"/>
      <c r="AC54" s="1042"/>
      <c r="AD54" s="1042"/>
      <c r="AE54" s="1042"/>
      <c r="AF54" s="1042"/>
      <c r="AG54" s="1042"/>
      <c r="AH54" s="1042"/>
      <c r="AI54" s="1042"/>
      <c r="AJ54" s="1042"/>
      <c r="AK54" s="1042"/>
      <c r="AL54" s="1042"/>
      <c r="AM54" s="1042"/>
      <c r="AN54" s="1042"/>
      <c r="AO54" s="1042"/>
      <c r="AP54" s="1042"/>
      <c r="AQ54" s="1042"/>
      <c r="AR54" s="1042"/>
      <c r="AS54" s="1042"/>
      <c r="AT54" s="1042"/>
      <c r="AU54" s="1042"/>
      <c r="AV54" s="1042"/>
      <c r="AW54" s="1042"/>
      <c r="AX54" s="1042"/>
      <c r="AY54" s="1042"/>
      <c r="AZ54" s="1042"/>
      <c r="BA54" s="1042"/>
      <c r="BB54" s="1042"/>
      <c r="BC54" s="1042"/>
      <c r="BD54" s="1042"/>
      <c r="BE54" s="1042"/>
      <c r="BF54" s="1042"/>
      <c r="BG54" s="1042"/>
      <c r="BH54" s="1042"/>
      <c r="BI54" s="1050"/>
      <c r="BJ54" s="1267"/>
      <c r="BK54" s="1234"/>
      <c r="BL54" s="1234"/>
      <c r="BM54" s="1234"/>
      <c r="BN54" s="1234"/>
      <c r="BO54" s="1238"/>
      <c r="BP54" s="1238"/>
      <c r="BQ54" s="1244"/>
      <c r="BR54" s="1240"/>
      <c r="BS54" s="1241"/>
      <c r="BT54" s="1242"/>
    </row>
    <row r="55" spans="1:72" s="1268" customFormat="1" ht="85.5" customHeight="1">
      <c r="A55" s="1028">
        <f>A51+1</f>
        <v>22</v>
      </c>
      <c r="B55" s="1130" t="s">
        <v>3198</v>
      </c>
      <c r="C55" s="1120"/>
      <c r="D55" s="1120"/>
      <c r="E55" s="1118"/>
      <c r="F55" s="1029">
        <f>SUM(F57:F59)</f>
        <v>22.49</v>
      </c>
      <c r="G55" s="1029">
        <f>SUM(G57:G59)</f>
        <v>6.3599999999999994</v>
      </c>
      <c r="H55" s="1029">
        <f t="shared" si="26"/>
        <v>20.13</v>
      </c>
      <c r="I55" s="1029"/>
      <c r="J55" s="1029">
        <f>J56+J60</f>
        <v>1.83</v>
      </c>
      <c r="K55" s="1029">
        <f t="shared" ref="K55:BH55" si="27">K56+K60</f>
        <v>0</v>
      </c>
      <c r="L55" s="1029">
        <f t="shared" si="27"/>
        <v>0</v>
      </c>
      <c r="M55" s="1029">
        <f t="shared" si="27"/>
        <v>0.89999999999999991</v>
      </c>
      <c r="N55" s="1029">
        <f t="shared" si="27"/>
        <v>2.3299999999999996</v>
      </c>
      <c r="O55" s="1029">
        <f t="shared" si="27"/>
        <v>0</v>
      </c>
      <c r="P55" s="1029">
        <f t="shared" si="27"/>
        <v>0</v>
      </c>
      <c r="Q55" s="1029">
        <f t="shared" si="27"/>
        <v>0</v>
      </c>
      <c r="R55" s="1029">
        <f t="shared" si="27"/>
        <v>0</v>
      </c>
      <c r="S55" s="1029">
        <f t="shared" si="27"/>
        <v>8.6</v>
      </c>
      <c r="T55" s="1029">
        <f t="shared" si="27"/>
        <v>0</v>
      </c>
      <c r="U55" s="1029">
        <f t="shared" si="27"/>
        <v>1.23</v>
      </c>
      <c r="V55" s="1029">
        <f t="shared" si="27"/>
        <v>0</v>
      </c>
      <c r="W55" s="1029">
        <f t="shared" si="27"/>
        <v>0</v>
      </c>
      <c r="X55" s="1029">
        <f t="shared" si="27"/>
        <v>0</v>
      </c>
      <c r="Y55" s="1029">
        <f t="shared" si="27"/>
        <v>0</v>
      </c>
      <c r="Z55" s="1029">
        <f t="shared" si="27"/>
        <v>0</v>
      </c>
      <c r="AA55" s="1029">
        <f t="shared" si="27"/>
        <v>0</v>
      </c>
      <c r="AB55" s="1029">
        <f t="shared" si="27"/>
        <v>0</v>
      </c>
      <c r="AC55" s="1029">
        <f t="shared" si="27"/>
        <v>0</v>
      </c>
      <c r="AD55" s="1029">
        <f t="shared" si="27"/>
        <v>0</v>
      </c>
      <c r="AE55" s="1029">
        <f t="shared" si="27"/>
        <v>0</v>
      </c>
      <c r="AF55" s="1029">
        <f t="shared" si="27"/>
        <v>0</v>
      </c>
      <c r="AG55" s="1029">
        <f t="shared" si="27"/>
        <v>0</v>
      </c>
      <c r="AH55" s="1029">
        <f t="shared" si="27"/>
        <v>0</v>
      </c>
      <c r="AI55" s="1029">
        <f t="shared" si="27"/>
        <v>0</v>
      </c>
      <c r="AJ55" s="1029">
        <f t="shared" si="27"/>
        <v>0</v>
      </c>
      <c r="AK55" s="1029">
        <f t="shared" si="27"/>
        <v>0</v>
      </c>
      <c r="AL55" s="1029">
        <f t="shared" si="27"/>
        <v>0</v>
      </c>
      <c r="AM55" s="1029">
        <f t="shared" si="27"/>
        <v>0</v>
      </c>
      <c r="AN55" s="1029">
        <f t="shared" si="27"/>
        <v>0</v>
      </c>
      <c r="AO55" s="1029">
        <f t="shared" si="27"/>
        <v>0</v>
      </c>
      <c r="AP55" s="1029">
        <f t="shared" si="27"/>
        <v>0</v>
      </c>
      <c r="AQ55" s="1029">
        <f t="shared" si="27"/>
        <v>0</v>
      </c>
      <c r="AR55" s="1029">
        <f t="shared" si="27"/>
        <v>0</v>
      </c>
      <c r="AS55" s="1029">
        <f t="shared" si="27"/>
        <v>0</v>
      </c>
      <c r="AT55" s="1029">
        <f t="shared" si="27"/>
        <v>0</v>
      </c>
      <c r="AU55" s="1029">
        <f t="shared" si="27"/>
        <v>0</v>
      </c>
      <c r="AV55" s="1029">
        <f t="shared" si="27"/>
        <v>0</v>
      </c>
      <c r="AW55" s="1029">
        <f t="shared" si="27"/>
        <v>0</v>
      </c>
      <c r="AX55" s="1029">
        <f t="shared" si="27"/>
        <v>0.13</v>
      </c>
      <c r="AY55" s="1029">
        <f t="shared" si="27"/>
        <v>0</v>
      </c>
      <c r="AZ55" s="1029">
        <f t="shared" si="27"/>
        <v>0</v>
      </c>
      <c r="BA55" s="1029">
        <f t="shared" si="27"/>
        <v>0</v>
      </c>
      <c r="BB55" s="1029">
        <f t="shared" si="27"/>
        <v>0</v>
      </c>
      <c r="BC55" s="1029">
        <f t="shared" si="27"/>
        <v>2.5499999999999998</v>
      </c>
      <c r="BD55" s="1029">
        <f t="shared" si="27"/>
        <v>0</v>
      </c>
      <c r="BE55" s="1029">
        <f t="shared" si="27"/>
        <v>0</v>
      </c>
      <c r="BF55" s="1029">
        <f t="shared" si="27"/>
        <v>2.56</v>
      </c>
      <c r="BG55" s="1029">
        <f t="shared" si="27"/>
        <v>0</v>
      </c>
      <c r="BH55" s="1029">
        <f t="shared" si="27"/>
        <v>0</v>
      </c>
      <c r="BI55" s="1120" t="s">
        <v>3199</v>
      </c>
      <c r="BJ55" s="1265"/>
      <c r="BK55" s="1120" t="s">
        <v>3177</v>
      </c>
      <c r="BL55" s="1120"/>
      <c r="BM55" s="1120"/>
      <c r="BN55" s="1120" t="s">
        <v>298</v>
      </c>
      <c r="BO55" s="1121"/>
      <c r="BP55" s="1121">
        <v>1</v>
      </c>
      <c r="BQ55" s="1243"/>
      <c r="BR55" s="1232"/>
      <c r="BS55" s="1124"/>
      <c r="BT55" s="1118"/>
    </row>
    <row r="56" spans="1:72" s="1268" customFormat="1" ht="27.75" customHeight="1">
      <c r="A56" s="1028"/>
      <c r="B56" s="1215" t="s">
        <v>3196</v>
      </c>
      <c r="C56" s="1118"/>
      <c r="D56" s="1118"/>
      <c r="E56" s="1118"/>
      <c r="F56" s="1051">
        <f t="shared" ref="F56:F69" si="28">G56+H56</f>
        <v>22.489999999999995</v>
      </c>
      <c r="G56" s="1051">
        <f>SUM(G57:G59)</f>
        <v>6.3599999999999994</v>
      </c>
      <c r="H56" s="1051">
        <f>SUM(H57:H59)</f>
        <v>16.129999999999995</v>
      </c>
      <c r="I56" s="1052"/>
      <c r="J56" s="1249">
        <f t="shared" ref="J56:BH56" si="29">SUM(J57:J59)</f>
        <v>1.83</v>
      </c>
      <c r="K56" s="1249">
        <f t="shared" si="29"/>
        <v>0</v>
      </c>
      <c r="L56" s="1249">
        <f t="shared" si="29"/>
        <v>0</v>
      </c>
      <c r="M56" s="1249">
        <f t="shared" si="29"/>
        <v>0.89999999999999991</v>
      </c>
      <c r="N56" s="1249">
        <f t="shared" si="29"/>
        <v>2.3299999999999996</v>
      </c>
      <c r="O56" s="1249">
        <f t="shared" si="29"/>
        <v>0</v>
      </c>
      <c r="P56" s="1249">
        <f t="shared" si="29"/>
        <v>0</v>
      </c>
      <c r="Q56" s="1249">
        <f t="shared" si="29"/>
        <v>0</v>
      </c>
      <c r="R56" s="1249">
        <f t="shared" si="29"/>
        <v>0</v>
      </c>
      <c r="S56" s="1249">
        <f>SUM(S57:S59)</f>
        <v>4.5999999999999996</v>
      </c>
      <c r="T56" s="1249">
        <f t="shared" si="29"/>
        <v>0</v>
      </c>
      <c r="U56" s="1249">
        <f t="shared" si="29"/>
        <v>1.23</v>
      </c>
      <c r="V56" s="1249">
        <f t="shared" si="29"/>
        <v>0</v>
      </c>
      <c r="W56" s="1249">
        <f t="shared" si="29"/>
        <v>0</v>
      </c>
      <c r="X56" s="1249">
        <f t="shared" si="29"/>
        <v>0</v>
      </c>
      <c r="Y56" s="1249">
        <f t="shared" si="29"/>
        <v>0</v>
      </c>
      <c r="Z56" s="1249">
        <f t="shared" si="29"/>
        <v>0</v>
      </c>
      <c r="AA56" s="1249">
        <f t="shared" si="29"/>
        <v>0</v>
      </c>
      <c r="AB56" s="1249">
        <f t="shared" si="29"/>
        <v>0</v>
      </c>
      <c r="AC56" s="1249">
        <f t="shared" si="29"/>
        <v>0</v>
      </c>
      <c r="AD56" s="1249">
        <f t="shared" si="29"/>
        <v>0</v>
      </c>
      <c r="AE56" s="1249">
        <f t="shared" si="29"/>
        <v>0</v>
      </c>
      <c r="AF56" s="1249">
        <f t="shared" si="29"/>
        <v>0</v>
      </c>
      <c r="AG56" s="1249">
        <f t="shared" si="29"/>
        <v>0</v>
      </c>
      <c r="AH56" s="1249">
        <f t="shared" si="29"/>
        <v>0</v>
      </c>
      <c r="AI56" s="1249">
        <f t="shared" si="29"/>
        <v>0</v>
      </c>
      <c r="AJ56" s="1249">
        <f t="shared" si="29"/>
        <v>0</v>
      </c>
      <c r="AK56" s="1249">
        <f t="shared" si="29"/>
        <v>0</v>
      </c>
      <c r="AL56" s="1249">
        <f t="shared" si="29"/>
        <v>0</v>
      </c>
      <c r="AM56" s="1249">
        <f t="shared" si="29"/>
        <v>0</v>
      </c>
      <c r="AN56" s="1249">
        <f t="shared" si="29"/>
        <v>0</v>
      </c>
      <c r="AO56" s="1249">
        <f t="shared" si="29"/>
        <v>0</v>
      </c>
      <c r="AP56" s="1249">
        <f t="shared" si="29"/>
        <v>0</v>
      </c>
      <c r="AQ56" s="1249">
        <f t="shared" si="29"/>
        <v>0</v>
      </c>
      <c r="AR56" s="1249">
        <f t="shared" si="29"/>
        <v>0</v>
      </c>
      <c r="AS56" s="1249">
        <f t="shared" si="29"/>
        <v>0</v>
      </c>
      <c r="AT56" s="1249">
        <f t="shared" si="29"/>
        <v>0</v>
      </c>
      <c r="AU56" s="1249">
        <f t="shared" si="29"/>
        <v>0</v>
      </c>
      <c r="AV56" s="1249">
        <f t="shared" si="29"/>
        <v>0</v>
      </c>
      <c r="AW56" s="1249">
        <f t="shared" si="29"/>
        <v>0</v>
      </c>
      <c r="AX56" s="1249">
        <f t="shared" si="29"/>
        <v>0.13</v>
      </c>
      <c r="AY56" s="1249">
        <f t="shared" si="29"/>
        <v>0</v>
      </c>
      <c r="AZ56" s="1249">
        <f t="shared" si="29"/>
        <v>0</v>
      </c>
      <c r="BA56" s="1249">
        <f t="shared" si="29"/>
        <v>0</v>
      </c>
      <c r="BB56" s="1249">
        <f t="shared" si="29"/>
        <v>0</v>
      </c>
      <c r="BC56" s="1249">
        <f t="shared" si="29"/>
        <v>2.5499999999999998</v>
      </c>
      <c r="BD56" s="1249">
        <f t="shared" si="29"/>
        <v>0</v>
      </c>
      <c r="BE56" s="1249">
        <f t="shared" si="29"/>
        <v>0</v>
      </c>
      <c r="BF56" s="1249">
        <f t="shared" si="29"/>
        <v>2.56</v>
      </c>
      <c r="BG56" s="1250">
        <f t="shared" si="29"/>
        <v>0</v>
      </c>
      <c r="BH56" s="1250">
        <f t="shared" si="29"/>
        <v>0</v>
      </c>
      <c r="BI56" s="1120"/>
      <c r="BJ56" s="1265"/>
      <c r="BK56" s="1120"/>
      <c r="BL56" s="1120"/>
      <c r="BM56" s="1120"/>
      <c r="BN56" s="1120"/>
      <c r="BO56" s="1121"/>
      <c r="BP56" s="1121"/>
      <c r="BQ56" s="1243"/>
      <c r="BR56" s="1232"/>
      <c r="BS56" s="1124"/>
      <c r="BT56" s="1118"/>
    </row>
    <row r="57" spans="1:72" s="1165" customFormat="1" ht="21.75" hidden="1" customHeight="1">
      <c r="A57" s="1040" t="s">
        <v>193</v>
      </c>
      <c r="B57" s="1215" t="s">
        <v>3020</v>
      </c>
      <c r="C57" s="1234" t="s">
        <v>3020</v>
      </c>
      <c r="D57" s="1234" t="s">
        <v>3087</v>
      </c>
      <c r="E57" s="1118" t="s">
        <v>44</v>
      </c>
      <c r="F57" s="1249">
        <f t="shared" si="28"/>
        <v>6.9799999999999995</v>
      </c>
      <c r="G57" s="1249">
        <v>2.8</v>
      </c>
      <c r="H57" s="1249">
        <f t="shared" ref="H57:H59" si="30">SUM(J57:BH57)</f>
        <v>4.18</v>
      </c>
      <c r="I57" s="1249">
        <v>2030</v>
      </c>
      <c r="J57" s="1249">
        <v>0.5</v>
      </c>
      <c r="K57" s="1249"/>
      <c r="L57" s="1249"/>
      <c r="M57" s="1249">
        <v>0.4</v>
      </c>
      <c r="N57" s="1249">
        <f>5.13-2-1.2-0.8-0.5</f>
        <v>0.62999999999999989</v>
      </c>
      <c r="O57" s="1249"/>
      <c r="P57" s="1249"/>
      <c r="Q57" s="1249"/>
      <c r="R57" s="1249"/>
      <c r="S57" s="1249">
        <f>9-4.9-3</f>
        <v>1.0999999999999996</v>
      </c>
      <c r="T57" s="1249"/>
      <c r="U57" s="1249">
        <v>0.5</v>
      </c>
      <c r="V57" s="1249"/>
      <c r="W57" s="1249"/>
      <c r="X57" s="1249"/>
      <c r="Y57" s="1249"/>
      <c r="Z57" s="1249"/>
      <c r="AA57" s="1249"/>
      <c r="AB57" s="1249"/>
      <c r="AC57" s="1249"/>
      <c r="AD57" s="1249"/>
      <c r="AE57" s="1249"/>
      <c r="AF57" s="1249"/>
      <c r="AG57" s="1249"/>
      <c r="AH57" s="1249"/>
      <c r="AI57" s="1249"/>
      <c r="AJ57" s="1249"/>
      <c r="AK57" s="1249"/>
      <c r="AL57" s="1249"/>
      <c r="AM57" s="1249"/>
      <c r="AN57" s="1249"/>
      <c r="AO57" s="1249"/>
      <c r="AP57" s="1249"/>
      <c r="AQ57" s="1249"/>
      <c r="AR57" s="1249"/>
      <c r="AS57" s="1249"/>
      <c r="AT57" s="1249"/>
      <c r="AU57" s="1249"/>
      <c r="AV57" s="1249"/>
      <c r="AW57" s="1249"/>
      <c r="AX57" s="1249">
        <v>0.05</v>
      </c>
      <c r="AY57" s="1249"/>
      <c r="AZ57" s="1249"/>
      <c r="BA57" s="1249"/>
      <c r="BB57" s="1249"/>
      <c r="BC57" s="1249">
        <v>1</v>
      </c>
      <c r="BD57" s="1249"/>
      <c r="BE57" s="1249"/>
      <c r="BF57" s="1249">
        <f>1.5-1.5</f>
        <v>0</v>
      </c>
      <c r="BG57" s="1269"/>
      <c r="BH57" s="1250"/>
      <c r="BI57" s="1050"/>
      <c r="BJ57" s="1267"/>
      <c r="BK57" s="1234"/>
      <c r="BL57" s="1234"/>
      <c r="BM57" s="1234"/>
      <c r="BN57" s="1234"/>
      <c r="BO57" s="1238"/>
      <c r="BP57" s="1238"/>
      <c r="BQ57" s="1244"/>
      <c r="BR57" s="1240"/>
      <c r="BS57" s="1241"/>
      <c r="BT57" s="1242"/>
    </row>
    <row r="58" spans="1:72" s="1165" customFormat="1" ht="21.75" hidden="1" customHeight="1">
      <c r="A58" s="1040" t="s">
        <v>193</v>
      </c>
      <c r="B58" s="1261" t="s">
        <v>3028</v>
      </c>
      <c r="C58" s="1234" t="s">
        <v>3028</v>
      </c>
      <c r="D58" s="1234" t="s">
        <v>3087</v>
      </c>
      <c r="E58" s="1270" t="s">
        <v>44</v>
      </c>
      <c r="F58" s="1051">
        <f t="shared" si="28"/>
        <v>7.8499999999999988</v>
      </c>
      <c r="G58" s="1051">
        <v>2</v>
      </c>
      <c r="H58" s="1051">
        <f t="shared" si="30"/>
        <v>5.8499999999999988</v>
      </c>
      <c r="I58" s="1249">
        <v>2030</v>
      </c>
      <c r="J58" s="1249">
        <v>0.5</v>
      </c>
      <c r="K58" s="1249"/>
      <c r="L58" s="1249"/>
      <c r="M58" s="1249">
        <v>0.3</v>
      </c>
      <c r="N58" s="1249">
        <f>4.6-2.9-1</f>
        <v>0.69999999999999973</v>
      </c>
      <c r="O58" s="1249"/>
      <c r="P58" s="1249"/>
      <c r="Q58" s="1249"/>
      <c r="R58" s="1249"/>
      <c r="S58" s="1249">
        <f>12.84-8.9-2-0.44</f>
        <v>1.4999999999999996</v>
      </c>
      <c r="T58" s="1249"/>
      <c r="U58" s="1249">
        <v>0.5</v>
      </c>
      <c r="V58" s="1249"/>
      <c r="W58" s="1249"/>
      <c r="X58" s="1249"/>
      <c r="Y58" s="1249"/>
      <c r="Z58" s="1249"/>
      <c r="AA58" s="1249"/>
      <c r="AB58" s="1249"/>
      <c r="AC58" s="1249"/>
      <c r="AD58" s="1249"/>
      <c r="AE58" s="1249"/>
      <c r="AF58" s="1249"/>
      <c r="AG58" s="1249"/>
      <c r="AH58" s="1249"/>
      <c r="AI58" s="1249"/>
      <c r="AJ58" s="1249"/>
      <c r="AK58" s="1249"/>
      <c r="AL58" s="1249"/>
      <c r="AM58" s="1249"/>
      <c r="AN58" s="1249"/>
      <c r="AO58" s="1249"/>
      <c r="AP58" s="1249"/>
      <c r="AQ58" s="1249"/>
      <c r="AR58" s="1249"/>
      <c r="AS58" s="1249"/>
      <c r="AT58" s="1249"/>
      <c r="AU58" s="1249"/>
      <c r="AV58" s="1249"/>
      <c r="AW58" s="1249"/>
      <c r="AX58" s="1249">
        <v>0.05</v>
      </c>
      <c r="AY58" s="1249"/>
      <c r="AZ58" s="1249"/>
      <c r="BA58" s="1249"/>
      <c r="BB58" s="1249"/>
      <c r="BC58" s="1249">
        <v>1</v>
      </c>
      <c r="BD58" s="1249"/>
      <c r="BE58" s="1249"/>
      <c r="BF58" s="1249">
        <v>1.3</v>
      </c>
      <c r="BG58" s="1269"/>
      <c r="BH58" s="1250"/>
      <c r="BI58" s="1050"/>
      <c r="BJ58" s="1267"/>
      <c r="BK58" s="1234"/>
      <c r="BL58" s="1234"/>
      <c r="BM58" s="1234"/>
      <c r="BN58" s="1234"/>
      <c r="BO58" s="1238"/>
      <c r="BP58" s="1238"/>
      <c r="BQ58" s="1244"/>
      <c r="BR58" s="1240"/>
      <c r="BS58" s="1241"/>
      <c r="BT58" s="1242"/>
    </row>
    <row r="59" spans="1:72" s="1165" customFormat="1" ht="21.75" hidden="1" customHeight="1">
      <c r="A59" s="1040" t="s">
        <v>193</v>
      </c>
      <c r="B59" s="1261" t="s">
        <v>3187</v>
      </c>
      <c r="C59" s="1234" t="s">
        <v>3187</v>
      </c>
      <c r="D59" s="1234" t="s">
        <v>3087</v>
      </c>
      <c r="E59" s="1270" t="s">
        <v>44</v>
      </c>
      <c r="F59" s="1051">
        <f t="shared" si="28"/>
        <v>7.66</v>
      </c>
      <c r="G59" s="1051">
        <v>1.56</v>
      </c>
      <c r="H59" s="1051">
        <f t="shared" si="30"/>
        <v>6.1</v>
      </c>
      <c r="I59" s="1249">
        <v>2030</v>
      </c>
      <c r="J59" s="1249">
        <v>0.83</v>
      </c>
      <c r="K59" s="1249"/>
      <c r="L59" s="1249"/>
      <c r="M59" s="1249">
        <v>0.2</v>
      </c>
      <c r="N59" s="1249">
        <f>4-2-1</f>
        <v>1</v>
      </c>
      <c r="O59" s="1249"/>
      <c r="P59" s="1249"/>
      <c r="Q59" s="1249"/>
      <c r="R59" s="1249"/>
      <c r="S59" s="1249">
        <f>8-6</f>
        <v>2</v>
      </c>
      <c r="T59" s="1249"/>
      <c r="U59" s="1249">
        <f>0.83-0.6</f>
        <v>0.22999999999999998</v>
      </c>
      <c r="V59" s="1249"/>
      <c r="W59" s="1249"/>
      <c r="X59" s="1249"/>
      <c r="Y59" s="1249"/>
      <c r="Z59" s="1249"/>
      <c r="AA59" s="1249"/>
      <c r="AB59" s="1249"/>
      <c r="AC59" s="1249"/>
      <c r="AD59" s="1249"/>
      <c r="AE59" s="1249"/>
      <c r="AF59" s="1249"/>
      <c r="AG59" s="1249"/>
      <c r="AH59" s="1249"/>
      <c r="AI59" s="1249"/>
      <c r="AJ59" s="1249"/>
      <c r="AK59" s="1249"/>
      <c r="AL59" s="1249"/>
      <c r="AM59" s="1249"/>
      <c r="AN59" s="1249"/>
      <c r="AO59" s="1249"/>
      <c r="AP59" s="1249"/>
      <c r="AQ59" s="1249"/>
      <c r="AR59" s="1249"/>
      <c r="AS59" s="1249"/>
      <c r="AT59" s="1249"/>
      <c r="AU59" s="1249"/>
      <c r="AV59" s="1249"/>
      <c r="AW59" s="1249"/>
      <c r="AX59" s="1249">
        <v>0.03</v>
      </c>
      <c r="AY59" s="1249"/>
      <c r="AZ59" s="1249"/>
      <c r="BA59" s="1249"/>
      <c r="BB59" s="1249"/>
      <c r="BC59" s="1249">
        <v>0.55000000000000004</v>
      </c>
      <c r="BD59" s="1249"/>
      <c r="BE59" s="1249"/>
      <c r="BF59" s="1249">
        <v>1.26</v>
      </c>
      <c r="BG59" s="1269"/>
      <c r="BH59" s="1250"/>
      <c r="BI59" s="1050"/>
      <c r="BJ59" s="1267"/>
      <c r="BK59" s="1234"/>
      <c r="BL59" s="1234"/>
      <c r="BM59" s="1234"/>
      <c r="BN59" s="1234"/>
      <c r="BO59" s="1238"/>
      <c r="BP59" s="1238"/>
      <c r="BQ59" s="1244"/>
      <c r="BR59" s="1240"/>
      <c r="BS59" s="1241"/>
      <c r="BT59" s="1242"/>
    </row>
    <row r="60" spans="1:72" s="1165" customFormat="1" ht="21.75" customHeight="1">
      <c r="A60" s="1040"/>
      <c r="B60" s="1215" t="s">
        <v>3179</v>
      </c>
      <c r="C60" s="1118"/>
      <c r="D60" s="1118"/>
      <c r="E60" s="1118"/>
      <c r="F60" s="1051">
        <f t="shared" si="28"/>
        <v>4</v>
      </c>
      <c r="G60" s="1051"/>
      <c r="H60" s="1051">
        <f t="shared" ref="H60:H68" si="31">SUM(J60:BF60)</f>
        <v>4</v>
      </c>
      <c r="I60" s="1052"/>
      <c r="J60" s="1249">
        <f>SUM(J61:J63)</f>
        <v>0</v>
      </c>
      <c r="K60" s="1249">
        <f t="shared" ref="K60:BH60" si="32">SUM(K61:K63)</f>
        <v>0</v>
      </c>
      <c r="L60" s="1249">
        <f t="shared" si="32"/>
        <v>0</v>
      </c>
      <c r="M60" s="1249">
        <f t="shared" si="32"/>
        <v>0</v>
      </c>
      <c r="N60" s="1249">
        <f t="shared" si="32"/>
        <v>0</v>
      </c>
      <c r="O60" s="1249">
        <f t="shared" si="32"/>
        <v>0</v>
      </c>
      <c r="P60" s="1249">
        <f t="shared" si="32"/>
        <v>0</v>
      </c>
      <c r="Q60" s="1249">
        <f t="shared" si="32"/>
        <v>0</v>
      </c>
      <c r="R60" s="1249">
        <f t="shared" si="32"/>
        <v>0</v>
      </c>
      <c r="S60" s="1249">
        <f t="shared" si="32"/>
        <v>4</v>
      </c>
      <c r="T60" s="1249">
        <f t="shared" si="32"/>
        <v>0</v>
      </c>
      <c r="U60" s="1249">
        <f t="shared" si="32"/>
        <v>0</v>
      </c>
      <c r="V60" s="1249">
        <f t="shared" si="32"/>
        <v>0</v>
      </c>
      <c r="W60" s="1249">
        <f t="shared" si="32"/>
        <v>0</v>
      </c>
      <c r="X60" s="1249">
        <f t="shared" si="32"/>
        <v>0</v>
      </c>
      <c r="Y60" s="1249">
        <f t="shared" si="32"/>
        <v>0</v>
      </c>
      <c r="Z60" s="1249">
        <f t="shared" si="32"/>
        <v>0</v>
      </c>
      <c r="AA60" s="1249">
        <f t="shared" si="32"/>
        <v>0</v>
      </c>
      <c r="AB60" s="1249">
        <f t="shared" si="32"/>
        <v>0</v>
      </c>
      <c r="AC60" s="1249">
        <f t="shared" si="32"/>
        <v>0</v>
      </c>
      <c r="AD60" s="1249">
        <f t="shared" si="32"/>
        <v>0</v>
      </c>
      <c r="AE60" s="1249">
        <f t="shared" si="32"/>
        <v>0</v>
      </c>
      <c r="AF60" s="1249">
        <f t="shared" si="32"/>
        <v>0</v>
      </c>
      <c r="AG60" s="1249">
        <f t="shared" si="32"/>
        <v>0</v>
      </c>
      <c r="AH60" s="1249">
        <f t="shared" si="32"/>
        <v>0</v>
      </c>
      <c r="AI60" s="1249">
        <f t="shared" si="32"/>
        <v>0</v>
      </c>
      <c r="AJ60" s="1249">
        <f t="shared" si="32"/>
        <v>0</v>
      </c>
      <c r="AK60" s="1249">
        <f t="shared" si="32"/>
        <v>0</v>
      </c>
      <c r="AL60" s="1249">
        <f t="shared" si="32"/>
        <v>0</v>
      </c>
      <c r="AM60" s="1249">
        <f t="shared" si="32"/>
        <v>0</v>
      </c>
      <c r="AN60" s="1249">
        <f t="shared" si="32"/>
        <v>0</v>
      </c>
      <c r="AO60" s="1249">
        <f t="shared" si="32"/>
        <v>0</v>
      </c>
      <c r="AP60" s="1249">
        <f t="shared" si="32"/>
        <v>0</v>
      </c>
      <c r="AQ60" s="1249">
        <f t="shared" si="32"/>
        <v>0</v>
      </c>
      <c r="AR60" s="1249">
        <f t="shared" si="32"/>
        <v>0</v>
      </c>
      <c r="AS60" s="1249">
        <f t="shared" si="32"/>
        <v>0</v>
      </c>
      <c r="AT60" s="1249">
        <f t="shared" si="32"/>
        <v>0</v>
      </c>
      <c r="AU60" s="1249">
        <f t="shared" si="32"/>
        <v>0</v>
      </c>
      <c r="AV60" s="1249">
        <f t="shared" si="32"/>
        <v>0</v>
      </c>
      <c r="AW60" s="1249">
        <f t="shared" si="32"/>
        <v>0</v>
      </c>
      <c r="AX60" s="1249">
        <f t="shared" si="32"/>
        <v>0</v>
      </c>
      <c r="AY60" s="1249">
        <f t="shared" si="32"/>
        <v>0</v>
      </c>
      <c r="AZ60" s="1249">
        <f t="shared" si="32"/>
        <v>0</v>
      </c>
      <c r="BA60" s="1249">
        <f t="shared" si="32"/>
        <v>0</v>
      </c>
      <c r="BB60" s="1249">
        <f t="shared" si="32"/>
        <v>0</v>
      </c>
      <c r="BC60" s="1249">
        <f t="shared" si="32"/>
        <v>0</v>
      </c>
      <c r="BD60" s="1249">
        <f t="shared" si="32"/>
        <v>0</v>
      </c>
      <c r="BE60" s="1249">
        <f t="shared" si="32"/>
        <v>0</v>
      </c>
      <c r="BF60" s="1249">
        <f t="shared" si="32"/>
        <v>0</v>
      </c>
      <c r="BG60" s="1250">
        <f t="shared" si="32"/>
        <v>0</v>
      </c>
      <c r="BH60" s="1250">
        <f t="shared" si="32"/>
        <v>0</v>
      </c>
      <c r="BI60" s="1050"/>
      <c r="BJ60" s="1267"/>
      <c r="BK60" s="1234"/>
      <c r="BL60" s="1234"/>
      <c r="BM60" s="1234"/>
      <c r="BN60" s="1234"/>
      <c r="BO60" s="1238"/>
      <c r="BP60" s="1238"/>
      <c r="BQ60" s="1244"/>
      <c r="BR60" s="1240"/>
      <c r="BS60" s="1241"/>
      <c r="BT60" s="1242"/>
    </row>
    <row r="61" spans="1:72" s="1165" customFormat="1" ht="21.75" hidden="1" customHeight="1">
      <c r="A61" s="1040"/>
      <c r="B61" s="1215" t="s">
        <v>3020</v>
      </c>
      <c r="C61" s="1234" t="s">
        <v>3020</v>
      </c>
      <c r="D61" s="1118" t="s">
        <v>3087</v>
      </c>
      <c r="E61" s="1118" t="s">
        <v>37</v>
      </c>
      <c r="F61" s="1249">
        <f t="shared" si="28"/>
        <v>1</v>
      </c>
      <c r="G61" s="1249"/>
      <c r="H61" s="1249">
        <f t="shared" si="31"/>
        <v>1</v>
      </c>
      <c r="I61" s="1249">
        <v>2030</v>
      </c>
      <c r="J61" s="1249"/>
      <c r="K61" s="1249"/>
      <c r="L61" s="1249"/>
      <c r="M61" s="1249"/>
      <c r="N61" s="1249"/>
      <c r="O61" s="1249"/>
      <c r="P61" s="1249"/>
      <c r="Q61" s="1249"/>
      <c r="R61" s="1249"/>
      <c r="S61" s="1249">
        <v>1</v>
      </c>
      <c r="T61" s="1249"/>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D61" s="1249"/>
      <c r="BE61" s="1249"/>
      <c r="BF61" s="1249"/>
      <c r="BG61" s="1250"/>
      <c r="BH61" s="1250"/>
      <c r="BI61" s="1050"/>
      <c r="BJ61" s="1267"/>
      <c r="BK61" s="1234"/>
      <c r="BL61" s="1234"/>
      <c r="BM61" s="1234"/>
      <c r="BN61" s="1234"/>
      <c r="BO61" s="1238"/>
      <c r="BP61" s="1238"/>
      <c r="BQ61" s="1244"/>
      <c r="BR61" s="1240"/>
      <c r="BS61" s="1241"/>
      <c r="BT61" s="1242"/>
    </row>
    <row r="62" spans="1:72" s="1165" customFormat="1" ht="21.75" hidden="1" customHeight="1">
      <c r="A62" s="1040"/>
      <c r="B62" s="1261" t="s">
        <v>3028</v>
      </c>
      <c r="C62" s="1234" t="s">
        <v>3028</v>
      </c>
      <c r="D62" s="1118" t="s">
        <v>3087</v>
      </c>
      <c r="E62" s="1118" t="s">
        <v>37</v>
      </c>
      <c r="F62" s="1249">
        <f t="shared" si="28"/>
        <v>1</v>
      </c>
      <c r="G62" s="1249"/>
      <c r="H62" s="1249">
        <f t="shared" si="31"/>
        <v>1</v>
      </c>
      <c r="I62" s="1249">
        <v>2030</v>
      </c>
      <c r="J62" s="1249"/>
      <c r="K62" s="1249"/>
      <c r="L62" s="1249"/>
      <c r="M62" s="1249"/>
      <c r="N62" s="1249"/>
      <c r="O62" s="1249"/>
      <c r="P62" s="1249"/>
      <c r="Q62" s="1249"/>
      <c r="R62" s="1249"/>
      <c r="S62" s="1249">
        <v>1</v>
      </c>
      <c r="T62" s="1249"/>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D62" s="1249"/>
      <c r="BE62" s="1249"/>
      <c r="BF62" s="1249"/>
      <c r="BG62" s="1250"/>
      <c r="BH62" s="1250"/>
      <c r="BI62" s="1050"/>
      <c r="BJ62" s="1267"/>
      <c r="BK62" s="1234"/>
      <c r="BL62" s="1234"/>
      <c r="BM62" s="1234"/>
      <c r="BN62" s="1234"/>
      <c r="BO62" s="1238"/>
      <c r="BP62" s="1238"/>
      <c r="BQ62" s="1244"/>
      <c r="BR62" s="1240"/>
      <c r="BS62" s="1241"/>
      <c r="BT62" s="1242"/>
    </row>
    <row r="63" spans="1:72" s="1165" customFormat="1" ht="21.75" hidden="1" customHeight="1">
      <c r="A63" s="1040"/>
      <c r="B63" s="1261" t="s">
        <v>3187</v>
      </c>
      <c r="C63" s="1234" t="s">
        <v>3187</v>
      </c>
      <c r="D63" s="1118" t="s">
        <v>3087</v>
      </c>
      <c r="E63" s="1118" t="s">
        <v>37</v>
      </c>
      <c r="F63" s="1249">
        <f t="shared" si="28"/>
        <v>2</v>
      </c>
      <c r="G63" s="1249"/>
      <c r="H63" s="1249">
        <f t="shared" si="31"/>
        <v>2</v>
      </c>
      <c r="I63" s="1249">
        <v>2030</v>
      </c>
      <c r="J63" s="1249"/>
      <c r="K63" s="1249"/>
      <c r="L63" s="1249"/>
      <c r="M63" s="1249"/>
      <c r="N63" s="1249"/>
      <c r="O63" s="1249"/>
      <c r="P63" s="1249"/>
      <c r="Q63" s="1249"/>
      <c r="R63" s="1249"/>
      <c r="S63" s="1249">
        <v>2</v>
      </c>
      <c r="T63" s="1249"/>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D63" s="1249"/>
      <c r="BE63" s="1249"/>
      <c r="BF63" s="1249"/>
      <c r="BG63" s="1250"/>
      <c r="BH63" s="1250"/>
      <c r="BI63" s="1050"/>
      <c r="BJ63" s="1267"/>
      <c r="BK63" s="1234"/>
      <c r="BL63" s="1234"/>
      <c r="BM63" s="1234"/>
      <c r="BN63" s="1234"/>
      <c r="BO63" s="1238"/>
      <c r="BP63" s="1238"/>
      <c r="BQ63" s="1244"/>
      <c r="BR63" s="1240"/>
      <c r="BS63" s="1241"/>
      <c r="BT63" s="1242"/>
    </row>
    <row r="64" spans="1:72" ht="93.95" customHeight="1">
      <c r="A64" s="1028">
        <f>A55+1</f>
        <v>23</v>
      </c>
      <c r="B64" s="1130" t="s">
        <v>3200</v>
      </c>
      <c r="C64" s="1049"/>
      <c r="D64" s="1049"/>
      <c r="E64" s="1120"/>
      <c r="F64" s="1031">
        <f t="shared" si="28"/>
        <v>0.34</v>
      </c>
      <c r="G64" s="1031"/>
      <c r="H64" s="1029">
        <f t="shared" si="31"/>
        <v>0.34</v>
      </c>
      <c r="I64" s="1029">
        <v>2030</v>
      </c>
      <c r="J64" s="1029"/>
      <c r="K64" s="1031"/>
      <c r="L64" s="1031"/>
      <c r="M64" s="1031">
        <v>0.1</v>
      </c>
      <c r="N64" s="1031">
        <v>0.04</v>
      </c>
      <c r="O64" s="1031"/>
      <c r="P64" s="1031"/>
      <c r="Q64" s="1031"/>
      <c r="R64" s="1031"/>
      <c r="S64" s="1031">
        <v>0.2</v>
      </c>
      <c r="T64" s="1031"/>
      <c r="U64" s="1031"/>
      <c r="V64" s="1031"/>
      <c r="W64" s="1031"/>
      <c r="X64" s="1031"/>
      <c r="Y64" s="1031"/>
      <c r="Z64" s="1031"/>
      <c r="AA64" s="1031"/>
      <c r="AB64" s="1031"/>
      <c r="AC64" s="1031"/>
      <c r="AD64" s="1031"/>
      <c r="AE64" s="1031"/>
      <c r="AF64" s="1031"/>
      <c r="AG64" s="1031"/>
      <c r="AH64" s="1031"/>
      <c r="AI64" s="1031"/>
      <c r="AJ64" s="1031"/>
      <c r="AK64" s="1031"/>
      <c r="AL64" s="1031"/>
      <c r="AM64" s="1031"/>
      <c r="AN64" s="1031"/>
      <c r="AO64" s="1031"/>
      <c r="AP64" s="1031"/>
      <c r="AQ64" s="1031"/>
      <c r="AR64" s="1031"/>
      <c r="AS64" s="1031"/>
      <c r="AT64" s="1031"/>
      <c r="AU64" s="1031"/>
      <c r="AV64" s="1031"/>
      <c r="AW64" s="1031"/>
      <c r="AX64" s="1031"/>
      <c r="AY64" s="1031"/>
      <c r="AZ64" s="1031"/>
      <c r="BA64" s="1031"/>
      <c r="BB64" s="1031"/>
      <c r="BC64" s="1031"/>
      <c r="BD64" s="1031"/>
      <c r="BE64" s="1031"/>
      <c r="BF64" s="1031"/>
      <c r="BG64" s="1031"/>
      <c r="BH64" s="1031"/>
      <c r="BI64" s="1049" t="s">
        <v>3201</v>
      </c>
      <c r="BJ64" s="1265" t="s">
        <v>3202</v>
      </c>
      <c r="BK64" s="1120" t="s">
        <v>3203</v>
      </c>
      <c r="BL64" s="1120" t="s">
        <v>1917</v>
      </c>
      <c r="BM64" s="1120" t="s">
        <v>3105</v>
      </c>
      <c r="BN64" s="1120" t="s">
        <v>291</v>
      </c>
      <c r="BP64" s="1121">
        <v>1</v>
      </c>
      <c r="BQ64" s="1246" t="s">
        <v>3185</v>
      </c>
      <c r="BR64" s="1232" t="s">
        <v>3204</v>
      </c>
      <c r="BS64" s="1124" t="s">
        <v>3184</v>
      </c>
      <c r="BT64" s="1120" t="s">
        <v>3205</v>
      </c>
    </row>
    <row r="65" spans="1:72" s="1272" customFormat="1" hidden="1">
      <c r="A65" s="1053"/>
      <c r="B65" s="1271" t="s">
        <v>122</v>
      </c>
      <c r="C65" s="1050" t="s">
        <v>3018</v>
      </c>
      <c r="D65" s="1120" t="s">
        <v>3087</v>
      </c>
      <c r="E65" s="1256" t="s">
        <v>44</v>
      </c>
      <c r="F65" s="1042">
        <f t="shared" si="28"/>
        <v>0.14000000000000001</v>
      </c>
      <c r="G65" s="1042"/>
      <c r="H65" s="1041">
        <f t="shared" si="31"/>
        <v>0.14000000000000001</v>
      </c>
      <c r="I65" s="1029">
        <v>2030</v>
      </c>
      <c r="J65" s="1041"/>
      <c r="K65" s="1042"/>
      <c r="L65" s="1042"/>
      <c r="M65" s="1041">
        <v>0.03</v>
      </c>
      <c r="N65" s="1041">
        <v>0.01</v>
      </c>
      <c r="O65" s="1042"/>
      <c r="P65" s="1042"/>
      <c r="Q65" s="1042"/>
      <c r="R65" s="1042"/>
      <c r="S65" s="1042">
        <v>0.1</v>
      </c>
      <c r="T65" s="1042"/>
      <c r="U65" s="1042"/>
      <c r="V65" s="1042"/>
      <c r="W65" s="1042"/>
      <c r="X65" s="1042"/>
      <c r="Y65" s="1042"/>
      <c r="Z65" s="1042"/>
      <c r="AA65" s="1042"/>
      <c r="AB65" s="1042"/>
      <c r="AC65" s="1042"/>
      <c r="AD65" s="1042"/>
      <c r="AE65" s="1042"/>
      <c r="AF65" s="1042"/>
      <c r="AG65" s="1042"/>
      <c r="AH65" s="1042"/>
      <c r="AI65" s="1042"/>
      <c r="AJ65" s="1042"/>
      <c r="AK65" s="1042"/>
      <c r="AL65" s="1042"/>
      <c r="AM65" s="1042"/>
      <c r="AN65" s="1042"/>
      <c r="AO65" s="1042"/>
      <c r="AP65" s="1042"/>
      <c r="AQ65" s="1042"/>
      <c r="AR65" s="1042"/>
      <c r="AS65" s="1042"/>
      <c r="AT65" s="1042"/>
      <c r="AU65" s="1042"/>
      <c r="AV65" s="1042"/>
      <c r="AW65" s="1042"/>
      <c r="AX65" s="1042"/>
      <c r="AY65" s="1042"/>
      <c r="AZ65" s="1042"/>
      <c r="BA65" s="1042"/>
      <c r="BB65" s="1042"/>
      <c r="BC65" s="1042"/>
      <c r="BD65" s="1042"/>
      <c r="BE65" s="1042"/>
      <c r="BF65" s="1042"/>
      <c r="BG65" s="1042"/>
      <c r="BH65" s="1042"/>
      <c r="BI65" s="1050"/>
      <c r="BJ65" s="1267"/>
      <c r="BK65" s="1234"/>
      <c r="BL65" s="1234"/>
      <c r="BM65" s="1234"/>
      <c r="BN65" s="1234"/>
      <c r="BO65" s="1238"/>
      <c r="BP65" s="1238"/>
      <c r="BQ65" s="1239"/>
      <c r="BR65" s="1239"/>
      <c r="BS65" s="1241"/>
      <c r="BT65" s="1242"/>
    </row>
    <row r="66" spans="1:72" s="1165" customFormat="1" ht="9.9499999999999993" hidden="1" customHeight="1">
      <c r="A66" s="1053"/>
      <c r="B66" s="1271" t="s">
        <v>123</v>
      </c>
      <c r="C66" s="1050" t="s">
        <v>3018</v>
      </c>
      <c r="D66" s="1120" t="s">
        <v>3087</v>
      </c>
      <c r="E66" s="1256" t="s">
        <v>45</v>
      </c>
      <c r="F66" s="1042">
        <f t="shared" si="28"/>
        <v>0.2</v>
      </c>
      <c r="G66" s="1042"/>
      <c r="H66" s="1041">
        <f t="shared" si="31"/>
        <v>0.2</v>
      </c>
      <c r="I66" s="1029">
        <v>2030</v>
      </c>
      <c r="J66" s="1041"/>
      <c r="K66" s="1042"/>
      <c r="L66" s="1042"/>
      <c r="M66" s="1041">
        <v>7.0000000000000007E-2</v>
      </c>
      <c r="N66" s="1041">
        <v>0.03</v>
      </c>
      <c r="O66" s="1042"/>
      <c r="P66" s="1042"/>
      <c r="Q66" s="1042"/>
      <c r="R66" s="1042"/>
      <c r="S66" s="1042">
        <v>0.1</v>
      </c>
      <c r="T66" s="1042"/>
      <c r="U66" s="1042"/>
      <c r="V66" s="1042"/>
      <c r="W66" s="1042"/>
      <c r="X66" s="1042"/>
      <c r="Y66" s="1042"/>
      <c r="Z66" s="1042"/>
      <c r="AA66" s="1042"/>
      <c r="AB66" s="1042"/>
      <c r="AC66" s="1042"/>
      <c r="AD66" s="1042"/>
      <c r="AE66" s="1042"/>
      <c r="AF66" s="1042"/>
      <c r="AG66" s="1042"/>
      <c r="AH66" s="1042"/>
      <c r="AI66" s="1042"/>
      <c r="AJ66" s="1042"/>
      <c r="AK66" s="1042"/>
      <c r="AL66" s="1042"/>
      <c r="AM66" s="1042"/>
      <c r="AN66" s="1042"/>
      <c r="AO66" s="1042"/>
      <c r="AP66" s="1042"/>
      <c r="AQ66" s="1042"/>
      <c r="AR66" s="1042"/>
      <c r="AS66" s="1042"/>
      <c r="AT66" s="1042"/>
      <c r="AU66" s="1042"/>
      <c r="AV66" s="1042"/>
      <c r="AW66" s="1042"/>
      <c r="AX66" s="1042"/>
      <c r="AY66" s="1042"/>
      <c r="AZ66" s="1042"/>
      <c r="BA66" s="1042"/>
      <c r="BB66" s="1042"/>
      <c r="BC66" s="1042"/>
      <c r="BD66" s="1042"/>
      <c r="BE66" s="1042"/>
      <c r="BF66" s="1042"/>
      <c r="BG66" s="1042"/>
      <c r="BH66" s="1042"/>
      <c r="BI66" s="1050"/>
      <c r="BJ66" s="1267"/>
      <c r="BK66" s="1234"/>
      <c r="BL66" s="1234"/>
      <c r="BM66" s="1234"/>
      <c r="BN66" s="1234"/>
      <c r="BO66" s="1238"/>
      <c r="BP66" s="1238"/>
      <c r="BQ66" s="1239"/>
      <c r="BR66" s="1239"/>
      <c r="BS66" s="1241"/>
      <c r="BT66" s="1242"/>
    </row>
    <row r="67" spans="1:72" ht="105.75" customHeight="1">
      <c r="A67" s="1028">
        <f>A64+1</f>
        <v>24</v>
      </c>
      <c r="B67" s="1130" t="s">
        <v>3206</v>
      </c>
      <c r="C67" s="1049" t="s">
        <v>3197</v>
      </c>
      <c r="D67" s="1120" t="s">
        <v>3087</v>
      </c>
      <c r="E67" s="1120" t="s">
        <v>44</v>
      </c>
      <c r="F67" s="1029">
        <f t="shared" si="28"/>
        <v>0.58000000000000007</v>
      </c>
      <c r="G67" s="1031">
        <v>0</v>
      </c>
      <c r="H67" s="1029">
        <f t="shared" si="31"/>
        <v>0.58000000000000007</v>
      </c>
      <c r="I67" s="1029">
        <v>2030</v>
      </c>
      <c r="J67" s="1029">
        <v>0.03</v>
      </c>
      <c r="K67" s="1031">
        <v>0.11</v>
      </c>
      <c r="L67" s="1031"/>
      <c r="M67" s="1029">
        <v>0.17</v>
      </c>
      <c r="N67" s="1029">
        <v>0.12</v>
      </c>
      <c r="O67" s="1031"/>
      <c r="P67" s="1031"/>
      <c r="Q67" s="1031"/>
      <c r="R67" s="1031"/>
      <c r="S67" s="1031">
        <v>0.11</v>
      </c>
      <c r="T67" s="1031"/>
      <c r="U67" s="1031"/>
      <c r="V67" s="1031"/>
      <c r="W67" s="1031"/>
      <c r="X67" s="1031"/>
      <c r="Y67" s="1031"/>
      <c r="Z67" s="1031"/>
      <c r="AA67" s="1031"/>
      <c r="AB67" s="1031"/>
      <c r="AC67" s="1031"/>
      <c r="AD67" s="1031"/>
      <c r="AE67" s="1031"/>
      <c r="AF67" s="1031"/>
      <c r="AG67" s="1031"/>
      <c r="AH67" s="1031"/>
      <c r="AI67" s="1031"/>
      <c r="AJ67" s="1031"/>
      <c r="AK67" s="1031"/>
      <c r="AL67" s="1031"/>
      <c r="AM67" s="1031"/>
      <c r="AN67" s="1031"/>
      <c r="AO67" s="1031"/>
      <c r="AP67" s="1031"/>
      <c r="AQ67" s="1031"/>
      <c r="AR67" s="1031"/>
      <c r="AS67" s="1031"/>
      <c r="AT67" s="1031"/>
      <c r="AU67" s="1031"/>
      <c r="AV67" s="1031"/>
      <c r="AW67" s="1031"/>
      <c r="AX67" s="1031"/>
      <c r="AY67" s="1031"/>
      <c r="AZ67" s="1031"/>
      <c r="BA67" s="1031"/>
      <c r="BB67" s="1031"/>
      <c r="BC67" s="1031"/>
      <c r="BD67" s="1031"/>
      <c r="BE67" s="1031"/>
      <c r="BF67" s="1031">
        <v>0.04</v>
      </c>
      <c r="BG67" s="1031"/>
      <c r="BH67" s="1031"/>
      <c r="BI67" s="1049" t="s">
        <v>3207</v>
      </c>
      <c r="BJ67" s="1265"/>
      <c r="BK67" s="1120" t="s">
        <v>3208</v>
      </c>
      <c r="BL67" s="1120" t="s">
        <v>1917</v>
      </c>
      <c r="BM67" s="1120" t="s">
        <v>3105</v>
      </c>
      <c r="BN67" s="1120" t="s">
        <v>291</v>
      </c>
      <c r="BP67" s="1121">
        <v>1</v>
      </c>
      <c r="BQ67" s="1243" t="s">
        <v>3106</v>
      </c>
      <c r="BR67" s="1232" t="s">
        <v>3209</v>
      </c>
      <c r="BS67" s="1124" t="s">
        <v>291</v>
      </c>
      <c r="BT67" s="1118"/>
    </row>
    <row r="68" spans="1:72" s="1268" customFormat="1" ht="93.75" customHeight="1">
      <c r="A68" s="1028">
        <f>A67+1</f>
        <v>25</v>
      </c>
      <c r="B68" s="1130" t="s">
        <v>3210</v>
      </c>
      <c r="C68" s="1049" t="s">
        <v>3028</v>
      </c>
      <c r="D68" s="1120" t="s">
        <v>3087</v>
      </c>
      <c r="E68" s="1120" t="s">
        <v>44</v>
      </c>
      <c r="F68" s="1029">
        <f t="shared" si="28"/>
        <v>0.61999999999999988</v>
      </c>
      <c r="G68" s="1031">
        <v>0</v>
      </c>
      <c r="H68" s="1029">
        <f t="shared" si="31"/>
        <v>0.61999999999999988</v>
      </c>
      <c r="I68" s="1029">
        <v>2030</v>
      </c>
      <c r="J68" s="1029">
        <v>0.14000000000000001</v>
      </c>
      <c r="K68" s="1029">
        <v>0.12</v>
      </c>
      <c r="L68" s="1029"/>
      <c r="M68" s="1029">
        <v>0.12</v>
      </c>
      <c r="N68" s="1029">
        <v>0.09</v>
      </c>
      <c r="O68" s="1031"/>
      <c r="P68" s="1031"/>
      <c r="Q68" s="1031"/>
      <c r="R68" s="1031"/>
      <c r="S68" s="1029">
        <v>0.08</v>
      </c>
      <c r="T68" s="1031"/>
      <c r="U68" s="1031"/>
      <c r="V68" s="1031"/>
      <c r="W68" s="1031"/>
      <c r="X68" s="1031"/>
      <c r="Y68" s="1031"/>
      <c r="Z68" s="1031"/>
      <c r="AA68" s="1031"/>
      <c r="AB68" s="1031"/>
      <c r="AC68" s="1031"/>
      <c r="AD68" s="1031"/>
      <c r="AE68" s="1031"/>
      <c r="AF68" s="1031"/>
      <c r="AG68" s="1031"/>
      <c r="AH68" s="1031"/>
      <c r="AI68" s="1031"/>
      <c r="AJ68" s="1031"/>
      <c r="AK68" s="1031"/>
      <c r="AL68" s="1031"/>
      <c r="AM68" s="1031"/>
      <c r="AN68" s="1031"/>
      <c r="AO68" s="1031"/>
      <c r="AP68" s="1031"/>
      <c r="AQ68" s="1031"/>
      <c r="AR68" s="1031"/>
      <c r="AS68" s="1031"/>
      <c r="AT68" s="1031"/>
      <c r="AU68" s="1031"/>
      <c r="AV68" s="1031"/>
      <c r="AW68" s="1031"/>
      <c r="AX68" s="1031"/>
      <c r="AY68" s="1031"/>
      <c r="AZ68" s="1031"/>
      <c r="BA68" s="1031"/>
      <c r="BB68" s="1031"/>
      <c r="BC68" s="1031"/>
      <c r="BD68" s="1031"/>
      <c r="BE68" s="1031"/>
      <c r="BF68" s="1031">
        <v>7.0000000000000007E-2</v>
      </c>
      <c r="BG68" s="1031"/>
      <c r="BH68" s="1031"/>
      <c r="BI68" s="1049" t="s">
        <v>3211</v>
      </c>
      <c r="BJ68" s="1265"/>
      <c r="BK68" s="1120" t="s">
        <v>3212</v>
      </c>
      <c r="BL68" s="1120" t="s">
        <v>1917</v>
      </c>
      <c r="BM68" s="1120" t="s">
        <v>3105</v>
      </c>
      <c r="BN68" s="1120" t="s">
        <v>291</v>
      </c>
      <c r="BO68" s="1121"/>
      <c r="BP68" s="1147">
        <v>1</v>
      </c>
      <c r="BQ68" s="1243" t="s">
        <v>3106</v>
      </c>
      <c r="BR68" s="1232" t="s">
        <v>3213</v>
      </c>
      <c r="BS68" s="1124" t="s">
        <v>291</v>
      </c>
      <c r="BT68" s="1120"/>
    </row>
    <row r="69" spans="1:72" s="1268" customFormat="1" ht="148.5" customHeight="1">
      <c r="A69" s="1054">
        <f>A68+1</f>
        <v>26</v>
      </c>
      <c r="B69" s="1169" t="s">
        <v>3214</v>
      </c>
      <c r="C69" s="1055" t="s">
        <v>3197</v>
      </c>
      <c r="D69" s="1131" t="s">
        <v>3087</v>
      </c>
      <c r="E69" s="1131" t="s">
        <v>44</v>
      </c>
      <c r="F69" s="1056">
        <f t="shared" si="28"/>
        <v>1.6</v>
      </c>
      <c r="G69" s="1057">
        <v>1.28</v>
      </c>
      <c r="H69" s="1056">
        <f t="shared" ref="H69:H93" si="33">SUM(J69:BF69)</f>
        <v>0.32</v>
      </c>
      <c r="I69" s="1056">
        <v>2030</v>
      </c>
      <c r="J69" s="1056">
        <v>0.03</v>
      </c>
      <c r="K69" s="1057">
        <v>0.01</v>
      </c>
      <c r="L69" s="1057"/>
      <c r="M69" s="1056">
        <v>0.03</v>
      </c>
      <c r="N69" s="1056">
        <v>0.05</v>
      </c>
      <c r="O69" s="1057"/>
      <c r="P69" s="1057"/>
      <c r="Q69" s="1057"/>
      <c r="R69" s="1057"/>
      <c r="S69" s="1057">
        <v>0.11</v>
      </c>
      <c r="T69" s="1057"/>
      <c r="U69" s="1057"/>
      <c r="V69" s="1057"/>
      <c r="W69" s="1057"/>
      <c r="X69" s="1057"/>
      <c r="Y69" s="1057"/>
      <c r="Z69" s="1057"/>
      <c r="AA69" s="1057"/>
      <c r="AB69" s="1057"/>
      <c r="AC69" s="1057"/>
      <c r="AD69" s="1057"/>
      <c r="AE69" s="1057"/>
      <c r="AF69" s="1057">
        <v>0.03</v>
      </c>
      <c r="AG69" s="1057"/>
      <c r="AH69" s="1057"/>
      <c r="AI69" s="1057"/>
      <c r="AJ69" s="1057"/>
      <c r="AK69" s="1057"/>
      <c r="AL69" s="1057"/>
      <c r="AM69" s="1057"/>
      <c r="AN69" s="1057"/>
      <c r="AO69" s="1057"/>
      <c r="AP69" s="1057"/>
      <c r="AQ69" s="1057"/>
      <c r="AR69" s="1057"/>
      <c r="AS69" s="1057"/>
      <c r="AT69" s="1057"/>
      <c r="AU69" s="1057"/>
      <c r="AV69" s="1057"/>
      <c r="AW69" s="1057"/>
      <c r="AX69" s="1057">
        <v>0.02</v>
      </c>
      <c r="AY69" s="1057"/>
      <c r="AZ69" s="1057"/>
      <c r="BA69" s="1057"/>
      <c r="BB69" s="1057"/>
      <c r="BC69" s="1057"/>
      <c r="BD69" s="1057"/>
      <c r="BE69" s="1057"/>
      <c r="BF69" s="1057">
        <v>0.04</v>
      </c>
      <c r="BG69" s="1057"/>
      <c r="BH69" s="1057"/>
      <c r="BI69" s="1055" t="s">
        <v>3207</v>
      </c>
      <c r="BJ69" s="1273"/>
      <c r="BK69" s="1131" t="s">
        <v>3215</v>
      </c>
      <c r="BL69" s="1131" t="s">
        <v>1923</v>
      </c>
      <c r="BM69" s="1131" t="s">
        <v>3091</v>
      </c>
      <c r="BN69" s="1131" t="s">
        <v>291</v>
      </c>
      <c r="BO69" s="1147"/>
      <c r="BP69" s="1147">
        <v>1</v>
      </c>
      <c r="BQ69" s="1274" t="s">
        <v>3106</v>
      </c>
      <c r="BR69" s="1275" t="s">
        <v>3216</v>
      </c>
      <c r="BS69" s="1150" t="s">
        <v>291</v>
      </c>
      <c r="BT69" s="1146"/>
    </row>
    <row r="70" spans="1:72" s="1268" customFormat="1" ht="106.5" customHeight="1">
      <c r="A70" s="1054">
        <f t="shared" ref="A70:A78" si="34">A69+1</f>
        <v>27</v>
      </c>
      <c r="B70" s="1144" t="s">
        <v>3217</v>
      </c>
      <c r="C70" s="1131" t="s">
        <v>3011</v>
      </c>
      <c r="D70" s="1131" t="s">
        <v>3087</v>
      </c>
      <c r="E70" s="1146" t="s">
        <v>44</v>
      </c>
      <c r="F70" s="1056">
        <f t="shared" si="0"/>
        <v>9.9999999999999978E-2</v>
      </c>
      <c r="G70" s="1057"/>
      <c r="H70" s="1056">
        <f t="shared" si="33"/>
        <v>9.9999999999999978E-2</v>
      </c>
      <c r="I70" s="1056">
        <v>2030</v>
      </c>
      <c r="J70" s="1056"/>
      <c r="K70" s="1056"/>
      <c r="L70" s="1056"/>
      <c r="M70" s="1056"/>
      <c r="N70" s="1056"/>
      <c r="O70" s="1057"/>
      <c r="P70" s="1057"/>
      <c r="Q70" s="1057"/>
      <c r="R70" s="1057"/>
      <c r="S70" s="1056">
        <f>0.3-0.2</f>
        <v>9.9999999999999978E-2</v>
      </c>
      <c r="T70" s="1057"/>
      <c r="U70" s="1057"/>
      <c r="V70" s="1057"/>
      <c r="W70" s="1057"/>
      <c r="X70" s="1057"/>
      <c r="Y70" s="1057"/>
      <c r="Z70" s="1057"/>
      <c r="AA70" s="1057"/>
      <c r="AB70" s="1057"/>
      <c r="AC70" s="1057"/>
      <c r="AD70" s="1057"/>
      <c r="AE70" s="1057"/>
      <c r="AF70" s="1057"/>
      <c r="AG70" s="1057"/>
      <c r="AH70" s="1057"/>
      <c r="AI70" s="1057"/>
      <c r="AJ70" s="1057"/>
      <c r="AK70" s="1057"/>
      <c r="AL70" s="1057"/>
      <c r="AM70" s="1057"/>
      <c r="AN70" s="1057"/>
      <c r="AO70" s="1057"/>
      <c r="AP70" s="1057"/>
      <c r="AQ70" s="1057"/>
      <c r="AR70" s="1057"/>
      <c r="AS70" s="1057"/>
      <c r="AT70" s="1057"/>
      <c r="AU70" s="1057"/>
      <c r="AV70" s="1057"/>
      <c r="AW70" s="1057"/>
      <c r="AX70" s="1057"/>
      <c r="AY70" s="1057"/>
      <c r="AZ70" s="1057"/>
      <c r="BA70" s="1057"/>
      <c r="BB70" s="1057"/>
      <c r="BC70" s="1057"/>
      <c r="BD70" s="1057"/>
      <c r="BE70" s="1057"/>
      <c r="BF70" s="1057"/>
      <c r="BG70" s="1057"/>
      <c r="BH70" s="1057"/>
      <c r="BI70" s="1131" t="s">
        <v>3218</v>
      </c>
      <c r="BJ70" s="1131"/>
      <c r="BK70" s="1131" t="s">
        <v>3208</v>
      </c>
      <c r="BL70" s="1131" t="s">
        <v>1917</v>
      </c>
      <c r="BM70" s="1131" t="s">
        <v>3105</v>
      </c>
      <c r="BN70" s="1131" t="s">
        <v>291</v>
      </c>
      <c r="BO70" s="1147"/>
      <c r="BP70" s="1147">
        <v>1</v>
      </c>
      <c r="BQ70" s="1276"/>
      <c r="BR70" s="1276"/>
      <c r="BS70" s="1147"/>
      <c r="BT70" s="1131" t="s">
        <v>3205</v>
      </c>
    </row>
    <row r="71" spans="1:72" s="1268" customFormat="1" ht="77.099999999999994" customHeight="1">
      <c r="A71" s="1054">
        <f t="shared" si="34"/>
        <v>28</v>
      </c>
      <c r="B71" s="1169" t="s">
        <v>3219</v>
      </c>
      <c r="C71" s="1055" t="s">
        <v>3113</v>
      </c>
      <c r="D71" s="1131" t="s">
        <v>3087</v>
      </c>
      <c r="E71" s="1131" t="s">
        <v>44</v>
      </c>
      <c r="F71" s="1056">
        <f>G71+H71</f>
        <v>0.55000000000000004</v>
      </c>
      <c r="G71" s="1057">
        <v>0.3</v>
      </c>
      <c r="H71" s="1056">
        <f t="shared" si="33"/>
        <v>0.25</v>
      </c>
      <c r="I71" s="1056">
        <v>2030</v>
      </c>
      <c r="J71" s="1056">
        <v>0.03</v>
      </c>
      <c r="K71" s="1057"/>
      <c r="L71" s="1057"/>
      <c r="M71" s="1056">
        <v>7.0000000000000007E-2</v>
      </c>
      <c r="N71" s="1056">
        <v>0.1</v>
      </c>
      <c r="O71" s="1057"/>
      <c r="P71" s="1057"/>
      <c r="Q71" s="1057"/>
      <c r="R71" s="1057"/>
      <c r="S71" s="1057">
        <v>0.05</v>
      </c>
      <c r="T71" s="1057"/>
      <c r="U71" s="1057"/>
      <c r="V71" s="1057"/>
      <c r="W71" s="1057"/>
      <c r="X71" s="1057"/>
      <c r="Y71" s="1057"/>
      <c r="Z71" s="1057"/>
      <c r="AA71" s="1057"/>
      <c r="AB71" s="1057"/>
      <c r="AC71" s="1057"/>
      <c r="AD71" s="1057"/>
      <c r="AE71" s="1057"/>
      <c r="AF71" s="1057"/>
      <c r="AG71" s="1057"/>
      <c r="AH71" s="1057"/>
      <c r="AI71" s="1057"/>
      <c r="AJ71" s="1057"/>
      <c r="AK71" s="1057"/>
      <c r="AL71" s="1057"/>
      <c r="AM71" s="1057"/>
      <c r="AN71" s="1057"/>
      <c r="AO71" s="1057"/>
      <c r="AP71" s="1057"/>
      <c r="AQ71" s="1057"/>
      <c r="AR71" s="1057"/>
      <c r="AS71" s="1057"/>
      <c r="AT71" s="1057"/>
      <c r="AU71" s="1057"/>
      <c r="AV71" s="1057"/>
      <c r="AW71" s="1057"/>
      <c r="AX71" s="1057"/>
      <c r="AY71" s="1057"/>
      <c r="AZ71" s="1057"/>
      <c r="BA71" s="1057"/>
      <c r="BB71" s="1057"/>
      <c r="BC71" s="1057"/>
      <c r="BD71" s="1057"/>
      <c r="BE71" s="1057"/>
      <c r="BF71" s="1057"/>
      <c r="BG71" s="1057"/>
      <c r="BH71" s="1057"/>
      <c r="BI71" s="1055" t="s">
        <v>3220</v>
      </c>
      <c r="BJ71" s="1273"/>
      <c r="BK71" s="1277" t="s">
        <v>3221</v>
      </c>
      <c r="BL71" s="1131" t="s">
        <v>1917</v>
      </c>
      <c r="BM71" s="1131" t="s">
        <v>3105</v>
      </c>
      <c r="BN71" s="1131" t="s">
        <v>291</v>
      </c>
      <c r="BO71" s="1147"/>
      <c r="BP71" s="1147">
        <v>1</v>
      </c>
      <c r="BQ71" s="1274" t="s">
        <v>3106</v>
      </c>
      <c r="BR71" s="1275" t="s">
        <v>3222</v>
      </c>
      <c r="BS71" s="1150" t="s">
        <v>291</v>
      </c>
      <c r="BT71" s="1146"/>
    </row>
    <row r="72" spans="1:72" s="1280" customFormat="1" ht="68.45" customHeight="1">
      <c r="A72" s="1054">
        <f t="shared" si="34"/>
        <v>29</v>
      </c>
      <c r="B72" s="1058" t="s">
        <v>3223</v>
      </c>
      <c r="C72" s="1278" t="s">
        <v>3018</v>
      </c>
      <c r="D72" s="1131" t="s">
        <v>3087</v>
      </c>
      <c r="E72" s="1278" t="s">
        <v>44</v>
      </c>
      <c r="F72" s="1056">
        <f t="shared" si="0"/>
        <v>2.11</v>
      </c>
      <c r="G72" s="1056">
        <v>1.76</v>
      </c>
      <c r="H72" s="1056">
        <f t="shared" si="33"/>
        <v>0.35000000000000003</v>
      </c>
      <c r="I72" s="1056">
        <v>2030</v>
      </c>
      <c r="J72" s="1056">
        <v>7.0000000000000007E-2</v>
      </c>
      <c r="K72" s="1056">
        <v>0.03</v>
      </c>
      <c r="L72" s="1056"/>
      <c r="M72" s="1056">
        <v>0.05</v>
      </c>
      <c r="N72" s="1056"/>
      <c r="O72" s="1056"/>
      <c r="P72" s="1056"/>
      <c r="Q72" s="1056"/>
      <c r="R72" s="1056"/>
      <c r="S72" s="1056">
        <v>0.2</v>
      </c>
      <c r="T72" s="1056"/>
      <c r="U72" s="1056"/>
      <c r="V72" s="1056"/>
      <c r="W72" s="1056"/>
      <c r="X72" s="1056"/>
      <c r="Y72" s="1056"/>
      <c r="Z72" s="1056"/>
      <c r="AA72" s="1056"/>
      <c r="AB72" s="1056"/>
      <c r="AC72" s="1056"/>
      <c r="AD72" s="1056"/>
      <c r="AE72" s="1056"/>
      <c r="AF72" s="1056"/>
      <c r="AG72" s="1056"/>
      <c r="AH72" s="1056"/>
      <c r="AI72" s="1056"/>
      <c r="AJ72" s="1056"/>
      <c r="AK72" s="1056"/>
      <c r="AL72" s="1056"/>
      <c r="AM72" s="1056"/>
      <c r="AN72" s="1056"/>
      <c r="AO72" s="1056"/>
      <c r="AP72" s="1056"/>
      <c r="AQ72" s="1056"/>
      <c r="AR72" s="1056"/>
      <c r="AS72" s="1056"/>
      <c r="AT72" s="1056"/>
      <c r="AU72" s="1056"/>
      <c r="AV72" s="1056"/>
      <c r="AW72" s="1056"/>
      <c r="AX72" s="1056"/>
      <c r="AY72" s="1056"/>
      <c r="AZ72" s="1056"/>
      <c r="BA72" s="1056"/>
      <c r="BB72" s="1056"/>
      <c r="BC72" s="1056"/>
      <c r="BD72" s="1056"/>
      <c r="BE72" s="1056"/>
      <c r="BF72" s="1056"/>
      <c r="BG72" s="1056"/>
      <c r="BH72" s="1056"/>
      <c r="BI72" s="1278" t="s">
        <v>3224</v>
      </c>
      <c r="BJ72" s="1131" t="s">
        <v>3225</v>
      </c>
      <c r="BK72" s="1131" t="s">
        <v>3226</v>
      </c>
      <c r="BL72" s="1131" t="s">
        <v>1917</v>
      </c>
      <c r="BM72" s="1131" t="s">
        <v>3227</v>
      </c>
      <c r="BN72" s="1131" t="s">
        <v>291</v>
      </c>
      <c r="BO72" s="1147"/>
      <c r="BP72" s="1147">
        <v>1</v>
      </c>
      <c r="BQ72" s="1276" t="s">
        <v>3228</v>
      </c>
      <c r="BR72" s="1276"/>
      <c r="BS72" s="1150" t="s">
        <v>3184</v>
      </c>
      <c r="BT72" s="1279" t="s">
        <v>3229</v>
      </c>
    </row>
    <row r="73" spans="1:72" s="1276" customFormat="1" ht="87" customHeight="1">
      <c r="A73" s="1054">
        <f t="shared" si="34"/>
        <v>30</v>
      </c>
      <c r="B73" s="1281" t="s">
        <v>3230</v>
      </c>
      <c r="C73" s="1282" t="s">
        <v>3020</v>
      </c>
      <c r="D73" s="1131" t="s">
        <v>3087</v>
      </c>
      <c r="E73" s="1278" t="s">
        <v>44</v>
      </c>
      <c r="F73" s="1056">
        <f t="shared" si="0"/>
        <v>2.95</v>
      </c>
      <c r="G73" s="1056">
        <v>2.75</v>
      </c>
      <c r="H73" s="1056">
        <f t="shared" si="33"/>
        <v>0.2</v>
      </c>
      <c r="I73" s="1056">
        <v>2030</v>
      </c>
      <c r="J73" s="1056"/>
      <c r="K73" s="1056"/>
      <c r="L73" s="1056"/>
      <c r="M73" s="1056">
        <v>0.03</v>
      </c>
      <c r="N73" s="1056">
        <f>0.12-0.08</f>
        <v>3.9999999999999994E-2</v>
      </c>
      <c r="O73" s="1056"/>
      <c r="P73" s="1056"/>
      <c r="Q73" s="1056"/>
      <c r="R73" s="1056"/>
      <c r="S73" s="1056">
        <v>0.13</v>
      </c>
      <c r="T73" s="1056"/>
      <c r="U73" s="1056"/>
      <c r="V73" s="1056"/>
      <c r="W73" s="1056"/>
      <c r="X73" s="1056"/>
      <c r="Y73" s="1056"/>
      <c r="Z73" s="1056"/>
      <c r="AA73" s="1056"/>
      <c r="AB73" s="1056"/>
      <c r="AC73" s="1056"/>
      <c r="AD73" s="1056"/>
      <c r="AE73" s="1056"/>
      <c r="AF73" s="1056"/>
      <c r="AG73" s="1056"/>
      <c r="AH73" s="1056"/>
      <c r="AI73" s="1056"/>
      <c r="AJ73" s="1056"/>
      <c r="AK73" s="1056"/>
      <c r="AL73" s="1056"/>
      <c r="AM73" s="1056"/>
      <c r="AN73" s="1056"/>
      <c r="AO73" s="1056"/>
      <c r="AP73" s="1056"/>
      <c r="AQ73" s="1056"/>
      <c r="AR73" s="1056"/>
      <c r="AS73" s="1056"/>
      <c r="AT73" s="1056"/>
      <c r="AU73" s="1056"/>
      <c r="AV73" s="1056"/>
      <c r="AW73" s="1056"/>
      <c r="AX73" s="1056"/>
      <c r="AY73" s="1056"/>
      <c r="AZ73" s="1056"/>
      <c r="BA73" s="1056"/>
      <c r="BB73" s="1056"/>
      <c r="BC73" s="1056"/>
      <c r="BD73" s="1056"/>
      <c r="BE73" s="1056"/>
      <c r="BF73" s="1056"/>
      <c r="BG73" s="1056"/>
      <c r="BH73" s="1056"/>
      <c r="BI73" s="1282" t="s">
        <v>3231</v>
      </c>
      <c r="BJ73" s="1283" t="s">
        <v>3232</v>
      </c>
      <c r="BK73" s="1131" t="s">
        <v>3233</v>
      </c>
      <c r="BL73" s="1131" t="s">
        <v>1917</v>
      </c>
      <c r="BM73" s="1131" t="s">
        <v>3105</v>
      </c>
      <c r="BN73" s="1131" t="s">
        <v>291</v>
      </c>
      <c r="BP73" s="1147">
        <v>1</v>
      </c>
      <c r="BQ73" s="1274" t="s">
        <v>3234</v>
      </c>
      <c r="BR73" s="1284" t="s">
        <v>3235</v>
      </c>
      <c r="BS73" s="1285" t="s">
        <v>291</v>
      </c>
      <c r="BT73" s="1284"/>
    </row>
    <row r="74" spans="1:72" s="1287" customFormat="1" ht="96.95" customHeight="1">
      <c r="A74" s="1054">
        <f t="shared" si="34"/>
        <v>31</v>
      </c>
      <c r="B74" s="1279" t="s">
        <v>3236</v>
      </c>
      <c r="C74" s="1282" t="s">
        <v>3020</v>
      </c>
      <c r="D74" s="1131" t="s">
        <v>3087</v>
      </c>
      <c r="E74" s="1146" t="s">
        <v>44</v>
      </c>
      <c r="F74" s="1056">
        <f t="shared" si="0"/>
        <v>2.94</v>
      </c>
      <c r="G74" s="1059">
        <v>2.46</v>
      </c>
      <c r="H74" s="1056">
        <f t="shared" si="33"/>
        <v>0.48000000000000004</v>
      </c>
      <c r="I74" s="1056">
        <v>2030</v>
      </c>
      <c r="J74" s="1056">
        <v>0.04</v>
      </c>
      <c r="K74" s="1056"/>
      <c r="L74" s="1056"/>
      <c r="M74" s="1056">
        <f>0.2-0.1</f>
        <v>0.1</v>
      </c>
      <c r="N74" s="1056"/>
      <c r="O74" s="1056"/>
      <c r="P74" s="1056"/>
      <c r="Q74" s="1056"/>
      <c r="R74" s="1056"/>
      <c r="S74" s="1056">
        <f>0.5-0.2</f>
        <v>0.3</v>
      </c>
      <c r="T74" s="1056"/>
      <c r="U74" s="1057"/>
      <c r="V74" s="1057"/>
      <c r="W74" s="1057"/>
      <c r="X74" s="1057"/>
      <c r="Y74" s="1057"/>
      <c r="Z74" s="1057"/>
      <c r="AA74" s="1057"/>
      <c r="AB74" s="1057"/>
      <c r="AC74" s="1057"/>
      <c r="AD74" s="1057"/>
      <c r="AE74" s="1057"/>
      <c r="AF74" s="1056">
        <v>0.02</v>
      </c>
      <c r="AG74" s="1057"/>
      <c r="AH74" s="1057"/>
      <c r="AI74" s="1057"/>
      <c r="AJ74" s="1057"/>
      <c r="AK74" s="1057"/>
      <c r="AL74" s="1057"/>
      <c r="AM74" s="1057"/>
      <c r="AN74" s="1057"/>
      <c r="AO74" s="1057"/>
      <c r="AP74" s="1057"/>
      <c r="AQ74" s="1056"/>
      <c r="AR74" s="1056"/>
      <c r="AS74" s="1056"/>
      <c r="AT74" s="1057"/>
      <c r="AU74" s="1057"/>
      <c r="AV74" s="1057"/>
      <c r="AW74" s="1057"/>
      <c r="AX74" s="1056">
        <v>0.02</v>
      </c>
      <c r="AY74" s="1057"/>
      <c r="AZ74" s="1057"/>
      <c r="BA74" s="1057"/>
      <c r="BB74" s="1057"/>
      <c r="BC74" s="1057"/>
      <c r="BD74" s="1057"/>
      <c r="BE74" s="1057"/>
      <c r="BF74" s="1057"/>
      <c r="BG74" s="1057"/>
      <c r="BH74" s="1057"/>
      <c r="BI74" s="1282" t="s">
        <v>3237</v>
      </c>
      <c r="BJ74" s="1131"/>
      <c r="BK74" s="1131" t="s">
        <v>3238</v>
      </c>
      <c r="BL74" s="1131" t="s">
        <v>1917</v>
      </c>
      <c r="BM74" s="1131" t="s">
        <v>3105</v>
      </c>
      <c r="BN74" s="1131" t="s">
        <v>291</v>
      </c>
      <c r="BO74" s="1276"/>
      <c r="BP74" s="1147">
        <v>1</v>
      </c>
      <c r="BQ74" s="1274" t="s">
        <v>3234</v>
      </c>
      <c r="BR74" s="1284" t="s">
        <v>3239</v>
      </c>
      <c r="BS74" s="1285" t="s">
        <v>291</v>
      </c>
      <c r="BT74" s="1286"/>
    </row>
    <row r="75" spans="1:72" s="1287" customFormat="1" ht="156.75" customHeight="1">
      <c r="A75" s="1054">
        <f t="shared" si="34"/>
        <v>32</v>
      </c>
      <c r="B75" s="1144" t="s">
        <v>3240</v>
      </c>
      <c r="C75" s="1055" t="s">
        <v>3020</v>
      </c>
      <c r="D75" s="1131" t="s">
        <v>3087</v>
      </c>
      <c r="E75" s="1131" t="s">
        <v>44</v>
      </c>
      <c r="F75" s="1056">
        <f t="shared" si="0"/>
        <v>0.70000000000000007</v>
      </c>
      <c r="G75" s="1057">
        <v>0.17</v>
      </c>
      <c r="H75" s="1056">
        <f t="shared" si="33"/>
        <v>0.53</v>
      </c>
      <c r="I75" s="1056">
        <v>2030</v>
      </c>
      <c r="J75" s="1056">
        <v>0.01</v>
      </c>
      <c r="K75" s="1057">
        <v>0.09</v>
      </c>
      <c r="L75" s="1057"/>
      <c r="M75" s="1056">
        <v>0.12</v>
      </c>
      <c r="N75" s="1056">
        <v>0.1</v>
      </c>
      <c r="O75" s="1057"/>
      <c r="P75" s="1057"/>
      <c r="Q75" s="1057"/>
      <c r="R75" s="1057"/>
      <c r="S75" s="1057">
        <f>0.33-0.2</f>
        <v>0.13</v>
      </c>
      <c r="T75" s="1057"/>
      <c r="U75" s="1057"/>
      <c r="V75" s="1057"/>
      <c r="W75" s="1057"/>
      <c r="X75" s="1057"/>
      <c r="Y75" s="1057"/>
      <c r="Z75" s="1057"/>
      <c r="AA75" s="1057"/>
      <c r="AB75" s="1057"/>
      <c r="AC75" s="1057"/>
      <c r="AD75" s="1057"/>
      <c r="AE75" s="1057"/>
      <c r="AF75" s="1057">
        <f>0.2-0.15</f>
        <v>5.0000000000000017E-2</v>
      </c>
      <c r="AG75" s="1057"/>
      <c r="AH75" s="1057"/>
      <c r="AI75" s="1057"/>
      <c r="AJ75" s="1057"/>
      <c r="AK75" s="1057"/>
      <c r="AL75" s="1057"/>
      <c r="AM75" s="1057"/>
      <c r="AN75" s="1057"/>
      <c r="AO75" s="1057"/>
      <c r="AP75" s="1057"/>
      <c r="AQ75" s="1057"/>
      <c r="AR75" s="1057"/>
      <c r="AS75" s="1057"/>
      <c r="AT75" s="1057"/>
      <c r="AU75" s="1057"/>
      <c r="AV75" s="1057"/>
      <c r="AW75" s="1057"/>
      <c r="AX75" s="1057">
        <v>0.03</v>
      </c>
      <c r="AY75" s="1057"/>
      <c r="AZ75" s="1057"/>
      <c r="BA75" s="1057"/>
      <c r="BB75" s="1057"/>
      <c r="BC75" s="1057"/>
      <c r="BD75" s="1057"/>
      <c r="BE75" s="1057"/>
      <c r="BF75" s="1057"/>
      <c r="BG75" s="1057"/>
      <c r="BH75" s="1057"/>
      <c r="BI75" s="1055" t="s">
        <v>3241</v>
      </c>
      <c r="BJ75" s="1273"/>
      <c r="BK75" s="1131" t="s">
        <v>3242</v>
      </c>
      <c r="BL75" s="1131" t="s">
        <v>1923</v>
      </c>
      <c r="BM75" s="1131" t="s">
        <v>3091</v>
      </c>
      <c r="BN75" s="1131" t="s">
        <v>291</v>
      </c>
      <c r="BO75" s="1276"/>
      <c r="BP75" s="1147">
        <v>1</v>
      </c>
      <c r="BQ75" s="1274" t="s">
        <v>3106</v>
      </c>
      <c r="BR75" s="1275" t="s">
        <v>3243</v>
      </c>
      <c r="BS75" s="1285" t="s">
        <v>291</v>
      </c>
      <c r="BT75" s="1286"/>
    </row>
    <row r="76" spans="1:72" s="1268" customFormat="1" ht="92.25" customHeight="1">
      <c r="A76" s="1054">
        <f t="shared" si="34"/>
        <v>33</v>
      </c>
      <c r="B76" s="1169" t="s">
        <v>3244</v>
      </c>
      <c r="C76" s="1055" t="s">
        <v>3028</v>
      </c>
      <c r="D76" s="1131" t="s">
        <v>3087</v>
      </c>
      <c r="E76" s="1131" t="s">
        <v>44</v>
      </c>
      <c r="F76" s="1056">
        <f>G76+H76</f>
        <v>1.25</v>
      </c>
      <c r="G76" s="1057">
        <v>1.05</v>
      </c>
      <c r="H76" s="1056">
        <f>SUM(J76:BF76)</f>
        <v>0.2</v>
      </c>
      <c r="I76" s="1056">
        <v>2030</v>
      </c>
      <c r="J76" s="1056"/>
      <c r="K76" s="1057"/>
      <c r="L76" s="1057"/>
      <c r="M76" s="1056"/>
      <c r="N76" s="1056"/>
      <c r="O76" s="1057"/>
      <c r="P76" s="1057"/>
      <c r="Q76" s="1057"/>
      <c r="R76" s="1057"/>
      <c r="S76" s="1057">
        <f>0.4-0.2</f>
        <v>0.2</v>
      </c>
      <c r="T76" s="1057"/>
      <c r="U76" s="1057"/>
      <c r="V76" s="1057"/>
      <c r="W76" s="1057"/>
      <c r="X76" s="1057"/>
      <c r="Y76" s="1057"/>
      <c r="Z76" s="1057"/>
      <c r="AA76" s="1057"/>
      <c r="AB76" s="1057"/>
      <c r="AC76" s="1057"/>
      <c r="AD76" s="1057"/>
      <c r="AE76" s="1057"/>
      <c r="AF76" s="1057"/>
      <c r="AG76" s="1057"/>
      <c r="AH76" s="1057"/>
      <c r="AI76" s="1057"/>
      <c r="AJ76" s="1057"/>
      <c r="AK76" s="1057"/>
      <c r="AL76" s="1057"/>
      <c r="AM76" s="1057"/>
      <c r="AN76" s="1057"/>
      <c r="AO76" s="1057"/>
      <c r="AP76" s="1057"/>
      <c r="AQ76" s="1057"/>
      <c r="AR76" s="1057"/>
      <c r="AS76" s="1057"/>
      <c r="AT76" s="1057"/>
      <c r="AU76" s="1057"/>
      <c r="AV76" s="1057"/>
      <c r="AW76" s="1057"/>
      <c r="AX76" s="1057"/>
      <c r="AY76" s="1057"/>
      <c r="AZ76" s="1057"/>
      <c r="BA76" s="1057"/>
      <c r="BB76" s="1057"/>
      <c r="BC76" s="1057"/>
      <c r="BD76" s="1057"/>
      <c r="BE76" s="1057"/>
      <c r="BF76" s="1057"/>
      <c r="BG76" s="1057"/>
      <c r="BH76" s="1057"/>
      <c r="BI76" s="1055" t="s">
        <v>3245</v>
      </c>
      <c r="BJ76" s="1273"/>
      <c r="BK76" s="1131" t="s">
        <v>3212</v>
      </c>
      <c r="BL76" s="1131" t="s">
        <v>1917</v>
      </c>
      <c r="BM76" s="1131" t="s">
        <v>3153</v>
      </c>
      <c r="BN76" s="1131" t="s">
        <v>291</v>
      </c>
      <c r="BO76" s="1147"/>
      <c r="BP76" s="1147">
        <v>1</v>
      </c>
      <c r="BQ76" s="1274" t="s">
        <v>3106</v>
      </c>
      <c r="BR76" s="1284" t="s">
        <v>3246</v>
      </c>
      <c r="BS76" s="1150" t="s">
        <v>291</v>
      </c>
      <c r="BT76" s="1146"/>
    </row>
    <row r="77" spans="1:72" s="1287" customFormat="1" ht="107.25" customHeight="1">
      <c r="A77" s="1054">
        <f t="shared" si="34"/>
        <v>34</v>
      </c>
      <c r="B77" s="1169" t="s">
        <v>3247</v>
      </c>
      <c r="C77" s="1055" t="s">
        <v>3014</v>
      </c>
      <c r="D77" s="1131" t="s">
        <v>3087</v>
      </c>
      <c r="E77" s="1131" t="s">
        <v>44</v>
      </c>
      <c r="F77" s="1056">
        <f>G77+H77</f>
        <v>5.25</v>
      </c>
      <c r="G77" s="1057">
        <v>4.8</v>
      </c>
      <c r="H77" s="1056">
        <f>SUM(J77:BF77)</f>
        <v>0.45000000000000007</v>
      </c>
      <c r="I77" s="1056">
        <v>2030</v>
      </c>
      <c r="J77" s="1056"/>
      <c r="K77" s="1057"/>
      <c r="L77" s="1057"/>
      <c r="M77" s="1056">
        <v>0.08</v>
      </c>
      <c r="N77" s="1056">
        <v>0.13</v>
      </c>
      <c r="O77" s="1057"/>
      <c r="P77" s="1057"/>
      <c r="Q77" s="1057"/>
      <c r="R77" s="1057"/>
      <c r="S77" s="1057">
        <v>0.09</v>
      </c>
      <c r="T77" s="1057"/>
      <c r="U77" s="1057"/>
      <c r="V77" s="1057"/>
      <c r="W77" s="1057"/>
      <c r="X77" s="1057"/>
      <c r="Y77" s="1057"/>
      <c r="Z77" s="1057"/>
      <c r="AA77" s="1057"/>
      <c r="AB77" s="1057"/>
      <c r="AC77" s="1057"/>
      <c r="AD77" s="1057"/>
      <c r="AE77" s="1057"/>
      <c r="AF77" s="1057"/>
      <c r="AG77" s="1057"/>
      <c r="AH77" s="1057"/>
      <c r="AI77" s="1057"/>
      <c r="AJ77" s="1057"/>
      <c r="AK77" s="1057"/>
      <c r="AL77" s="1057"/>
      <c r="AM77" s="1057"/>
      <c r="AN77" s="1057"/>
      <c r="AO77" s="1057"/>
      <c r="AP77" s="1057"/>
      <c r="AQ77" s="1057"/>
      <c r="AR77" s="1057"/>
      <c r="AS77" s="1057"/>
      <c r="AT77" s="1057"/>
      <c r="AU77" s="1057"/>
      <c r="AV77" s="1057"/>
      <c r="AW77" s="1057"/>
      <c r="AX77" s="1057"/>
      <c r="AY77" s="1057"/>
      <c r="AZ77" s="1057"/>
      <c r="BA77" s="1057"/>
      <c r="BB77" s="1057"/>
      <c r="BC77" s="1057"/>
      <c r="BD77" s="1057"/>
      <c r="BE77" s="1057"/>
      <c r="BF77" s="1057">
        <f>0.15</f>
        <v>0.15</v>
      </c>
      <c r="BG77" s="1057"/>
      <c r="BH77" s="1057"/>
      <c r="BI77" s="1055" t="s">
        <v>3248</v>
      </c>
      <c r="BJ77" s="1273"/>
      <c r="BK77" s="1131" t="s">
        <v>3212</v>
      </c>
      <c r="BL77" s="1131" t="s">
        <v>1917</v>
      </c>
      <c r="BM77" s="1131" t="s">
        <v>3105</v>
      </c>
      <c r="BN77" s="1131" t="s">
        <v>291</v>
      </c>
      <c r="BO77" s="1276"/>
      <c r="BP77" s="1147">
        <v>1</v>
      </c>
      <c r="BQ77" s="1274" t="s">
        <v>3106</v>
      </c>
      <c r="BR77" s="1284" t="s">
        <v>3249</v>
      </c>
      <c r="BS77" s="1285"/>
      <c r="BT77" s="1286"/>
    </row>
    <row r="78" spans="1:72" s="1268" customFormat="1" ht="99" customHeight="1">
      <c r="A78" s="1054">
        <f t="shared" si="34"/>
        <v>35</v>
      </c>
      <c r="B78" s="1169" t="s">
        <v>3250</v>
      </c>
      <c r="C78" s="1055" t="s">
        <v>3026</v>
      </c>
      <c r="D78" s="1131" t="s">
        <v>3087</v>
      </c>
      <c r="E78" s="1146" t="s">
        <v>44</v>
      </c>
      <c r="F78" s="1056">
        <f>G78+H78</f>
        <v>0.2</v>
      </c>
      <c r="G78" s="1056"/>
      <c r="H78" s="1056">
        <f>SUM(J78:BF78)</f>
        <v>0.2</v>
      </c>
      <c r="I78" s="1056">
        <v>2030</v>
      </c>
      <c r="J78" s="1288"/>
      <c r="K78" s="1288"/>
      <c r="L78" s="1288"/>
      <c r="M78" s="1288"/>
      <c r="N78" s="1288"/>
      <c r="O78" s="1057"/>
      <c r="P78" s="1057"/>
      <c r="Q78" s="1057"/>
      <c r="R78" s="1057"/>
      <c r="S78" s="1057">
        <f>0.4-0.2</f>
        <v>0.2</v>
      </c>
      <c r="T78" s="1057"/>
      <c r="U78" s="1057"/>
      <c r="V78" s="1057"/>
      <c r="W78" s="1057"/>
      <c r="X78" s="1057"/>
      <c r="Y78" s="1057"/>
      <c r="Z78" s="1057"/>
      <c r="AA78" s="1057"/>
      <c r="AB78" s="1057"/>
      <c r="AC78" s="1057"/>
      <c r="AD78" s="1057"/>
      <c r="AE78" s="1057"/>
      <c r="AF78" s="1057"/>
      <c r="AG78" s="1057"/>
      <c r="AH78" s="1057"/>
      <c r="AI78" s="1057"/>
      <c r="AJ78" s="1057"/>
      <c r="AK78" s="1057"/>
      <c r="AL78" s="1057"/>
      <c r="AM78" s="1057"/>
      <c r="AN78" s="1057"/>
      <c r="AO78" s="1057"/>
      <c r="AP78" s="1057"/>
      <c r="AQ78" s="1057"/>
      <c r="AR78" s="1057"/>
      <c r="AS78" s="1057"/>
      <c r="AT78" s="1057"/>
      <c r="AU78" s="1057"/>
      <c r="AV78" s="1057"/>
      <c r="AW78" s="1057"/>
      <c r="AX78" s="1057"/>
      <c r="AY78" s="1057"/>
      <c r="AZ78" s="1057"/>
      <c r="BA78" s="1057"/>
      <c r="BB78" s="1057"/>
      <c r="BC78" s="1057"/>
      <c r="BD78" s="1057"/>
      <c r="BE78" s="1057"/>
      <c r="BF78" s="1057"/>
      <c r="BG78" s="1057"/>
      <c r="BH78" s="1057"/>
      <c r="BI78" s="1055" t="s">
        <v>3251</v>
      </c>
      <c r="BJ78" s="1273"/>
      <c r="BK78" s="1131" t="s">
        <v>3238</v>
      </c>
      <c r="BL78" s="1131" t="s">
        <v>1917</v>
      </c>
      <c r="BM78" s="1131" t="s">
        <v>3153</v>
      </c>
      <c r="BN78" s="1131" t="s">
        <v>291</v>
      </c>
      <c r="BO78" s="1147"/>
      <c r="BP78" s="1147">
        <v>1</v>
      </c>
      <c r="BQ78" s="1274" t="s">
        <v>3106</v>
      </c>
      <c r="BR78" s="1284" t="s">
        <v>3246</v>
      </c>
      <c r="BS78" s="1150" t="s">
        <v>291</v>
      </c>
      <c r="BT78" s="1146"/>
    </row>
    <row r="79" spans="1:72" s="1268" customFormat="1" ht="44.25" customHeight="1">
      <c r="A79" s="1054">
        <f>A78+1</f>
        <v>36</v>
      </c>
      <c r="B79" s="1144" t="s">
        <v>3252</v>
      </c>
      <c r="C79" s="1055"/>
      <c r="D79" s="1131"/>
      <c r="E79" s="1131"/>
      <c r="F79" s="1056">
        <f>G79+H79</f>
        <v>12.66</v>
      </c>
      <c r="G79" s="1056">
        <f>SUM(G80:G93)</f>
        <v>8.33</v>
      </c>
      <c r="H79" s="1056">
        <f t="shared" ref="H79" si="35">SUM(J79:BF79)</f>
        <v>4.33</v>
      </c>
      <c r="I79" s="1056">
        <f>SUM(I80:I102)</f>
        <v>42630</v>
      </c>
      <c r="J79" s="1056">
        <f>SUM(J80:J93)</f>
        <v>0</v>
      </c>
      <c r="K79" s="1056">
        <f t="shared" ref="K79:BF79" si="36">SUM(K80:K93)</f>
        <v>0</v>
      </c>
      <c r="L79" s="1056">
        <f t="shared" si="36"/>
        <v>0</v>
      </c>
      <c r="M79" s="1056">
        <f t="shared" si="36"/>
        <v>0</v>
      </c>
      <c r="N79" s="1056">
        <f t="shared" si="36"/>
        <v>0.4</v>
      </c>
      <c r="O79" s="1056">
        <f t="shared" si="36"/>
        <v>0</v>
      </c>
      <c r="P79" s="1056">
        <f t="shared" si="36"/>
        <v>0</v>
      </c>
      <c r="Q79" s="1056">
        <f t="shared" si="36"/>
        <v>0</v>
      </c>
      <c r="R79" s="1056">
        <f t="shared" si="36"/>
        <v>0</v>
      </c>
      <c r="S79" s="1056">
        <f t="shared" si="36"/>
        <v>3.83</v>
      </c>
      <c r="T79" s="1056">
        <f t="shared" si="36"/>
        <v>0</v>
      </c>
      <c r="U79" s="1056">
        <f t="shared" si="36"/>
        <v>0</v>
      </c>
      <c r="V79" s="1056">
        <f t="shared" si="36"/>
        <v>0</v>
      </c>
      <c r="W79" s="1056">
        <f t="shared" si="36"/>
        <v>0</v>
      </c>
      <c r="X79" s="1056">
        <f t="shared" si="36"/>
        <v>0</v>
      </c>
      <c r="Y79" s="1056">
        <f t="shared" si="36"/>
        <v>0</v>
      </c>
      <c r="Z79" s="1056">
        <f t="shared" si="36"/>
        <v>0</v>
      </c>
      <c r="AA79" s="1056">
        <f t="shared" si="36"/>
        <v>0</v>
      </c>
      <c r="AB79" s="1056">
        <f t="shared" si="36"/>
        <v>0</v>
      </c>
      <c r="AC79" s="1056">
        <f t="shared" si="36"/>
        <v>0</v>
      </c>
      <c r="AD79" s="1056">
        <f t="shared" si="36"/>
        <v>0</v>
      </c>
      <c r="AE79" s="1056">
        <f t="shared" si="36"/>
        <v>0</v>
      </c>
      <c r="AF79" s="1056">
        <f t="shared" si="36"/>
        <v>0</v>
      </c>
      <c r="AG79" s="1056">
        <f t="shared" si="36"/>
        <v>0</v>
      </c>
      <c r="AH79" s="1056">
        <f t="shared" si="36"/>
        <v>0</v>
      </c>
      <c r="AI79" s="1056">
        <f t="shared" si="36"/>
        <v>0</v>
      </c>
      <c r="AJ79" s="1056">
        <f t="shared" si="36"/>
        <v>0</v>
      </c>
      <c r="AK79" s="1056">
        <f t="shared" si="36"/>
        <v>0</v>
      </c>
      <c r="AL79" s="1056">
        <f t="shared" si="36"/>
        <v>0</v>
      </c>
      <c r="AM79" s="1056">
        <f t="shared" si="36"/>
        <v>0</v>
      </c>
      <c r="AN79" s="1056">
        <f t="shared" si="36"/>
        <v>0</v>
      </c>
      <c r="AO79" s="1056">
        <f t="shared" si="36"/>
        <v>0</v>
      </c>
      <c r="AP79" s="1056">
        <f t="shared" si="36"/>
        <v>0</v>
      </c>
      <c r="AQ79" s="1056">
        <f t="shared" si="36"/>
        <v>0</v>
      </c>
      <c r="AR79" s="1056">
        <f t="shared" si="36"/>
        <v>0</v>
      </c>
      <c r="AS79" s="1056">
        <f t="shared" si="36"/>
        <v>0</v>
      </c>
      <c r="AT79" s="1056">
        <f t="shared" si="36"/>
        <v>0</v>
      </c>
      <c r="AU79" s="1056">
        <f t="shared" si="36"/>
        <v>0</v>
      </c>
      <c r="AV79" s="1056">
        <f t="shared" si="36"/>
        <v>0</v>
      </c>
      <c r="AW79" s="1056">
        <f t="shared" si="36"/>
        <v>0</v>
      </c>
      <c r="AX79" s="1056">
        <f t="shared" si="36"/>
        <v>0</v>
      </c>
      <c r="AY79" s="1056">
        <f t="shared" si="36"/>
        <v>0</v>
      </c>
      <c r="AZ79" s="1056">
        <f t="shared" si="36"/>
        <v>0</v>
      </c>
      <c r="BA79" s="1056">
        <f t="shared" si="36"/>
        <v>0</v>
      </c>
      <c r="BB79" s="1056">
        <f t="shared" si="36"/>
        <v>0</v>
      </c>
      <c r="BC79" s="1056">
        <f t="shared" si="36"/>
        <v>0.1</v>
      </c>
      <c r="BD79" s="1056">
        <f t="shared" si="36"/>
        <v>0</v>
      </c>
      <c r="BE79" s="1056">
        <f t="shared" si="36"/>
        <v>0</v>
      </c>
      <c r="BF79" s="1056">
        <f t="shared" si="36"/>
        <v>0</v>
      </c>
      <c r="BG79" s="1056">
        <f>SUM(BG80:BG102)</f>
        <v>0</v>
      </c>
      <c r="BH79" s="1056">
        <f>SUM(BH80:BH102)</f>
        <v>0</v>
      </c>
      <c r="BI79" s="1055" t="s">
        <v>880</v>
      </c>
      <c r="BJ79" s="1273"/>
      <c r="BK79" s="1131"/>
      <c r="BL79" s="1131"/>
      <c r="BM79" s="1131"/>
      <c r="BN79" s="1131" t="s">
        <v>298</v>
      </c>
      <c r="BO79" s="1147"/>
      <c r="BP79" s="1147">
        <v>1</v>
      </c>
      <c r="BQ79" s="1274"/>
      <c r="BR79" s="1284"/>
      <c r="BS79" s="1150"/>
      <c r="BT79" s="1131"/>
    </row>
    <row r="80" spans="1:72" s="1294" customFormat="1" ht="25.5" hidden="1" customHeight="1">
      <c r="A80" s="1060"/>
      <c r="B80" s="1133" t="s">
        <v>3253</v>
      </c>
      <c r="C80" s="1061" t="s">
        <v>3020</v>
      </c>
      <c r="D80" s="1134" t="s">
        <v>3087</v>
      </c>
      <c r="E80" s="1134" t="s">
        <v>44</v>
      </c>
      <c r="F80" s="1062">
        <f t="shared" si="0"/>
        <v>1.2000000000000002</v>
      </c>
      <c r="G80" s="1063">
        <v>0.75</v>
      </c>
      <c r="H80" s="1062">
        <f>SUM(J80:BF80)</f>
        <v>0.45000000000000007</v>
      </c>
      <c r="I80" s="1062">
        <v>2030</v>
      </c>
      <c r="J80" s="1062"/>
      <c r="K80" s="1063"/>
      <c r="L80" s="1063"/>
      <c r="M80" s="1062"/>
      <c r="N80" s="1062">
        <v>0.2</v>
      </c>
      <c r="O80" s="1063"/>
      <c r="P80" s="1063"/>
      <c r="Q80" s="1063"/>
      <c r="R80" s="1063"/>
      <c r="S80" s="1063">
        <f>0.55-0.3</f>
        <v>0.25000000000000006</v>
      </c>
      <c r="T80" s="1063"/>
      <c r="U80" s="1063"/>
      <c r="V80" s="1063"/>
      <c r="W80" s="1063"/>
      <c r="X80" s="1063"/>
      <c r="Y80" s="1063"/>
      <c r="Z80" s="1063"/>
      <c r="AA80" s="1063"/>
      <c r="AB80" s="1063"/>
      <c r="AC80" s="1063"/>
      <c r="AD80" s="1063"/>
      <c r="AE80" s="1063"/>
      <c r="AF80" s="1063"/>
      <c r="AG80" s="1063"/>
      <c r="AH80" s="1063"/>
      <c r="AI80" s="1063"/>
      <c r="AJ80" s="1063"/>
      <c r="AK80" s="1063"/>
      <c r="AL80" s="1063"/>
      <c r="AM80" s="1063"/>
      <c r="AN80" s="1063"/>
      <c r="AO80" s="1063"/>
      <c r="AP80" s="1063"/>
      <c r="AQ80" s="1063"/>
      <c r="AR80" s="1063"/>
      <c r="AS80" s="1063"/>
      <c r="AT80" s="1063"/>
      <c r="AU80" s="1063"/>
      <c r="AV80" s="1063"/>
      <c r="AW80" s="1063"/>
      <c r="AX80" s="1063"/>
      <c r="AY80" s="1063"/>
      <c r="AZ80" s="1063"/>
      <c r="BA80" s="1063"/>
      <c r="BB80" s="1063"/>
      <c r="BC80" s="1063"/>
      <c r="BD80" s="1063"/>
      <c r="BE80" s="1063"/>
      <c r="BF80" s="1063"/>
      <c r="BG80" s="1063"/>
      <c r="BH80" s="1063"/>
      <c r="BI80" s="1061" t="s">
        <v>3020</v>
      </c>
      <c r="BJ80" s="1289"/>
      <c r="BK80" s="1618" t="s">
        <v>3254</v>
      </c>
      <c r="BL80" s="1134"/>
      <c r="BM80" s="1134"/>
      <c r="BN80" s="1134" t="s">
        <v>298</v>
      </c>
      <c r="BO80" s="1164"/>
      <c r="BP80" s="1136"/>
      <c r="BQ80" s="1290"/>
      <c r="BR80" s="1291"/>
      <c r="BS80" s="1292"/>
      <c r="BT80" s="1293"/>
    </row>
    <row r="81" spans="1:72" s="1294" customFormat="1" ht="25.5" hidden="1" customHeight="1">
      <c r="A81" s="1060"/>
      <c r="B81" s="1133" t="s">
        <v>3255</v>
      </c>
      <c r="C81" s="1061" t="s">
        <v>3020</v>
      </c>
      <c r="D81" s="1134" t="s">
        <v>3087</v>
      </c>
      <c r="E81" s="1134" t="s">
        <v>44</v>
      </c>
      <c r="F81" s="1062">
        <f t="shared" si="0"/>
        <v>0.72</v>
      </c>
      <c r="G81" s="1063">
        <v>0.36</v>
      </c>
      <c r="H81" s="1062">
        <f t="shared" ref="H81" si="37">SUM(J81:BF81)</f>
        <v>0.36</v>
      </c>
      <c r="I81" s="1062">
        <v>2030</v>
      </c>
      <c r="J81" s="1062"/>
      <c r="K81" s="1063"/>
      <c r="L81" s="1063"/>
      <c r="M81" s="1062"/>
      <c r="N81" s="1062"/>
      <c r="O81" s="1063"/>
      <c r="P81" s="1063"/>
      <c r="Q81" s="1063"/>
      <c r="R81" s="1063"/>
      <c r="S81" s="1063">
        <v>0.36</v>
      </c>
      <c r="T81" s="1063"/>
      <c r="U81" s="1063"/>
      <c r="V81" s="1063"/>
      <c r="W81" s="1063"/>
      <c r="X81" s="1063"/>
      <c r="Y81" s="1063"/>
      <c r="Z81" s="1063"/>
      <c r="AA81" s="1063"/>
      <c r="AB81" s="1063"/>
      <c r="AC81" s="1063"/>
      <c r="AD81" s="1063"/>
      <c r="AE81" s="1063"/>
      <c r="AF81" s="1063"/>
      <c r="AG81" s="1063"/>
      <c r="AH81" s="1063"/>
      <c r="AI81" s="1063"/>
      <c r="AJ81" s="1063"/>
      <c r="AK81" s="1063"/>
      <c r="AL81" s="1063"/>
      <c r="AM81" s="1063"/>
      <c r="AN81" s="1063"/>
      <c r="AO81" s="1063"/>
      <c r="AP81" s="1063"/>
      <c r="AQ81" s="1063"/>
      <c r="AR81" s="1063"/>
      <c r="AS81" s="1063"/>
      <c r="AT81" s="1063"/>
      <c r="AU81" s="1063"/>
      <c r="AV81" s="1063"/>
      <c r="AW81" s="1063"/>
      <c r="AX81" s="1063"/>
      <c r="AY81" s="1063"/>
      <c r="AZ81" s="1063"/>
      <c r="BA81" s="1063"/>
      <c r="BB81" s="1063"/>
      <c r="BC81" s="1063"/>
      <c r="BD81" s="1063"/>
      <c r="BE81" s="1063"/>
      <c r="BF81" s="1063"/>
      <c r="BG81" s="1063"/>
      <c r="BH81" s="1063"/>
      <c r="BI81" s="1061" t="s">
        <v>3020</v>
      </c>
      <c r="BJ81" s="1289"/>
      <c r="BK81" s="1618"/>
      <c r="BL81" s="1134"/>
      <c r="BM81" s="1134"/>
      <c r="BN81" s="1134" t="s">
        <v>298</v>
      </c>
      <c r="BO81" s="1164"/>
      <c r="BP81" s="1136"/>
      <c r="BQ81" s="1290"/>
      <c r="BR81" s="1291"/>
      <c r="BS81" s="1292"/>
      <c r="BT81" s="1293"/>
    </row>
    <row r="82" spans="1:72" s="1294" customFormat="1" ht="25.5" hidden="1" customHeight="1">
      <c r="A82" s="1060"/>
      <c r="B82" s="1133" t="s">
        <v>3256</v>
      </c>
      <c r="C82" s="1061" t="s">
        <v>3020</v>
      </c>
      <c r="D82" s="1134" t="s">
        <v>3087</v>
      </c>
      <c r="E82" s="1134" t="s">
        <v>44</v>
      </c>
      <c r="F82" s="1062">
        <f t="shared" si="0"/>
        <v>1.2549999999999999</v>
      </c>
      <c r="G82" s="1063">
        <v>0.94499999999999995</v>
      </c>
      <c r="H82" s="1062">
        <f>SUM(J82:BF82)</f>
        <v>0.31</v>
      </c>
      <c r="I82" s="1062">
        <v>2030</v>
      </c>
      <c r="J82" s="1062"/>
      <c r="K82" s="1063"/>
      <c r="L82" s="1063"/>
      <c r="M82" s="1062"/>
      <c r="N82" s="1062"/>
      <c r="O82" s="1063"/>
      <c r="P82" s="1063"/>
      <c r="Q82" s="1063"/>
      <c r="R82" s="1063"/>
      <c r="S82" s="1063">
        <v>0.31</v>
      </c>
      <c r="T82" s="1063"/>
      <c r="U82" s="1063"/>
      <c r="V82" s="1063"/>
      <c r="W82" s="1063"/>
      <c r="X82" s="1063"/>
      <c r="Y82" s="1063"/>
      <c r="Z82" s="1063"/>
      <c r="AA82" s="1063"/>
      <c r="AB82" s="1063"/>
      <c r="AC82" s="1063"/>
      <c r="AD82" s="1063"/>
      <c r="AE82" s="1063"/>
      <c r="AF82" s="1063"/>
      <c r="AG82" s="1063"/>
      <c r="AH82" s="1063"/>
      <c r="AI82" s="1063"/>
      <c r="AJ82" s="1063"/>
      <c r="AK82" s="1063"/>
      <c r="AL82" s="1063"/>
      <c r="AM82" s="1063"/>
      <c r="AN82" s="1063"/>
      <c r="AO82" s="1063"/>
      <c r="AP82" s="1063"/>
      <c r="AQ82" s="1063"/>
      <c r="AR82" s="1063"/>
      <c r="AS82" s="1063"/>
      <c r="AT82" s="1063"/>
      <c r="AU82" s="1063"/>
      <c r="AV82" s="1063"/>
      <c r="AW82" s="1063"/>
      <c r="AX82" s="1063"/>
      <c r="AY82" s="1063"/>
      <c r="AZ82" s="1063"/>
      <c r="BA82" s="1063"/>
      <c r="BB82" s="1063"/>
      <c r="BC82" s="1063"/>
      <c r="BD82" s="1063"/>
      <c r="BE82" s="1063"/>
      <c r="BF82" s="1063"/>
      <c r="BG82" s="1063"/>
      <c r="BH82" s="1063"/>
      <c r="BI82" s="1061" t="s">
        <v>3020</v>
      </c>
      <c r="BJ82" s="1289"/>
      <c r="BK82" s="1618"/>
      <c r="BL82" s="1134"/>
      <c r="BM82" s="1134"/>
      <c r="BN82" s="1134" t="s">
        <v>298</v>
      </c>
      <c r="BO82" s="1164"/>
      <c r="BP82" s="1136"/>
      <c r="BQ82" s="1290"/>
      <c r="BR82" s="1291"/>
      <c r="BS82" s="1292"/>
      <c r="BT82" s="1293"/>
    </row>
    <row r="83" spans="1:72" s="1165" customFormat="1" ht="57.95" hidden="1" customHeight="1">
      <c r="A83" s="1060"/>
      <c r="B83" s="1295" t="s">
        <v>3257</v>
      </c>
      <c r="C83" s="1296" t="s">
        <v>3014</v>
      </c>
      <c r="D83" s="1134" t="s">
        <v>3087</v>
      </c>
      <c r="E83" s="1135" t="s">
        <v>44</v>
      </c>
      <c r="F83" s="1062">
        <f t="shared" si="0"/>
        <v>0.96000000000000008</v>
      </c>
      <c r="G83" s="1062">
        <f>1600*3.5/10000</f>
        <v>0.56000000000000005</v>
      </c>
      <c r="H83" s="1062">
        <f t="shared" si="33"/>
        <v>0.4</v>
      </c>
      <c r="I83" s="1062">
        <v>2030</v>
      </c>
      <c r="J83" s="1062"/>
      <c r="K83" s="1062"/>
      <c r="L83" s="1062"/>
      <c r="M83" s="1062"/>
      <c r="N83" s="1062"/>
      <c r="O83" s="1062"/>
      <c r="P83" s="1062"/>
      <c r="Q83" s="1062"/>
      <c r="R83" s="1062"/>
      <c r="S83" s="1062">
        <v>0.3</v>
      </c>
      <c r="T83" s="1062"/>
      <c r="U83" s="1062"/>
      <c r="V83" s="1062"/>
      <c r="W83" s="1062"/>
      <c r="X83" s="1062"/>
      <c r="Y83" s="1062"/>
      <c r="Z83" s="1062"/>
      <c r="AA83" s="1062"/>
      <c r="AB83" s="1062"/>
      <c r="AC83" s="1062"/>
      <c r="AD83" s="1062"/>
      <c r="AE83" s="1062"/>
      <c r="AF83" s="1062"/>
      <c r="AG83" s="1062"/>
      <c r="AH83" s="1062"/>
      <c r="AI83" s="1062"/>
      <c r="AJ83" s="1062"/>
      <c r="AK83" s="1062"/>
      <c r="AL83" s="1062"/>
      <c r="AM83" s="1062"/>
      <c r="AN83" s="1062"/>
      <c r="AO83" s="1062"/>
      <c r="AP83" s="1062"/>
      <c r="AQ83" s="1062"/>
      <c r="AR83" s="1062"/>
      <c r="AS83" s="1062"/>
      <c r="AT83" s="1062"/>
      <c r="AU83" s="1062"/>
      <c r="AV83" s="1062"/>
      <c r="AW83" s="1062"/>
      <c r="AX83" s="1062"/>
      <c r="AY83" s="1062"/>
      <c r="AZ83" s="1062"/>
      <c r="BA83" s="1062"/>
      <c r="BB83" s="1062"/>
      <c r="BC83" s="1062">
        <v>0.1</v>
      </c>
      <c r="BD83" s="1062"/>
      <c r="BE83" s="1062"/>
      <c r="BF83" s="1062"/>
      <c r="BG83" s="1064"/>
      <c r="BH83" s="1063"/>
      <c r="BI83" s="1296" t="s">
        <v>3014</v>
      </c>
      <c r="BJ83" s="1289"/>
      <c r="BK83" s="1134" t="s">
        <v>3258</v>
      </c>
      <c r="BL83" s="1134"/>
      <c r="BM83" s="1134"/>
      <c r="BN83" s="1134" t="s">
        <v>298</v>
      </c>
      <c r="BO83" s="1136"/>
      <c r="BP83" s="1136"/>
      <c r="BQ83" s="1290"/>
      <c r="BR83" s="1297"/>
      <c r="BS83" s="1139"/>
      <c r="BT83" s="1135"/>
    </row>
    <row r="84" spans="1:72" s="1165" customFormat="1" ht="48" hidden="1" customHeight="1">
      <c r="A84" s="1060"/>
      <c r="B84" s="1298" t="s">
        <v>3259</v>
      </c>
      <c r="C84" s="1296" t="s">
        <v>3014</v>
      </c>
      <c r="D84" s="1134" t="s">
        <v>3087</v>
      </c>
      <c r="E84" s="1135" t="s">
        <v>44</v>
      </c>
      <c r="F84" s="1062">
        <f t="shared" si="0"/>
        <v>0.88</v>
      </c>
      <c r="G84" s="1062">
        <f>1800*2.5/10000</f>
        <v>0.45</v>
      </c>
      <c r="H84" s="1062">
        <f t="shared" si="33"/>
        <v>0.43</v>
      </c>
      <c r="I84" s="1062">
        <v>2030</v>
      </c>
      <c r="J84" s="1062"/>
      <c r="K84" s="1062"/>
      <c r="L84" s="1062"/>
      <c r="M84" s="1062"/>
      <c r="N84" s="1062">
        <v>0.2</v>
      </c>
      <c r="O84" s="1062"/>
      <c r="P84" s="1062"/>
      <c r="Q84" s="1062"/>
      <c r="R84" s="1062"/>
      <c r="S84" s="1062">
        <f>0.43-0.2</f>
        <v>0.22999999999999998</v>
      </c>
      <c r="T84" s="1062"/>
      <c r="U84" s="1062"/>
      <c r="V84" s="1062"/>
      <c r="W84" s="1062"/>
      <c r="X84" s="1062"/>
      <c r="Y84" s="1062"/>
      <c r="Z84" s="1062"/>
      <c r="AA84" s="1062"/>
      <c r="AB84" s="1062"/>
      <c r="AC84" s="1062"/>
      <c r="AD84" s="1062"/>
      <c r="AE84" s="1062"/>
      <c r="AF84" s="1062"/>
      <c r="AG84" s="1062"/>
      <c r="AH84" s="1062"/>
      <c r="AI84" s="1062"/>
      <c r="AJ84" s="1062"/>
      <c r="AK84" s="1062"/>
      <c r="AL84" s="1062"/>
      <c r="AM84" s="1062"/>
      <c r="AN84" s="1062"/>
      <c r="AO84" s="1062"/>
      <c r="AP84" s="1062"/>
      <c r="AQ84" s="1062"/>
      <c r="AR84" s="1062"/>
      <c r="AS84" s="1062"/>
      <c r="AT84" s="1062"/>
      <c r="AU84" s="1062"/>
      <c r="AV84" s="1062"/>
      <c r="AW84" s="1062"/>
      <c r="AX84" s="1062"/>
      <c r="AY84" s="1062"/>
      <c r="AZ84" s="1062"/>
      <c r="BA84" s="1062"/>
      <c r="BB84" s="1062"/>
      <c r="BC84" s="1062"/>
      <c r="BD84" s="1062"/>
      <c r="BE84" s="1062"/>
      <c r="BF84" s="1062"/>
      <c r="BG84" s="1062"/>
      <c r="BH84" s="1063"/>
      <c r="BI84" s="1296" t="s">
        <v>3014</v>
      </c>
      <c r="BJ84" s="1289"/>
      <c r="BK84" s="1299" t="s">
        <v>3260</v>
      </c>
      <c r="BL84" s="1134"/>
      <c r="BM84" s="1134"/>
      <c r="BN84" s="1134" t="s">
        <v>298</v>
      </c>
      <c r="BO84" s="1136"/>
      <c r="BP84" s="1136"/>
      <c r="BQ84" s="1290"/>
      <c r="BR84" s="1297"/>
      <c r="BS84" s="1139"/>
      <c r="BT84" s="1135"/>
    </row>
    <row r="85" spans="1:72" s="1268" customFormat="1" ht="42.6" hidden="1" customHeight="1">
      <c r="A85" s="1054"/>
      <c r="B85" s="1169" t="s">
        <v>3261</v>
      </c>
      <c r="C85" s="1055" t="s">
        <v>3113</v>
      </c>
      <c r="D85" s="1131" t="s">
        <v>3087</v>
      </c>
      <c r="E85" s="1131" t="s">
        <v>44</v>
      </c>
      <c r="F85" s="1056">
        <f>G85+H85</f>
        <v>1.44</v>
      </c>
      <c r="G85" s="1057">
        <v>1.3</v>
      </c>
      <c r="H85" s="1056">
        <f>SUM(J85:BF85)</f>
        <v>0.14000000000000001</v>
      </c>
      <c r="I85" s="1056">
        <v>2030</v>
      </c>
      <c r="J85" s="1056"/>
      <c r="K85" s="1057"/>
      <c r="L85" s="1057"/>
      <c r="M85" s="1056"/>
      <c r="N85" s="1056"/>
      <c r="O85" s="1057"/>
      <c r="P85" s="1057"/>
      <c r="Q85" s="1057"/>
      <c r="R85" s="1057"/>
      <c r="S85" s="1057">
        <v>0.14000000000000001</v>
      </c>
      <c r="T85" s="1057"/>
      <c r="U85" s="1057"/>
      <c r="V85" s="1057"/>
      <c r="W85" s="1057"/>
      <c r="X85" s="1057"/>
      <c r="Y85" s="1057"/>
      <c r="Z85" s="1057"/>
      <c r="AA85" s="1057"/>
      <c r="AB85" s="1057"/>
      <c r="AC85" s="1057"/>
      <c r="AD85" s="1057"/>
      <c r="AE85" s="1057"/>
      <c r="AF85" s="1057"/>
      <c r="AG85" s="1057"/>
      <c r="AH85" s="1057"/>
      <c r="AI85" s="1057"/>
      <c r="AJ85" s="1057"/>
      <c r="AK85" s="1057"/>
      <c r="AL85" s="1057"/>
      <c r="AM85" s="1057"/>
      <c r="AN85" s="1057"/>
      <c r="AO85" s="1057"/>
      <c r="AP85" s="1057"/>
      <c r="AQ85" s="1057"/>
      <c r="AR85" s="1057"/>
      <c r="AS85" s="1057"/>
      <c r="AT85" s="1057"/>
      <c r="AU85" s="1057"/>
      <c r="AV85" s="1057"/>
      <c r="AW85" s="1057"/>
      <c r="AX85" s="1057"/>
      <c r="AY85" s="1057"/>
      <c r="AZ85" s="1057"/>
      <c r="BA85" s="1057"/>
      <c r="BB85" s="1057"/>
      <c r="BC85" s="1057"/>
      <c r="BD85" s="1057"/>
      <c r="BE85" s="1057"/>
      <c r="BF85" s="1057"/>
      <c r="BG85" s="1057"/>
      <c r="BH85" s="1057"/>
      <c r="BI85" s="1055" t="s">
        <v>3113</v>
      </c>
      <c r="BJ85" s="1273"/>
      <c r="BK85" s="1131" t="s">
        <v>3254</v>
      </c>
      <c r="BL85" s="1131"/>
      <c r="BM85" s="1131"/>
      <c r="BN85" s="1131" t="s">
        <v>298</v>
      </c>
      <c r="BO85" s="1147"/>
      <c r="BP85" s="1147"/>
      <c r="BQ85" s="1274"/>
      <c r="BR85" s="1300"/>
      <c r="BS85" s="1150"/>
      <c r="BT85" s="1146"/>
    </row>
    <row r="86" spans="1:72" s="1165" customFormat="1" ht="36" hidden="1" customHeight="1">
      <c r="A86" s="1060"/>
      <c r="B86" s="1301" t="s">
        <v>3262</v>
      </c>
      <c r="C86" s="1163" t="s">
        <v>3028</v>
      </c>
      <c r="D86" s="1134" t="s">
        <v>3087</v>
      </c>
      <c r="E86" s="1135" t="s">
        <v>44</v>
      </c>
      <c r="F86" s="1062">
        <f t="shared" si="0"/>
        <v>0.36</v>
      </c>
      <c r="G86" s="1063">
        <f>600*3/10000</f>
        <v>0.18</v>
      </c>
      <c r="H86" s="1062">
        <f t="shared" si="33"/>
        <v>0.18</v>
      </c>
      <c r="I86" s="1062">
        <v>2030</v>
      </c>
      <c r="J86" s="1062"/>
      <c r="K86" s="1062"/>
      <c r="L86" s="1062"/>
      <c r="M86" s="1063"/>
      <c r="N86" s="1063"/>
      <c r="O86" s="1063"/>
      <c r="P86" s="1063"/>
      <c r="Q86" s="1063"/>
      <c r="R86" s="1063"/>
      <c r="S86" s="1063">
        <v>0.18</v>
      </c>
      <c r="T86" s="1063"/>
      <c r="U86" s="1063"/>
      <c r="V86" s="1063"/>
      <c r="W86" s="1063"/>
      <c r="X86" s="1063"/>
      <c r="Y86" s="1063"/>
      <c r="Z86" s="1063"/>
      <c r="AA86" s="1063"/>
      <c r="AB86" s="1063"/>
      <c r="AC86" s="1063"/>
      <c r="AD86" s="1063"/>
      <c r="AE86" s="1063"/>
      <c r="AF86" s="1063"/>
      <c r="AG86" s="1063"/>
      <c r="AH86" s="1063"/>
      <c r="AI86" s="1063"/>
      <c r="AJ86" s="1063"/>
      <c r="AK86" s="1063"/>
      <c r="AL86" s="1063"/>
      <c r="AM86" s="1063"/>
      <c r="AN86" s="1063"/>
      <c r="AO86" s="1063"/>
      <c r="AP86" s="1063"/>
      <c r="AQ86" s="1063"/>
      <c r="AR86" s="1063"/>
      <c r="AS86" s="1063"/>
      <c r="AT86" s="1063"/>
      <c r="AU86" s="1063"/>
      <c r="AV86" s="1063"/>
      <c r="AW86" s="1063"/>
      <c r="AX86" s="1063"/>
      <c r="AY86" s="1063"/>
      <c r="AZ86" s="1063"/>
      <c r="BA86" s="1063"/>
      <c r="BB86" s="1063"/>
      <c r="BC86" s="1063"/>
      <c r="BD86" s="1063"/>
      <c r="BE86" s="1063"/>
      <c r="BF86" s="1063"/>
      <c r="BG86" s="1063"/>
      <c r="BH86" s="1063"/>
      <c r="BI86" s="1163" t="s">
        <v>3028</v>
      </c>
      <c r="BJ86" s="1289"/>
      <c r="BK86" s="1618" t="s">
        <v>3254</v>
      </c>
      <c r="BL86" s="1134"/>
      <c r="BM86" s="1134"/>
      <c r="BN86" s="1134" t="s">
        <v>298</v>
      </c>
      <c r="BO86" s="1136"/>
      <c r="BP86" s="1136"/>
      <c r="BQ86" s="1290"/>
      <c r="BR86" s="1297"/>
      <c r="BS86" s="1139"/>
      <c r="BT86" s="1135"/>
    </row>
    <row r="87" spans="1:72" s="1165" customFormat="1" ht="36" hidden="1" customHeight="1">
      <c r="A87" s="1060"/>
      <c r="B87" s="1302" t="s">
        <v>3263</v>
      </c>
      <c r="C87" s="1065" t="s">
        <v>3028</v>
      </c>
      <c r="D87" s="1134" t="s">
        <v>3087</v>
      </c>
      <c r="E87" s="1135" t="s">
        <v>44</v>
      </c>
      <c r="F87" s="1062">
        <f t="shared" si="0"/>
        <v>1.105</v>
      </c>
      <c r="G87" s="1062">
        <f>2500*3.5/10000</f>
        <v>0.875</v>
      </c>
      <c r="H87" s="1062">
        <f t="shared" si="33"/>
        <v>0.22999999999999998</v>
      </c>
      <c r="I87" s="1062">
        <v>2030</v>
      </c>
      <c r="J87" s="1062"/>
      <c r="K87" s="1062"/>
      <c r="L87" s="1062"/>
      <c r="M87" s="1062"/>
      <c r="N87" s="1062"/>
      <c r="O87" s="1062"/>
      <c r="P87" s="1062"/>
      <c r="Q87" s="1062"/>
      <c r="R87" s="1062"/>
      <c r="S87" s="1062">
        <f>0.63-0.4</f>
        <v>0.22999999999999998</v>
      </c>
      <c r="T87" s="1062"/>
      <c r="U87" s="1062"/>
      <c r="V87" s="1062"/>
      <c r="W87" s="1062"/>
      <c r="X87" s="1062"/>
      <c r="Y87" s="1062"/>
      <c r="Z87" s="1062"/>
      <c r="AA87" s="1062"/>
      <c r="AB87" s="1062"/>
      <c r="AC87" s="1062"/>
      <c r="AD87" s="1062"/>
      <c r="AE87" s="1062"/>
      <c r="AF87" s="1062"/>
      <c r="AG87" s="1062"/>
      <c r="AH87" s="1062"/>
      <c r="AI87" s="1062"/>
      <c r="AJ87" s="1062"/>
      <c r="AK87" s="1062"/>
      <c r="AL87" s="1062"/>
      <c r="AM87" s="1062"/>
      <c r="AN87" s="1062"/>
      <c r="AO87" s="1062"/>
      <c r="AP87" s="1062"/>
      <c r="AQ87" s="1062"/>
      <c r="AR87" s="1062"/>
      <c r="AS87" s="1062"/>
      <c r="AT87" s="1062"/>
      <c r="AU87" s="1062"/>
      <c r="AV87" s="1062"/>
      <c r="AW87" s="1062"/>
      <c r="AX87" s="1062"/>
      <c r="AY87" s="1062"/>
      <c r="AZ87" s="1062"/>
      <c r="BA87" s="1062"/>
      <c r="BB87" s="1062"/>
      <c r="BC87" s="1062"/>
      <c r="BD87" s="1062"/>
      <c r="BE87" s="1062"/>
      <c r="BF87" s="1062"/>
      <c r="BG87" s="1062"/>
      <c r="BH87" s="1063"/>
      <c r="BI87" s="1065" t="s">
        <v>3028</v>
      </c>
      <c r="BJ87" s="1289"/>
      <c r="BK87" s="1618"/>
      <c r="BL87" s="1134"/>
      <c r="BM87" s="1134"/>
      <c r="BN87" s="1134" t="s">
        <v>298</v>
      </c>
      <c r="BO87" s="1136"/>
      <c r="BP87" s="1136"/>
      <c r="BQ87" s="1290"/>
      <c r="BR87" s="1297"/>
      <c r="BS87" s="1139"/>
      <c r="BT87" s="1135"/>
    </row>
    <row r="88" spans="1:72" s="1165" customFormat="1" ht="36" hidden="1" customHeight="1">
      <c r="A88" s="1060"/>
      <c r="B88" s="1133" t="s">
        <v>3264</v>
      </c>
      <c r="C88" s="1163" t="s">
        <v>3028</v>
      </c>
      <c r="D88" s="1134" t="s">
        <v>3087</v>
      </c>
      <c r="E88" s="1135" t="s">
        <v>44</v>
      </c>
      <c r="F88" s="1062">
        <f t="shared" si="0"/>
        <v>0.72</v>
      </c>
      <c r="G88" s="1062">
        <f>1200*3/10000</f>
        <v>0.36</v>
      </c>
      <c r="H88" s="1062">
        <f t="shared" si="33"/>
        <v>0.36</v>
      </c>
      <c r="I88" s="1062">
        <v>2030</v>
      </c>
      <c r="J88" s="1062"/>
      <c r="K88" s="1062"/>
      <c r="L88" s="1062"/>
      <c r="M88" s="1062"/>
      <c r="N88" s="1062"/>
      <c r="O88" s="1062"/>
      <c r="P88" s="1062"/>
      <c r="Q88" s="1062"/>
      <c r="R88" s="1062"/>
      <c r="S88" s="1062">
        <v>0.36</v>
      </c>
      <c r="T88" s="1062"/>
      <c r="U88" s="1062"/>
      <c r="V88" s="1062"/>
      <c r="W88" s="1062"/>
      <c r="X88" s="1062"/>
      <c r="Y88" s="1062"/>
      <c r="Z88" s="1062"/>
      <c r="AA88" s="1062"/>
      <c r="AB88" s="1062"/>
      <c r="AC88" s="1062"/>
      <c r="AD88" s="1062"/>
      <c r="AE88" s="1062"/>
      <c r="AF88" s="1062"/>
      <c r="AG88" s="1062"/>
      <c r="AH88" s="1062"/>
      <c r="AI88" s="1062"/>
      <c r="AJ88" s="1062"/>
      <c r="AK88" s="1062"/>
      <c r="AL88" s="1062"/>
      <c r="AM88" s="1062"/>
      <c r="AN88" s="1062"/>
      <c r="AO88" s="1062"/>
      <c r="AP88" s="1062"/>
      <c r="AQ88" s="1062"/>
      <c r="AR88" s="1062"/>
      <c r="AS88" s="1062"/>
      <c r="AT88" s="1062"/>
      <c r="AU88" s="1062"/>
      <c r="AV88" s="1062"/>
      <c r="AW88" s="1062"/>
      <c r="AX88" s="1062"/>
      <c r="AY88" s="1062"/>
      <c r="AZ88" s="1062"/>
      <c r="BA88" s="1062"/>
      <c r="BB88" s="1062"/>
      <c r="BC88" s="1062"/>
      <c r="BD88" s="1062"/>
      <c r="BE88" s="1062"/>
      <c r="BF88" s="1062"/>
      <c r="BG88" s="1066"/>
      <c r="BH88" s="1063"/>
      <c r="BI88" s="1163" t="s">
        <v>3028</v>
      </c>
      <c r="BJ88" s="1289"/>
      <c r="BK88" s="1618"/>
      <c r="BL88" s="1134"/>
      <c r="BM88" s="1134"/>
      <c r="BN88" s="1134" t="s">
        <v>298</v>
      </c>
      <c r="BO88" s="1136"/>
      <c r="BP88" s="1136"/>
      <c r="BQ88" s="1290"/>
      <c r="BR88" s="1297"/>
      <c r="BS88" s="1139"/>
      <c r="BT88" s="1135"/>
    </row>
    <row r="89" spans="1:72" s="1165" customFormat="1" ht="36" hidden="1" customHeight="1">
      <c r="A89" s="1060"/>
      <c r="B89" s="1067" t="s">
        <v>3265</v>
      </c>
      <c r="C89" s="1163" t="s">
        <v>3017</v>
      </c>
      <c r="D89" s="1134" t="s">
        <v>3087</v>
      </c>
      <c r="E89" s="1135" t="s">
        <v>44</v>
      </c>
      <c r="F89" s="1062">
        <f t="shared" si="0"/>
        <v>1.5</v>
      </c>
      <c r="G89" s="1063">
        <f>2500*5/10000</f>
        <v>1.25</v>
      </c>
      <c r="H89" s="1062">
        <f t="shared" si="33"/>
        <v>0.25</v>
      </c>
      <c r="I89" s="1062">
        <v>2030</v>
      </c>
      <c r="J89" s="1063"/>
      <c r="K89" s="1063"/>
      <c r="L89" s="1063"/>
      <c r="M89" s="1063"/>
      <c r="N89" s="1063"/>
      <c r="O89" s="1063"/>
      <c r="P89" s="1063"/>
      <c r="Q89" s="1063"/>
      <c r="R89" s="1063"/>
      <c r="S89" s="1063">
        <v>0.25</v>
      </c>
      <c r="T89" s="1063"/>
      <c r="U89" s="1063"/>
      <c r="V89" s="1063"/>
      <c r="W89" s="1063"/>
      <c r="X89" s="1063"/>
      <c r="Y89" s="1063"/>
      <c r="Z89" s="1063"/>
      <c r="AA89" s="1063"/>
      <c r="AB89" s="1063"/>
      <c r="AC89" s="1063"/>
      <c r="AD89" s="1063"/>
      <c r="AE89" s="1063"/>
      <c r="AF89" s="1063"/>
      <c r="AG89" s="1063"/>
      <c r="AH89" s="1063"/>
      <c r="AI89" s="1063"/>
      <c r="AJ89" s="1063"/>
      <c r="AK89" s="1063"/>
      <c r="AL89" s="1063"/>
      <c r="AM89" s="1063"/>
      <c r="AN89" s="1063"/>
      <c r="AO89" s="1063"/>
      <c r="AP89" s="1063"/>
      <c r="AQ89" s="1063"/>
      <c r="AR89" s="1063"/>
      <c r="AS89" s="1063"/>
      <c r="AT89" s="1063"/>
      <c r="AU89" s="1063"/>
      <c r="AV89" s="1063"/>
      <c r="AW89" s="1063"/>
      <c r="AX89" s="1063"/>
      <c r="AY89" s="1063"/>
      <c r="AZ89" s="1063"/>
      <c r="BA89" s="1063"/>
      <c r="BB89" s="1063"/>
      <c r="BC89" s="1063"/>
      <c r="BD89" s="1063"/>
      <c r="BE89" s="1063"/>
      <c r="BF89" s="1063"/>
      <c r="BG89" s="1063"/>
      <c r="BH89" s="1163"/>
      <c r="BI89" s="1163" t="s">
        <v>3017</v>
      </c>
      <c r="BJ89" s="1289"/>
      <c r="BK89" s="1618"/>
      <c r="BL89" s="1134"/>
      <c r="BM89" s="1134"/>
      <c r="BN89" s="1134" t="s">
        <v>298</v>
      </c>
      <c r="BO89" s="1136"/>
      <c r="BP89" s="1136"/>
      <c r="BQ89" s="1290"/>
      <c r="BR89" s="1297"/>
      <c r="BS89" s="1139"/>
      <c r="BT89" s="1135"/>
    </row>
    <row r="90" spans="1:72" s="1165" customFormat="1" ht="36" hidden="1" customHeight="1">
      <c r="A90" s="1060"/>
      <c r="B90" s="1067" t="s">
        <v>3266</v>
      </c>
      <c r="C90" s="1163" t="s">
        <v>3017</v>
      </c>
      <c r="D90" s="1134" t="s">
        <v>3087</v>
      </c>
      <c r="E90" s="1135" t="s">
        <v>44</v>
      </c>
      <c r="F90" s="1062">
        <f t="shared" si="0"/>
        <v>0.84</v>
      </c>
      <c r="G90" s="1063">
        <f>1400*5/10000</f>
        <v>0.7</v>
      </c>
      <c r="H90" s="1062">
        <f t="shared" si="33"/>
        <v>0.14000000000000001</v>
      </c>
      <c r="I90" s="1062">
        <v>2030</v>
      </c>
      <c r="J90" s="1062"/>
      <c r="K90" s="1062"/>
      <c r="L90" s="1062"/>
      <c r="M90" s="1062"/>
      <c r="N90" s="1062"/>
      <c r="O90" s="1062"/>
      <c r="P90" s="1062"/>
      <c r="Q90" s="1062"/>
      <c r="R90" s="1062"/>
      <c r="S90" s="1062">
        <v>0.14000000000000001</v>
      </c>
      <c r="T90" s="1062"/>
      <c r="U90" s="1062"/>
      <c r="V90" s="1062"/>
      <c r="W90" s="1062"/>
      <c r="X90" s="1062"/>
      <c r="Y90" s="1062"/>
      <c r="Z90" s="1062"/>
      <c r="AA90" s="1062"/>
      <c r="AB90" s="1062"/>
      <c r="AC90" s="1062"/>
      <c r="AD90" s="1062"/>
      <c r="AE90" s="1062"/>
      <c r="AF90" s="1062"/>
      <c r="AG90" s="1062"/>
      <c r="AH90" s="1062"/>
      <c r="AI90" s="1062"/>
      <c r="AJ90" s="1062"/>
      <c r="AK90" s="1062"/>
      <c r="AL90" s="1062"/>
      <c r="AM90" s="1062"/>
      <c r="AN90" s="1062"/>
      <c r="AO90" s="1062"/>
      <c r="AP90" s="1062"/>
      <c r="AQ90" s="1062"/>
      <c r="AR90" s="1062"/>
      <c r="AS90" s="1062"/>
      <c r="AT90" s="1062"/>
      <c r="AU90" s="1062"/>
      <c r="AV90" s="1062"/>
      <c r="AW90" s="1062"/>
      <c r="AX90" s="1062"/>
      <c r="AY90" s="1062"/>
      <c r="AZ90" s="1062"/>
      <c r="BA90" s="1062"/>
      <c r="BB90" s="1062"/>
      <c r="BC90" s="1062"/>
      <c r="BD90" s="1062"/>
      <c r="BE90" s="1062"/>
      <c r="BF90" s="1062"/>
      <c r="BG90" s="1062"/>
      <c r="BH90" s="1163"/>
      <c r="BI90" s="1163" t="s">
        <v>3017</v>
      </c>
      <c r="BJ90" s="1289"/>
      <c r="BK90" s="1618"/>
      <c r="BL90" s="1134"/>
      <c r="BM90" s="1134"/>
      <c r="BN90" s="1134" t="s">
        <v>298</v>
      </c>
      <c r="BO90" s="1136"/>
      <c r="BP90" s="1136"/>
      <c r="BQ90" s="1290"/>
      <c r="BR90" s="1297"/>
      <c r="BS90" s="1139"/>
      <c r="BT90" s="1135"/>
    </row>
    <row r="91" spans="1:72" s="1165" customFormat="1" ht="36" hidden="1" customHeight="1">
      <c r="A91" s="1060"/>
      <c r="B91" s="1133" t="s">
        <v>3267</v>
      </c>
      <c r="C91" s="1142" t="s">
        <v>3187</v>
      </c>
      <c r="D91" s="1134" t="s">
        <v>3087</v>
      </c>
      <c r="E91" s="1135" t="s">
        <v>44</v>
      </c>
      <c r="F91" s="1062">
        <f t="shared" si="0"/>
        <v>0.36</v>
      </c>
      <c r="G91" s="1062">
        <f>600*3/10000</f>
        <v>0.18</v>
      </c>
      <c r="H91" s="1062">
        <f t="shared" si="33"/>
        <v>0.18</v>
      </c>
      <c r="I91" s="1062">
        <v>2030</v>
      </c>
      <c r="J91" s="1062"/>
      <c r="K91" s="1062"/>
      <c r="L91" s="1062"/>
      <c r="M91" s="1062"/>
      <c r="N91" s="1062"/>
      <c r="O91" s="1062"/>
      <c r="P91" s="1062"/>
      <c r="Q91" s="1062"/>
      <c r="R91" s="1062"/>
      <c r="S91" s="1062">
        <v>0.18</v>
      </c>
      <c r="T91" s="1062"/>
      <c r="U91" s="1062"/>
      <c r="V91" s="1062"/>
      <c r="W91" s="1062"/>
      <c r="X91" s="1062"/>
      <c r="Y91" s="1062"/>
      <c r="Z91" s="1062"/>
      <c r="AA91" s="1062"/>
      <c r="AB91" s="1062"/>
      <c r="AC91" s="1062"/>
      <c r="AD91" s="1062"/>
      <c r="AE91" s="1062"/>
      <c r="AF91" s="1062"/>
      <c r="AG91" s="1062"/>
      <c r="AH91" s="1062"/>
      <c r="AI91" s="1062"/>
      <c r="AJ91" s="1062"/>
      <c r="AK91" s="1062"/>
      <c r="AL91" s="1062"/>
      <c r="AM91" s="1062"/>
      <c r="AN91" s="1062"/>
      <c r="AO91" s="1062"/>
      <c r="AP91" s="1062"/>
      <c r="AQ91" s="1062"/>
      <c r="AR91" s="1062"/>
      <c r="AS91" s="1062"/>
      <c r="AT91" s="1062"/>
      <c r="AU91" s="1062"/>
      <c r="AV91" s="1062"/>
      <c r="AW91" s="1062"/>
      <c r="AX91" s="1062"/>
      <c r="AY91" s="1062"/>
      <c r="AZ91" s="1062"/>
      <c r="BA91" s="1062"/>
      <c r="BB91" s="1062"/>
      <c r="BC91" s="1062"/>
      <c r="BD91" s="1062"/>
      <c r="BE91" s="1062"/>
      <c r="BF91" s="1062"/>
      <c r="BG91" s="1062"/>
      <c r="BH91" s="1142"/>
      <c r="BI91" s="1142" t="s">
        <v>3187</v>
      </c>
      <c r="BJ91" s="1289"/>
      <c r="BK91" s="1618"/>
      <c r="BL91" s="1134"/>
      <c r="BM91" s="1134"/>
      <c r="BN91" s="1134" t="s">
        <v>298</v>
      </c>
      <c r="BO91" s="1136"/>
      <c r="BP91" s="1136"/>
      <c r="BQ91" s="1290"/>
      <c r="BR91" s="1297"/>
      <c r="BS91" s="1139"/>
      <c r="BT91" s="1135"/>
    </row>
    <row r="92" spans="1:72" s="1165" customFormat="1" ht="62.45" hidden="1" customHeight="1">
      <c r="A92" s="1060"/>
      <c r="B92" s="1295" t="s">
        <v>3268</v>
      </c>
      <c r="C92" s="1296" t="s">
        <v>3026</v>
      </c>
      <c r="D92" s="1134" t="s">
        <v>3087</v>
      </c>
      <c r="E92" s="1135" t="s">
        <v>44</v>
      </c>
      <c r="F92" s="1062">
        <f t="shared" si="0"/>
        <v>0.76</v>
      </c>
      <c r="G92" s="1062">
        <v>0.1</v>
      </c>
      <c r="H92" s="1062">
        <f t="shared" si="33"/>
        <v>0.66</v>
      </c>
      <c r="I92" s="1062">
        <v>2030</v>
      </c>
      <c r="J92" s="1062"/>
      <c r="K92" s="1062"/>
      <c r="L92" s="1062"/>
      <c r="M92" s="1062"/>
      <c r="N92" s="1062"/>
      <c r="O92" s="1062"/>
      <c r="P92" s="1062"/>
      <c r="Q92" s="1062"/>
      <c r="R92" s="1062"/>
      <c r="S92" s="1062">
        <v>0.66</v>
      </c>
      <c r="T92" s="1062"/>
      <c r="U92" s="1062"/>
      <c r="V92" s="1062"/>
      <c r="W92" s="1062"/>
      <c r="X92" s="1062"/>
      <c r="Y92" s="1062"/>
      <c r="Z92" s="1062"/>
      <c r="AA92" s="1062"/>
      <c r="AB92" s="1062"/>
      <c r="AC92" s="1062"/>
      <c r="AD92" s="1062"/>
      <c r="AE92" s="1062"/>
      <c r="AF92" s="1062"/>
      <c r="AG92" s="1062"/>
      <c r="AH92" s="1062"/>
      <c r="AI92" s="1062"/>
      <c r="AJ92" s="1062"/>
      <c r="AK92" s="1062"/>
      <c r="AL92" s="1062"/>
      <c r="AM92" s="1062"/>
      <c r="AN92" s="1062"/>
      <c r="AO92" s="1062"/>
      <c r="AP92" s="1062"/>
      <c r="AQ92" s="1062"/>
      <c r="AR92" s="1062"/>
      <c r="AS92" s="1062"/>
      <c r="AT92" s="1062"/>
      <c r="AU92" s="1062"/>
      <c r="AV92" s="1062"/>
      <c r="AW92" s="1062"/>
      <c r="AX92" s="1062"/>
      <c r="AY92" s="1062"/>
      <c r="AZ92" s="1062"/>
      <c r="BA92" s="1062"/>
      <c r="BB92" s="1062"/>
      <c r="BC92" s="1062"/>
      <c r="BD92" s="1062"/>
      <c r="BE92" s="1062"/>
      <c r="BF92" s="1062"/>
      <c r="BG92" s="1064"/>
      <c r="BH92" s="1063"/>
      <c r="BI92" s="1296" t="s">
        <v>3026</v>
      </c>
      <c r="BJ92" s="1289"/>
      <c r="BK92" s="1134" t="s">
        <v>3258</v>
      </c>
      <c r="BL92" s="1134"/>
      <c r="BM92" s="1134"/>
      <c r="BN92" s="1134" t="s">
        <v>298</v>
      </c>
      <c r="BO92" s="1136"/>
      <c r="BP92" s="1136"/>
      <c r="BQ92" s="1290"/>
      <c r="BR92" s="1297"/>
      <c r="BS92" s="1139"/>
      <c r="BT92" s="1135"/>
    </row>
    <row r="93" spans="1:72" s="1165" customFormat="1" ht="52.5" hidden="1" customHeight="1">
      <c r="A93" s="1060"/>
      <c r="B93" s="1298" t="s">
        <v>3269</v>
      </c>
      <c r="C93" s="1296" t="s">
        <v>3026</v>
      </c>
      <c r="D93" s="1134" t="s">
        <v>3087</v>
      </c>
      <c r="E93" s="1135" t="s">
        <v>44</v>
      </c>
      <c r="F93" s="1062">
        <f t="shared" si="0"/>
        <v>0.56000000000000005</v>
      </c>
      <c r="G93" s="1062">
        <f>1600*2/10000</f>
        <v>0.32</v>
      </c>
      <c r="H93" s="1062">
        <f t="shared" si="33"/>
        <v>0.24</v>
      </c>
      <c r="I93" s="1062">
        <v>2030</v>
      </c>
      <c r="J93" s="1062"/>
      <c r="K93" s="1062"/>
      <c r="L93" s="1062"/>
      <c r="M93" s="1062"/>
      <c r="N93" s="1062"/>
      <c r="O93" s="1062"/>
      <c r="P93" s="1062"/>
      <c r="Q93" s="1062"/>
      <c r="R93" s="1062"/>
      <c r="S93" s="1062">
        <v>0.24</v>
      </c>
      <c r="T93" s="1062"/>
      <c r="U93" s="1062"/>
      <c r="V93" s="1062"/>
      <c r="W93" s="1062"/>
      <c r="X93" s="1062"/>
      <c r="Y93" s="1062"/>
      <c r="Z93" s="1062"/>
      <c r="AA93" s="1062"/>
      <c r="AB93" s="1062"/>
      <c r="AC93" s="1062"/>
      <c r="AD93" s="1062"/>
      <c r="AE93" s="1062"/>
      <c r="AF93" s="1062"/>
      <c r="AG93" s="1062"/>
      <c r="AH93" s="1062"/>
      <c r="AI93" s="1062"/>
      <c r="AJ93" s="1062"/>
      <c r="AK93" s="1062"/>
      <c r="AL93" s="1062"/>
      <c r="AM93" s="1062"/>
      <c r="AN93" s="1062"/>
      <c r="AO93" s="1062"/>
      <c r="AP93" s="1062"/>
      <c r="AQ93" s="1062"/>
      <c r="AR93" s="1062"/>
      <c r="AS93" s="1062"/>
      <c r="AT93" s="1062"/>
      <c r="AU93" s="1062"/>
      <c r="AV93" s="1062"/>
      <c r="AW93" s="1062"/>
      <c r="AX93" s="1062"/>
      <c r="AY93" s="1062"/>
      <c r="AZ93" s="1062"/>
      <c r="BA93" s="1062"/>
      <c r="BB93" s="1062"/>
      <c r="BC93" s="1062"/>
      <c r="BD93" s="1062"/>
      <c r="BE93" s="1062"/>
      <c r="BF93" s="1062"/>
      <c r="BG93" s="1062"/>
      <c r="BH93" s="1063"/>
      <c r="BI93" s="1296" t="s">
        <v>3026</v>
      </c>
      <c r="BJ93" s="1289"/>
      <c r="BK93" s="1299" t="s">
        <v>3260</v>
      </c>
      <c r="BL93" s="1134"/>
      <c r="BM93" s="1134"/>
      <c r="BN93" s="1134" t="s">
        <v>298</v>
      </c>
      <c r="BO93" s="1136"/>
      <c r="BP93" s="1136"/>
      <c r="BQ93" s="1290"/>
      <c r="BR93" s="1297"/>
      <c r="BS93" s="1139"/>
      <c r="BT93" s="1135"/>
    </row>
    <row r="94" spans="1:72" ht="24" customHeight="1">
      <c r="A94" s="1023" t="s">
        <v>362</v>
      </c>
      <c r="B94" s="1207" t="s">
        <v>2758</v>
      </c>
      <c r="C94" s="1127"/>
      <c r="D94" s="1127"/>
      <c r="E94" s="1118"/>
      <c r="F94" s="1026">
        <f t="shared" si="0"/>
        <v>0.32</v>
      </c>
      <c r="G94" s="1026">
        <f>SUM(G95:G95)</f>
        <v>0</v>
      </c>
      <c r="H94" s="1026">
        <f>SUM(J94:BF94)</f>
        <v>0.32</v>
      </c>
      <c r="I94" s="1029"/>
      <c r="J94" s="1026">
        <f>SUM(J95)</f>
        <v>0</v>
      </c>
      <c r="K94" s="1026">
        <f t="shared" ref="K94:BH94" si="38">SUM(K95)</f>
        <v>0</v>
      </c>
      <c r="L94" s="1026">
        <f t="shared" si="38"/>
        <v>0</v>
      </c>
      <c r="M94" s="1026">
        <f t="shared" si="38"/>
        <v>0</v>
      </c>
      <c r="N94" s="1026">
        <f t="shared" si="38"/>
        <v>0</v>
      </c>
      <c r="O94" s="1026">
        <f t="shared" si="38"/>
        <v>0</v>
      </c>
      <c r="P94" s="1026">
        <f t="shared" si="38"/>
        <v>0</v>
      </c>
      <c r="Q94" s="1026">
        <f t="shared" si="38"/>
        <v>0</v>
      </c>
      <c r="R94" s="1026">
        <f t="shared" si="38"/>
        <v>0</v>
      </c>
      <c r="S94" s="1026">
        <f t="shared" si="38"/>
        <v>0.32</v>
      </c>
      <c r="T94" s="1026">
        <f t="shared" si="38"/>
        <v>0</v>
      </c>
      <c r="U94" s="1026">
        <f t="shared" si="38"/>
        <v>0</v>
      </c>
      <c r="V94" s="1026">
        <f t="shared" si="38"/>
        <v>0</v>
      </c>
      <c r="W94" s="1026">
        <f t="shared" si="38"/>
        <v>0</v>
      </c>
      <c r="X94" s="1026">
        <f t="shared" si="38"/>
        <v>0</v>
      </c>
      <c r="Y94" s="1026">
        <f t="shared" si="38"/>
        <v>0</v>
      </c>
      <c r="Z94" s="1026">
        <f t="shared" si="38"/>
        <v>0</v>
      </c>
      <c r="AA94" s="1026">
        <f t="shared" si="38"/>
        <v>0</v>
      </c>
      <c r="AB94" s="1026">
        <f t="shared" si="38"/>
        <v>0</v>
      </c>
      <c r="AC94" s="1026">
        <f t="shared" si="38"/>
        <v>0</v>
      </c>
      <c r="AD94" s="1026">
        <f t="shared" si="38"/>
        <v>0</v>
      </c>
      <c r="AE94" s="1026">
        <f t="shared" si="38"/>
        <v>0</v>
      </c>
      <c r="AF94" s="1026">
        <f t="shared" si="38"/>
        <v>0</v>
      </c>
      <c r="AG94" s="1026">
        <f t="shared" si="38"/>
        <v>0</v>
      </c>
      <c r="AH94" s="1026">
        <f t="shared" si="38"/>
        <v>0</v>
      </c>
      <c r="AI94" s="1026">
        <f t="shared" si="38"/>
        <v>0</v>
      </c>
      <c r="AJ94" s="1026">
        <f t="shared" si="38"/>
        <v>0</v>
      </c>
      <c r="AK94" s="1026">
        <f t="shared" si="38"/>
        <v>0</v>
      </c>
      <c r="AL94" s="1026">
        <f t="shared" si="38"/>
        <v>0</v>
      </c>
      <c r="AM94" s="1026">
        <f t="shared" si="38"/>
        <v>0</v>
      </c>
      <c r="AN94" s="1026">
        <f t="shared" si="38"/>
        <v>0</v>
      </c>
      <c r="AO94" s="1026">
        <f t="shared" si="38"/>
        <v>0</v>
      </c>
      <c r="AP94" s="1026">
        <f t="shared" si="38"/>
        <v>0</v>
      </c>
      <c r="AQ94" s="1026">
        <f t="shared" si="38"/>
        <v>0</v>
      </c>
      <c r="AR94" s="1026">
        <f t="shared" si="38"/>
        <v>0</v>
      </c>
      <c r="AS94" s="1026">
        <f t="shared" si="38"/>
        <v>0</v>
      </c>
      <c r="AT94" s="1026">
        <f t="shared" si="38"/>
        <v>0</v>
      </c>
      <c r="AU94" s="1026">
        <f t="shared" si="38"/>
        <v>0</v>
      </c>
      <c r="AV94" s="1026">
        <f t="shared" si="38"/>
        <v>0</v>
      </c>
      <c r="AW94" s="1026">
        <f t="shared" si="38"/>
        <v>0</v>
      </c>
      <c r="AX94" s="1026">
        <f t="shared" si="38"/>
        <v>0</v>
      </c>
      <c r="AY94" s="1026">
        <f t="shared" si="38"/>
        <v>0</v>
      </c>
      <c r="AZ94" s="1026">
        <f t="shared" si="38"/>
        <v>0</v>
      </c>
      <c r="BA94" s="1026">
        <f t="shared" si="38"/>
        <v>0</v>
      </c>
      <c r="BB94" s="1026">
        <f t="shared" si="38"/>
        <v>0</v>
      </c>
      <c r="BC94" s="1026">
        <f t="shared" si="38"/>
        <v>0</v>
      </c>
      <c r="BD94" s="1026">
        <f t="shared" si="38"/>
        <v>0</v>
      </c>
      <c r="BE94" s="1026">
        <f t="shared" si="38"/>
        <v>0</v>
      </c>
      <c r="BF94" s="1026">
        <f t="shared" si="38"/>
        <v>0</v>
      </c>
      <c r="BG94" s="1027">
        <f t="shared" si="38"/>
        <v>0</v>
      </c>
      <c r="BH94" s="1027">
        <f t="shared" si="38"/>
        <v>0</v>
      </c>
      <c r="BI94" s="1127"/>
      <c r="BJ94" s="1120"/>
      <c r="BK94" s="1120"/>
      <c r="BL94" s="1120"/>
      <c r="BM94" s="1120"/>
      <c r="BN94" s="1120"/>
      <c r="BS94" s="1124"/>
      <c r="BT94" s="1118"/>
    </row>
    <row r="95" spans="1:72" s="1308" customFormat="1" ht="122.1" customHeight="1">
      <c r="A95" s="1303">
        <f>A79+1</f>
        <v>37</v>
      </c>
      <c r="B95" s="1304" t="s">
        <v>3270</v>
      </c>
      <c r="C95" s="1120" t="s">
        <v>3014</v>
      </c>
      <c r="D95" s="1120" t="s">
        <v>3087</v>
      </c>
      <c r="E95" s="1032" t="s">
        <v>45</v>
      </c>
      <c r="F95" s="1029">
        <f t="shared" si="0"/>
        <v>0.32</v>
      </c>
      <c r="G95" s="1031"/>
      <c r="H95" s="1029">
        <f>SUM(J95:BF95)</f>
        <v>0.32</v>
      </c>
      <c r="I95" s="1029">
        <v>2030</v>
      </c>
      <c r="J95" s="1031"/>
      <c r="K95" s="1031"/>
      <c r="L95" s="1031"/>
      <c r="M95" s="1031"/>
      <c r="N95" s="1031"/>
      <c r="O95" s="1031"/>
      <c r="P95" s="1031"/>
      <c r="Q95" s="1031"/>
      <c r="R95" s="1031"/>
      <c r="S95" s="1031">
        <v>0.32</v>
      </c>
      <c r="T95" s="1031"/>
      <c r="U95" s="1031"/>
      <c r="V95" s="1031"/>
      <c r="W95" s="1031"/>
      <c r="X95" s="1031"/>
      <c r="Y95" s="1031"/>
      <c r="Z95" s="1031"/>
      <c r="AA95" s="1031"/>
      <c r="AB95" s="1031"/>
      <c r="AC95" s="1031"/>
      <c r="AD95" s="1031"/>
      <c r="AE95" s="1031"/>
      <c r="AF95" s="1031"/>
      <c r="AG95" s="1031"/>
      <c r="AH95" s="1031"/>
      <c r="AI95" s="1031"/>
      <c r="AJ95" s="1031"/>
      <c r="AK95" s="1031"/>
      <c r="AL95" s="1031"/>
      <c r="AM95" s="1031"/>
      <c r="AN95" s="1031"/>
      <c r="AO95" s="1031"/>
      <c r="AP95" s="1031"/>
      <c r="AQ95" s="1031"/>
      <c r="AR95" s="1031"/>
      <c r="AS95" s="1031"/>
      <c r="AT95" s="1031"/>
      <c r="AU95" s="1031"/>
      <c r="AV95" s="1031"/>
      <c r="AW95" s="1031"/>
      <c r="AX95" s="1031"/>
      <c r="AY95" s="1031"/>
      <c r="AZ95" s="1031"/>
      <c r="BA95" s="1031"/>
      <c r="BB95" s="1031"/>
      <c r="BC95" s="1031"/>
      <c r="BD95" s="1031"/>
      <c r="BE95" s="1031"/>
      <c r="BF95" s="1031"/>
      <c r="BG95" s="1031"/>
      <c r="BH95" s="1031"/>
      <c r="BI95" s="1120" t="s">
        <v>3271</v>
      </c>
      <c r="BJ95" s="1120"/>
      <c r="BK95" s="1120" t="s">
        <v>3272</v>
      </c>
      <c r="BL95" s="1120" t="s">
        <v>1917</v>
      </c>
      <c r="BM95" s="1120" t="s">
        <v>3273</v>
      </c>
      <c r="BN95" s="1120" t="s">
        <v>3192</v>
      </c>
      <c r="BO95" s="1305"/>
      <c r="BP95" s="1179">
        <v>1</v>
      </c>
      <c r="BQ95" s="1246" t="s">
        <v>3185</v>
      </c>
      <c r="BR95" s="1232" t="s">
        <v>3274</v>
      </c>
      <c r="BS95" s="1306" t="s">
        <v>3184</v>
      </c>
      <c r="BT95" s="1307"/>
    </row>
    <row r="96" spans="1:72" s="1315" customFormat="1" ht="30.6" customHeight="1">
      <c r="A96" s="1309" t="s">
        <v>378</v>
      </c>
      <c r="B96" s="1310" t="s">
        <v>2770</v>
      </c>
      <c r="C96" s="1208"/>
      <c r="D96" s="1208"/>
      <c r="E96" s="1068"/>
      <c r="F96" s="1026">
        <f t="shared" si="0"/>
        <v>0.03</v>
      </c>
      <c r="G96" s="1069"/>
      <c r="H96" s="1026">
        <f>SUM(J96:BC96)</f>
        <v>0.03</v>
      </c>
      <c r="I96" s="1029">
        <v>2030</v>
      </c>
      <c r="J96" s="1026">
        <f>SUM(J97:J99)</f>
        <v>0</v>
      </c>
      <c r="K96" s="1026">
        <f t="shared" ref="K96:BH96" si="39">SUM(K97:K99)</f>
        <v>0</v>
      </c>
      <c r="L96" s="1026">
        <f t="shared" si="39"/>
        <v>0</v>
      </c>
      <c r="M96" s="1026">
        <f t="shared" si="39"/>
        <v>0</v>
      </c>
      <c r="N96" s="1026">
        <f t="shared" si="39"/>
        <v>0</v>
      </c>
      <c r="O96" s="1026">
        <f t="shared" si="39"/>
        <v>0</v>
      </c>
      <c r="P96" s="1026">
        <f t="shared" si="39"/>
        <v>0</v>
      </c>
      <c r="Q96" s="1026">
        <f t="shared" si="39"/>
        <v>0</v>
      </c>
      <c r="R96" s="1026">
        <f t="shared" si="39"/>
        <v>0</v>
      </c>
      <c r="S96" s="1026">
        <f t="shared" si="39"/>
        <v>0.03</v>
      </c>
      <c r="T96" s="1026">
        <f t="shared" si="39"/>
        <v>0</v>
      </c>
      <c r="U96" s="1026">
        <f t="shared" si="39"/>
        <v>0</v>
      </c>
      <c r="V96" s="1026">
        <f t="shared" si="39"/>
        <v>0</v>
      </c>
      <c r="W96" s="1026">
        <f t="shared" si="39"/>
        <v>0</v>
      </c>
      <c r="X96" s="1026">
        <f t="shared" si="39"/>
        <v>0</v>
      </c>
      <c r="Y96" s="1026">
        <f t="shared" si="39"/>
        <v>0</v>
      </c>
      <c r="Z96" s="1026">
        <f t="shared" si="39"/>
        <v>0</v>
      </c>
      <c r="AA96" s="1026">
        <f t="shared" si="39"/>
        <v>0</v>
      </c>
      <c r="AB96" s="1026">
        <f t="shared" si="39"/>
        <v>0</v>
      </c>
      <c r="AC96" s="1026">
        <f t="shared" si="39"/>
        <v>0</v>
      </c>
      <c r="AD96" s="1026">
        <f t="shared" si="39"/>
        <v>0</v>
      </c>
      <c r="AE96" s="1026">
        <f t="shared" si="39"/>
        <v>0</v>
      </c>
      <c r="AF96" s="1026">
        <f t="shared" si="39"/>
        <v>0</v>
      </c>
      <c r="AG96" s="1026">
        <f t="shared" si="39"/>
        <v>0</v>
      </c>
      <c r="AH96" s="1026">
        <f t="shared" si="39"/>
        <v>0</v>
      </c>
      <c r="AI96" s="1026">
        <f t="shared" si="39"/>
        <v>0</v>
      </c>
      <c r="AJ96" s="1026">
        <f t="shared" si="39"/>
        <v>0</v>
      </c>
      <c r="AK96" s="1026">
        <f t="shared" si="39"/>
        <v>0</v>
      </c>
      <c r="AL96" s="1026">
        <f t="shared" si="39"/>
        <v>0</v>
      </c>
      <c r="AM96" s="1026">
        <f t="shared" si="39"/>
        <v>0</v>
      </c>
      <c r="AN96" s="1026">
        <f t="shared" si="39"/>
        <v>0</v>
      </c>
      <c r="AO96" s="1026">
        <f t="shared" si="39"/>
        <v>0</v>
      </c>
      <c r="AP96" s="1026">
        <f t="shared" si="39"/>
        <v>0</v>
      </c>
      <c r="AQ96" s="1026">
        <f t="shared" si="39"/>
        <v>0</v>
      </c>
      <c r="AR96" s="1026">
        <f t="shared" si="39"/>
        <v>0</v>
      </c>
      <c r="AS96" s="1026">
        <f t="shared" si="39"/>
        <v>0</v>
      </c>
      <c r="AT96" s="1026">
        <f t="shared" si="39"/>
        <v>0</v>
      </c>
      <c r="AU96" s="1026">
        <f t="shared" si="39"/>
        <v>0</v>
      </c>
      <c r="AV96" s="1026">
        <f t="shared" si="39"/>
        <v>0</v>
      </c>
      <c r="AW96" s="1026">
        <f t="shared" si="39"/>
        <v>0</v>
      </c>
      <c r="AX96" s="1026">
        <f t="shared" si="39"/>
        <v>0</v>
      </c>
      <c r="AY96" s="1026">
        <f t="shared" si="39"/>
        <v>0</v>
      </c>
      <c r="AZ96" s="1026">
        <f t="shared" si="39"/>
        <v>0</v>
      </c>
      <c r="BA96" s="1026">
        <f t="shared" si="39"/>
        <v>0</v>
      </c>
      <c r="BB96" s="1026">
        <f t="shared" si="39"/>
        <v>0</v>
      </c>
      <c r="BC96" s="1026">
        <f t="shared" si="39"/>
        <v>0</v>
      </c>
      <c r="BD96" s="1026">
        <f t="shared" si="39"/>
        <v>0</v>
      </c>
      <c r="BE96" s="1026">
        <f t="shared" si="39"/>
        <v>0</v>
      </c>
      <c r="BF96" s="1026">
        <f t="shared" si="39"/>
        <v>0</v>
      </c>
      <c r="BG96" s="1027">
        <f t="shared" si="39"/>
        <v>0</v>
      </c>
      <c r="BH96" s="1027">
        <f t="shared" si="39"/>
        <v>0</v>
      </c>
      <c r="BI96" s="1208"/>
      <c r="BJ96" s="1208"/>
      <c r="BK96" s="1208"/>
      <c r="BL96" s="1208"/>
      <c r="BM96" s="1208"/>
      <c r="BN96" s="1208"/>
      <c r="BO96" s="1311"/>
      <c r="BP96" s="1123"/>
      <c r="BQ96" s="1246"/>
      <c r="BR96" s="1312"/>
      <c r="BS96" s="1313"/>
      <c r="BT96" s="1314"/>
    </row>
    <row r="97" spans="1:72" ht="93.6" customHeight="1">
      <c r="A97" s="1303">
        <f>A95+1</f>
        <v>38</v>
      </c>
      <c r="B97" s="1316" t="s">
        <v>3275</v>
      </c>
      <c r="C97" s="1120" t="s">
        <v>3017</v>
      </c>
      <c r="D97" s="1120" t="s">
        <v>3087</v>
      </c>
      <c r="E97" s="1032" t="s">
        <v>2771</v>
      </c>
      <c r="F97" s="1029">
        <f t="shared" si="0"/>
        <v>0.01</v>
      </c>
      <c r="G97" s="1031"/>
      <c r="H97" s="1029">
        <f>SUM(J97:BC97)</f>
        <v>0.01</v>
      </c>
      <c r="I97" s="1029">
        <v>2030</v>
      </c>
      <c r="J97" s="1031"/>
      <c r="K97" s="1031"/>
      <c r="L97" s="1031"/>
      <c r="M97" s="1031"/>
      <c r="N97" s="1031"/>
      <c r="O97" s="1031"/>
      <c r="P97" s="1031"/>
      <c r="Q97" s="1031"/>
      <c r="R97" s="1031"/>
      <c r="S97" s="1031">
        <v>0.01</v>
      </c>
      <c r="T97" s="1031"/>
      <c r="U97" s="1031"/>
      <c r="V97" s="1031"/>
      <c r="W97" s="1031"/>
      <c r="X97" s="1031"/>
      <c r="Y97" s="1031"/>
      <c r="Z97" s="1031"/>
      <c r="AA97" s="1031"/>
      <c r="AB97" s="1031"/>
      <c r="AC97" s="1031"/>
      <c r="AD97" s="1031"/>
      <c r="AE97" s="1031"/>
      <c r="AF97" s="1031"/>
      <c r="AG97" s="1031"/>
      <c r="AH97" s="1031"/>
      <c r="AI97" s="1031"/>
      <c r="AJ97" s="1031"/>
      <c r="AK97" s="1031"/>
      <c r="AL97" s="1031"/>
      <c r="AM97" s="1031"/>
      <c r="AN97" s="1031"/>
      <c r="AO97" s="1031"/>
      <c r="AP97" s="1031"/>
      <c r="AQ97" s="1031"/>
      <c r="AR97" s="1031"/>
      <c r="AS97" s="1031"/>
      <c r="AT97" s="1031"/>
      <c r="AU97" s="1031"/>
      <c r="AV97" s="1031"/>
      <c r="AW97" s="1031"/>
      <c r="AX97" s="1031"/>
      <c r="AY97" s="1031"/>
      <c r="AZ97" s="1031"/>
      <c r="BA97" s="1031"/>
      <c r="BB97" s="1031"/>
      <c r="BC97" s="1031"/>
      <c r="BD97" s="1031"/>
      <c r="BE97" s="1031"/>
      <c r="BF97" s="1031"/>
      <c r="BG97" s="1031"/>
      <c r="BH97" s="1031"/>
      <c r="BI97" s="1120" t="s">
        <v>3276</v>
      </c>
      <c r="BJ97" s="1120"/>
      <c r="BK97" s="1120" t="s">
        <v>3238</v>
      </c>
      <c r="BL97" s="1120" t="s">
        <v>1917</v>
      </c>
      <c r="BM97" s="1120" t="s">
        <v>3277</v>
      </c>
      <c r="BN97" s="1120" t="s">
        <v>291</v>
      </c>
      <c r="BP97" s="1121">
        <v>1</v>
      </c>
      <c r="BQ97" s="1243" t="s">
        <v>3106</v>
      </c>
      <c r="BR97" s="1232" t="s">
        <v>3278</v>
      </c>
      <c r="BS97" s="1124" t="s">
        <v>291</v>
      </c>
      <c r="BT97" s="1118"/>
    </row>
    <row r="98" spans="1:72" ht="47.25" customHeight="1">
      <c r="A98" s="1303">
        <f>A97+1</f>
        <v>39</v>
      </c>
      <c r="B98" s="1316" t="s">
        <v>3279</v>
      </c>
      <c r="C98" s="1120" t="s">
        <v>3017</v>
      </c>
      <c r="D98" s="1120" t="s">
        <v>3087</v>
      </c>
      <c r="E98" s="1032" t="s">
        <v>2771</v>
      </c>
      <c r="F98" s="1029">
        <f>G98+H98</f>
        <v>0.01</v>
      </c>
      <c r="G98" s="1031"/>
      <c r="H98" s="1029">
        <f>SUM(J98:BF98)</f>
        <v>0.01</v>
      </c>
      <c r="I98" s="1029">
        <v>2030</v>
      </c>
      <c r="J98" s="1031"/>
      <c r="K98" s="1031"/>
      <c r="L98" s="1031"/>
      <c r="M98" s="1031"/>
      <c r="N98" s="1031"/>
      <c r="O98" s="1031"/>
      <c r="P98" s="1031"/>
      <c r="Q98" s="1031"/>
      <c r="R98" s="1031"/>
      <c r="S98" s="1031">
        <v>0.01</v>
      </c>
      <c r="T98" s="1031"/>
      <c r="U98" s="1031"/>
      <c r="V98" s="1031"/>
      <c r="W98" s="1031"/>
      <c r="X98" s="1031"/>
      <c r="Y98" s="1031"/>
      <c r="Z98" s="1031"/>
      <c r="AA98" s="1031"/>
      <c r="AB98" s="1031"/>
      <c r="AC98" s="1031"/>
      <c r="AD98" s="1031"/>
      <c r="AE98" s="1031"/>
      <c r="AF98" s="1031"/>
      <c r="AG98" s="1031"/>
      <c r="AH98" s="1031"/>
      <c r="AI98" s="1031"/>
      <c r="AJ98" s="1031"/>
      <c r="AK98" s="1031"/>
      <c r="AL98" s="1031"/>
      <c r="AM98" s="1031"/>
      <c r="AN98" s="1031"/>
      <c r="AO98" s="1031"/>
      <c r="AP98" s="1031"/>
      <c r="AQ98" s="1031"/>
      <c r="AR98" s="1031"/>
      <c r="AS98" s="1031"/>
      <c r="AT98" s="1031"/>
      <c r="AU98" s="1031"/>
      <c r="AV98" s="1031"/>
      <c r="AW98" s="1031"/>
      <c r="AX98" s="1031"/>
      <c r="AY98" s="1031"/>
      <c r="AZ98" s="1031"/>
      <c r="BA98" s="1031"/>
      <c r="BB98" s="1031"/>
      <c r="BC98" s="1031"/>
      <c r="BD98" s="1031"/>
      <c r="BE98" s="1031"/>
      <c r="BF98" s="1031"/>
      <c r="BG98" s="1031"/>
      <c r="BH98" s="1031"/>
      <c r="BI98" s="1120" t="s">
        <v>3017</v>
      </c>
      <c r="BJ98" s="1120"/>
      <c r="BK98" s="1120" t="s">
        <v>3254</v>
      </c>
      <c r="BL98" s="1120"/>
      <c r="BM98" s="1120"/>
      <c r="BN98" s="1120" t="s">
        <v>298</v>
      </c>
      <c r="BP98" s="1121">
        <v>1</v>
      </c>
      <c r="BQ98" s="1243"/>
      <c r="BS98" s="1124"/>
      <c r="BT98" s="1118"/>
    </row>
    <row r="99" spans="1:72" ht="98.45" customHeight="1">
      <c r="A99" s="1303">
        <f>A98+1</f>
        <v>40</v>
      </c>
      <c r="B99" s="1316" t="s">
        <v>3280</v>
      </c>
      <c r="C99" s="1120" t="s">
        <v>3014</v>
      </c>
      <c r="D99" s="1120" t="s">
        <v>3087</v>
      </c>
      <c r="E99" s="1032" t="s">
        <v>2771</v>
      </c>
      <c r="F99" s="1029">
        <f t="shared" ref="F99" si="40">G99+H99</f>
        <v>0.01</v>
      </c>
      <c r="G99" s="1031"/>
      <c r="H99" s="1029">
        <f>SUM(J99:BC99)</f>
        <v>0.01</v>
      </c>
      <c r="I99" s="1029">
        <v>2030</v>
      </c>
      <c r="J99" s="1031"/>
      <c r="K99" s="1031"/>
      <c r="L99" s="1031"/>
      <c r="M99" s="1031"/>
      <c r="N99" s="1031"/>
      <c r="O99" s="1031"/>
      <c r="P99" s="1031"/>
      <c r="Q99" s="1031"/>
      <c r="R99" s="1031"/>
      <c r="S99" s="1031">
        <v>0.01</v>
      </c>
      <c r="T99" s="1031"/>
      <c r="U99" s="1031"/>
      <c r="V99" s="1031"/>
      <c r="W99" s="1031"/>
      <c r="X99" s="1031"/>
      <c r="Y99" s="1031"/>
      <c r="Z99" s="1031"/>
      <c r="AA99" s="1031"/>
      <c r="AB99" s="1031"/>
      <c r="AC99" s="1031"/>
      <c r="AD99" s="1031"/>
      <c r="AE99" s="1031"/>
      <c r="AF99" s="1031"/>
      <c r="AG99" s="1031"/>
      <c r="AH99" s="1031"/>
      <c r="AI99" s="1031"/>
      <c r="AJ99" s="1031"/>
      <c r="AK99" s="1031"/>
      <c r="AL99" s="1031"/>
      <c r="AM99" s="1031"/>
      <c r="AN99" s="1031"/>
      <c r="AO99" s="1031"/>
      <c r="AP99" s="1031"/>
      <c r="AQ99" s="1031"/>
      <c r="AR99" s="1031"/>
      <c r="AS99" s="1031"/>
      <c r="AT99" s="1031"/>
      <c r="AU99" s="1031"/>
      <c r="AV99" s="1031"/>
      <c r="AW99" s="1031"/>
      <c r="AX99" s="1031"/>
      <c r="AY99" s="1031"/>
      <c r="AZ99" s="1031"/>
      <c r="BA99" s="1031"/>
      <c r="BB99" s="1031"/>
      <c r="BC99" s="1031"/>
      <c r="BD99" s="1031"/>
      <c r="BE99" s="1031"/>
      <c r="BF99" s="1031"/>
      <c r="BG99" s="1031"/>
      <c r="BH99" s="1031"/>
      <c r="BI99" s="1120" t="s">
        <v>3281</v>
      </c>
      <c r="BJ99" s="1120"/>
      <c r="BK99" s="1120" t="s">
        <v>3282</v>
      </c>
      <c r="BL99" s="1120"/>
      <c r="BM99" s="1120"/>
      <c r="BN99" s="1120" t="s">
        <v>298</v>
      </c>
      <c r="BP99" s="1121">
        <v>1</v>
      </c>
      <c r="BQ99" s="1243"/>
      <c r="BS99" s="1124"/>
      <c r="BT99" s="1118"/>
    </row>
    <row r="100" spans="1:72" s="1126" customFormat="1" ht="24" customHeight="1">
      <c r="A100" s="1023" t="s">
        <v>462</v>
      </c>
      <c r="B100" s="1207" t="s">
        <v>127</v>
      </c>
      <c r="C100" s="1222"/>
      <c r="D100" s="1222"/>
      <c r="E100" s="1125"/>
      <c r="F100" s="1026">
        <f t="shared" si="0"/>
        <v>0.83</v>
      </c>
      <c r="G100" s="1026">
        <f>SUM(G101:G105)</f>
        <v>0</v>
      </c>
      <c r="H100" s="1026">
        <f>SUM(J100:BF100)</f>
        <v>0.83</v>
      </c>
      <c r="I100" s="1029"/>
      <c r="J100" s="1026">
        <f t="shared" ref="J100:BH100" si="41">SUM(J101:J105)</f>
        <v>0.11000000000000001</v>
      </c>
      <c r="K100" s="1026">
        <f t="shared" si="41"/>
        <v>0.12</v>
      </c>
      <c r="L100" s="1026">
        <f t="shared" si="41"/>
        <v>0</v>
      </c>
      <c r="M100" s="1026">
        <f t="shared" si="41"/>
        <v>0.03</v>
      </c>
      <c r="N100" s="1026">
        <f t="shared" si="41"/>
        <v>7.0000000000000007E-2</v>
      </c>
      <c r="O100" s="1026">
        <f t="shared" si="41"/>
        <v>0</v>
      </c>
      <c r="P100" s="1026">
        <f t="shared" si="41"/>
        <v>0</v>
      </c>
      <c r="Q100" s="1026">
        <f t="shared" si="41"/>
        <v>0</v>
      </c>
      <c r="R100" s="1026">
        <f t="shared" si="41"/>
        <v>0</v>
      </c>
      <c r="S100" s="1026">
        <f t="shared" si="41"/>
        <v>0.33999999999999997</v>
      </c>
      <c r="T100" s="1026">
        <f t="shared" si="41"/>
        <v>0</v>
      </c>
      <c r="U100" s="1026">
        <f t="shared" si="41"/>
        <v>0</v>
      </c>
      <c r="V100" s="1026">
        <f t="shared" si="41"/>
        <v>0</v>
      </c>
      <c r="W100" s="1026">
        <f t="shared" si="41"/>
        <v>0</v>
      </c>
      <c r="X100" s="1026">
        <f t="shared" si="41"/>
        <v>0</v>
      </c>
      <c r="Y100" s="1026">
        <f t="shared" si="41"/>
        <v>0</v>
      </c>
      <c r="Z100" s="1026">
        <f t="shared" si="41"/>
        <v>0</v>
      </c>
      <c r="AA100" s="1026">
        <f t="shared" si="41"/>
        <v>0</v>
      </c>
      <c r="AB100" s="1026">
        <f t="shared" si="41"/>
        <v>0</v>
      </c>
      <c r="AC100" s="1026">
        <f t="shared" si="41"/>
        <v>0</v>
      </c>
      <c r="AD100" s="1026">
        <f t="shared" si="41"/>
        <v>0</v>
      </c>
      <c r="AE100" s="1026">
        <f t="shared" si="41"/>
        <v>0</v>
      </c>
      <c r="AF100" s="1026">
        <f t="shared" si="41"/>
        <v>0</v>
      </c>
      <c r="AG100" s="1026">
        <f t="shared" si="41"/>
        <v>0</v>
      </c>
      <c r="AH100" s="1026">
        <f t="shared" si="41"/>
        <v>0.05</v>
      </c>
      <c r="AI100" s="1026">
        <f t="shared" si="41"/>
        <v>0</v>
      </c>
      <c r="AJ100" s="1026">
        <f t="shared" si="41"/>
        <v>0</v>
      </c>
      <c r="AK100" s="1026">
        <f t="shared" si="41"/>
        <v>0</v>
      </c>
      <c r="AL100" s="1026">
        <f t="shared" si="41"/>
        <v>0</v>
      </c>
      <c r="AM100" s="1026">
        <f t="shared" si="41"/>
        <v>0</v>
      </c>
      <c r="AN100" s="1026">
        <f t="shared" si="41"/>
        <v>0</v>
      </c>
      <c r="AO100" s="1026">
        <f t="shared" si="41"/>
        <v>0</v>
      </c>
      <c r="AP100" s="1026">
        <f t="shared" si="41"/>
        <v>0</v>
      </c>
      <c r="AQ100" s="1026">
        <f t="shared" si="41"/>
        <v>0</v>
      </c>
      <c r="AR100" s="1026">
        <f t="shared" si="41"/>
        <v>0</v>
      </c>
      <c r="AS100" s="1026">
        <f t="shared" si="41"/>
        <v>0</v>
      </c>
      <c r="AT100" s="1026">
        <f t="shared" si="41"/>
        <v>0</v>
      </c>
      <c r="AU100" s="1026">
        <f t="shared" si="41"/>
        <v>0</v>
      </c>
      <c r="AV100" s="1026">
        <f t="shared" si="41"/>
        <v>0</v>
      </c>
      <c r="AW100" s="1026">
        <f t="shared" si="41"/>
        <v>0</v>
      </c>
      <c r="AX100" s="1026">
        <f t="shared" si="41"/>
        <v>0</v>
      </c>
      <c r="AY100" s="1026">
        <f t="shared" si="41"/>
        <v>0</v>
      </c>
      <c r="AZ100" s="1026">
        <f t="shared" si="41"/>
        <v>0</v>
      </c>
      <c r="BA100" s="1026">
        <f t="shared" si="41"/>
        <v>0</v>
      </c>
      <c r="BB100" s="1026">
        <f t="shared" si="41"/>
        <v>0</v>
      </c>
      <c r="BC100" s="1026">
        <f t="shared" si="41"/>
        <v>0</v>
      </c>
      <c r="BD100" s="1026">
        <f t="shared" si="41"/>
        <v>0</v>
      </c>
      <c r="BE100" s="1026">
        <f t="shared" si="41"/>
        <v>0</v>
      </c>
      <c r="BF100" s="1026">
        <f t="shared" si="41"/>
        <v>0.11</v>
      </c>
      <c r="BG100" s="1027">
        <f t="shared" si="41"/>
        <v>0</v>
      </c>
      <c r="BH100" s="1027">
        <f t="shared" si="41"/>
        <v>0</v>
      </c>
      <c r="BI100" s="1222"/>
      <c r="BJ100" s="1208"/>
      <c r="BK100" s="1208"/>
      <c r="BL100" s="1208"/>
      <c r="BM100" s="1208"/>
      <c r="BN100" s="1208"/>
      <c r="BO100" s="1122"/>
      <c r="BP100" s="1122"/>
      <c r="BQ100" s="1123"/>
      <c r="BR100" s="1123"/>
      <c r="BS100" s="1210"/>
      <c r="BT100" s="1125"/>
    </row>
    <row r="101" spans="1:72" ht="89.25" customHeight="1">
      <c r="A101" s="1028">
        <f>A99+1</f>
        <v>41</v>
      </c>
      <c r="B101" s="1070" t="s">
        <v>3283</v>
      </c>
      <c r="C101" s="1127" t="s">
        <v>3113</v>
      </c>
      <c r="D101" s="1120" t="s">
        <v>3087</v>
      </c>
      <c r="E101" s="1118" t="s">
        <v>48</v>
      </c>
      <c r="F101" s="1031">
        <f t="shared" si="0"/>
        <v>0.15999999999999998</v>
      </c>
      <c r="G101" s="1031"/>
      <c r="H101" s="1029">
        <f>SUM(J101:BF101)</f>
        <v>0.15999999999999998</v>
      </c>
      <c r="I101" s="1029">
        <v>2030</v>
      </c>
      <c r="J101" s="1031"/>
      <c r="K101" s="1031"/>
      <c r="L101" s="1031"/>
      <c r="M101" s="1031"/>
      <c r="N101" s="1031"/>
      <c r="O101" s="1031"/>
      <c r="P101" s="1031"/>
      <c r="Q101" s="1031"/>
      <c r="R101" s="1031"/>
      <c r="S101" s="1031">
        <f>0.25-0.01-0.08</f>
        <v>0.15999999999999998</v>
      </c>
      <c r="T101" s="1031"/>
      <c r="U101" s="1031"/>
      <c r="V101" s="1031"/>
      <c r="W101" s="1031"/>
      <c r="X101" s="1031"/>
      <c r="Y101" s="1031"/>
      <c r="Z101" s="1031"/>
      <c r="AA101" s="1031"/>
      <c r="AB101" s="1031"/>
      <c r="AC101" s="1031"/>
      <c r="AD101" s="1031"/>
      <c r="AE101" s="1031"/>
      <c r="AF101" s="1031"/>
      <c r="AG101" s="1031"/>
      <c r="AH101" s="1031"/>
      <c r="AI101" s="1031"/>
      <c r="AJ101" s="1031"/>
      <c r="AK101" s="1031"/>
      <c r="AL101" s="1031"/>
      <c r="AM101" s="1031"/>
      <c r="AN101" s="1031"/>
      <c r="AO101" s="1031"/>
      <c r="AP101" s="1031"/>
      <c r="AQ101" s="1031"/>
      <c r="AR101" s="1031"/>
      <c r="AS101" s="1031"/>
      <c r="AT101" s="1031"/>
      <c r="AU101" s="1031"/>
      <c r="AV101" s="1031"/>
      <c r="AW101" s="1031"/>
      <c r="AX101" s="1031"/>
      <c r="AY101" s="1031"/>
      <c r="AZ101" s="1031"/>
      <c r="BA101" s="1031"/>
      <c r="BB101" s="1031"/>
      <c r="BC101" s="1031"/>
      <c r="BD101" s="1031"/>
      <c r="BE101" s="1031"/>
      <c r="BF101" s="1031"/>
      <c r="BG101" s="1031"/>
      <c r="BH101" s="1031"/>
      <c r="BI101" s="1127" t="s">
        <v>3114</v>
      </c>
      <c r="BJ101" s="1120" t="s">
        <v>3284</v>
      </c>
      <c r="BK101" s="1120" t="s">
        <v>3238</v>
      </c>
      <c r="BL101" s="1120" t="s">
        <v>1917</v>
      </c>
      <c r="BM101" s="1120" t="s">
        <v>3285</v>
      </c>
      <c r="BN101" s="1120" t="s">
        <v>291</v>
      </c>
      <c r="BP101" s="1121">
        <v>1</v>
      </c>
      <c r="BQ101" s="1243" t="s">
        <v>3106</v>
      </c>
      <c r="BR101" s="1232" t="s">
        <v>3286</v>
      </c>
      <c r="BS101" s="1124" t="s">
        <v>291</v>
      </c>
      <c r="BT101" s="1118"/>
    </row>
    <row r="102" spans="1:72" s="1280" customFormat="1" ht="95.1" customHeight="1">
      <c r="A102" s="1028">
        <f>A101+1</f>
        <v>42</v>
      </c>
      <c r="B102" s="1317" t="s">
        <v>3287</v>
      </c>
      <c r="C102" s="1032" t="s">
        <v>3018</v>
      </c>
      <c r="D102" s="1120" t="s">
        <v>3087</v>
      </c>
      <c r="E102" s="1174" t="s">
        <v>48</v>
      </c>
      <c r="F102" s="1031">
        <f>G102+H102</f>
        <v>0.12000000000000001</v>
      </c>
      <c r="G102" s="1031"/>
      <c r="H102" s="1029">
        <f>SUM(J102:BH102)</f>
        <v>0.12000000000000001</v>
      </c>
      <c r="I102" s="1029">
        <v>2030</v>
      </c>
      <c r="J102" s="1071">
        <v>7.0000000000000007E-2</v>
      </c>
      <c r="K102" s="1029"/>
      <c r="L102" s="1029"/>
      <c r="M102" s="1029"/>
      <c r="N102" s="1029"/>
      <c r="O102" s="1029"/>
      <c r="P102" s="1029"/>
      <c r="Q102" s="1029"/>
      <c r="R102" s="1029"/>
      <c r="S102" s="1072"/>
      <c r="T102" s="1029"/>
      <c r="U102" s="1029"/>
      <c r="V102" s="1029"/>
      <c r="W102" s="1029"/>
      <c r="X102" s="1029"/>
      <c r="Y102" s="1029"/>
      <c r="Z102" s="1029"/>
      <c r="AA102" s="1029"/>
      <c r="AB102" s="1029"/>
      <c r="AC102" s="1029"/>
      <c r="AD102" s="1029"/>
      <c r="AE102" s="1029"/>
      <c r="AF102" s="1029"/>
      <c r="AG102" s="1029"/>
      <c r="AH102" s="1029"/>
      <c r="AI102" s="1029"/>
      <c r="AJ102" s="1029"/>
      <c r="AK102" s="1029"/>
      <c r="AL102" s="1029"/>
      <c r="AM102" s="1029"/>
      <c r="AN102" s="1029"/>
      <c r="AO102" s="1029"/>
      <c r="AP102" s="1029"/>
      <c r="AQ102" s="1029"/>
      <c r="AR102" s="1029"/>
      <c r="AS102" s="1029"/>
      <c r="AT102" s="1029"/>
      <c r="AU102" s="1029"/>
      <c r="AV102" s="1029"/>
      <c r="AW102" s="1029"/>
      <c r="AX102" s="1029"/>
      <c r="AY102" s="1029"/>
      <c r="AZ102" s="1029"/>
      <c r="BA102" s="1029"/>
      <c r="BB102" s="1029"/>
      <c r="BC102" s="1029"/>
      <c r="BD102" s="1029"/>
      <c r="BE102" s="1029"/>
      <c r="BF102" s="1073">
        <v>0.05</v>
      </c>
      <c r="BG102" s="1034"/>
      <c r="BH102" s="1034"/>
      <c r="BI102" s="1318" t="s">
        <v>3288</v>
      </c>
      <c r="BJ102" s="1074" t="s">
        <v>3289</v>
      </c>
      <c r="BK102" s="1120" t="s">
        <v>3290</v>
      </c>
      <c r="BL102" s="1120" t="s">
        <v>298</v>
      </c>
      <c r="BM102" s="1120" t="s">
        <v>3291</v>
      </c>
      <c r="BN102" s="1120" t="s">
        <v>298</v>
      </c>
      <c r="BO102" s="1177"/>
      <c r="BP102" s="1177">
        <v>1</v>
      </c>
      <c r="BQ102" s="1178"/>
      <c r="BR102" s="1178"/>
      <c r="BS102" s="1177"/>
      <c r="BT102" s="1177"/>
    </row>
    <row r="103" spans="1:72" s="1280" customFormat="1" ht="107.45" customHeight="1">
      <c r="A103" s="1028">
        <f t="shared" ref="A103:A105" si="42">A102+1</f>
        <v>43</v>
      </c>
      <c r="B103" s="1130" t="s">
        <v>3292</v>
      </c>
      <c r="C103" s="1032" t="s">
        <v>3020</v>
      </c>
      <c r="D103" s="1120" t="s">
        <v>3087</v>
      </c>
      <c r="E103" s="1174" t="s">
        <v>48</v>
      </c>
      <c r="F103" s="1031">
        <v>0.3</v>
      </c>
      <c r="G103" s="1031"/>
      <c r="H103" s="1029">
        <f>SUM(J103:BH103)</f>
        <v>0.3</v>
      </c>
      <c r="I103" s="1029">
        <v>2030</v>
      </c>
      <c r="J103" s="1029"/>
      <c r="K103" s="1029">
        <v>0.12</v>
      </c>
      <c r="L103" s="1029"/>
      <c r="M103" s="1029"/>
      <c r="N103" s="1029"/>
      <c r="O103" s="1029"/>
      <c r="P103" s="1029"/>
      <c r="Q103" s="1029"/>
      <c r="R103" s="1029"/>
      <c r="S103" s="1072">
        <v>0.18</v>
      </c>
      <c r="T103" s="1029"/>
      <c r="U103" s="1029"/>
      <c r="V103" s="1029"/>
      <c r="W103" s="1029"/>
      <c r="X103" s="1029"/>
      <c r="Y103" s="1029"/>
      <c r="Z103" s="1029"/>
      <c r="AA103" s="1029"/>
      <c r="AB103" s="1029"/>
      <c r="AC103" s="1029"/>
      <c r="AD103" s="1029"/>
      <c r="AE103" s="1029"/>
      <c r="AF103" s="1029"/>
      <c r="AG103" s="1029"/>
      <c r="AH103" s="1029"/>
      <c r="AI103" s="1029"/>
      <c r="AJ103" s="1029"/>
      <c r="AK103" s="1029"/>
      <c r="AL103" s="1029"/>
      <c r="AM103" s="1029"/>
      <c r="AN103" s="1029"/>
      <c r="AO103" s="1029"/>
      <c r="AP103" s="1029"/>
      <c r="AQ103" s="1029"/>
      <c r="AR103" s="1029"/>
      <c r="AS103" s="1029"/>
      <c r="AT103" s="1029"/>
      <c r="AU103" s="1029"/>
      <c r="AV103" s="1029"/>
      <c r="AW103" s="1029"/>
      <c r="AX103" s="1029"/>
      <c r="AY103" s="1029"/>
      <c r="AZ103" s="1029"/>
      <c r="BA103" s="1029"/>
      <c r="BB103" s="1029"/>
      <c r="BC103" s="1029"/>
      <c r="BD103" s="1029"/>
      <c r="BE103" s="1029"/>
      <c r="BF103" s="1029"/>
      <c r="BG103" s="1034"/>
      <c r="BH103" s="1034"/>
      <c r="BI103" s="1120" t="s">
        <v>3293</v>
      </c>
      <c r="BJ103" s="1120" t="s">
        <v>3294</v>
      </c>
      <c r="BK103" s="1120" t="s">
        <v>3295</v>
      </c>
      <c r="BL103" s="1120" t="s">
        <v>298</v>
      </c>
      <c r="BM103" s="1120" t="s">
        <v>3291</v>
      </c>
      <c r="BN103" s="1120" t="s">
        <v>298</v>
      </c>
      <c r="BO103" s="1177"/>
      <c r="BP103" s="1177">
        <v>1</v>
      </c>
      <c r="BQ103" s="1178"/>
      <c r="BR103" s="1178"/>
      <c r="BS103" s="1177"/>
      <c r="BT103" s="1177"/>
    </row>
    <row r="104" spans="1:72" s="1280" customFormat="1" ht="105" customHeight="1">
      <c r="A104" s="1028">
        <f t="shared" si="42"/>
        <v>44</v>
      </c>
      <c r="B104" s="1317" t="s">
        <v>3296</v>
      </c>
      <c r="C104" s="1032" t="s">
        <v>3017</v>
      </c>
      <c r="D104" s="1120" t="s">
        <v>3087</v>
      </c>
      <c r="E104" s="1174" t="s">
        <v>48</v>
      </c>
      <c r="F104" s="1031">
        <f>G104+H104</f>
        <v>0.09</v>
      </c>
      <c r="G104" s="1031"/>
      <c r="H104" s="1029">
        <f>SUM(J104:BH104)</f>
        <v>0.09</v>
      </c>
      <c r="I104" s="1029">
        <v>2030</v>
      </c>
      <c r="J104" s="1029">
        <v>0.04</v>
      </c>
      <c r="K104" s="1029"/>
      <c r="L104" s="1029"/>
      <c r="M104" s="1029"/>
      <c r="N104" s="1029"/>
      <c r="O104" s="1029"/>
      <c r="P104" s="1029"/>
      <c r="Q104" s="1029"/>
      <c r="R104" s="1029"/>
      <c r="S104" s="1072"/>
      <c r="T104" s="1029"/>
      <c r="U104" s="1029"/>
      <c r="V104" s="1029"/>
      <c r="W104" s="1029"/>
      <c r="X104" s="1029"/>
      <c r="Y104" s="1029"/>
      <c r="Z104" s="1029"/>
      <c r="AA104" s="1029"/>
      <c r="AB104" s="1029"/>
      <c r="AC104" s="1029"/>
      <c r="AD104" s="1029"/>
      <c r="AE104" s="1029"/>
      <c r="AF104" s="1029"/>
      <c r="AG104" s="1029"/>
      <c r="AH104" s="1029">
        <v>0.05</v>
      </c>
      <c r="AI104" s="1029"/>
      <c r="AJ104" s="1029"/>
      <c r="AK104" s="1029"/>
      <c r="AL104" s="1029"/>
      <c r="AM104" s="1029"/>
      <c r="AN104" s="1029"/>
      <c r="AO104" s="1029"/>
      <c r="AP104" s="1029"/>
      <c r="AQ104" s="1029"/>
      <c r="AR104" s="1029"/>
      <c r="AS104" s="1029"/>
      <c r="AT104" s="1029"/>
      <c r="AU104" s="1029"/>
      <c r="AV104" s="1029"/>
      <c r="AW104" s="1029"/>
      <c r="AX104" s="1029"/>
      <c r="AY104" s="1029"/>
      <c r="AZ104" s="1029"/>
      <c r="BA104" s="1029"/>
      <c r="BB104" s="1029"/>
      <c r="BC104" s="1029"/>
      <c r="BD104" s="1029"/>
      <c r="BE104" s="1029"/>
      <c r="BF104" s="1029"/>
      <c r="BG104" s="1034"/>
      <c r="BH104" s="1034"/>
      <c r="BI104" s="1120" t="s">
        <v>3297</v>
      </c>
      <c r="BJ104" s="1248" t="s">
        <v>3298</v>
      </c>
      <c r="BK104" s="1120" t="s">
        <v>3290</v>
      </c>
      <c r="BL104" s="1120" t="s">
        <v>298</v>
      </c>
      <c r="BM104" s="1120" t="s">
        <v>3291</v>
      </c>
      <c r="BN104" s="1120" t="s">
        <v>298</v>
      </c>
      <c r="BO104" s="1177"/>
      <c r="BP104" s="1177">
        <v>1</v>
      </c>
      <c r="BQ104" s="1178"/>
      <c r="BR104" s="1178"/>
      <c r="BS104" s="1177"/>
      <c r="BT104" s="1177"/>
    </row>
    <row r="105" spans="1:72" s="1280" customFormat="1" ht="81" customHeight="1">
      <c r="A105" s="1028">
        <f t="shared" si="42"/>
        <v>45</v>
      </c>
      <c r="B105" s="1317" t="s">
        <v>3299</v>
      </c>
      <c r="C105" s="1032" t="s">
        <v>3028</v>
      </c>
      <c r="D105" s="1120" t="s">
        <v>3087</v>
      </c>
      <c r="E105" s="1174" t="s">
        <v>48</v>
      </c>
      <c r="F105" s="1031">
        <f>G105+H105</f>
        <v>0.16</v>
      </c>
      <c r="G105" s="1031"/>
      <c r="H105" s="1029">
        <f>SUM(J105:BH105)</f>
        <v>0.16</v>
      </c>
      <c r="I105" s="1029">
        <v>2030</v>
      </c>
      <c r="J105" s="1071"/>
      <c r="K105" s="1029"/>
      <c r="L105" s="1029"/>
      <c r="M105" s="1029">
        <v>0.03</v>
      </c>
      <c r="N105" s="1029">
        <v>7.0000000000000007E-2</v>
      </c>
      <c r="O105" s="1029"/>
      <c r="P105" s="1029"/>
      <c r="Q105" s="1029"/>
      <c r="R105" s="1029"/>
      <c r="S105" s="1072"/>
      <c r="T105" s="1029"/>
      <c r="U105" s="1029"/>
      <c r="V105" s="1029"/>
      <c r="W105" s="1029"/>
      <c r="X105" s="1029"/>
      <c r="Y105" s="1029"/>
      <c r="Z105" s="1029"/>
      <c r="AA105" s="1029"/>
      <c r="AB105" s="1029"/>
      <c r="AC105" s="1029"/>
      <c r="AD105" s="1029"/>
      <c r="AE105" s="1029"/>
      <c r="AF105" s="1029"/>
      <c r="AG105" s="1029"/>
      <c r="AH105" s="1029"/>
      <c r="AI105" s="1029"/>
      <c r="AJ105" s="1029"/>
      <c r="AK105" s="1029"/>
      <c r="AL105" s="1029"/>
      <c r="AM105" s="1029"/>
      <c r="AN105" s="1029"/>
      <c r="AO105" s="1029"/>
      <c r="AP105" s="1029"/>
      <c r="AQ105" s="1029"/>
      <c r="AR105" s="1029"/>
      <c r="AS105" s="1029"/>
      <c r="AT105" s="1029"/>
      <c r="AU105" s="1029"/>
      <c r="AV105" s="1029"/>
      <c r="AW105" s="1029"/>
      <c r="AX105" s="1029"/>
      <c r="AY105" s="1029"/>
      <c r="AZ105" s="1029"/>
      <c r="BA105" s="1029"/>
      <c r="BB105" s="1029"/>
      <c r="BC105" s="1029"/>
      <c r="BD105" s="1029"/>
      <c r="BE105" s="1029"/>
      <c r="BF105" s="1029">
        <v>0.06</v>
      </c>
      <c r="BG105" s="1034"/>
      <c r="BH105" s="1034"/>
      <c r="BI105" s="1319" t="s">
        <v>3121</v>
      </c>
      <c r="BJ105" s="1319" t="s">
        <v>3300</v>
      </c>
      <c r="BK105" s="1120" t="s">
        <v>3290</v>
      </c>
      <c r="BL105" s="1120" t="s">
        <v>298</v>
      </c>
      <c r="BM105" s="1120" t="s">
        <v>3291</v>
      </c>
      <c r="BN105" s="1120" t="s">
        <v>298</v>
      </c>
      <c r="BO105" s="1177"/>
      <c r="BP105" s="1177">
        <v>1</v>
      </c>
      <c r="BQ105" s="1178"/>
      <c r="BR105" s="1178"/>
      <c r="BS105" s="1177"/>
      <c r="BT105" s="1177"/>
    </row>
    <row r="106" spans="1:72" s="1081" customFormat="1" ht="29.25" customHeight="1">
      <c r="A106" s="1075" t="s">
        <v>551</v>
      </c>
      <c r="B106" s="1076" t="s">
        <v>2307</v>
      </c>
      <c r="C106" s="1024"/>
      <c r="D106" s="1024"/>
      <c r="E106" s="1024"/>
      <c r="F106" s="1026">
        <f t="shared" ref="F106:F213" si="43">G106+H106</f>
        <v>0.27</v>
      </c>
      <c r="G106" s="1069"/>
      <c r="H106" s="1026">
        <f>SUM(J106:BF106)</f>
        <v>0.27</v>
      </c>
      <c r="I106" s="1029"/>
      <c r="J106" s="1026">
        <f>SUM(J107:J107)</f>
        <v>0</v>
      </c>
      <c r="K106" s="1026">
        <f t="shared" ref="K106:BF106" si="44">SUM(K107:K107)</f>
        <v>0</v>
      </c>
      <c r="L106" s="1026"/>
      <c r="M106" s="1026">
        <f t="shared" si="44"/>
        <v>0.25</v>
      </c>
      <c r="N106" s="1026">
        <f t="shared" si="44"/>
        <v>0</v>
      </c>
      <c r="O106" s="1026">
        <f t="shared" si="44"/>
        <v>0</v>
      </c>
      <c r="P106" s="1026"/>
      <c r="Q106" s="1026"/>
      <c r="R106" s="1026"/>
      <c r="S106" s="1026">
        <f t="shared" si="44"/>
        <v>0</v>
      </c>
      <c r="T106" s="1026">
        <f t="shared" si="44"/>
        <v>0</v>
      </c>
      <c r="U106" s="1026">
        <f t="shared" si="44"/>
        <v>0</v>
      </c>
      <c r="V106" s="1026"/>
      <c r="W106" s="1026">
        <f t="shared" si="44"/>
        <v>0</v>
      </c>
      <c r="X106" s="1026"/>
      <c r="Y106" s="1026"/>
      <c r="Z106" s="1026"/>
      <c r="AA106" s="1026">
        <f t="shared" si="44"/>
        <v>0</v>
      </c>
      <c r="AB106" s="1026">
        <f t="shared" si="44"/>
        <v>0</v>
      </c>
      <c r="AC106" s="1026">
        <f t="shared" si="44"/>
        <v>0</v>
      </c>
      <c r="AD106" s="1026">
        <f t="shared" si="44"/>
        <v>0</v>
      </c>
      <c r="AE106" s="1026">
        <f t="shared" si="44"/>
        <v>0</v>
      </c>
      <c r="AF106" s="1026">
        <f t="shared" si="44"/>
        <v>0</v>
      </c>
      <c r="AG106" s="1026">
        <f t="shared" si="44"/>
        <v>0</v>
      </c>
      <c r="AH106" s="1026">
        <f t="shared" si="44"/>
        <v>0</v>
      </c>
      <c r="AI106" s="1026">
        <f t="shared" si="44"/>
        <v>0</v>
      </c>
      <c r="AJ106" s="1026">
        <f t="shared" si="44"/>
        <v>0</v>
      </c>
      <c r="AK106" s="1026"/>
      <c r="AL106" s="1026"/>
      <c r="AM106" s="1026"/>
      <c r="AN106" s="1026"/>
      <c r="AO106" s="1026"/>
      <c r="AP106" s="1026"/>
      <c r="AQ106" s="1026">
        <f t="shared" si="44"/>
        <v>0</v>
      </c>
      <c r="AR106" s="1026"/>
      <c r="AS106" s="1026"/>
      <c r="AT106" s="1026">
        <f t="shared" si="44"/>
        <v>0</v>
      </c>
      <c r="AU106" s="1026"/>
      <c r="AV106" s="1026"/>
      <c r="AW106" s="1026">
        <f t="shared" si="44"/>
        <v>0</v>
      </c>
      <c r="AX106" s="1026">
        <f t="shared" si="44"/>
        <v>0</v>
      </c>
      <c r="AY106" s="1026">
        <f t="shared" si="44"/>
        <v>0</v>
      </c>
      <c r="AZ106" s="1026">
        <f t="shared" si="44"/>
        <v>0</v>
      </c>
      <c r="BA106" s="1026"/>
      <c r="BB106" s="1026">
        <f t="shared" si="44"/>
        <v>0</v>
      </c>
      <c r="BC106" s="1026">
        <f t="shared" si="44"/>
        <v>0</v>
      </c>
      <c r="BD106" s="1026"/>
      <c r="BE106" s="1026"/>
      <c r="BF106" s="1026">
        <f t="shared" si="44"/>
        <v>0.02</v>
      </c>
      <c r="BG106" s="1027"/>
      <c r="BH106" s="1027"/>
      <c r="BI106" s="1024"/>
      <c r="BJ106" s="1024"/>
      <c r="BK106" s="1024"/>
      <c r="BL106" s="1024"/>
      <c r="BM106" s="1024"/>
      <c r="BN106" s="1120"/>
      <c r="BO106" s="1077"/>
      <c r="BP106" s="1077"/>
      <c r="BQ106" s="1078"/>
      <c r="BR106" s="1078"/>
      <c r="BS106" s="1079"/>
      <c r="BT106" s="1080"/>
    </row>
    <row r="107" spans="1:72" s="1212" customFormat="1" ht="34.5" customHeight="1">
      <c r="A107" s="1028">
        <f>A105+1</f>
        <v>46</v>
      </c>
      <c r="B107" s="1130" t="s">
        <v>3301</v>
      </c>
      <c r="C107" s="1032" t="s">
        <v>3015</v>
      </c>
      <c r="D107" s="1120" t="s">
        <v>3087</v>
      </c>
      <c r="E107" s="1045" t="s">
        <v>51</v>
      </c>
      <c r="F107" s="1029">
        <f t="shared" si="43"/>
        <v>0.27</v>
      </c>
      <c r="G107" s="1031"/>
      <c r="H107" s="1029">
        <f>SUM(J107:BF107)</f>
        <v>0.27</v>
      </c>
      <c r="I107" s="1029">
        <v>2030</v>
      </c>
      <c r="J107" s="1029"/>
      <c r="K107" s="1029"/>
      <c r="L107" s="1029"/>
      <c r="M107" s="1029">
        <v>0.25</v>
      </c>
      <c r="N107" s="1031"/>
      <c r="O107" s="1029"/>
      <c r="P107" s="1029"/>
      <c r="Q107" s="1029"/>
      <c r="R107" s="1029"/>
      <c r="S107" s="1029"/>
      <c r="T107" s="1029"/>
      <c r="U107" s="1029"/>
      <c r="V107" s="1029"/>
      <c r="W107" s="1029"/>
      <c r="X107" s="1029"/>
      <c r="Y107" s="1029"/>
      <c r="Z107" s="1029"/>
      <c r="AA107" s="1029"/>
      <c r="AB107" s="1029"/>
      <c r="AC107" s="1029"/>
      <c r="AD107" s="1029"/>
      <c r="AE107" s="1029"/>
      <c r="AF107" s="1029"/>
      <c r="AG107" s="1029"/>
      <c r="AH107" s="1029"/>
      <c r="AI107" s="1029"/>
      <c r="AJ107" s="1029"/>
      <c r="AK107" s="1029"/>
      <c r="AL107" s="1029"/>
      <c r="AM107" s="1029"/>
      <c r="AN107" s="1029"/>
      <c r="AO107" s="1029"/>
      <c r="AP107" s="1029"/>
      <c r="AQ107" s="1029"/>
      <c r="AR107" s="1029"/>
      <c r="AS107" s="1029"/>
      <c r="AT107" s="1029"/>
      <c r="AU107" s="1029"/>
      <c r="AV107" s="1029"/>
      <c r="AW107" s="1029"/>
      <c r="AX107" s="1029"/>
      <c r="AY107" s="1029"/>
      <c r="AZ107" s="1029"/>
      <c r="BA107" s="1029"/>
      <c r="BB107" s="1029"/>
      <c r="BC107" s="1029"/>
      <c r="BD107" s="1029"/>
      <c r="BE107" s="1029"/>
      <c r="BF107" s="1029">
        <v>0.02</v>
      </c>
      <c r="BG107" s="1029"/>
      <c r="BH107" s="1029"/>
      <c r="BI107" s="1032" t="s">
        <v>3302</v>
      </c>
      <c r="BJ107" s="1120" t="s">
        <v>3303</v>
      </c>
      <c r="BK107" s="1120" t="s">
        <v>3304</v>
      </c>
      <c r="BL107" s="1120" t="s">
        <v>1917</v>
      </c>
      <c r="BM107" s="1120" t="s">
        <v>3305</v>
      </c>
      <c r="BN107" s="1120" t="s">
        <v>291</v>
      </c>
      <c r="BO107" s="1320" t="s">
        <v>3306</v>
      </c>
      <c r="BP107" s="1122">
        <v>1</v>
      </c>
      <c r="BQ107" s="1243" t="s">
        <v>3307</v>
      </c>
      <c r="BR107" s="1232" t="s">
        <v>3308</v>
      </c>
      <c r="BS107" s="1124" t="s">
        <v>291</v>
      </c>
      <c r="BT107" s="1211"/>
    </row>
    <row r="108" spans="1:72" ht="19.5" customHeight="1">
      <c r="A108" s="1023" t="s">
        <v>560</v>
      </c>
      <c r="B108" s="1207" t="s">
        <v>220</v>
      </c>
      <c r="C108" s="1127"/>
      <c r="D108" s="1127"/>
      <c r="E108" s="1118"/>
      <c r="F108" s="1026">
        <f t="shared" si="43"/>
        <v>0.96</v>
      </c>
      <c r="G108" s="1026">
        <f>SUM(G109:G110)</f>
        <v>0.41</v>
      </c>
      <c r="H108" s="1082">
        <f>SUM(J108:BF108)</f>
        <v>0.55000000000000004</v>
      </c>
      <c r="I108" s="1029"/>
      <c r="J108" s="1026">
        <f>SUM(J109:J110)</f>
        <v>0.08</v>
      </c>
      <c r="K108" s="1026">
        <f>SUM(K109:K110)</f>
        <v>0.33</v>
      </c>
      <c r="L108" s="1026"/>
      <c r="M108" s="1026">
        <f>SUM(M109:M110)</f>
        <v>7.0000000000000007E-2</v>
      </c>
      <c r="N108" s="1026">
        <f>SUM(N109:N110)</f>
        <v>0</v>
      </c>
      <c r="O108" s="1026">
        <f>SUM(O109:O110)</f>
        <v>0</v>
      </c>
      <c r="P108" s="1026"/>
      <c r="Q108" s="1026"/>
      <c r="R108" s="1026"/>
      <c r="S108" s="1026">
        <f>SUM(S109:S110)</f>
        <v>0</v>
      </c>
      <c r="T108" s="1026">
        <f>SUM(T109:T110)</f>
        <v>0</v>
      </c>
      <c r="U108" s="1026">
        <f>SUM(U109:U110)</f>
        <v>0</v>
      </c>
      <c r="V108" s="1026"/>
      <c r="W108" s="1026">
        <f>SUM(W109:W110)</f>
        <v>0</v>
      </c>
      <c r="X108" s="1026"/>
      <c r="Y108" s="1026"/>
      <c r="Z108" s="1026"/>
      <c r="AA108" s="1026">
        <f t="shared" ref="AA108:AJ108" si="45">SUM(AA109:AA110)</f>
        <v>0</v>
      </c>
      <c r="AB108" s="1026">
        <f t="shared" si="45"/>
        <v>0</v>
      </c>
      <c r="AC108" s="1026">
        <f t="shared" si="45"/>
        <v>0</v>
      </c>
      <c r="AD108" s="1026">
        <f t="shared" si="45"/>
        <v>0</v>
      </c>
      <c r="AE108" s="1026">
        <f t="shared" si="45"/>
        <v>0</v>
      </c>
      <c r="AF108" s="1026">
        <f t="shared" si="45"/>
        <v>0</v>
      </c>
      <c r="AG108" s="1026">
        <f t="shared" si="45"/>
        <v>0</v>
      </c>
      <c r="AH108" s="1026">
        <f t="shared" si="45"/>
        <v>0</v>
      </c>
      <c r="AI108" s="1026">
        <f t="shared" si="45"/>
        <v>0</v>
      </c>
      <c r="AJ108" s="1026">
        <f t="shared" si="45"/>
        <v>0</v>
      </c>
      <c r="AK108" s="1026"/>
      <c r="AL108" s="1026"/>
      <c r="AM108" s="1026"/>
      <c r="AN108" s="1026"/>
      <c r="AO108" s="1026"/>
      <c r="AP108" s="1026"/>
      <c r="AQ108" s="1026">
        <f>SUM(AQ109:AQ110)</f>
        <v>0</v>
      </c>
      <c r="AR108" s="1026"/>
      <c r="AS108" s="1026"/>
      <c r="AT108" s="1026">
        <f>SUM(AT109:AT110)</f>
        <v>0</v>
      </c>
      <c r="AU108" s="1026"/>
      <c r="AV108" s="1026"/>
      <c r="AW108" s="1026">
        <f>SUM(AW109:AW110)</f>
        <v>0</v>
      </c>
      <c r="AX108" s="1026">
        <f>SUM(AX109:AX110)</f>
        <v>0</v>
      </c>
      <c r="AY108" s="1026">
        <f>SUM(AY109:AY110)</f>
        <v>0</v>
      </c>
      <c r="AZ108" s="1026">
        <f>SUM(AZ109:AZ110)</f>
        <v>0</v>
      </c>
      <c r="BA108" s="1026"/>
      <c r="BB108" s="1026">
        <f>SUM(BB109:BB110)</f>
        <v>0</v>
      </c>
      <c r="BC108" s="1026">
        <f>SUM(BC109:BC110)</f>
        <v>0</v>
      </c>
      <c r="BD108" s="1026"/>
      <c r="BE108" s="1026"/>
      <c r="BF108" s="1026">
        <f>SUM(BF109:BF110)</f>
        <v>7.0000000000000007E-2</v>
      </c>
      <c r="BG108" s="1027"/>
      <c r="BH108" s="1027"/>
      <c r="BI108" s="1127"/>
      <c r="BJ108" s="1120"/>
      <c r="BK108" s="1120"/>
      <c r="BL108" s="1120"/>
      <c r="BM108" s="1120"/>
      <c r="BN108" s="1120"/>
      <c r="BS108" s="1124"/>
      <c r="BT108" s="1118"/>
    </row>
    <row r="109" spans="1:72" ht="56.25" customHeight="1">
      <c r="A109" s="1028">
        <f>A107+1</f>
        <v>47</v>
      </c>
      <c r="B109" s="1321" t="s">
        <v>3309</v>
      </c>
      <c r="C109" s="1127" t="s">
        <v>3026</v>
      </c>
      <c r="D109" s="1120" t="s">
        <v>3087</v>
      </c>
      <c r="E109" s="1118" t="s">
        <v>50</v>
      </c>
      <c r="F109" s="1031">
        <f t="shared" si="43"/>
        <v>0.56000000000000005</v>
      </c>
      <c r="G109" s="1031">
        <v>0.41</v>
      </c>
      <c r="H109" s="1029">
        <f t="shared" ref="H109:H172" si="46">SUM(J109:BF109)</f>
        <v>0.15000000000000002</v>
      </c>
      <c r="I109" s="1029">
        <v>2030</v>
      </c>
      <c r="J109" s="1029">
        <v>0.08</v>
      </c>
      <c r="K109" s="1029"/>
      <c r="L109" s="1029"/>
      <c r="M109" s="1029">
        <v>7.0000000000000007E-2</v>
      </c>
      <c r="N109" s="1031"/>
      <c r="O109" s="1031"/>
      <c r="P109" s="1031"/>
      <c r="Q109" s="1031"/>
      <c r="R109" s="1031"/>
      <c r="S109" s="1031"/>
      <c r="T109" s="1031"/>
      <c r="U109" s="1031"/>
      <c r="V109" s="1031"/>
      <c r="W109" s="1031"/>
      <c r="X109" s="1031"/>
      <c r="Y109" s="1031"/>
      <c r="Z109" s="1031"/>
      <c r="AA109" s="1031"/>
      <c r="AB109" s="1031"/>
      <c r="AC109" s="1031"/>
      <c r="AD109" s="1031"/>
      <c r="AE109" s="1031"/>
      <c r="AF109" s="1031"/>
      <c r="AG109" s="1031"/>
      <c r="AH109" s="1031"/>
      <c r="AI109" s="1031"/>
      <c r="AJ109" s="1031"/>
      <c r="AK109" s="1031"/>
      <c r="AL109" s="1031"/>
      <c r="AM109" s="1031"/>
      <c r="AN109" s="1031"/>
      <c r="AO109" s="1031"/>
      <c r="AP109" s="1031"/>
      <c r="AQ109" s="1031"/>
      <c r="AR109" s="1031"/>
      <c r="AS109" s="1031"/>
      <c r="AT109" s="1031"/>
      <c r="AU109" s="1031"/>
      <c r="AV109" s="1031"/>
      <c r="AW109" s="1031"/>
      <c r="AX109" s="1031"/>
      <c r="AY109" s="1031"/>
      <c r="AZ109" s="1031"/>
      <c r="BA109" s="1031"/>
      <c r="BB109" s="1031"/>
      <c r="BC109" s="1031"/>
      <c r="BD109" s="1031"/>
      <c r="BE109" s="1031"/>
      <c r="BF109" s="1031"/>
      <c r="BG109" s="1031"/>
      <c r="BH109" s="1031"/>
      <c r="BI109" s="1127" t="s">
        <v>3310</v>
      </c>
      <c r="BJ109" s="1119" t="s">
        <v>3311</v>
      </c>
      <c r="BK109" s="1604" t="s">
        <v>3208</v>
      </c>
      <c r="BL109" s="1120" t="s">
        <v>1917</v>
      </c>
      <c r="BM109" s="1120" t="s">
        <v>3105</v>
      </c>
      <c r="BN109" s="1120" t="s">
        <v>291</v>
      </c>
      <c r="BO109" s="1121" t="s">
        <v>3312</v>
      </c>
      <c r="BP109" s="1121">
        <v>1</v>
      </c>
      <c r="BQ109" s="1243" t="s">
        <v>3313</v>
      </c>
      <c r="BR109" s="1232" t="s">
        <v>3314</v>
      </c>
      <c r="BS109" s="1124" t="s">
        <v>291</v>
      </c>
      <c r="BT109" s="1118"/>
    </row>
    <row r="110" spans="1:72" ht="41.25" customHeight="1">
      <c r="A110" s="1028">
        <f>A109+1</f>
        <v>48</v>
      </c>
      <c r="B110" s="1304" t="s">
        <v>3315</v>
      </c>
      <c r="C110" s="1120" t="s">
        <v>3187</v>
      </c>
      <c r="D110" s="1120" t="s">
        <v>3087</v>
      </c>
      <c r="E110" s="1083" t="s">
        <v>50</v>
      </c>
      <c r="F110" s="1029">
        <f t="shared" si="43"/>
        <v>0.4</v>
      </c>
      <c r="G110" s="1029"/>
      <c r="H110" s="1029">
        <f t="shared" si="46"/>
        <v>0.4</v>
      </c>
      <c r="I110" s="1029">
        <v>2030</v>
      </c>
      <c r="J110" s="1029"/>
      <c r="K110" s="1029">
        <v>0.33</v>
      </c>
      <c r="L110" s="1029"/>
      <c r="M110" s="1029"/>
      <c r="N110" s="1029"/>
      <c r="O110" s="1029"/>
      <c r="P110" s="1029"/>
      <c r="Q110" s="1029"/>
      <c r="R110" s="1029"/>
      <c r="S110" s="1029"/>
      <c r="T110" s="1029"/>
      <c r="U110" s="1322"/>
      <c r="V110" s="1322"/>
      <c r="W110" s="1029"/>
      <c r="X110" s="1029"/>
      <c r="Y110" s="1029"/>
      <c r="Z110" s="1029"/>
      <c r="AA110" s="1029"/>
      <c r="AB110" s="1029"/>
      <c r="AC110" s="1029"/>
      <c r="AD110" s="1029"/>
      <c r="AE110" s="1029"/>
      <c r="AF110" s="1029"/>
      <c r="AG110" s="1029"/>
      <c r="AH110" s="1029"/>
      <c r="AI110" s="1029"/>
      <c r="AJ110" s="1029"/>
      <c r="AK110" s="1029"/>
      <c r="AL110" s="1029"/>
      <c r="AM110" s="1029"/>
      <c r="AN110" s="1029"/>
      <c r="AO110" s="1029"/>
      <c r="AP110" s="1029"/>
      <c r="AQ110" s="1029"/>
      <c r="AR110" s="1029"/>
      <c r="AS110" s="1029"/>
      <c r="AT110" s="1029"/>
      <c r="AU110" s="1029"/>
      <c r="AV110" s="1029"/>
      <c r="AW110" s="1029"/>
      <c r="AX110" s="1322"/>
      <c r="AY110" s="1029"/>
      <c r="AZ110" s="1029"/>
      <c r="BA110" s="1029"/>
      <c r="BB110" s="1029"/>
      <c r="BC110" s="1029"/>
      <c r="BD110" s="1029"/>
      <c r="BE110" s="1029"/>
      <c r="BF110" s="1029">
        <v>7.0000000000000007E-2</v>
      </c>
      <c r="BG110" s="1029"/>
      <c r="BH110" s="1029"/>
      <c r="BI110" s="1120" t="s">
        <v>3187</v>
      </c>
      <c r="BJ110" s="1120" t="s">
        <v>3316</v>
      </c>
      <c r="BK110" s="1604"/>
      <c r="BL110" s="1120" t="s">
        <v>1923</v>
      </c>
      <c r="BM110" s="1120" t="s">
        <v>3091</v>
      </c>
      <c r="BN110" s="1120" t="s">
        <v>291</v>
      </c>
      <c r="BP110" s="1121">
        <v>1</v>
      </c>
      <c r="BQ110" s="1243" t="s">
        <v>3106</v>
      </c>
      <c r="BR110" s="1323" t="s">
        <v>3317</v>
      </c>
      <c r="BS110" s="1124" t="s">
        <v>3318</v>
      </c>
      <c r="BT110" s="1118"/>
    </row>
    <row r="111" spans="1:72" ht="63.6" customHeight="1">
      <c r="A111" s="1028">
        <f>A110+1</f>
        <v>49</v>
      </c>
      <c r="B111" s="1166" t="s">
        <v>3319</v>
      </c>
      <c r="C111" s="1083" t="s">
        <v>3028</v>
      </c>
      <c r="D111" s="1120" t="s">
        <v>3087</v>
      </c>
      <c r="E111" s="1083" t="s">
        <v>50</v>
      </c>
      <c r="F111" s="1031">
        <f>G111+H111</f>
        <v>0.55000000000000004</v>
      </c>
      <c r="G111" s="1029">
        <v>0.25</v>
      </c>
      <c r="H111" s="1029">
        <f>SUM(J111:BF111)</f>
        <v>0.3</v>
      </c>
      <c r="I111" s="1029">
        <v>2030</v>
      </c>
      <c r="J111" s="1029"/>
      <c r="K111" s="1029"/>
      <c r="L111" s="1029"/>
      <c r="M111" s="1029"/>
      <c r="N111" s="1029"/>
      <c r="O111" s="1029"/>
      <c r="P111" s="1029"/>
      <c r="Q111" s="1029"/>
      <c r="R111" s="1029"/>
      <c r="S111" s="1029">
        <v>0.3</v>
      </c>
      <c r="T111" s="1029"/>
      <c r="U111" s="1029"/>
      <c r="V111" s="1029"/>
      <c r="W111" s="1029"/>
      <c r="X111" s="1029"/>
      <c r="Y111" s="1029"/>
      <c r="Z111" s="1029"/>
      <c r="AA111" s="1029"/>
      <c r="AB111" s="1029"/>
      <c r="AC111" s="1029"/>
      <c r="AD111" s="1029"/>
      <c r="AE111" s="1029"/>
      <c r="AF111" s="1029"/>
      <c r="AG111" s="1029"/>
      <c r="AH111" s="1031"/>
      <c r="AI111" s="1029"/>
      <c r="AJ111" s="1031"/>
      <c r="AK111" s="1029"/>
      <c r="AL111" s="1029"/>
      <c r="AM111" s="1029"/>
      <c r="AN111" s="1029"/>
      <c r="AO111" s="1029"/>
      <c r="AP111" s="1029"/>
      <c r="AQ111" s="1029"/>
      <c r="AR111" s="1029"/>
      <c r="AS111" s="1029"/>
      <c r="AT111" s="1029"/>
      <c r="AU111" s="1029"/>
      <c r="AV111" s="1029"/>
      <c r="AW111" s="1029"/>
      <c r="AX111" s="1029"/>
      <c r="AY111" s="1029"/>
      <c r="AZ111" s="1029"/>
      <c r="BA111" s="1029"/>
      <c r="BB111" s="1029"/>
      <c r="BC111" s="1029"/>
      <c r="BD111" s="1029"/>
      <c r="BE111" s="1029"/>
      <c r="BF111" s="1029"/>
      <c r="BG111" s="1029"/>
      <c r="BH111" s="1029"/>
      <c r="BI111" s="1083" t="s">
        <v>3121</v>
      </c>
      <c r="BJ111" s="1120" t="s">
        <v>3320</v>
      </c>
      <c r="BK111" s="1604" t="s">
        <v>3321</v>
      </c>
      <c r="BL111" s="1120" t="s">
        <v>1917</v>
      </c>
      <c r="BM111" s="1120" t="s">
        <v>3153</v>
      </c>
      <c r="BN111" s="1120" t="s">
        <v>291</v>
      </c>
      <c r="BO111" s="1121" t="s">
        <v>3322</v>
      </c>
      <c r="BP111" s="1121">
        <v>1</v>
      </c>
      <c r="BQ111" s="1243" t="s">
        <v>3323</v>
      </c>
      <c r="BR111" s="1260" t="s">
        <v>3324</v>
      </c>
      <c r="BS111" s="1124" t="s">
        <v>291</v>
      </c>
      <c r="BT111" s="1118"/>
    </row>
    <row r="112" spans="1:72" ht="39" customHeight="1">
      <c r="A112" s="1028">
        <f>+A111+1</f>
        <v>50</v>
      </c>
      <c r="B112" s="1166" t="s">
        <v>3325</v>
      </c>
      <c r="C112" s="1083" t="s">
        <v>3028</v>
      </c>
      <c r="D112" s="1120" t="s">
        <v>3087</v>
      </c>
      <c r="E112" s="1083" t="s">
        <v>50</v>
      </c>
      <c r="F112" s="1031">
        <f>G112+H112</f>
        <v>0.78</v>
      </c>
      <c r="G112" s="1029">
        <v>0.61</v>
      </c>
      <c r="H112" s="1029">
        <f>SUM(J112:BF112)</f>
        <v>0.17</v>
      </c>
      <c r="I112" s="1029">
        <v>2030</v>
      </c>
      <c r="J112" s="1029"/>
      <c r="K112" s="1029"/>
      <c r="L112" s="1029"/>
      <c r="M112" s="1029"/>
      <c r="N112" s="1029"/>
      <c r="O112" s="1029"/>
      <c r="P112" s="1029"/>
      <c r="Q112" s="1029"/>
      <c r="R112" s="1029"/>
      <c r="S112" s="1029">
        <v>0.17</v>
      </c>
      <c r="T112" s="1029"/>
      <c r="U112" s="1029"/>
      <c r="V112" s="1029"/>
      <c r="W112" s="1029"/>
      <c r="X112" s="1029"/>
      <c r="Y112" s="1029"/>
      <c r="Z112" s="1029"/>
      <c r="AA112" s="1029"/>
      <c r="AB112" s="1029"/>
      <c r="AC112" s="1029"/>
      <c r="AD112" s="1029"/>
      <c r="AE112" s="1029"/>
      <c r="AF112" s="1029"/>
      <c r="AG112" s="1029"/>
      <c r="AH112" s="1031"/>
      <c r="AI112" s="1029"/>
      <c r="AJ112" s="1031"/>
      <c r="AK112" s="1029"/>
      <c r="AL112" s="1029"/>
      <c r="AM112" s="1029"/>
      <c r="AN112" s="1029"/>
      <c r="AO112" s="1029"/>
      <c r="AP112" s="1029"/>
      <c r="AQ112" s="1029"/>
      <c r="AR112" s="1029"/>
      <c r="AS112" s="1029"/>
      <c r="AT112" s="1029"/>
      <c r="AU112" s="1029"/>
      <c r="AV112" s="1029"/>
      <c r="AW112" s="1029"/>
      <c r="AX112" s="1029"/>
      <c r="AY112" s="1029"/>
      <c r="AZ112" s="1029"/>
      <c r="BA112" s="1029"/>
      <c r="BB112" s="1029"/>
      <c r="BC112" s="1029"/>
      <c r="BD112" s="1029"/>
      <c r="BE112" s="1029"/>
      <c r="BF112" s="1029"/>
      <c r="BG112" s="1029"/>
      <c r="BH112" s="1029"/>
      <c r="BI112" s="1083" t="s">
        <v>3121</v>
      </c>
      <c r="BJ112" s="1120" t="s">
        <v>3326</v>
      </c>
      <c r="BK112" s="1604"/>
      <c r="BL112" s="1120" t="s">
        <v>1917</v>
      </c>
      <c r="BM112" s="1120" t="s">
        <v>3153</v>
      </c>
      <c r="BN112" s="1120" t="s">
        <v>291</v>
      </c>
      <c r="BO112" s="1121" t="s">
        <v>3322</v>
      </c>
      <c r="BP112" s="1121">
        <v>1</v>
      </c>
      <c r="BQ112" s="1243" t="s">
        <v>3323</v>
      </c>
      <c r="BR112" s="1260" t="s">
        <v>3327</v>
      </c>
      <c r="BS112" s="1124" t="s">
        <v>291</v>
      </c>
      <c r="BT112" s="1118"/>
    </row>
    <row r="113" spans="1:72" s="1177" customFormat="1" ht="27" customHeight="1">
      <c r="A113" s="1023" t="s">
        <v>581</v>
      </c>
      <c r="B113" s="1207" t="s">
        <v>2759</v>
      </c>
      <c r="C113" s="1127"/>
      <c r="D113" s="1127"/>
      <c r="E113" s="1118"/>
      <c r="F113" s="1026">
        <f t="shared" si="43"/>
        <v>3.8940000000000001</v>
      </c>
      <c r="G113" s="1026">
        <f>SUM(G114,G118,G122,G127,G134,G146,G155,G167,G170,G173,G176,G180,G181,G184,G190,G194,G197,G198,G201,G203)</f>
        <v>0.85</v>
      </c>
      <c r="H113" s="1026">
        <f t="shared" si="46"/>
        <v>3.044</v>
      </c>
      <c r="I113" s="1029"/>
      <c r="J113" s="1026">
        <f>SUM(J114,J118,J122,J127,J134,J146,J155,J167,J170,J173,J176,J180,J181,J184,J190,J194,J197,J198,J201,J203)</f>
        <v>0.67700000000000016</v>
      </c>
      <c r="K113" s="1026">
        <f t="shared" ref="K113:BF113" si="47">SUM(K114,K118,K122,K127,K134,K146,K155,K167,K170,K173,K176,K180,K181,K184,K190,K194,K197,K198,K201,K203)</f>
        <v>8.0000000000000002E-3</v>
      </c>
      <c r="L113" s="1026">
        <f t="shared" si="47"/>
        <v>0</v>
      </c>
      <c r="M113" s="1026">
        <f t="shared" si="47"/>
        <v>0.66400000000000026</v>
      </c>
      <c r="N113" s="1026">
        <f t="shared" si="47"/>
        <v>0.62500000000000022</v>
      </c>
      <c r="O113" s="1026">
        <f t="shared" si="47"/>
        <v>0</v>
      </c>
      <c r="P113" s="1026">
        <f t="shared" si="47"/>
        <v>0</v>
      </c>
      <c r="Q113" s="1026">
        <f t="shared" si="47"/>
        <v>0</v>
      </c>
      <c r="R113" s="1026">
        <f t="shared" si="47"/>
        <v>0</v>
      </c>
      <c r="S113" s="1026">
        <f t="shared" si="47"/>
        <v>0.53100000000000025</v>
      </c>
      <c r="T113" s="1026">
        <f t="shared" si="47"/>
        <v>0</v>
      </c>
      <c r="U113" s="1026">
        <f t="shared" si="47"/>
        <v>0.01</v>
      </c>
      <c r="V113" s="1026">
        <f t="shared" si="47"/>
        <v>0</v>
      </c>
      <c r="W113" s="1026">
        <f t="shared" si="47"/>
        <v>0</v>
      </c>
      <c r="X113" s="1026">
        <f t="shared" si="47"/>
        <v>0</v>
      </c>
      <c r="Y113" s="1026">
        <f t="shared" si="47"/>
        <v>0</v>
      </c>
      <c r="Z113" s="1026">
        <f t="shared" si="47"/>
        <v>0</v>
      </c>
      <c r="AA113" s="1026">
        <f t="shared" si="47"/>
        <v>0</v>
      </c>
      <c r="AB113" s="1026">
        <f t="shared" si="47"/>
        <v>0</v>
      </c>
      <c r="AC113" s="1026">
        <f t="shared" si="47"/>
        <v>0</v>
      </c>
      <c r="AD113" s="1026">
        <f t="shared" si="47"/>
        <v>0</v>
      </c>
      <c r="AE113" s="1026">
        <f t="shared" si="47"/>
        <v>9.8000000000000018E-2</v>
      </c>
      <c r="AF113" s="1026">
        <f t="shared" si="47"/>
        <v>0</v>
      </c>
      <c r="AG113" s="1026">
        <f t="shared" si="47"/>
        <v>0</v>
      </c>
      <c r="AH113" s="1026">
        <f t="shared" si="47"/>
        <v>0</v>
      </c>
      <c r="AI113" s="1026">
        <f t="shared" si="47"/>
        <v>0</v>
      </c>
      <c r="AJ113" s="1026">
        <f t="shared" si="47"/>
        <v>0</v>
      </c>
      <c r="AK113" s="1026">
        <f t="shared" si="47"/>
        <v>2E-3</v>
      </c>
      <c r="AL113" s="1026">
        <f t="shared" si="47"/>
        <v>0</v>
      </c>
      <c r="AM113" s="1026">
        <f t="shared" si="47"/>
        <v>0</v>
      </c>
      <c r="AN113" s="1026">
        <f t="shared" si="47"/>
        <v>0</v>
      </c>
      <c r="AO113" s="1026">
        <f t="shared" si="47"/>
        <v>0</v>
      </c>
      <c r="AP113" s="1026">
        <f t="shared" si="47"/>
        <v>0</v>
      </c>
      <c r="AQ113" s="1026">
        <f t="shared" si="47"/>
        <v>6.6000000000000003E-2</v>
      </c>
      <c r="AR113" s="1026">
        <f t="shared" si="47"/>
        <v>0</v>
      </c>
      <c r="AS113" s="1026">
        <f t="shared" si="47"/>
        <v>0</v>
      </c>
      <c r="AT113" s="1026">
        <f t="shared" si="47"/>
        <v>0</v>
      </c>
      <c r="AU113" s="1026">
        <f t="shared" si="47"/>
        <v>0</v>
      </c>
      <c r="AV113" s="1026">
        <f t="shared" si="47"/>
        <v>0</v>
      </c>
      <c r="AW113" s="1026">
        <f t="shared" si="47"/>
        <v>0</v>
      </c>
      <c r="AX113" s="1026">
        <f t="shared" si="47"/>
        <v>8.8000000000000023E-2</v>
      </c>
      <c r="AY113" s="1026">
        <f t="shared" si="47"/>
        <v>5.3000000000000005E-2</v>
      </c>
      <c r="AZ113" s="1026">
        <f t="shared" si="47"/>
        <v>0</v>
      </c>
      <c r="BA113" s="1026">
        <f t="shared" si="47"/>
        <v>0</v>
      </c>
      <c r="BB113" s="1026">
        <f t="shared" si="47"/>
        <v>0</v>
      </c>
      <c r="BC113" s="1026">
        <f t="shared" si="47"/>
        <v>0.14000000000000001</v>
      </c>
      <c r="BD113" s="1026">
        <f t="shared" si="47"/>
        <v>0</v>
      </c>
      <c r="BE113" s="1026">
        <f t="shared" si="47"/>
        <v>0</v>
      </c>
      <c r="BF113" s="1026">
        <f t="shared" si="47"/>
        <v>8.2000000000000003E-2</v>
      </c>
      <c r="BG113" s="1084">
        <f t="shared" ref="BG113:BH113" si="48">SUM(BG114,BG118,BG122,BG127,BG134,BG146,BG155,BG167,BG170,BG173,BG176,BG180,BG181,BG184,BG190,BG194,BG197:BG198,BG201:BG203)</f>
        <v>0</v>
      </c>
      <c r="BH113" s="1084">
        <f t="shared" si="48"/>
        <v>0</v>
      </c>
      <c r="BI113" s="1127"/>
      <c r="BJ113" s="1120"/>
      <c r="BK113" s="1120"/>
      <c r="BL113" s="1120"/>
      <c r="BM113" s="1120"/>
      <c r="BN113" s="1120"/>
      <c r="BO113" s="1121"/>
      <c r="BP113" s="1121"/>
      <c r="BQ113" s="1179"/>
      <c r="BR113" s="1179"/>
      <c r="BS113" s="1124"/>
      <c r="BT113" s="1221"/>
    </row>
    <row r="114" spans="1:72" s="1177" customFormat="1" ht="71.099999999999994" customHeight="1">
      <c r="A114" s="1028">
        <f>A112+1</f>
        <v>51</v>
      </c>
      <c r="B114" s="1117" t="s">
        <v>3328</v>
      </c>
      <c r="C114" s="1127"/>
      <c r="D114" s="1127"/>
      <c r="E114" s="1120" t="s">
        <v>3329</v>
      </c>
      <c r="F114" s="1031">
        <f t="shared" si="43"/>
        <v>0.22999999999999998</v>
      </c>
      <c r="G114" s="1031"/>
      <c r="H114" s="1029">
        <f t="shared" si="46"/>
        <v>0.22999999999999998</v>
      </c>
      <c r="I114" s="1029">
        <v>2030</v>
      </c>
      <c r="J114" s="1029">
        <f>SUM(J115:J117)</f>
        <v>0.08</v>
      </c>
      <c r="K114" s="1029">
        <f t="shared" ref="K114:BH114" si="49">SUM(K115:K117)</f>
        <v>0</v>
      </c>
      <c r="L114" s="1029">
        <f t="shared" si="49"/>
        <v>0</v>
      </c>
      <c r="M114" s="1029">
        <f t="shared" si="49"/>
        <v>0.05</v>
      </c>
      <c r="N114" s="1029">
        <f t="shared" si="49"/>
        <v>0.05</v>
      </c>
      <c r="O114" s="1029">
        <f t="shared" si="49"/>
        <v>0</v>
      </c>
      <c r="P114" s="1029">
        <f t="shared" si="49"/>
        <v>0</v>
      </c>
      <c r="Q114" s="1029">
        <f t="shared" si="49"/>
        <v>0</v>
      </c>
      <c r="R114" s="1029">
        <f t="shared" si="49"/>
        <v>0</v>
      </c>
      <c r="S114" s="1029">
        <f t="shared" si="49"/>
        <v>0.05</v>
      </c>
      <c r="T114" s="1029">
        <f t="shared" si="49"/>
        <v>0</v>
      </c>
      <c r="U114" s="1029">
        <f t="shared" si="49"/>
        <v>0</v>
      </c>
      <c r="V114" s="1029">
        <f t="shared" si="49"/>
        <v>0</v>
      </c>
      <c r="W114" s="1029">
        <f t="shared" si="49"/>
        <v>0</v>
      </c>
      <c r="X114" s="1029">
        <f t="shared" si="49"/>
        <v>0</v>
      </c>
      <c r="Y114" s="1029">
        <f t="shared" si="49"/>
        <v>0</v>
      </c>
      <c r="Z114" s="1029">
        <f t="shared" si="49"/>
        <v>0</v>
      </c>
      <c r="AA114" s="1029">
        <f t="shared" si="49"/>
        <v>0</v>
      </c>
      <c r="AB114" s="1029">
        <f t="shared" si="49"/>
        <v>0</v>
      </c>
      <c r="AC114" s="1029">
        <f t="shared" si="49"/>
        <v>0</v>
      </c>
      <c r="AD114" s="1029">
        <f t="shared" si="49"/>
        <v>0</v>
      </c>
      <c r="AE114" s="1029">
        <f t="shared" si="49"/>
        <v>0</v>
      </c>
      <c r="AF114" s="1029">
        <f t="shared" si="49"/>
        <v>0</v>
      </c>
      <c r="AG114" s="1029">
        <f t="shared" si="49"/>
        <v>0</v>
      </c>
      <c r="AH114" s="1029">
        <f t="shared" si="49"/>
        <v>0</v>
      </c>
      <c r="AI114" s="1029">
        <f t="shared" si="49"/>
        <v>0</v>
      </c>
      <c r="AJ114" s="1029">
        <f t="shared" si="49"/>
        <v>0</v>
      </c>
      <c r="AK114" s="1029">
        <f t="shared" si="49"/>
        <v>0</v>
      </c>
      <c r="AL114" s="1029">
        <f t="shared" si="49"/>
        <v>0</v>
      </c>
      <c r="AM114" s="1029">
        <f t="shared" si="49"/>
        <v>0</v>
      </c>
      <c r="AN114" s="1029">
        <f t="shared" si="49"/>
        <v>0</v>
      </c>
      <c r="AO114" s="1029">
        <f t="shared" si="49"/>
        <v>0</v>
      </c>
      <c r="AP114" s="1029">
        <f t="shared" si="49"/>
        <v>0</v>
      </c>
      <c r="AQ114" s="1029">
        <f t="shared" si="49"/>
        <v>0</v>
      </c>
      <c r="AR114" s="1029">
        <f t="shared" si="49"/>
        <v>0</v>
      </c>
      <c r="AS114" s="1029">
        <f t="shared" si="49"/>
        <v>0</v>
      </c>
      <c r="AT114" s="1029">
        <f t="shared" si="49"/>
        <v>0</v>
      </c>
      <c r="AU114" s="1029">
        <f t="shared" si="49"/>
        <v>0</v>
      </c>
      <c r="AV114" s="1029">
        <f t="shared" si="49"/>
        <v>0</v>
      </c>
      <c r="AW114" s="1029">
        <f t="shared" si="49"/>
        <v>0</v>
      </c>
      <c r="AX114" s="1029">
        <f t="shared" si="49"/>
        <v>0</v>
      </c>
      <c r="AY114" s="1029">
        <f t="shared" si="49"/>
        <v>0</v>
      </c>
      <c r="AZ114" s="1029">
        <f t="shared" si="49"/>
        <v>0</v>
      </c>
      <c r="BA114" s="1029">
        <f t="shared" si="49"/>
        <v>0</v>
      </c>
      <c r="BB114" s="1029">
        <f t="shared" si="49"/>
        <v>0</v>
      </c>
      <c r="BC114" s="1029">
        <f t="shared" si="49"/>
        <v>0</v>
      </c>
      <c r="BD114" s="1029">
        <f t="shared" si="49"/>
        <v>0</v>
      </c>
      <c r="BE114" s="1029">
        <f t="shared" si="49"/>
        <v>0</v>
      </c>
      <c r="BF114" s="1029">
        <f t="shared" si="49"/>
        <v>0</v>
      </c>
      <c r="BG114" s="1029">
        <f t="shared" si="49"/>
        <v>0</v>
      </c>
      <c r="BH114" s="1029">
        <f t="shared" si="49"/>
        <v>0</v>
      </c>
      <c r="BI114" s="1127" t="s">
        <v>3330</v>
      </c>
      <c r="BJ114" s="1120"/>
      <c r="BK114" s="1120" t="s">
        <v>3331</v>
      </c>
      <c r="BL114" s="1120" t="s">
        <v>1917</v>
      </c>
      <c r="BM114" s="1120" t="s">
        <v>3091</v>
      </c>
      <c r="BN114" s="1120" t="s">
        <v>291</v>
      </c>
      <c r="BO114" s="1121"/>
      <c r="BP114" s="1121">
        <v>1</v>
      </c>
      <c r="BQ114" s="1179"/>
      <c r="BR114" s="1179"/>
      <c r="BS114" s="1124" t="s">
        <v>3184</v>
      </c>
      <c r="BT114" s="1221"/>
    </row>
    <row r="115" spans="1:72" s="1254" customFormat="1" hidden="1">
      <c r="A115" s="1040"/>
      <c r="B115" s="1271"/>
      <c r="C115" s="1324" t="s">
        <v>3023</v>
      </c>
      <c r="D115" s="1120" t="s">
        <v>3087</v>
      </c>
      <c r="E115" s="1234" t="s">
        <v>46</v>
      </c>
      <c r="F115" s="1042">
        <f t="shared" si="43"/>
        <v>6.0000000000000005E-2</v>
      </c>
      <c r="G115" s="1042"/>
      <c r="H115" s="1041">
        <f t="shared" si="46"/>
        <v>6.0000000000000005E-2</v>
      </c>
      <c r="I115" s="1029">
        <v>2030</v>
      </c>
      <c r="J115" s="1041">
        <v>0.02</v>
      </c>
      <c r="K115" s="1041"/>
      <c r="L115" s="1041"/>
      <c r="M115" s="1041">
        <v>0.01</v>
      </c>
      <c r="N115" s="1041">
        <v>0.02</v>
      </c>
      <c r="O115" s="1041"/>
      <c r="P115" s="1041"/>
      <c r="Q115" s="1041"/>
      <c r="R115" s="1041"/>
      <c r="S115" s="1041">
        <v>0.01</v>
      </c>
      <c r="T115" s="1041"/>
      <c r="U115" s="1041"/>
      <c r="V115" s="1041"/>
      <c r="W115" s="1041"/>
      <c r="X115" s="1041"/>
      <c r="Y115" s="1041"/>
      <c r="Z115" s="1041"/>
      <c r="AA115" s="1041"/>
      <c r="AB115" s="1041"/>
      <c r="AC115" s="1041"/>
      <c r="AD115" s="1041"/>
      <c r="AE115" s="1041"/>
      <c r="AF115" s="1041"/>
      <c r="AG115" s="1041"/>
      <c r="AH115" s="1041"/>
      <c r="AI115" s="1041"/>
      <c r="AJ115" s="1041"/>
      <c r="AK115" s="1041"/>
      <c r="AL115" s="1041"/>
      <c r="AM115" s="1041"/>
      <c r="AN115" s="1041"/>
      <c r="AO115" s="1041"/>
      <c r="AP115" s="1041"/>
      <c r="AQ115" s="1041"/>
      <c r="AR115" s="1041"/>
      <c r="AS115" s="1041"/>
      <c r="AT115" s="1041"/>
      <c r="AU115" s="1041"/>
      <c r="AV115" s="1041"/>
      <c r="AW115" s="1041"/>
      <c r="AX115" s="1041"/>
      <c r="AY115" s="1041"/>
      <c r="AZ115" s="1041"/>
      <c r="BA115" s="1041"/>
      <c r="BB115" s="1041"/>
      <c r="BC115" s="1041"/>
      <c r="BD115" s="1041"/>
      <c r="BE115" s="1041"/>
      <c r="BF115" s="1041"/>
      <c r="BG115" s="1085"/>
      <c r="BH115" s="1085"/>
      <c r="BI115" s="1324"/>
      <c r="BJ115" s="1234"/>
      <c r="BK115" s="1234"/>
      <c r="BL115" s="1234"/>
      <c r="BM115" s="1234"/>
      <c r="BN115" s="1234"/>
      <c r="BO115" s="1238"/>
      <c r="BP115" s="1238"/>
      <c r="BQ115" s="1239"/>
      <c r="BR115" s="1239"/>
      <c r="BS115" s="1241"/>
      <c r="BT115" s="1252"/>
    </row>
    <row r="116" spans="1:72" s="1254" customFormat="1" hidden="1">
      <c r="A116" s="1040"/>
      <c r="B116" s="1271"/>
      <c r="C116" s="1324" t="s">
        <v>3013</v>
      </c>
      <c r="D116" s="1120" t="s">
        <v>3087</v>
      </c>
      <c r="E116" s="1234" t="s">
        <v>46</v>
      </c>
      <c r="F116" s="1042">
        <f t="shared" si="43"/>
        <v>9.0000000000000011E-2</v>
      </c>
      <c r="G116" s="1042"/>
      <c r="H116" s="1041">
        <f t="shared" si="46"/>
        <v>9.0000000000000011E-2</v>
      </c>
      <c r="I116" s="1029">
        <v>2030</v>
      </c>
      <c r="J116" s="1041">
        <v>0.04</v>
      </c>
      <c r="K116" s="1041"/>
      <c r="L116" s="1041"/>
      <c r="M116" s="1041">
        <v>0.01</v>
      </c>
      <c r="N116" s="1041">
        <v>0.02</v>
      </c>
      <c r="O116" s="1041"/>
      <c r="P116" s="1041"/>
      <c r="Q116" s="1041"/>
      <c r="R116" s="1041"/>
      <c r="S116" s="1041">
        <v>0.02</v>
      </c>
      <c r="T116" s="1041"/>
      <c r="U116" s="1041"/>
      <c r="V116" s="1041"/>
      <c r="W116" s="1041"/>
      <c r="X116" s="1041"/>
      <c r="Y116" s="1041"/>
      <c r="Z116" s="1041"/>
      <c r="AA116" s="1041"/>
      <c r="AB116" s="1041"/>
      <c r="AC116" s="1041"/>
      <c r="AD116" s="1041"/>
      <c r="AE116" s="1041"/>
      <c r="AF116" s="1041"/>
      <c r="AG116" s="1041"/>
      <c r="AH116" s="1041"/>
      <c r="AI116" s="1041"/>
      <c r="AJ116" s="1041"/>
      <c r="AK116" s="1041"/>
      <c r="AL116" s="1041"/>
      <c r="AM116" s="1041"/>
      <c r="AN116" s="1041"/>
      <c r="AO116" s="1041"/>
      <c r="AP116" s="1041"/>
      <c r="AQ116" s="1041"/>
      <c r="AR116" s="1041"/>
      <c r="AS116" s="1041"/>
      <c r="AT116" s="1041"/>
      <c r="AU116" s="1041"/>
      <c r="AV116" s="1041"/>
      <c r="AW116" s="1041"/>
      <c r="AX116" s="1041"/>
      <c r="AY116" s="1041"/>
      <c r="AZ116" s="1041"/>
      <c r="BA116" s="1041"/>
      <c r="BB116" s="1041"/>
      <c r="BC116" s="1041"/>
      <c r="BD116" s="1041"/>
      <c r="BE116" s="1041"/>
      <c r="BF116" s="1041"/>
      <c r="BG116" s="1085"/>
      <c r="BH116" s="1085"/>
      <c r="BI116" s="1324"/>
      <c r="BJ116" s="1234"/>
      <c r="BK116" s="1234"/>
      <c r="BL116" s="1234"/>
      <c r="BM116" s="1234"/>
      <c r="BN116" s="1234"/>
      <c r="BO116" s="1238"/>
      <c r="BP116" s="1238"/>
      <c r="BQ116" s="1239"/>
      <c r="BR116" s="1239"/>
      <c r="BS116" s="1241"/>
      <c r="BT116" s="1252"/>
    </row>
    <row r="117" spans="1:72" s="1254" customFormat="1" hidden="1">
      <c r="A117" s="1040"/>
      <c r="B117" s="1271"/>
      <c r="C117" s="1324" t="s">
        <v>3156</v>
      </c>
      <c r="D117" s="1120" t="s">
        <v>3087</v>
      </c>
      <c r="E117" s="1234" t="s">
        <v>46</v>
      </c>
      <c r="F117" s="1042">
        <f t="shared" si="43"/>
        <v>0.08</v>
      </c>
      <c r="G117" s="1042"/>
      <c r="H117" s="1041">
        <f t="shared" si="46"/>
        <v>0.08</v>
      </c>
      <c r="I117" s="1029">
        <v>2030</v>
      </c>
      <c r="J117" s="1041">
        <v>0.02</v>
      </c>
      <c r="K117" s="1041"/>
      <c r="L117" s="1041"/>
      <c r="M117" s="1041">
        <v>0.03</v>
      </c>
      <c r="N117" s="1041">
        <v>0.01</v>
      </c>
      <c r="O117" s="1041"/>
      <c r="P117" s="1041"/>
      <c r="Q117" s="1041"/>
      <c r="R117" s="1041"/>
      <c r="S117" s="1041">
        <v>0.02</v>
      </c>
      <c r="T117" s="1041"/>
      <c r="U117" s="1041"/>
      <c r="V117" s="1041"/>
      <c r="W117" s="1041"/>
      <c r="X117" s="1041"/>
      <c r="Y117" s="1041"/>
      <c r="Z117" s="1041"/>
      <c r="AA117" s="1041"/>
      <c r="AB117" s="1041"/>
      <c r="AC117" s="1041"/>
      <c r="AD117" s="1041"/>
      <c r="AE117" s="1041"/>
      <c r="AF117" s="1041"/>
      <c r="AG117" s="1041"/>
      <c r="AH117" s="1041"/>
      <c r="AI117" s="1041"/>
      <c r="AJ117" s="1041"/>
      <c r="AK117" s="1041"/>
      <c r="AL117" s="1041"/>
      <c r="AM117" s="1041"/>
      <c r="AN117" s="1041"/>
      <c r="AO117" s="1041"/>
      <c r="AP117" s="1041"/>
      <c r="AQ117" s="1041"/>
      <c r="AR117" s="1041"/>
      <c r="AS117" s="1041"/>
      <c r="AT117" s="1041"/>
      <c r="AU117" s="1041"/>
      <c r="AV117" s="1041"/>
      <c r="AW117" s="1041"/>
      <c r="AX117" s="1041"/>
      <c r="AY117" s="1041"/>
      <c r="AZ117" s="1041"/>
      <c r="BA117" s="1041"/>
      <c r="BB117" s="1041"/>
      <c r="BC117" s="1041"/>
      <c r="BD117" s="1041"/>
      <c r="BE117" s="1041"/>
      <c r="BF117" s="1041"/>
      <c r="BG117" s="1085"/>
      <c r="BH117" s="1085"/>
      <c r="BI117" s="1324"/>
      <c r="BJ117" s="1234"/>
      <c r="BK117" s="1234"/>
      <c r="BL117" s="1234"/>
      <c r="BM117" s="1234"/>
      <c r="BN117" s="1234"/>
      <c r="BO117" s="1238"/>
      <c r="BP117" s="1238"/>
      <c r="BQ117" s="1239"/>
      <c r="BR117" s="1239"/>
      <c r="BS117" s="1241"/>
      <c r="BT117" s="1252"/>
    </row>
    <row r="118" spans="1:72" s="1327" customFormat="1" ht="45" customHeight="1">
      <c r="A118" s="1028">
        <f>A114+1</f>
        <v>52</v>
      </c>
      <c r="B118" s="1325" t="s">
        <v>3332</v>
      </c>
      <c r="C118" s="1083"/>
      <c r="D118" s="1083"/>
      <c r="E118" s="1118" t="s">
        <v>3329</v>
      </c>
      <c r="F118" s="1029">
        <f t="shared" si="43"/>
        <v>2.0210000000000004</v>
      </c>
      <c r="G118" s="1029">
        <v>0.85</v>
      </c>
      <c r="H118" s="1029">
        <f>SUM(J118:BF118)</f>
        <v>1.1710000000000003</v>
      </c>
      <c r="I118" s="1029">
        <v>2030</v>
      </c>
      <c r="J118" s="1029">
        <f>SUM(J119:J121)</f>
        <v>0.21099999999999999</v>
      </c>
      <c r="K118" s="1029">
        <f t="shared" ref="K118:BH118" si="50">SUM(K119:K121)</f>
        <v>0</v>
      </c>
      <c r="L118" s="1029">
        <f t="shared" si="50"/>
        <v>0</v>
      </c>
      <c r="M118" s="1029">
        <f t="shared" si="50"/>
        <v>0.33</v>
      </c>
      <c r="N118" s="1029">
        <f t="shared" si="50"/>
        <v>0.28000000000000003</v>
      </c>
      <c r="O118" s="1029">
        <f t="shared" si="50"/>
        <v>0</v>
      </c>
      <c r="P118" s="1029">
        <f t="shared" si="50"/>
        <v>0</v>
      </c>
      <c r="Q118" s="1029">
        <f t="shared" si="50"/>
        <v>0</v>
      </c>
      <c r="R118" s="1029">
        <f t="shared" si="50"/>
        <v>0</v>
      </c>
      <c r="S118" s="1029">
        <f t="shared" si="50"/>
        <v>0.21000000000000002</v>
      </c>
      <c r="T118" s="1029">
        <f t="shared" si="50"/>
        <v>0</v>
      </c>
      <c r="U118" s="1029">
        <f t="shared" si="50"/>
        <v>0</v>
      </c>
      <c r="V118" s="1029">
        <f t="shared" si="50"/>
        <v>0</v>
      </c>
      <c r="W118" s="1029">
        <f t="shared" si="50"/>
        <v>0</v>
      </c>
      <c r="X118" s="1029">
        <f t="shared" si="50"/>
        <v>0</v>
      </c>
      <c r="Y118" s="1029">
        <f t="shared" si="50"/>
        <v>0</v>
      </c>
      <c r="Z118" s="1029">
        <f t="shared" si="50"/>
        <v>0</v>
      </c>
      <c r="AA118" s="1029">
        <f t="shared" si="50"/>
        <v>0</v>
      </c>
      <c r="AB118" s="1029">
        <f t="shared" si="50"/>
        <v>0</v>
      </c>
      <c r="AC118" s="1029">
        <f t="shared" si="50"/>
        <v>0</v>
      </c>
      <c r="AD118" s="1029">
        <f t="shared" si="50"/>
        <v>0</v>
      </c>
      <c r="AE118" s="1029">
        <f t="shared" si="50"/>
        <v>0</v>
      </c>
      <c r="AF118" s="1029">
        <f t="shared" si="50"/>
        <v>0</v>
      </c>
      <c r="AG118" s="1029">
        <f t="shared" si="50"/>
        <v>0</v>
      </c>
      <c r="AH118" s="1029">
        <f t="shared" si="50"/>
        <v>0</v>
      </c>
      <c r="AI118" s="1029">
        <f t="shared" si="50"/>
        <v>0</v>
      </c>
      <c r="AJ118" s="1029">
        <f t="shared" si="50"/>
        <v>0</v>
      </c>
      <c r="AK118" s="1029">
        <f t="shared" si="50"/>
        <v>0</v>
      </c>
      <c r="AL118" s="1029">
        <f t="shared" si="50"/>
        <v>0</v>
      </c>
      <c r="AM118" s="1029">
        <f t="shared" si="50"/>
        <v>0</v>
      </c>
      <c r="AN118" s="1029">
        <f t="shared" si="50"/>
        <v>0</v>
      </c>
      <c r="AO118" s="1029">
        <f t="shared" si="50"/>
        <v>0</v>
      </c>
      <c r="AP118" s="1029">
        <f t="shared" si="50"/>
        <v>0</v>
      </c>
      <c r="AQ118" s="1029">
        <f t="shared" si="50"/>
        <v>0</v>
      </c>
      <c r="AR118" s="1029">
        <f t="shared" si="50"/>
        <v>0</v>
      </c>
      <c r="AS118" s="1029">
        <f t="shared" si="50"/>
        <v>0</v>
      </c>
      <c r="AT118" s="1029">
        <f t="shared" si="50"/>
        <v>0</v>
      </c>
      <c r="AU118" s="1029">
        <f t="shared" si="50"/>
        <v>0</v>
      </c>
      <c r="AV118" s="1029">
        <f t="shared" si="50"/>
        <v>0</v>
      </c>
      <c r="AW118" s="1029">
        <f t="shared" si="50"/>
        <v>0</v>
      </c>
      <c r="AX118" s="1029">
        <f t="shared" si="50"/>
        <v>0</v>
      </c>
      <c r="AY118" s="1029">
        <f t="shared" si="50"/>
        <v>0</v>
      </c>
      <c r="AZ118" s="1029">
        <f t="shared" si="50"/>
        <v>0</v>
      </c>
      <c r="BA118" s="1029">
        <f t="shared" si="50"/>
        <v>0</v>
      </c>
      <c r="BB118" s="1029">
        <f t="shared" si="50"/>
        <v>0</v>
      </c>
      <c r="BC118" s="1029">
        <f t="shared" si="50"/>
        <v>0.14000000000000001</v>
      </c>
      <c r="BD118" s="1029">
        <f t="shared" si="50"/>
        <v>0</v>
      </c>
      <c r="BE118" s="1029">
        <f t="shared" si="50"/>
        <v>0</v>
      </c>
      <c r="BF118" s="1029">
        <f t="shared" si="50"/>
        <v>0</v>
      </c>
      <c r="BG118" s="1029">
        <f t="shared" si="50"/>
        <v>0</v>
      </c>
      <c r="BH118" s="1029">
        <f t="shared" si="50"/>
        <v>0</v>
      </c>
      <c r="BI118" s="1083" t="s">
        <v>3330</v>
      </c>
      <c r="BJ118" s="1120"/>
      <c r="BK118" s="1120" t="s">
        <v>3333</v>
      </c>
      <c r="BL118" s="1120" t="s">
        <v>1923</v>
      </c>
      <c r="BM118" s="1120" t="s">
        <v>3334</v>
      </c>
      <c r="BN118" s="1120" t="s">
        <v>3192</v>
      </c>
      <c r="BO118" s="1121"/>
      <c r="BP118" s="1121">
        <v>1</v>
      </c>
      <c r="BQ118" s="1243" t="s">
        <v>3154</v>
      </c>
      <c r="BR118" s="1232" t="s">
        <v>3335</v>
      </c>
      <c r="BS118" s="1124"/>
      <c r="BT118" s="1326"/>
    </row>
    <row r="119" spans="1:72" s="1327" customFormat="1" hidden="1">
      <c r="A119" s="1028"/>
      <c r="B119" s="1325"/>
      <c r="C119" s="1324" t="s">
        <v>3023</v>
      </c>
      <c r="D119" s="1120" t="s">
        <v>3087</v>
      </c>
      <c r="E119" s="1234" t="s">
        <v>46</v>
      </c>
      <c r="F119" s="1042">
        <f t="shared" si="43"/>
        <v>0.44</v>
      </c>
      <c r="G119" s="1042"/>
      <c r="H119" s="1041">
        <f t="shared" si="46"/>
        <v>0.44</v>
      </c>
      <c r="I119" s="1029">
        <v>2030</v>
      </c>
      <c r="J119" s="1029">
        <v>0.1</v>
      </c>
      <c r="K119" s="1029"/>
      <c r="L119" s="1029"/>
      <c r="M119" s="1029">
        <v>0.1</v>
      </c>
      <c r="N119" s="1029">
        <v>0.1</v>
      </c>
      <c r="O119" s="1029"/>
      <c r="P119" s="1029"/>
      <c r="Q119" s="1029"/>
      <c r="R119" s="1029"/>
      <c r="S119" s="1029">
        <v>0.1</v>
      </c>
      <c r="T119" s="1029"/>
      <c r="U119" s="1029"/>
      <c r="V119" s="1029"/>
      <c r="W119" s="1029"/>
      <c r="X119" s="1029"/>
      <c r="Y119" s="1029"/>
      <c r="Z119" s="1029"/>
      <c r="AA119" s="1029"/>
      <c r="AB119" s="1029"/>
      <c r="AC119" s="1029"/>
      <c r="AD119" s="1029"/>
      <c r="AE119" s="1029"/>
      <c r="AF119" s="1029"/>
      <c r="AG119" s="1029"/>
      <c r="AH119" s="1029"/>
      <c r="AI119" s="1029"/>
      <c r="AJ119" s="1029"/>
      <c r="AK119" s="1029"/>
      <c r="AL119" s="1029"/>
      <c r="AM119" s="1029"/>
      <c r="AN119" s="1029"/>
      <c r="AO119" s="1029"/>
      <c r="AP119" s="1029"/>
      <c r="AQ119" s="1029"/>
      <c r="AR119" s="1029"/>
      <c r="AS119" s="1029"/>
      <c r="AT119" s="1029"/>
      <c r="AU119" s="1029"/>
      <c r="AV119" s="1029"/>
      <c r="AW119" s="1029"/>
      <c r="AX119" s="1029"/>
      <c r="AY119" s="1029"/>
      <c r="AZ119" s="1029"/>
      <c r="BA119" s="1029"/>
      <c r="BB119" s="1029"/>
      <c r="BC119" s="1029">
        <v>0.04</v>
      </c>
      <c r="BD119" s="1029"/>
      <c r="BE119" s="1029"/>
      <c r="BF119" s="1029"/>
      <c r="BG119" s="1086"/>
      <c r="BH119" s="1086"/>
      <c r="BI119" s="1083"/>
      <c r="BJ119" s="1120"/>
      <c r="BK119" s="1120"/>
      <c r="BL119" s="1120"/>
      <c r="BM119" s="1120"/>
      <c r="BN119" s="1120"/>
      <c r="BO119" s="1121"/>
      <c r="BP119" s="1121"/>
      <c r="BQ119" s="1243"/>
      <c r="BR119" s="1232"/>
      <c r="BS119" s="1124"/>
      <c r="BT119" s="1326"/>
    </row>
    <row r="120" spans="1:72" s="1327" customFormat="1" hidden="1">
      <c r="A120" s="1028"/>
      <c r="B120" s="1325"/>
      <c r="C120" s="1324" t="s">
        <v>3013</v>
      </c>
      <c r="D120" s="1120" t="s">
        <v>3087</v>
      </c>
      <c r="E120" s="1234" t="s">
        <v>46</v>
      </c>
      <c r="F120" s="1042">
        <f t="shared" si="43"/>
        <v>0.43000000000000005</v>
      </c>
      <c r="G120" s="1042"/>
      <c r="H120" s="1041">
        <f t="shared" si="46"/>
        <v>0.43000000000000005</v>
      </c>
      <c r="I120" s="1029">
        <v>2030</v>
      </c>
      <c r="J120" s="1029">
        <v>0.06</v>
      </c>
      <c r="K120" s="1029"/>
      <c r="L120" s="1029"/>
      <c r="M120" s="1029">
        <v>0.1</v>
      </c>
      <c r="N120" s="1029">
        <v>0.1</v>
      </c>
      <c r="O120" s="1029"/>
      <c r="P120" s="1029"/>
      <c r="Q120" s="1029"/>
      <c r="R120" s="1029"/>
      <c r="S120" s="1029">
        <v>7.0000000000000007E-2</v>
      </c>
      <c r="T120" s="1029"/>
      <c r="U120" s="1029"/>
      <c r="V120" s="1029"/>
      <c r="W120" s="1029"/>
      <c r="X120" s="1029"/>
      <c r="Y120" s="1029"/>
      <c r="Z120" s="1029"/>
      <c r="AA120" s="1029"/>
      <c r="AB120" s="1029"/>
      <c r="AC120" s="1029"/>
      <c r="AD120" s="1029"/>
      <c r="AE120" s="1029"/>
      <c r="AF120" s="1029"/>
      <c r="AG120" s="1029"/>
      <c r="AH120" s="1029"/>
      <c r="AI120" s="1029"/>
      <c r="AJ120" s="1029"/>
      <c r="AK120" s="1029"/>
      <c r="AL120" s="1029"/>
      <c r="AM120" s="1029"/>
      <c r="AN120" s="1029"/>
      <c r="AO120" s="1029"/>
      <c r="AP120" s="1029"/>
      <c r="AQ120" s="1029"/>
      <c r="AR120" s="1029"/>
      <c r="AS120" s="1029"/>
      <c r="AT120" s="1029"/>
      <c r="AU120" s="1029"/>
      <c r="AV120" s="1029"/>
      <c r="AW120" s="1029"/>
      <c r="AX120" s="1029"/>
      <c r="AY120" s="1029"/>
      <c r="AZ120" s="1029"/>
      <c r="BA120" s="1029"/>
      <c r="BB120" s="1029"/>
      <c r="BC120" s="1029">
        <v>0.1</v>
      </c>
      <c r="BD120" s="1029"/>
      <c r="BE120" s="1029"/>
      <c r="BF120" s="1029"/>
      <c r="BG120" s="1086"/>
      <c r="BH120" s="1086"/>
      <c r="BI120" s="1083"/>
      <c r="BJ120" s="1120"/>
      <c r="BK120" s="1120"/>
      <c r="BL120" s="1120"/>
      <c r="BM120" s="1120"/>
      <c r="BN120" s="1120"/>
      <c r="BO120" s="1121"/>
      <c r="BP120" s="1121"/>
      <c r="BQ120" s="1243"/>
      <c r="BR120" s="1232"/>
      <c r="BS120" s="1124"/>
      <c r="BT120" s="1326"/>
    </row>
    <row r="121" spans="1:72" s="1327" customFormat="1" hidden="1">
      <c r="A121" s="1028"/>
      <c r="B121" s="1325"/>
      <c r="C121" s="1324" t="s">
        <v>3156</v>
      </c>
      <c r="D121" s="1120" t="s">
        <v>3087</v>
      </c>
      <c r="E121" s="1234" t="s">
        <v>46</v>
      </c>
      <c r="F121" s="1042">
        <f t="shared" si="43"/>
        <v>0.30099999999999999</v>
      </c>
      <c r="G121" s="1042"/>
      <c r="H121" s="1041">
        <f t="shared" si="46"/>
        <v>0.30099999999999999</v>
      </c>
      <c r="I121" s="1029">
        <v>2030</v>
      </c>
      <c r="J121" s="1029">
        <v>5.0999999999999997E-2</v>
      </c>
      <c r="K121" s="1029"/>
      <c r="L121" s="1029"/>
      <c r="M121" s="1029">
        <v>0.13</v>
      </c>
      <c r="N121" s="1029">
        <v>0.08</v>
      </c>
      <c r="O121" s="1029"/>
      <c r="P121" s="1029"/>
      <c r="Q121" s="1029"/>
      <c r="R121" s="1029"/>
      <c r="S121" s="1029">
        <v>0.04</v>
      </c>
      <c r="T121" s="1029"/>
      <c r="U121" s="1029"/>
      <c r="V121" s="1029"/>
      <c r="W121" s="1029"/>
      <c r="X121" s="1029"/>
      <c r="Y121" s="1029"/>
      <c r="Z121" s="1029"/>
      <c r="AA121" s="1029"/>
      <c r="AB121" s="1029"/>
      <c r="AC121" s="1029"/>
      <c r="AD121" s="1029"/>
      <c r="AE121" s="1029"/>
      <c r="AF121" s="1029"/>
      <c r="AG121" s="1029"/>
      <c r="AH121" s="1029"/>
      <c r="AI121" s="1029"/>
      <c r="AJ121" s="1029"/>
      <c r="AK121" s="1029"/>
      <c r="AL121" s="1029"/>
      <c r="AM121" s="1029"/>
      <c r="AN121" s="1029"/>
      <c r="AO121" s="1029"/>
      <c r="AP121" s="1029"/>
      <c r="AQ121" s="1029"/>
      <c r="AR121" s="1029"/>
      <c r="AS121" s="1029"/>
      <c r="AT121" s="1029"/>
      <c r="AU121" s="1029"/>
      <c r="AV121" s="1029"/>
      <c r="AW121" s="1029"/>
      <c r="AX121" s="1029"/>
      <c r="AY121" s="1029"/>
      <c r="AZ121" s="1029"/>
      <c r="BA121" s="1029"/>
      <c r="BB121" s="1029"/>
      <c r="BC121" s="1029"/>
      <c r="BD121" s="1029"/>
      <c r="BE121" s="1029"/>
      <c r="BF121" s="1029"/>
      <c r="BG121" s="1086"/>
      <c r="BH121" s="1086"/>
      <c r="BI121" s="1083"/>
      <c r="BJ121" s="1120"/>
      <c r="BK121" s="1120"/>
      <c r="BL121" s="1120"/>
      <c r="BM121" s="1120"/>
      <c r="BN121" s="1120"/>
      <c r="BO121" s="1121"/>
      <c r="BP121" s="1121"/>
      <c r="BQ121" s="1243"/>
      <c r="BR121" s="1232"/>
      <c r="BS121" s="1124"/>
      <c r="BT121" s="1326"/>
    </row>
    <row r="122" spans="1:72" s="1177" customFormat="1" ht="59.1" customHeight="1">
      <c r="A122" s="1028">
        <f>A118+1</f>
        <v>53</v>
      </c>
      <c r="B122" s="1328" t="s">
        <v>3336</v>
      </c>
      <c r="C122" s="1120"/>
      <c r="D122" s="1120"/>
      <c r="E122" s="1258" t="s">
        <v>3329</v>
      </c>
      <c r="F122" s="1029">
        <f t="shared" si="43"/>
        <v>8.8000000000000009E-2</v>
      </c>
      <c r="G122" s="1029"/>
      <c r="H122" s="1029">
        <f t="shared" si="46"/>
        <v>8.8000000000000009E-2</v>
      </c>
      <c r="I122" s="1029">
        <v>2030</v>
      </c>
      <c r="J122" s="1029">
        <v>2.1999999999999999E-2</v>
      </c>
      <c r="K122" s="1029"/>
      <c r="L122" s="1029"/>
      <c r="M122" s="1029">
        <v>0.02</v>
      </c>
      <c r="N122" s="1029">
        <v>2.1999999999999999E-2</v>
      </c>
      <c r="O122" s="1029"/>
      <c r="P122" s="1029"/>
      <c r="Q122" s="1029"/>
      <c r="R122" s="1029"/>
      <c r="S122" s="1029">
        <v>1.7999999999999999E-2</v>
      </c>
      <c r="T122" s="1029"/>
      <c r="U122" s="1029"/>
      <c r="V122" s="1029"/>
      <c r="W122" s="1029"/>
      <c r="X122" s="1029"/>
      <c r="Y122" s="1029"/>
      <c r="Z122" s="1029"/>
      <c r="AA122" s="1029"/>
      <c r="AB122" s="1029"/>
      <c r="AC122" s="1029"/>
      <c r="AD122" s="1029"/>
      <c r="AE122" s="1029"/>
      <c r="AF122" s="1029"/>
      <c r="AG122" s="1029"/>
      <c r="AH122" s="1029"/>
      <c r="AI122" s="1029"/>
      <c r="AJ122" s="1029"/>
      <c r="AK122" s="1029"/>
      <c r="AL122" s="1029"/>
      <c r="AM122" s="1029"/>
      <c r="AN122" s="1029"/>
      <c r="AO122" s="1029"/>
      <c r="AP122" s="1029"/>
      <c r="AQ122" s="1029"/>
      <c r="AR122" s="1029"/>
      <c r="AS122" s="1029"/>
      <c r="AT122" s="1029"/>
      <c r="AU122" s="1029"/>
      <c r="AV122" s="1029"/>
      <c r="AW122" s="1029"/>
      <c r="AX122" s="1029">
        <v>6.0000000000000001E-3</v>
      </c>
      <c r="AY122" s="1029"/>
      <c r="AZ122" s="1029"/>
      <c r="BA122" s="1029"/>
      <c r="BB122" s="1029"/>
      <c r="BC122" s="1029"/>
      <c r="BD122" s="1029"/>
      <c r="BE122" s="1029"/>
      <c r="BF122" s="1029"/>
      <c r="BG122" s="1086"/>
      <c r="BH122" s="1086"/>
      <c r="BI122" s="1120" t="s">
        <v>3337</v>
      </c>
      <c r="BJ122" s="1120"/>
      <c r="BK122" s="1120" t="s">
        <v>3338</v>
      </c>
      <c r="BL122" s="1120" t="s">
        <v>1917</v>
      </c>
      <c r="BM122" s="1120" t="s">
        <v>3091</v>
      </c>
      <c r="BN122" s="1120" t="s">
        <v>291</v>
      </c>
      <c r="BO122" s="1121"/>
      <c r="BP122" s="1121">
        <v>1</v>
      </c>
      <c r="BQ122" s="1246" t="s">
        <v>3185</v>
      </c>
      <c r="BR122" s="1232" t="s">
        <v>3339</v>
      </c>
      <c r="BS122" s="1124" t="s">
        <v>3184</v>
      </c>
      <c r="BT122" s="1221"/>
    </row>
    <row r="123" spans="1:72" s="1184" customFormat="1" hidden="1">
      <c r="A123" s="1040"/>
      <c r="B123" s="1329"/>
      <c r="C123" s="1234" t="s">
        <v>3014</v>
      </c>
      <c r="D123" s="1120" t="s">
        <v>3087</v>
      </c>
      <c r="E123" s="1262" t="s">
        <v>46</v>
      </c>
      <c r="F123" s="1041">
        <f t="shared" si="43"/>
        <v>0.02</v>
      </c>
      <c r="G123" s="1041"/>
      <c r="H123" s="1041">
        <f t="shared" si="46"/>
        <v>0.02</v>
      </c>
      <c r="I123" s="1029">
        <v>2030</v>
      </c>
      <c r="J123" s="1041">
        <v>0.01</v>
      </c>
      <c r="K123" s="1041"/>
      <c r="L123" s="1041"/>
      <c r="M123" s="1041">
        <v>0.01</v>
      </c>
      <c r="N123" s="1041"/>
      <c r="O123" s="1041"/>
      <c r="P123" s="1041"/>
      <c r="Q123" s="1041"/>
      <c r="R123" s="1041"/>
      <c r="S123" s="1041"/>
      <c r="T123" s="1041"/>
      <c r="U123" s="1041"/>
      <c r="V123" s="1041"/>
      <c r="W123" s="1041"/>
      <c r="X123" s="1041"/>
      <c r="Y123" s="1041"/>
      <c r="Z123" s="1041"/>
      <c r="AA123" s="1041"/>
      <c r="AB123" s="1041"/>
      <c r="AC123" s="1041"/>
      <c r="AD123" s="1041"/>
      <c r="AE123" s="1041"/>
      <c r="AF123" s="1041"/>
      <c r="AG123" s="1041"/>
      <c r="AH123" s="1041"/>
      <c r="AI123" s="1041"/>
      <c r="AJ123" s="1041"/>
      <c r="AK123" s="1041"/>
      <c r="AL123" s="1041"/>
      <c r="AM123" s="1041"/>
      <c r="AN123" s="1041"/>
      <c r="AO123" s="1041"/>
      <c r="AP123" s="1041"/>
      <c r="AQ123" s="1041"/>
      <c r="AR123" s="1041"/>
      <c r="AS123" s="1041"/>
      <c r="AT123" s="1041"/>
      <c r="AU123" s="1041"/>
      <c r="AV123" s="1041"/>
      <c r="AW123" s="1041"/>
      <c r="AX123" s="1041"/>
      <c r="AY123" s="1041"/>
      <c r="AZ123" s="1041"/>
      <c r="BA123" s="1041"/>
      <c r="BB123" s="1041"/>
      <c r="BC123" s="1041"/>
      <c r="BD123" s="1041"/>
      <c r="BE123" s="1041"/>
      <c r="BF123" s="1041"/>
      <c r="BG123" s="1085"/>
      <c r="BH123" s="1085"/>
      <c r="BI123" s="1234"/>
      <c r="BJ123" s="1234"/>
      <c r="BK123" s="1234"/>
      <c r="BL123" s="1234"/>
      <c r="BM123" s="1234"/>
      <c r="BN123" s="1234"/>
      <c r="BO123" s="1238"/>
      <c r="BP123" s="1238"/>
      <c r="BQ123" s="1253"/>
      <c r="BR123" s="1239"/>
      <c r="BS123" s="1241"/>
      <c r="BT123" s="1252"/>
    </row>
    <row r="124" spans="1:72" s="1184" customFormat="1" hidden="1">
      <c r="A124" s="1040"/>
      <c r="B124" s="1329"/>
      <c r="C124" s="1234" t="s">
        <v>3026</v>
      </c>
      <c r="D124" s="1120" t="s">
        <v>3087</v>
      </c>
      <c r="E124" s="1262" t="s">
        <v>46</v>
      </c>
      <c r="F124" s="1041">
        <f t="shared" si="43"/>
        <v>0.03</v>
      </c>
      <c r="G124" s="1041"/>
      <c r="H124" s="1041">
        <f t="shared" si="46"/>
        <v>0.03</v>
      </c>
      <c r="I124" s="1029">
        <v>2030</v>
      </c>
      <c r="J124" s="1041">
        <v>0.01</v>
      </c>
      <c r="K124" s="1041"/>
      <c r="L124" s="1041"/>
      <c r="M124" s="1041"/>
      <c r="N124" s="1041"/>
      <c r="O124" s="1041"/>
      <c r="P124" s="1041"/>
      <c r="Q124" s="1041"/>
      <c r="R124" s="1041"/>
      <c r="S124" s="1041">
        <v>0.01</v>
      </c>
      <c r="T124" s="1041"/>
      <c r="U124" s="1041"/>
      <c r="V124" s="1041"/>
      <c r="W124" s="1041"/>
      <c r="X124" s="1041"/>
      <c r="Y124" s="1041"/>
      <c r="Z124" s="1041"/>
      <c r="AA124" s="1041"/>
      <c r="AB124" s="1041"/>
      <c r="AC124" s="1041"/>
      <c r="AD124" s="1041"/>
      <c r="AE124" s="1041"/>
      <c r="AF124" s="1041"/>
      <c r="AG124" s="1041"/>
      <c r="AH124" s="1041"/>
      <c r="AI124" s="1041"/>
      <c r="AJ124" s="1041"/>
      <c r="AK124" s="1041"/>
      <c r="AL124" s="1041"/>
      <c r="AM124" s="1041"/>
      <c r="AN124" s="1041"/>
      <c r="AO124" s="1041"/>
      <c r="AP124" s="1041"/>
      <c r="AQ124" s="1041"/>
      <c r="AR124" s="1041"/>
      <c r="AS124" s="1041"/>
      <c r="AT124" s="1041"/>
      <c r="AU124" s="1041"/>
      <c r="AV124" s="1041"/>
      <c r="AW124" s="1041"/>
      <c r="AX124" s="1041">
        <v>0.01</v>
      </c>
      <c r="AY124" s="1041"/>
      <c r="AZ124" s="1041"/>
      <c r="BA124" s="1041"/>
      <c r="BB124" s="1041"/>
      <c r="BC124" s="1041"/>
      <c r="BD124" s="1041"/>
      <c r="BE124" s="1041"/>
      <c r="BF124" s="1041"/>
      <c r="BG124" s="1085"/>
      <c r="BH124" s="1085"/>
      <c r="BI124" s="1234"/>
      <c r="BJ124" s="1234"/>
      <c r="BK124" s="1234"/>
      <c r="BL124" s="1234"/>
      <c r="BM124" s="1234"/>
      <c r="BN124" s="1234"/>
      <c r="BO124" s="1238"/>
      <c r="BP124" s="1238"/>
      <c r="BQ124" s="1253"/>
      <c r="BR124" s="1239"/>
      <c r="BS124" s="1241"/>
      <c r="BT124" s="1252"/>
    </row>
    <row r="125" spans="1:72" s="1184" customFormat="1" hidden="1">
      <c r="A125" s="1040"/>
      <c r="B125" s="1329"/>
      <c r="C125" s="1234" t="s">
        <v>3025</v>
      </c>
      <c r="D125" s="1120" t="s">
        <v>3087</v>
      </c>
      <c r="E125" s="1262" t="s">
        <v>46</v>
      </c>
      <c r="F125" s="1041">
        <f t="shared" si="43"/>
        <v>0.02</v>
      </c>
      <c r="G125" s="1041"/>
      <c r="H125" s="1041">
        <f t="shared" si="46"/>
        <v>0.02</v>
      </c>
      <c r="I125" s="1029">
        <v>2030</v>
      </c>
      <c r="J125" s="1041"/>
      <c r="K125" s="1041"/>
      <c r="L125" s="1041"/>
      <c r="M125" s="1041">
        <v>0.01</v>
      </c>
      <c r="N125" s="1041">
        <v>0.01</v>
      </c>
      <c r="O125" s="1041"/>
      <c r="P125" s="1041"/>
      <c r="Q125" s="1041"/>
      <c r="R125" s="1041"/>
      <c r="S125" s="1041"/>
      <c r="T125" s="1041"/>
      <c r="U125" s="1041"/>
      <c r="V125" s="1041"/>
      <c r="W125" s="1041"/>
      <c r="X125" s="1041"/>
      <c r="Y125" s="1041"/>
      <c r="Z125" s="1041"/>
      <c r="AA125" s="1041"/>
      <c r="AB125" s="1041"/>
      <c r="AC125" s="1041"/>
      <c r="AD125" s="1041"/>
      <c r="AE125" s="1041"/>
      <c r="AF125" s="1041"/>
      <c r="AG125" s="1041"/>
      <c r="AH125" s="1041"/>
      <c r="AI125" s="1041"/>
      <c r="AJ125" s="1041"/>
      <c r="AK125" s="1041"/>
      <c r="AL125" s="1041"/>
      <c r="AM125" s="1041"/>
      <c r="AN125" s="1041"/>
      <c r="AO125" s="1041"/>
      <c r="AP125" s="1041"/>
      <c r="AQ125" s="1041"/>
      <c r="AR125" s="1041"/>
      <c r="AS125" s="1041"/>
      <c r="AT125" s="1041"/>
      <c r="AU125" s="1041"/>
      <c r="AV125" s="1041"/>
      <c r="AW125" s="1041"/>
      <c r="AX125" s="1041"/>
      <c r="AY125" s="1041"/>
      <c r="AZ125" s="1041"/>
      <c r="BA125" s="1041"/>
      <c r="BB125" s="1041"/>
      <c r="BC125" s="1041"/>
      <c r="BD125" s="1041"/>
      <c r="BE125" s="1041"/>
      <c r="BF125" s="1041"/>
      <c r="BG125" s="1085"/>
      <c r="BH125" s="1085"/>
      <c r="BI125" s="1234"/>
      <c r="BJ125" s="1234"/>
      <c r="BK125" s="1234"/>
      <c r="BL125" s="1234"/>
      <c r="BM125" s="1234"/>
      <c r="BN125" s="1234"/>
      <c r="BO125" s="1238"/>
      <c r="BP125" s="1238"/>
      <c r="BQ125" s="1253"/>
      <c r="BR125" s="1239"/>
      <c r="BS125" s="1241"/>
      <c r="BT125" s="1252"/>
    </row>
    <row r="126" spans="1:72" s="1184" customFormat="1" hidden="1">
      <c r="A126" s="1040"/>
      <c r="B126" s="1329"/>
      <c r="C126" s="1234" t="s">
        <v>3011</v>
      </c>
      <c r="D126" s="1120" t="s">
        <v>3087</v>
      </c>
      <c r="E126" s="1262" t="s">
        <v>46</v>
      </c>
      <c r="F126" s="1041">
        <f t="shared" si="43"/>
        <v>0.02</v>
      </c>
      <c r="G126" s="1041"/>
      <c r="H126" s="1041">
        <f t="shared" si="46"/>
        <v>0.02</v>
      </c>
      <c r="I126" s="1029">
        <v>2030</v>
      </c>
      <c r="J126" s="1041"/>
      <c r="K126" s="1041"/>
      <c r="L126" s="1041"/>
      <c r="M126" s="1041"/>
      <c r="N126" s="1041">
        <v>0.01</v>
      </c>
      <c r="O126" s="1041"/>
      <c r="P126" s="1041"/>
      <c r="Q126" s="1041"/>
      <c r="R126" s="1041"/>
      <c r="S126" s="1041">
        <v>0.01</v>
      </c>
      <c r="T126" s="1041"/>
      <c r="U126" s="1041"/>
      <c r="V126" s="1041"/>
      <c r="W126" s="1041"/>
      <c r="X126" s="1041"/>
      <c r="Y126" s="1041"/>
      <c r="Z126" s="1041"/>
      <c r="AA126" s="1041"/>
      <c r="AB126" s="1041"/>
      <c r="AC126" s="1041"/>
      <c r="AD126" s="1041"/>
      <c r="AE126" s="1041"/>
      <c r="AF126" s="1041"/>
      <c r="AG126" s="1041"/>
      <c r="AH126" s="1041"/>
      <c r="AI126" s="1041"/>
      <c r="AJ126" s="1041"/>
      <c r="AK126" s="1041"/>
      <c r="AL126" s="1041"/>
      <c r="AM126" s="1041"/>
      <c r="AN126" s="1041"/>
      <c r="AO126" s="1041"/>
      <c r="AP126" s="1041"/>
      <c r="AQ126" s="1041"/>
      <c r="AR126" s="1041"/>
      <c r="AS126" s="1041"/>
      <c r="AT126" s="1041"/>
      <c r="AU126" s="1041"/>
      <c r="AV126" s="1041"/>
      <c r="AW126" s="1041"/>
      <c r="AX126" s="1041"/>
      <c r="AY126" s="1041"/>
      <c r="AZ126" s="1041"/>
      <c r="BA126" s="1041"/>
      <c r="BB126" s="1041"/>
      <c r="BC126" s="1041"/>
      <c r="BD126" s="1041"/>
      <c r="BE126" s="1041"/>
      <c r="BF126" s="1041"/>
      <c r="BG126" s="1085"/>
      <c r="BH126" s="1085"/>
      <c r="BI126" s="1234"/>
      <c r="BJ126" s="1234"/>
      <c r="BK126" s="1234"/>
      <c r="BL126" s="1234"/>
      <c r="BM126" s="1234"/>
      <c r="BN126" s="1234"/>
      <c r="BO126" s="1238"/>
      <c r="BP126" s="1238"/>
      <c r="BQ126" s="1253"/>
      <c r="BR126" s="1239"/>
      <c r="BS126" s="1241"/>
      <c r="BT126" s="1252"/>
    </row>
    <row r="127" spans="1:72" s="1221" customFormat="1" ht="25.5">
      <c r="A127" s="1028">
        <f>A122+1</f>
        <v>54</v>
      </c>
      <c r="B127" s="1330" t="s">
        <v>3340</v>
      </c>
      <c r="C127" s="1331"/>
      <c r="D127" s="1331"/>
      <c r="E127" s="1258" t="s">
        <v>3329</v>
      </c>
      <c r="F127" s="1029">
        <f t="shared" si="43"/>
        <v>5.7000000000000002E-2</v>
      </c>
      <c r="G127" s="1029"/>
      <c r="H127" s="1029">
        <f t="shared" si="46"/>
        <v>5.7000000000000002E-2</v>
      </c>
      <c r="I127" s="1029">
        <v>2030</v>
      </c>
      <c r="J127" s="1029">
        <v>7.0000000000000001E-3</v>
      </c>
      <c r="K127" s="1029">
        <v>8.0000000000000002E-3</v>
      </c>
      <c r="L127" s="1029"/>
      <c r="M127" s="1029">
        <v>1.4999999999999999E-2</v>
      </c>
      <c r="N127" s="1029">
        <v>1.4999999999999999E-2</v>
      </c>
      <c r="O127" s="1029"/>
      <c r="P127" s="1029"/>
      <c r="Q127" s="1029"/>
      <c r="R127" s="1029"/>
      <c r="S127" s="1029">
        <v>0.01</v>
      </c>
      <c r="T127" s="1029"/>
      <c r="U127" s="1029"/>
      <c r="V127" s="1029"/>
      <c r="W127" s="1029"/>
      <c r="X127" s="1029"/>
      <c r="Y127" s="1029"/>
      <c r="Z127" s="1029"/>
      <c r="AA127" s="1029"/>
      <c r="AB127" s="1029"/>
      <c r="AC127" s="1029"/>
      <c r="AD127" s="1029"/>
      <c r="AE127" s="1029"/>
      <c r="AF127" s="1029"/>
      <c r="AG127" s="1029"/>
      <c r="AH127" s="1029"/>
      <c r="AI127" s="1029"/>
      <c r="AJ127" s="1029"/>
      <c r="AK127" s="1029"/>
      <c r="AL127" s="1029"/>
      <c r="AM127" s="1029"/>
      <c r="AN127" s="1029"/>
      <c r="AO127" s="1029"/>
      <c r="AP127" s="1029"/>
      <c r="AQ127" s="1029"/>
      <c r="AR127" s="1029"/>
      <c r="AS127" s="1029"/>
      <c r="AT127" s="1029"/>
      <c r="AU127" s="1029"/>
      <c r="AV127" s="1029"/>
      <c r="AW127" s="1029"/>
      <c r="AX127" s="1029">
        <v>2E-3</v>
      </c>
      <c r="AY127" s="1029"/>
      <c r="AZ127" s="1029"/>
      <c r="BA127" s="1029"/>
      <c r="BB127" s="1029"/>
      <c r="BC127" s="1029"/>
      <c r="BD127" s="1029"/>
      <c r="BE127" s="1029"/>
      <c r="BF127" s="1029"/>
      <c r="BG127" s="1086"/>
      <c r="BH127" s="1086"/>
      <c r="BI127" s="1331" t="s">
        <v>860</v>
      </c>
      <c r="BJ127" s="1120"/>
      <c r="BK127" s="1332" t="s">
        <v>3341</v>
      </c>
      <c r="BL127" s="1332" t="s">
        <v>1917</v>
      </c>
      <c r="BM127" s="1120" t="s">
        <v>3091</v>
      </c>
      <c r="BN127" s="1120" t="s">
        <v>291</v>
      </c>
      <c r="BO127" s="1121"/>
      <c r="BP127" s="1121">
        <v>1</v>
      </c>
      <c r="BQ127" s="1179" t="s">
        <v>3228</v>
      </c>
      <c r="BR127" s="1179"/>
      <c r="BS127" s="1124" t="s">
        <v>3184</v>
      </c>
    </row>
    <row r="128" spans="1:72" s="1184" customFormat="1" hidden="1">
      <c r="A128" s="1040"/>
      <c r="B128" s="1333"/>
      <c r="C128" s="1334" t="s">
        <v>3016</v>
      </c>
      <c r="D128" s="1120" t="s">
        <v>3087</v>
      </c>
      <c r="E128" s="1262" t="s">
        <v>46</v>
      </c>
      <c r="F128" s="1041">
        <f t="shared" si="43"/>
        <v>0.01</v>
      </c>
      <c r="G128" s="1041"/>
      <c r="H128" s="1041">
        <f t="shared" si="46"/>
        <v>0.01</v>
      </c>
      <c r="I128" s="1029">
        <v>2030</v>
      </c>
      <c r="J128" s="1041">
        <v>0.01</v>
      </c>
      <c r="K128" s="1041"/>
      <c r="L128" s="1041"/>
      <c r="M128" s="1041"/>
      <c r="N128" s="1041"/>
      <c r="O128" s="1041"/>
      <c r="P128" s="1041"/>
      <c r="Q128" s="1041"/>
      <c r="R128" s="1041"/>
      <c r="S128" s="1041"/>
      <c r="T128" s="1041"/>
      <c r="U128" s="1041"/>
      <c r="V128" s="1041"/>
      <c r="W128" s="1041"/>
      <c r="X128" s="1041"/>
      <c r="Y128" s="1041"/>
      <c r="Z128" s="1041"/>
      <c r="AA128" s="1041"/>
      <c r="AB128" s="1041"/>
      <c r="AC128" s="1041"/>
      <c r="AD128" s="1041"/>
      <c r="AE128" s="1041"/>
      <c r="AF128" s="1041"/>
      <c r="AG128" s="1041"/>
      <c r="AH128" s="1041"/>
      <c r="AI128" s="1041"/>
      <c r="AJ128" s="1041"/>
      <c r="AK128" s="1041"/>
      <c r="AL128" s="1041"/>
      <c r="AM128" s="1041"/>
      <c r="AN128" s="1041"/>
      <c r="AO128" s="1041"/>
      <c r="AP128" s="1041"/>
      <c r="AQ128" s="1041"/>
      <c r="AR128" s="1041"/>
      <c r="AS128" s="1041"/>
      <c r="AT128" s="1041"/>
      <c r="AU128" s="1041"/>
      <c r="AV128" s="1041"/>
      <c r="AW128" s="1041"/>
      <c r="AX128" s="1041"/>
      <c r="AY128" s="1041"/>
      <c r="AZ128" s="1041"/>
      <c r="BA128" s="1041"/>
      <c r="BB128" s="1041"/>
      <c r="BC128" s="1041"/>
      <c r="BD128" s="1041"/>
      <c r="BE128" s="1041"/>
      <c r="BF128" s="1041"/>
      <c r="BG128" s="1085"/>
      <c r="BH128" s="1085"/>
      <c r="BI128" s="1334"/>
      <c r="BJ128" s="1234"/>
      <c r="BK128" s="1335"/>
      <c r="BL128" s="1335"/>
      <c r="BM128" s="1234"/>
      <c r="BN128" s="1234"/>
      <c r="BO128" s="1238"/>
      <c r="BP128" s="1238"/>
      <c r="BQ128" s="1239"/>
      <c r="BR128" s="1239"/>
      <c r="BS128" s="1241"/>
      <c r="BT128" s="1252"/>
    </row>
    <row r="129" spans="1:72" s="1184" customFormat="1" hidden="1">
      <c r="A129" s="1040"/>
      <c r="B129" s="1333"/>
      <c r="C129" s="1334" t="s">
        <v>3027</v>
      </c>
      <c r="D129" s="1120" t="s">
        <v>3087</v>
      </c>
      <c r="E129" s="1262" t="s">
        <v>46</v>
      </c>
      <c r="F129" s="1041">
        <f t="shared" si="43"/>
        <v>0.01</v>
      </c>
      <c r="G129" s="1041"/>
      <c r="H129" s="1041">
        <f t="shared" si="46"/>
        <v>0.01</v>
      </c>
      <c r="I129" s="1029">
        <v>2030</v>
      </c>
      <c r="J129" s="1041"/>
      <c r="K129" s="1041">
        <v>0.01</v>
      </c>
      <c r="L129" s="1041"/>
      <c r="M129" s="1041"/>
      <c r="N129" s="1041"/>
      <c r="O129" s="1041"/>
      <c r="P129" s="1041"/>
      <c r="Q129" s="1041"/>
      <c r="R129" s="1041"/>
      <c r="S129" s="1041"/>
      <c r="T129" s="1041"/>
      <c r="U129" s="1041"/>
      <c r="V129" s="1041"/>
      <c r="W129" s="1041"/>
      <c r="X129" s="1041"/>
      <c r="Y129" s="1041"/>
      <c r="Z129" s="1041"/>
      <c r="AA129" s="1041"/>
      <c r="AB129" s="1041"/>
      <c r="AC129" s="1041"/>
      <c r="AD129" s="1041"/>
      <c r="AE129" s="1041"/>
      <c r="AF129" s="1041"/>
      <c r="AG129" s="1041"/>
      <c r="AH129" s="1041"/>
      <c r="AI129" s="1041"/>
      <c r="AJ129" s="1041"/>
      <c r="AK129" s="1041"/>
      <c r="AL129" s="1041"/>
      <c r="AM129" s="1041"/>
      <c r="AN129" s="1041"/>
      <c r="AO129" s="1041"/>
      <c r="AP129" s="1041"/>
      <c r="AQ129" s="1041"/>
      <c r="AR129" s="1041"/>
      <c r="AS129" s="1041"/>
      <c r="AT129" s="1041"/>
      <c r="AU129" s="1041"/>
      <c r="AV129" s="1041"/>
      <c r="AW129" s="1041"/>
      <c r="AX129" s="1041"/>
      <c r="AY129" s="1041"/>
      <c r="AZ129" s="1041"/>
      <c r="BA129" s="1041"/>
      <c r="BB129" s="1041"/>
      <c r="BC129" s="1041"/>
      <c r="BD129" s="1041"/>
      <c r="BE129" s="1041"/>
      <c r="BF129" s="1041"/>
      <c r="BG129" s="1085"/>
      <c r="BH129" s="1085"/>
      <c r="BI129" s="1334"/>
      <c r="BJ129" s="1234"/>
      <c r="BK129" s="1335"/>
      <c r="BL129" s="1335"/>
      <c r="BM129" s="1234"/>
      <c r="BN129" s="1234"/>
      <c r="BO129" s="1238"/>
      <c r="BP129" s="1238"/>
      <c r="BQ129" s="1239"/>
      <c r="BR129" s="1239"/>
      <c r="BS129" s="1241"/>
      <c r="BT129" s="1252"/>
    </row>
    <row r="130" spans="1:72" s="1184" customFormat="1" hidden="1">
      <c r="A130" s="1040"/>
      <c r="B130" s="1333"/>
      <c r="C130" s="1334" t="s">
        <v>3197</v>
      </c>
      <c r="D130" s="1120" t="s">
        <v>3087</v>
      </c>
      <c r="E130" s="1262" t="s">
        <v>46</v>
      </c>
      <c r="F130" s="1041">
        <f t="shared" si="43"/>
        <v>0.01</v>
      </c>
      <c r="G130" s="1041"/>
      <c r="H130" s="1041">
        <f t="shared" si="46"/>
        <v>0.01</v>
      </c>
      <c r="I130" s="1029">
        <v>2030</v>
      </c>
      <c r="J130" s="1041"/>
      <c r="K130" s="1041"/>
      <c r="L130" s="1041"/>
      <c r="M130" s="1041">
        <v>0.01</v>
      </c>
      <c r="N130" s="1041"/>
      <c r="O130" s="1041"/>
      <c r="P130" s="1041"/>
      <c r="Q130" s="1041"/>
      <c r="R130" s="1041"/>
      <c r="S130" s="1041"/>
      <c r="T130" s="1041"/>
      <c r="U130" s="1041"/>
      <c r="V130" s="1041"/>
      <c r="W130" s="1041"/>
      <c r="X130" s="1041"/>
      <c r="Y130" s="1041"/>
      <c r="Z130" s="1041"/>
      <c r="AA130" s="1041"/>
      <c r="AB130" s="1041"/>
      <c r="AC130" s="1041"/>
      <c r="AD130" s="1041"/>
      <c r="AE130" s="1041"/>
      <c r="AF130" s="1041"/>
      <c r="AG130" s="1041"/>
      <c r="AH130" s="1041"/>
      <c r="AI130" s="1041"/>
      <c r="AJ130" s="1041"/>
      <c r="AK130" s="1041"/>
      <c r="AL130" s="1041"/>
      <c r="AM130" s="1041"/>
      <c r="AN130" s="1041"/>
      <c r="AO130" s="1041"/>
      <c r="AP130" s="1041"/>
      <c r="AQ130" s="1041"/>
      <c r="AR130" s="1041"/>
      <c r="AS130" s="1041"/>
      <c r="AT130" s="1041"/>
      <c r="AU130" s="1041"/>
      <c r="AV130" s="1041"/>
      <c r="AW130" s="1041"/>
      <c r="AX130" s="1041"/>
      <c r="AY130" s="1041"/>
      <c r="AZ130" s="1041"/>
      <c r="BA130" s="1041"/>
      <c r="BB130" s="1041"/>
      <c r="BC130" s="1041"/>
      <c r="BD130" s="1041"/>
      <c r="BE130" s="1041"/>
      <c r="BF130" s="1041"/>
      <c r="BG130" s="1085"/>
      <c r="BH130" s="1085"/>
      <c r="BI130" s="1334"/>
      <c r="BJ130" s="1234"/>
      <c r="BK130" s="1335"/>
      <c r="BL130" s="1335"/>
      <c r="BM130" s="1234"/>
      <c r="BN130" s="1234"/>
      <c r="BO130" s="1238"/>
      <c r="BP130" s="1238"/>
      <c r="BQ130" s="1239"/>
      <c r="BR130" s="1239"/>
      <c r="BS130" s="1241"/>
      <c r="BT130" s="1252"/>
    </row>
    <row r="131" spans="1:72" s="1184" customFormat="1" hidden="1">
      <c r="A131" s="1040"/>
      <c r="B131" s="1333"/>
      <c r="C131" s="1334" t="s">
        <v>3028</v>
      </c>
      <c r="D131" s="1120" t="s">
        <v>3087</v>
      </c>
      <c r="E131" s="1262" t="s">
        <v>46</v>
      </c>
      <c r="F131" s="1041">
        <f t="shared" si="43"/>
        <v>0.01</v>
      </c>
      <c r="G131" s="1041"/>
      <c r="H131" s="1041">
        <f t="shared" si="46"/>
        <v>0.01</v>
      </c>
      <c r="I131" s="1029">
        <v>2030</v>
      </c>
      <c r="J131" s="1041"/>
      <c r="K131" s="1041"/>
      <c r="L131" s="1041"/>
      <c r="M131" s="1041"/>
      <c r="N131" s="1041">
        <v>0.01</v>
      </c>
      <c r="O131" s="1041"/>
      <c r="P131" s="1041"/>
      <c r="Q131" s="1041"/>
      <c r="R131" s="1041"/>
      <c r="S131" s="1041"/>
      <c r="T131" s="1041"/>
      <c r="U131" s="1041"/>
      <c r="V131" s="1041"/>
      <c r="W131" s="1041"/>
      <c r="X131" s="1041"/>
      <c r="Y131" s="1041"/>
      <c r="Z131" s="1041"/>
      <c r="AA131" s="1041"/>
      <c r="AB131" s="1041"/>
      <c r="AC131" s="1041"/>
      <c r="AD131" s="1041"/>
      <c r="AE131" s="1041"/>
      <c r="AF131" s="1041"/>
      <c r="AG131" s="1041"/>
      <c r="AH131" s="1041"/>
      <c r="AI131" s="1041"/>
      <c r="AJ131" s="1041"/>
      <c r="AK131" s="1041"/>
      <c r="AL131" s="1041"/>
      <c r="AM131" s="1041"/>
      <c r="AN131" s="1041"/>
      <c r="AO131" s="1041"/>
      <c r="AP131" s="1041"/>
      <c r="AQ131" s="1041"/>
      <c r="AR131" s="1041"/>
      <c r="AS131" s="1041"/>
      <c r="AT131" s="1041"/>
      <c r="AU131" s="1041"/>
      <c r="AV131" s="1041"/>
      <c r="AW131" s="1041"/>
      <c r="AX131" s="1041"/>
      <c r="AY131" s="1041"/>
      <c r="AZ131" s="1041"/>
      <c r="BA131" s="1041"/>
      <c r="BB131" s="1041"/>
      <c r="BC131" s="1041"/>
      <c r="BD131" s="1041"/>
      <c r="BE131" s="1041"/>
      <c r="BF131" s="1041"/>
      <c r="BG131" s="1085"/>
      <c r="BH131" s="1085"/>
      <c r="BI131" s="1334"/>
      <c r="BJ131" s="1234"/>
      <c r="BK131" s="1335"/>
      <c r="BL131" s="1335"/>
      <c r="BM131" s="1234"/>
      <c r="BN131" s="1234"/>
      <c r="BO131" s="1238"/>
      <c r="BP131" s="1238"/>
      <c r="BQ131" s="1239"/>
      <c r="BR131" s="1239"/>
      <c r="BS131" s="1241"/>
      <c r="BT131" s="1252"/>
    </row>
    <row r="132" spans="1:72" s="1184" customFormat="1" hidden="1">
      <c r="A132" s="1040"/>
      <c r="B132" s="1333"/>
      <c r="C132" s="1334" t="s">
        <v>3013</v>
      </c>
      <c r="D132" s="1120" t="s">
        <v>3087</v>
      </c>
      <c r="E132" s="1262" t="s">
        <v>46</v>
      </c>
      <c r="F132" s="1041">
        <f t="shared" si="43"/>
        <v>0.01</v>
      </c>
      <c r="G132" s="1041"/>
      <c r="H132" s="1041">
        <f t="shared" si="46"/>
        <v>0.01</v>
      </c>
      <c r="I132" s="1029">
        <v>2030</v>
      </c>
      <c r="J132" s="1041"/>
      <c r="K132" s="1041"/>
      <c r="L132" s="1041"/>
      <c r="M132" s="1041"/>
      <c r="N132" s="1041"/>
      <c r="O132" s="1041"/>
      <c r="P132" s="1041"/>
      <c r="Q132" s="1041"/>
      <c r="R132" s="1041"/>
      <c r="S132" s="1041">
        <v>0.01</v>
      </c>
      <c r="T132" s="1041"/>
      <c r="U132" s="1041"/>
      <c r="V132" s="1041"/>
      <c r="W132" s="1041"/>
      <c r="X132" s="1041"/>
      <c r="Y132" s="1041"/>
      <c r="Z132" s="1041"/>
      <c r="AA132" s="1041"/>
      <c r="AB132" s="1041"/>
      <c r="AC132" s="1041"/>
      <c r="AD132" s="1041"/>
      <c r="AE132" s="1041"/>
      <c r="AF132" s="1041"/>
      <c r="AG132" s="1041"/>
      <c r="AH132" s="1041"/>
      <c r="AI132" s="1041"/>
      <c r="AJ132" s="1041"/>
      <c r="AK132" s="1041"/>
      <c r="AL132" s="1041"/>
      <c r="AM132" s="1041"/>
      <c r="AN132" s="1041"/>
      <c r="AO132" s="1041"/>
      <c r="AP132" s="1041"/>
      <c r="AQ132" s="1041"/>
      <c r="AR132" s="1041"/>
      <c r="AS132" s="1041"/>
      <c r="AT132" s="1041"/>
      <c r="AU132" s="1041"/>
      <c r="AV132" s="1041"/>
      <c r="AW132" s="1041"/>
      <c r="AX132" s="1041"/>
      <c r="AY132" s="1041"/>
      <c r="AZ132" s="1041"/>
      <c r="BA132" s="1041"/>
      <c r="BB132" s="1041"/>
      <c r="BC132" s="1041"/>
      <c r="BD132" s="1041"/>
      <c r="BE132" s="1041"/>
      <c r="BF132" s="1041"/>
      <c r="BG132" s="1085"/>
      <c r="BH132" s="1085"/>
      <c r="BI132" s="1334"/>
      <c r="BJ132" s="1234"/>
      <c r="BK132" s="1335"/>
      <c r="BL132" s="1335"/>
      <c r="BM132" s="1234"/>
      <c r="BN132" s="1234"/>
      <c r="BO132" s="1238"/>
      <c r="BP132" s="1238"/>
      <c r="BQ132" s="1239"/>
      <c r="BR132" s="1239"/>
      <c r="BS132" s="1241"/>
      <c r="BT132" s="1252"/>
    </row>
    <row r="133" spans="1:72" s="1184" customFormat="1" hidden="1">
      <c r="A133" s="1040"/>
      <c r="B133" s="1333"/>
      <c r="C133" s="1334" t="s">
        <v>3187</v>
      </c>
      <c r="D133" s="1120" t="s">
        <v>3087</v>
      </c>
      <c r="E133" s="1262" t="s">
        <v>46</v>
      </c>
      <c r="F133" s="1041">
        <f t="shared" si="43"/>
        <v>0.01</v>
      </c>
      <c r="G133" s="1041"/>
      <c r="H133" s="1041">
        <f t="shared" si="46"/>
        <v>0.01</v>
      </c>
      <c r="I133" s="1029">
        <v>2030</v>
      </c>
      <c r="J133" s="1041"/>
      <c r="K133" s="1041"/>
      <c r="L133" s="1041"/>
      <c r="M133" s="1041"/>
      <c r="N133" s="1041"/>
      <c r="O133" s="1041"/>
      <c r="P133" s="1041"/>
      <c r="Q133" s="1041"/>
      <c r="R133" s="1041"/>
      <c r="S133" s="1041"/>
      <c r="T133" s="1041"/>
      <c r="U133" s="1041"/>
      <c r="V133" s="1041"/>
      <c r="W133" s="1041"/>
      <c r="X133" s="1041"/>
      <c r="Y133" s="1041"/>
      <c r="Z133" s="1041"/>
      <c r="AA133" s="1041"/>
      <c r="AB133" s="1041"/>
      <c r="AC133" s="1041"/>
      <c r="AD133" s="1041"/>
      <c r="AE133" s="1041"/>
      <c r="AF133" s="1041"/>
      <c r="AG133" s="1041"/>
      <c r="AH133" s="1041"/>
      <c r="AI133" s="1041"/>
      <c r="AJ133" s="1041"/>
      <c r="AK133" s="1041"/>
      <c r="AL133" s="1041"/>
      <c r="AM133" s="1041"/>
      <c r="AN133" s="1041"/>
      <c r="AO133" s="1041"/>
      <c r="AP133" s="1041"/>
      <c r="AQ133" s="1041"/>
      <c r="AR133" s="1041"/>
      <c r="AS133" s="1041"/>
      <c r="AT133" s="1041"/>
      <c r="AU133" s="1041"/>
      <c r="AV133" s="1041"/>
      <c r="AW133" s="1041"/>
      <c r="AX133" s="1041">
        <v>0.01</v>
      </c>
      <c r="AY133" s="1041"/>
      <c r="AZ133" s="1041"/>
      <c r="BA133" s="1041"/>
      <c r="BB133" s="1041"/>
      <c r="BC133" s="1041"/>
      <c r="BD133" s="1041"/>
      <c r="BE133" s="1041"/>
      <c r="BF133" s="1041"/>
      <c r="BG133" s="1085"/>
      <c r="BH133" s="1085"/>
      <c r="BI133" s="1334"/>
      <c r="BJ133" s="1234"/>
      <c r="BK133" s="1335"/>
      <c r="BL133" s="1335"/>
      <c r="BM133" s="1234"/>
      <c r="BN133" s="1234"/>
      <c r="BO133" s="1238"/>
      <c r="BP133" s="1238"/>
      <c r="BQ133" s="1239"/>
      <c r="BR133" s="1239"/>
      <c r="BS133" s="1241"/>
      <c r="BT133" s="1252"/>
    </row>
    <row r="134" spans="1:72" s="1327" customFormat="1" ht="24" customHeight="1">
      <c r="A134" s="1028">
        <f>+A127+1</f>
        <v>55</v>
      </c>
      <c r="B134" s="1336" t="s">
        <v>3342</v>
      </c>
      <c r="C134" s="1331"/>
      <c r="D134" s="1331"/>
      <c r="E134" s="1258"/>
      <c r="F134" s="1029">
        <f t="shared" si="43"/>
        <v>0.19999999999999998</v>
      </c>
      <c r="G134" s="1029"/>
      <c r="H134" s="1029">
        <f t="shared" si="46"/>
        <v>0.19999999999999998</v>
      </c>
      <c r="I134" s="1029">
        <v>2030</v>
      </c>
      <c r="J134" s="1029">
        <f>SUM(J135:J145)</f>
        <v>0.03</v>
      </c>
      <c r="K134" s="1029">
        <f t="shared" ref="K134:BH134" si="51">SUM(K135:K145)</f>
        <v>0</v>
      </c>
      <c r="L134" s="1029">
        <f t="shared" si="51"/>
        <v>0</v>
      </c>
      <c r="M134" s="1029">
        <f t="shared" si="51"/>
        <v>0.03</v>
      </c>
      <c r="N134" s="1029">
        <f t="shared" si="51"/>
        <v>0.03</v>
      </c>
      <c r="O134" s="1029">
        <f t="shared" si="51"/>
        <v>0</v>
      </c>
      <c r="P134" s="1029">
        <f t="shared" si="51"/>
        <v>0</v>
      </c>
      <c r="Q134" s="1029">
        <f t="shared" si="51"/>
        <v>0</v>
      </c>
      <c r="R134" s="1029">
        <f t="shared" si="51"/>
        <v>0</v>
      </c>
      <c r="S134" s="1029">
        <f t="shared" si="51"/>
        <v>0.03</v>
      </c>
      <c r="T134" s="1029">
        <f t="shared" si="51"/>
        <v>0</v>
      </c>
      <c r="U134" s="1029">
        <f t="shared" si="51"/>
        <v>0</v>
      </c>
      <c r="V134" s="1029">
        <f t="shared" si="51"/>
        <v>0</v>
      </c>
      <c r="W134" s="1029">
        <f t="shared" si="51"/>
        <v>0</v>
      </c>
      <c r="X134" s="1029">
        <f t="shared" si="51"/>
        <v>0</v>
      </c>
      <c r="Y134" s="1029">
        <f t="shared" si="51"/>
        <v>0</v>
      </c>
      <c r="Z134" s="1029">
        <f t="shared" si="51"/>
        <v>0</v>
      </c>
      <c r="AA134" s="1029">
        <f t="shared" si="51"/>
        <v>0</v>
      </c>
      <c r="AB134" s="1029">
        <f t="shared" si="51"/>
        <v>0</v>
      </c>
      <c r="AC134" s="1029">
        <f t="shared" si="51"/>
        <v>0</v>
      </c>
      <c r="AD134" s="1029">
        <f t="shared" si="51"/>
        <v>0</v>
      </c>
      <c r="AE134" s="1029">
        <f t="shared" si="51"/>
        <v>0.02</v>
      </c>
      <c r="AF134" s="1029">
        <f t="shared" si="51"/>
        <v>0</v>
      </c>
      <c r="AG134" s="1029">
        <f t="shared" si="51"/>
        <v>0</v>
      </c>
      <c r="AH134" s="1029">
        <f t="shared" si="51"/>
        <v>0</v>
      </c>
      <c r="AI134" s="1029">
        <f t="shared" si="51"/>
        <v>0</v>
      </c>
      <c r="AJ134" s="1029">
        <f t="shared" si="51"/>
        <v>0</v>
      </c>
      <c r="AK134" s="1029">
        <f t="shared" si="51"/>
        <v>0</v>
      </c>
      <c r="AL134" s="1029">
        <f t="shared" si="51"/>
        <v>0</v>
      </c>
      <c r="AM134" s="1029">
        <f t="shared" si="51"/>
        <v>0</v>
      </c>
      <c r="AN134" s="1029">
        <f t="shared" si="51"/>
        <v>0</v>
      </c>
      <c r="AO134" s="1029">
        <f t="shared" si="51"/>
        <v>0</v>
      </c>
      <c r="AP134" s="1029">
        <f t="shared" si="51"/>
        <v>0</v>
      </c>
      <c r="AQ134" s="1029">
        <f t="shared" si="51"/>
        <v>0.02</v>
      </c>
      <c r="AR134" s="1029">
        <f t="shared" si="51"/>
        <v>0</v>
      </c>
      <c r="AS134" s="1029">
        <f t="shared" si="51"/>
        <v>0</v>
      </c>
      <c r="AT134" s="1029">
        <f t="shared" si="51"/>
        <v>0</v>
      </c>
      <c r="AU134" s="1029">
        <f t="shared" si="51"/>
        <v>0</v>
      </c>
      <c r="AV134" s="1029">
        <f t="shared" si="51"/>
        <v>0</v>
      </c>
      <c r="AW134" s="1029">
        <f t="shared" si="51"/>
        <v>0</v>
      </c>
      <c r="AX134" s="1029">
        <f t="shared" si="51"/>
        <v>0.01</v>
      </c>
      <c r="AY134" s="1029">
        <f t="shared" si="51"/>
        <v>0.01</v>
      </c>
      <c r="AZ134" s="1029">
        <f t="shared" si="51"/>
        <v>0</v>
      </c>
      <c r="BA134" s="1029">
        <f t="shared" si="51"/>
        <v>0</v>
      </c>
      <c r="BB134" s="1029">
        <f t="shared" si="51"/>
        <v>0</v>
      </c>
      <c r="BC134" s="1029">
        <f t="shared" si="51"/>
        <v>0</v>
      </c>
      <c r="BD134" s="1029">
        <f t="shared" si="51"/>
        <v>0</v>
      </c>
      <c r="BE134" s="1029">
        <f t="shared" si="51"/>
        <v>0</v>
      </c>
      <c r="BF134" s="1029">
        <f t="shared" si="51"/>
        <v>0.02</v>
      </c>
      <c r="BG134" s="1034">
        <f t="shared" si="51"/>
        <v>0</v>
      </c>
      <c r="BH134" s="1034">
        <f t="shared" si="51"/>
        <v>0</v>
      </c>
      <c r="BI134" s="1331" t="s">
        <v>860</v>
      </c>
      <c r="BJ134" s="1337"/>
      <c r="BK134" s="1615" t="s">
        <v>3343</v>
      </c>
      <c r="BL134" s="1337" t="s">
        <v>1923</v>
      </c>
      <c r="BM134" s="1120" t="s">
        <v>3091</v>
      </c>
      <c r="BN134" s="1120" t="s">
        <v>291</v>
      </c>
      <c r="BO134" s="1121"/>
      <c r="BP134" s="1121">
        <v>1</v>
      </c>
      <c r="BQ134" s="1243" t="s">
        <v>3234</v>
      </c>
      <c r="BR134" s="1232" t="s">
        <v>3344</v>
      </c>
      <c r="BS134" s="1124" t="s">
        <v>291</v>
      </c>
      <c r="BT134" s="1326"/>
    </row>
    <row r="135" spans="1:72" s="1341" customFormat="1" ht="12.75" hidden="1" customHeight="1">
      <c r="A135" s="1040"/>
      <c r="B135" s="1338"/>
      <c r="C135" s="1334" t="s">
        <v>3156</v>
      </c>
      <c r="D135" s="1234" t="s">
        <v>3087</v>
      </c>
      <c r="E135" s="1262" t="s">
        <v>46</v>
      </c>
      <c r="F135" s="1041">
        <f t="shared" si="43"/>
        <v>0.01</v>
      </c>
      <c r="G135" s="1041"/>
      <c r="H135" s="1041">
        <f t="shared" si="46"/>
        <v>0.01</v>
      </c>
      <c r="I135" s="1029">
        <v>2030</v>
      </c>
      <c r="J135" s="1041"/>
      <c r="K135" s="1041"/>
      <c r="L135" s="1041"/>
      <c r="M135" s="1041"/>
      <c r="N135" s="1041"/>
      <c r="O135" s="1041"/>
      <c r="P135" s="1041"/>
      <c r="Q135" s="1041"/>
      <c r="R135" s="1041"/>
      <c r="S135" s="1041"/>
      <c r="T135" s="1041"/>
      <c r="U135" s="1041"/>
      <c r="V135" s="1041"/>
      <c r="W135" s="1041"/>
      <c r="X135" s="1041"/>
      <c r="Y135" s="1041"/>
      <c r="Z135" s="1041"/>
      <c r="AA135" s="1041"/>
      <c r="AB135" s="1041"/>
      <c r="AC135" s="1041"/>
      <c r="AD135" s="1041"/>
      <c r="AE135" s="1041"/>
      <c r="AF135" s="1041"/>
      <c r="AG135" s="1041"/>
      <c r="AH135" s="1041"/>
      <c r="AI135" s="1041"/>
      <c r="AJ135" s="1041"/>
      <c r="AK135" s="1041"/>
      <c r="AL135" s="1041"/>
      <c r="AM135" s="1041"/>
      <c r="AN135" s="1041"/>
      <c r="AO135" s="1041"/>
      <c r="AP135" s="1041"/>
      <c r="AQ135" s="1041"/>
      <c r="AR135" s="1041"/>
      <c r="AS135" s="1041"/>
      <c r="AT135" s="1041"/>
      <c r="AU135" s="1041"/>
      <c r="AV135" s="1041"/>
      <c r="AW135" s="1041"/>
      <c r="AX135" s="1041"/>
      <c r="AY135" s="1041">
        <v>0.01</v>
      </c>
      <c r="AZ135" s="1041"/>
      <c r="BA135" s="1041"/>
      <c r="BB135" s="1041"/>
      <c r="BC135" s="1041"/>
      <c r="BD135" s="1041"/>
      <c r="BE135" s="1041"/>
      <c r="BF135" s="1041"/>
      <c r="BG135" s="1041"/>
      <c r="BH135" s="1041"/>
      <c r="BI135" s="1334"/>
      <c r="BJ135" s="1339"/>
      <c r="BK135" s="1615"/>
      <c r="BL135" s="1339"/>
      <c r="BM135" s="1234"/>
      <c r="BN135" s="1234"/>
      <c r="BO135" s="1238"/>
      <c r="BP135" s="1238"/>
      <c r="BQ135" s="1244"/>
      <c r="BR135" s="1240"/>
      <c r="BS135" s="1241"/>
      <c r="BT135" s="1340"/>
    </row>
    <row r="136" spans="1:72" s="1341" customFormat="1" ht="14.25" hidden="1" customHeight="1">
      <c r="A136" s="1040"/>
      <c r="B136" s="1338"/>
      <c r="C136" s="1334" t="s">
        <v>3197</v>
      </c>
      <c r="D136" s="1234" t="s">
        <v>3087</v>
      </c>
      <c r="E136" s="1262" t="s">
        <v>46</v>
      </c>
      <c r="F136" s="1041">
        <f t="shared" si="43"/>
        <v>0.02</v>
      </c>
      <c r="G136" s="1041"/>
      <c r="H136" s="1041">
        <f t="shared" si="46"/>
        <v>0.02</v>
      </c>
      <c r="I136" s="1029">
        <v>2030</v>
      </c>
      <c r="J136" s="1041">
        <v>0.01</v>
      </c>
      <c r="K136" s="1041"/>
      <c r="L136" s="1041"/>
      <c r="M136" s="1041"/>
      <c r="N136" s="1041"/>
      <c r="O136" s="1041"/>
      <c r="P136" s="1041"/>
      <c r="Q136" s="1041"/>
      <c r="R136" s="1041"/>
      <c r="S136" s="1041"/>
      <c r="T136" s="1041"/>
      <c r="U136" s="1041"/>
      <c r="V136" s="1041"/>
      <c r="W136" s="1041"/>
      <c r="X136" s="1041"/>
      <c r="Y136" s="1041"/>
      <c r="Z136" s="1041"/>
      <c r="AA136" s="1041"/>
      <c r="AB136" s="1041"/>
      <c r="AC136" s="1041"/>
      <c r="AD136" s="1041"/>
      <c r="AE136" s="1041"/>
      <c r="AF136" s="1041"/>
      <c r="AG136" s="1041"/>
      <c r="AH136" s="1041"/>
      <c r="AI136" s="1041"/>
      <c r="AJ136" s="1041"/>
      <c r="AK136" s="1041"/>
      <c r="AL136" s="1041"/>
      <c r="AM136" s="1041"/>
      <c r="AN136" s="1041"/>
      <c r="AO136" s="1041"/>
      <c r="AP136" s="1041"/>
      <c r="AQ136" s="1041"/>
      <c r="AR136" s="1041"/>
      <c r="AS136" s="1041"/>
      <c r="AT136" s="1041"/>
      <c r="AU136" s="1041"/>
      <c r="AV136" s="1041"/>
      <c r="AW136" s="1041"/>
      <c r="AX136" s="1041">
        <v>0.01</v>
      </c>
      <c r="AY136" s="1041"/>
      <c r="AZ136" s="1041"/>
      <c r="BA136" s="1041"/>
      <c r="BB136" s="1041"/>
      <c r="BC136" s="1041"/>
      <c r="BD136" s="1041"/>
      <c r="BE136" s="1041"/>
      <c r="BF136" s="1041"/>
      <c r="BG136" s="1041"/>
      <c r="BH136" s="1041"/>
      <c r="BI136" s="1334"/>
      <c r="BJ136" s="1339"/>
      <c r="BK136" s="1615"/>
      <c r="BL136" s="1339"/>
      <c r="BM136" s="1234"/>
      <c r="BN136" s="1234"/>
      <c r="BO136" s="1238"/>
      <c r="BP136" s="1238"/>
      <c r="BQ136" s="1244"/>
      <c r="BR136" s="1240"/>
      <c r="BS136" s="1241"/>
      <c r="BT136" s="1340"/>
    </row>
    <row r="137" spans="1:72" s="1341" customFormat="1" ht="14.25" hidden="1" customHeight="1">
      <c r="A137" s="1040"/>
      <c r="B137" s="1338"/>
      <c r="C137" s="1334" t="s">
        <v>3028</v>
      </c>
      <c r="D137" s="1234" t="s">
        <v>3087</v>
      </c>
      <c r="E137" s="1262" t="s">
        <v>46</v>
      </c>
      <c r="F137" s="1041">
        <f t="shared" si="43"/>
        <v>0.03</v>
      </c>
      <c r="G137" s="1041"/>
      <c r="H137" s="1041">
        <f t="shared" si="46"/>
        <v>0.03</v>
      </c>
      <c r="I137" s="1029">
        <v>2030</v>
      </c>
      <c r="J137" s="1041">
        <v>0.01</v>
      </c>
      <c r="K137" s="1041"/>
      <c r="L137" s="1041"/>
      <c r="M137" s="1041">
        <v>0.01</v>
      </c>
      <c r="N137" s="1041"/>
      <c r="O137" s="1041"/>
      <c r="P137" s="1041"/>
      <c r="Q137" s="1041"/>
      <c r="R137" s="1041"/>
      <c r="S137" s="1041"/>
      <c r="T137" s="1041"/>
      <c r="U137" s="1041"/>
      <c r="V137" s="1041"/>
      <c r="W137" s="1041"/>
      <c r="X137" s="1041"/>
      <c r="Y137" s="1041"/>
      <c r="Z137" s="1041"/>
      <c r="AA137" s="1041"/>
      <c r="AB137" s="1041"/>
      <c r="AC137" s="1041"/>
      <c r="AD137" s="1041"/>
      <c r="AE137" s="1041"/>
      <c r="AF137" s="1041"/>
      <c r="AG137" s="1041"/>
      <c r="AH137" s="1041"/>
      <c r="AI137" s="1041"/>
      <c r="AJ137" s="1041"/>
      <c r="AK137" s="1041"/>
      <c r="AL137" s="1041"/>
      <c r="AM137" s="1041"/>
      <c r="AN137" s="1041"/>
      <c r="AO137" s="1041"/>
      <c r="AP137" s="1041"/>
      <c r="AQ137" s="1041"/>
      <c r="AR137" s="1041"/>
      <c r="AS137" s="1041"/>
      <c r="AT137" s="1041"/>
      <c r="AU137" s="1041"/>
      <c r="AV137" s="1041"/>
      <c r="AW137" s="1041"/>
      <c r="AX137" s="1041"/>
      <c r="AY137" s="1041"/>
      <c r="AZ137" s="1041"/>
      <c r="BA137" s="1041"/>
      <c r="BB137" s="1041"/>
      <c r="BC137" s="1041"/>
      <c r="BD137" s="1041"/>
      <c r="BE137" s="1041"/>
      <c r="BF137" s="1041">
        <v>0.01</v>
      </c>
      <c r="BG137" s="1041"/>
      <c r="BH137" s="1041"/>
      <c r="BI137" s="1334"/>
      <c r="BJ137" s="1339"/>
      <c r="BK137" s="1615"/>
      <c r="BL137" s="1339"/>
      <c r="BM137" s="1234"/>
      <c r="BN137" s="1234"/>
      <c r="BO137" s="1238"/>
      <c r="BP137" s="1238"/>
      <c r="BQ137" s="1244"/>
      <c r="BR137" s="1240"/>
      <c r="BS137" s="1241"/>
      <c r="BT137" s="1340"/>
    </row>
    <row r="138" spans="1:72" s="1341" customFormat="1" ht="14.25" hidden="1" customHeight="1">
      <c r="A138" s="1040"/>
      <c r="B138" s="1338"/>
      <c r="C138" s="1334" t="s">
        <v>3013</v>
      </c>
      <c r="D138" s="1234" t="s">
        <v>3087</v>
      </c>
      <c r="E138" s="1262" t="s">
        <v>46</v>
      </c>
      <c r="F138" s="1041">
        <f t="shared" si="43"/>
        <v>0.03</v>
      </c>
      <c r="G138" s="1041"/>
      <c r="H138" s="1041">
        <f t="shared" si="46"/>
        <v>0.03</v>
      </c>
      <c r="I138" s="1029">
        <v>2030</v>
      </c>
      <c r="J138" s="1041">
        <v>0.01</v>
      </c>
      <c r="K138" s="1041"/>
      <c r="L138" s="1041"/>
      <c r="M138" s="1041">
        <v>0.01</v>
      </c>
      <c r="N138" s="1041">
        <v>0.01</v>
      </c>
      <c r="O138" s="1041"/>
      <c r="P138" s="1041"/>
      <c r="Q138" s="1041"/>
      <c r="R138" s="1041"/>
      <c r="S138" s="1041"/>
      <c r="T138" s="1041"/>
      <c r="U138" s="1041"/>
      <c r="V138" s="1041"/>
      <c r="W138" s="1041"/>
      <c r="X138" s="1041"/>
      <c r="Y138" s="1041"/>
      <c r="Z138" s="1041"/>
      <c r="AA138" s="1041"/>
      <c r="AB138" s="1041"/>
      <c r="AC138" s="1041"/>
      <c r="AD138" s="1041"/>
      <c r="AE138" s="1041"/>
      <c r="AF138" s="1041"/>
      <c r="AG138" s="1041"/>
      <c r="AH138" s="1041"/>
      <c r="AI138" s="1041"/>
      <c r="AJ138" s="1041"/>
      <c r="AK138" s="1041"/>
      <c r="AL138" s="1041"/>
      <c r="AM138" s="1041"/>
      <c r="AN138" s="1041"/>
      <c r="AO138" s="1041"/>
      <c r="AP138" s="1041"/>
      <c r="AQ138" s="1041"/>
      <c r="AR138" s="1041"/>
      <c r="AS138" s="1041"/>
      <c r="AT138" s="1041"/>
      <c r="AU138" s="1041"/>
      <c r="AV138" s="1041"/>
      <c r="AW138" s="1041"/>
      <c r="AX138" s="1041"/>
      <c r="AY138" s="1041"/>
      <c r="AZ138" s="1041"/>
      <c r="BA138" s="1041"/>
      <c r="BB138" s="1041"/>
      <c r="BC138" s="1041"/>
      <c r="BD138" s="1041"/>
      <c r="BE138" s="1041"/>
      <c r="BF138" s="1041"/>
      <c r="BG138" s="1041"/>
      <c r="BH138" s="1041"/>
      <c r="BI138" s="1334"/>
      <c r="BJ138" s="1339"/>
      <c r="BK138" s="1615"/>
      <c r="BL138" s="1339"/>
      <c r="BM138" s="1234"/>
      <c r="BN138" s="1234"/>
      <c r="BO138" s="1238"/>
      <c r="BP138" s="1238"/>
      <c r="BQ138" s="1244"/>
      <c r="BR138" s="1240"/>
      <c r="BS138" s="1241"/>
      <c r="BT138" s="1340"/>
    </row>
    <row r="139" spans="1:72" s="1341" customFormat="1" ht="14.25" hidden="1" customHeight="1">
      <c r="A139" s="1040"/>
      <c r="B139" s="1338"/>
      <c r="C139" s="1334" t="s">
        <v>3187</v>
      </c>
      <c r="D139" s="1234" t="s">
        <v>3087</v>
      </c>
      <c r="E139" s="1262" t="s">
        <v>46</v>
      </c>
      <c r="F139" s="1041">
        <f t="shared" si="43"/>
        <v>0.01</v>
      </c>
      <c r="G139" s="1041"/>
      <c r="H139" s="1041">
        <f t="shared" si="46"/>
        <v>0.01</v>
      </c>
      <c r="I139" s="1029">
        <v>2030</v>
      </c>
      <c r="J139" s="1041"/>
      <c r="K139" s="1041"/>
      <c r="L139" s="1041"/>
      <c r="M139" s="1041">
        <v>0.01</v>
      </c>
      <c r="N139" s="1041"/>
      <c r="O139" s="1041"/>
      <c r="P139" s="1041"/>
      <c r="Q139" s="1041"/>
      <c r="R139" s="1041"/>
      <c r="S139" s="1041"/>
      <c r="T139" s="1041"/>
      <c r="U139" s="1041"/>
      <c r="V139" s="1041"/>
      <c r="W139" s="1041"/>
      <c r="X139" s="1041"/>
      <c r="Y139" s="1041"/>
      <c r="Z139" s="1041"/>
      <c r="AA139" s="1041"/>
      <c r="AB139" s="1041"/>
      <c r="AC139" s="1041"/>
      <c r="AD139" s="1041"/>
      <c r="AE139" s="1041"/>
      <c r="AF139" s="1041"/>
      <c r="AG139" s="1041"/>
      <c r="AH139" s="1041"/>
      <c r="AI139" s="1041"/>
      <c r="AJ139" s="1041"/>
      <c r="AK139" s="1041"/>
      <c r="AL139" s="1041"/>
      <c r="AM139" s="1041"/>
      <c r="AN139" s="1041"/>
      <c r="AO139" s="1041"/>
      <c r="AP139" s="1041"/>
      <c r="AQ139" s="1041"/>
      <c r="AR139" s="1041"/>
      <c r="AS139" s="1041"/>
      <c r="AT139" s="1041"/>
      <c r="AU139" s="1041"/>
      <c r="AV139" s="1041"/>
      <c r="AW139" s="1041"/>
      <c r="AX139" s="1041"/>
      <c r="AY139" s="1041"/>
      <c r="AZ139" s="1041"/>
      <c r="BA139" s="1041"/>
      <c r="BB139" s="1041"/>
      <c r="BC139" s="1041"/>
      <c r="BD139" s="1041"/>
      <c r="BE139" s="1041"/>
      <c r="BF139" s="1041"/>
      <c r="BG139" s="1041"/>
      <c r="BH139" s="1041"/>
      <c r="BI139" s="1334"/>
      <c r="BJ139" s="1339"/>
      <c r="BK139" s="1615"/>
      <c r="BL139" s="1339"/>
      <c r="BM139" s="1234"/>
      <c r="BN139" s="1234"/>
      <c r="BO139" s="1238"/>
      <c r="BP139" s="1238"/>
      <c r="BQ139" s="1244"/>
      <c r="BR139" s="1240"/>
      <c r="BS139" s="1241"/>
      <c r="BT139" s="1340"/>
    </row>
    <row r="140" spans="1:72" s="1341" customFormat="1" ht="14.25" hidden="1" customHeight="1">
      <c r="A140" s="1040"/>
      <c r="B140" s="1338"/>
      <c r="C140" s="1334" t="s">
        <v>3016</v>
      </c>
      <c r="D140" s="1234" t="s">
        <v>3087</v>
      </c>
      <c r="E140" s="1262" t="s">
        <v>46</v>
      </c>
      <c r="F140" s="1041">
        <f t="shared" si="43"/>
        <v>0.01</v>
      </c>
      <c r="G140" s="1041"/>
      <c r="H140" s="1041">
        <f t="shared" si="46"/>
        <v>0.01</v>
      </c>
      <c r="I140" s="1029">
        <v>2030</v>
      </c>
      <c r="J140" s="1041"/>
      <c r="K140" s="1041"/>
      <c r="L140" s="1041"/>
      <c r="M140" s="1041"/>
      <c r="N140" s="1041">
        <v>0.01</v>
      </c>
      <c r="O140" s="1041"/>
      <c r="P140" s="1041"/>
      <c r="Q140" s="1041"/>
      <c r="R140" s="1041"/>
      <c r="S140" s="1041"/>
      <c r="T140" s="1041"/>
      <c r="U140" s="1041"/>
      <c r="V140" s="1041"/>
      <c r="W140" s="1041"/>
      <c r="X140" s="1041"/>
      <c r="Y140" s="1041"/>
      <c r="Z140" s="1041"/>
      <c r="AA140" s="1041"/>
      <c r="AB140" s="1041"/>
      <c r="AC140" s="1041"/>
      <c r="AD140" s="1041"/>
      <c r="AE140" s="1041"/>
      <c r="AF140" s="1041"/>
      <c r="AG140" s="1041"/>
      <c r="AH140" s="1041"/>
      <c r="AI140" s="1041"/>
      <c r="AJ140" s="1041"/>
      <c r="AK140" s="1041"/>
      <c r="AL140" s="1041"/>
      <c r="AM140" s="1041"/>
      <c r="AN140" s="1041"/>
      <c r="AO140" s="1041"/>
      <c r="AP140" s="1041"/>
      <c r="AQ140" s="1041"/>
      <c r="AR140" s="1041"/>
      <c r="AS140" s="1041"/>
      <c r="AT140" s="1041"/>
      <c r="AU140" s="1041"/>
      <c r="AV140" s="1041"/>
      <c r="AW140" s="1041"/>
      <c r="AX140" s="1041"/>
      <c r="AY140" s="1041"/>
      <c r="AZ140" s="1041"/>
      <c r="BA140" s="1041"/>
      <c r="BB140" s="1041"/>
      <c r="BC140" s="1041"/>
      <c r="BD140" s="1041"/>
      <c r="BE140" s="1041"/>
      <c r="BF140" s="1041"/>
      <c r="BG140" s="1041"/>
      <c r="BH140" s="1041"/>
      <c r="BI140" s="1334"/>
      <c r="BJ140" s="1339"/>
      <c r="BK140" s="1615"/>
      <c r="BL140" s="1339"/>
      <c r="BM140" s="1234"/>
      <c r="BN140" s="1234"/>
      <c r="BO140" s="1238"/>
      <c r="BP140" s="1238"/>
      <c r="BQ140" s="1244"/>
      <c r="BR140" s="1240"/>
      <c r="BS140" s="1241"/>
      <c r="BT140" s="1340"/>
    </row>
    <row r="141" spans="1:72" s="1341" customFormat="1" ht="14.25" hidden="1" customHeight="1">
      <c r="A141" s="1040"/>
      <c r="B141" s="1338"/>
      <c r="C141" s="1334" t="s">
        <v>3113</v>
      </c>
      <c r="D141" s="1234" t="s">
        <v>3087</v>
      </c>
      <c r="E141" s="1262" t="s">
        <v>46</v>
      </c>
      <c r="F141" s="1041">
        <f t="shared" si="43"/>
        <v>0.02</v>
      </c>
      <c r="G141" s="1041"/>
      <c r="H141" s="1041">
        <f t="shared" si="46"/>
        <v>0.02</v>
      </c>
      <c r="I141" s="1029">
        <v>2030</v>
      </c>
      <c r="J141" s="1041"/>
      <c r="K141" s="1041"/>
      <c r="L141" s="1041"/>
      <c r="M141" s="1041"/>
      <c r="N141" s="1041">
        <v>0.01</v>
      </c>
      <c r="O141" s="1041"/>
      <c r="P141" s="1041"/>
      <c r="Q141" s="1041"/>
      <c r="R141" s="1041"/>
      <c r="S141" s="1041">
        <v>0.01</v>
      </c>
      <c r="T141" s="1041"/>
      <c r="U141" s="1041"/>
      <c r="V141" s="1041"/>
      <c r="W141" s="1041"/>
      <c r="X141" s="1041"/>
      <c r="Y141" s="1041"/>
      <c r="Z141" s="1041"/>
      <c r="AA141" s="1041"/>
      <c r="AB141" s="1041"/>
      <c r="AC141" s="1041"/>
      <c r="AD141" s="1041"/>
      <c r="AE141" s="1041"/>
      <c r="AF141" s="1041"/>
      <c r="AG141" s="1041"/>
      <c r="AH141" s="1041"/>
      <c r="AI141" s="1041"/>
      <c r="AJ141" s="1041"/>
      <c r="AK141" s="1041"/>
      <c r="AL141" s="1041"/>
      <c r="AM141" s="1041"/>
      <c r="AN141" s="1041"/>
      <c r="AO141" s="1041"/>
      <c r="AP141" s="1041"/>
      <c r="AQ141" s="1041"/>
      <c r="AR141" s="1041"/>
      <c r="AS141" s="1041"/>
      <c r="AT141" s="1041"/>
      <c r="AU141" s="1041"/>
      <c r="AV141" s="1041"/>
      <c r="AW141" s="1041"/>
      <c r="AX141" s="1041"/>
      <c r="AY141" s="1041"/>
      <c r="AZ141" s="1041"/>
      <c r="BA141" s="1041"/>
      <c r="BB141" s="1041"/>
      <c r="BC141" s="1041"/>
      <c r="BD141" s="1041"/>
      <c r="BE141" s="1041"/>
      <c r="BF141" s="1041"/>
      <c r="BG141" s="1041"/>
      <c r="BH141" s="1041"/>
      <c r="BI141" s="1334"/>
      <c r="BJ141" s="1339"/>
      <c r="BK141" s="1615"/>
      <c r="BL141" s="1339"/>
      <c r="BM141" s="1234"/>
      <c r="BN141" s="1234"/>
      <c r="BO141" s="1238"/>
      <c r="BP141" s="1238"/>
      <c r="BQ141" s="1244"/>
      <c r="BR141" s="1240"/>
      <c r="BS141" s="1241"/>
      <c r="BT141" s="1340"/>
    </row>
    <row r="142" spans="1:72" s="1341" customFormat="1" ht="14.25" hidden="1" customHeight="1">
      <c r="A142" s="1040"/>
      <c r="B142" s="1338"/>
      <c r="C142" s="1334" t="s">
        <v>3019</v>
      </c>
      <c r="D142" s="1234" t="s">
        <v>3087</v>
      </c>
      <c r="E142" s="1262" t="s">
        <v>46</v>
      </c>
      <c r="F142" s="1041">
        <f t="shared" si="43"/>
        <v>0.03</v>
      </c>
      <c r="G142" s="1041"/>
      <c r="H142" s="1041">
        <f t="shared" si="46"/>
        <v>0.03</v>
      </c>
      <c r="I142" s="1029">
        <v>2030</v>
      </c>
      <c r="J142" s="1041"/>
      <c r="K142" s="1041"/>
      <c r="L142" s="1041"/>
      <c r="M142" s="1041"/>
      <c r="N142" s="1041"/>
      <c r="O142" s="1041"/>
      <c r="P142" s="1041"/>
      <c r="Q142" s="1041"/>
      <c r="R142" s="1041"/>
      <c r="S142" s="1041">
        <v>0.01</v>
      </c>
      <c r="T142" s="1041"/>
      <c r="U142" s="1041"/>
      <c r="V142" s="1041"/>
      <c r="W142" s="1041"/>
      <c r="X142" s="1041"/>
      <c r="Y142" s="1041"/>
      <c r="Z142" s="1041"/>
      <c r="AA142" s="1041"/>
      <c r="AB142" s="1041"/>
      <c r="AC142" s="1041"/>
      <c r="AD142" s="1041"/>
      <c r="AE142" s="1041"/>
      <c r="AF142" s="1041"/>
      <c r="AG142" s="1041"/>
      <c r="AH142" s="1041"/>
      <c r="AI142" s="1041"/>
      <c r="AJ142" s="1041"/>
      <c r="AK142" s="1041"/>
      <c r="AL142" s="1041"/>
      <c r="AM142" s="1041"/>
      <c r="AN142" s="1041"/>
      <c r="AO142" s="1041"/>
      <c r="AP142" s="1041"/>
      <c r="AQ142" s="1041">
        <v>0.02</v>
      </c>
      <c r="AR142" s="1041"/>
      <c r="AS142" s="1041"/>
      <c r="AT142" s="1041"/>
      <c r="AU142" s="1041"/>
      <c r="AV142" s="1041"/>
      <c r="AW142" s="1041"/>
      <c r="AX142" s="1041"/>
      <c r="AY142" s="1041"/>
      <c r="AZ142" s="1041"/>
      <c r="BA142" s="1041"/>
      <c r="BB142" s="1041"/>
      <c r="BC142" s="1041"/>
      <c r="BD142" s="1041"/>
      <c r="BE142" s="1041"/>
      <c r="BF142" s="1041"/>
      <c r="BG142" s="1041"/>
      <c r="BH142" s="1041"/>
      <c r="BI142" s="1334"/>
      <c r="BJ142" s="1339"/>
      <c r="BK142" s="1615"/>
      <c r="BL142" s="1339"/>
      <c r="BM142" s="1234"/>
      <c r="BN142" s="1234"/>
      <c r="BO142" s="1238"/>
      <c r="BP142" s="1238"/>
      <c r="BQ142" s="1244"/>
      <c r="BR142" s="1240"/>
      <c r="BS142" s="1241"/>
      <c r="BT142" s="1340"/>
    </row>
    <row r="143" spans="1:72" s="1341" customFormat="1" ht="14.25" hidden="1" customHeight="1">
      <c r="A143" s="1040"/>
      <c r="B143" s="1338"/>
      <c r="C143" s="1334" t="s">
        <v>3187</v>
      </c>
      <c r="D143" s="1234" t="s">
        <v>3087</v>
      </c>
      <c r="E143" s="1262" t="s">
        <v>46</v>
      </c>
      <c r="F143" s="1041">
        <f t="shared" si="43"/>
        <v>0.02</v>
      </c>
      <c r="G143" s="1041"/>
      <c r="H143" s="1041">
        <f t="shared" si="46"/>
        <v>0.02</v>
      </c>
      <c r="I143" s="1029">
        <v>2030</v>
      </c>
      <c r="J143" s="1041"/>
      <c r="K143" s="1041"/>
      <c r="L143" s="1041"/>
      <c r="M143" s="1041"/>
      <c r="N143" s="1041"/>
      <c r="O143" s="1041"/>
      <c r="P143" s="1041"/>
      <c r="Q143" s="1041"/>
      <c r="R143" s="1041"/>
      <c r="S143" s="1041">
        <v>0.01</v>
      </c>
      <c r="T143" s="1041"/>
      <c r="U143" s="1041"/>
      <c r="V143" s="1041"/>
      <c r="W143" s="1041"/>
      <c r="X143" s="1041"/>
      <c r="Y143" s="1041"/>
      <c r="Z143" s="1041"/>
      <c r="AA143" s="1041"/>
      <c r="AB143" s="1041"/>
      <c r="AC143" s="1041"/>
      <c r="AD143" s="1041"/>
      <c r="AE143" s="1041"/>
      <c r="AF143" s="1041"/>
      <c r="AG143" s="1041"/>
      <c r="AH143" s="1041"/>
      <c r="AI143" s="1041"/>
      <c r="AJ143" s="1041"/>
      <c r="AK143" s="1041"/>
      <c r="AL143" s="1041"/>
      <c r="AM143" s="1041"/>
      <c r="AN143" s="1041"/>
      <c r="AO143" s="1041"/>
      <c r="AP143" s="1041"/>
      <c r="AQ143" s="1041"/>
      <c r="AR143" s="1041"/>
      <c r="AS143" s="1041"/>
      <c r="AT143" s="1041"/>
      <c r="AU143" s="1041"/>
      <c r="AV143" s="1041"/>
      <c r="AW143" s="1041"/>
      <c r="AX143" s="1041"/>
      <c r="AY143" s="1041"/>
      <c r="AZ143" s="1041"/>
      <c r="BA143" s="1041"/>
      <c r="BB143" s="1041"/>
      <c r="BC143" s="1041"/>
      <c r="BD143" s="1041"/>
      <c r="BE143" s="1041"/>
      <c r="BF143" s="1041">
        <v>0.01</v>
      </c>
      <c r="BG143" s="1041"/>
      <c r="BH143" s="1041"/>
      <c r="BI143" s="1334"/>
      <c r="BJ143" s="1339"/>
      <c r="BK143" s="1615"/>
      <c r="BL143" s="1339"/>
      <c r="BM143" s="1234"/>
      <c r="BN143" s="1234"/>
      <c r="BO143" s="1238"/>
      <c r="BP143" s="1238"/>
      <c r="BQ143" s="1244"/>
      <c r="BR143" s="1240"/>
      <c r="BS143" s="1241"/>
      <c r="BT143" s="1340"/>
    </row>
    <row r="144" spans="1:72" s="1341" customFormat="1" ht="14.25" hidden="1" customHeight="1">
      <c r="A144" s="1040"/>
      <c r="B144" s="1338"/>
      <c r="C144" s="1334" t="s">
        <v>3345</v>
      </c>
      <c r="D144" s="1234" t="s">
        <v>3087</v>
      </c>
      <c r="E144" s="1262" t="s">
        <v>46</v>
      </c>
      <c r="F144" s="1041">
        <f t="shared" si="43"/>
        <v>0.01</v>
      </c>
      <c r="G144" s="1041"/>
      <c r="H144" s="1041">
        <f t="shared" si="46"/>
        <v>0.01</v>
      </c>
      <c r="I144" s="1029">
        <v>2030</v>
      </c>
      <c r="J144" s="1041"/>
      <c r="K144" s="1041"/>
      <c r="L144" s="1041"/>
      <c r="M144" s="1041"/>
      <c r="N144" s="1041"/>
      <c r="O144" s="1041"/>
      <c r="P144" s="1041"/>
      <c r="Q144" s="1041"/>
      <c r="R144" s="1041"/>
      <c r="S144" s="1041"/>
      <c r="T144" s="1041"/>
      <c r="U144" s="1041"/>
      <c r="V144" s="1041"/>
      <c r="W144" s="1041"/>
      <c r="X144" s="1041"/>
      <c r="Y144" s="1041"/>
      <c r="Z144" s="1041"/>
      <c r="AA144" s="1041"/>
      <c r="AB144" s="1041"/>
      <c r="AC144" s="1041"/>
      <c r="AD144" s="1041"/>
      <c r="AE144" s="1041">
        <v>0.01</v>
      </c>
      <c r="AF144" s="1041"/>
      <c r="AG144" s="1041"/>
      <c r="AH144" s="1041"/>
      <c r="AI144" s="1041"/>
      <c r="AJ144" s="1041"/>
      <c r="AK144" s="1041"/>
      <c r="AL144" s="1041"/>
      <c r="AM144" s="1041"/>
      <c r="AN144" s="1041"/>
      <c r="AO144" s="1041"/>
      <c r="AP144" s="1041"/>
      <c r="AQ144" s="1041"/>
      <c r="AR144" s="1041"/>
      <c r="AS144" s="1041"/>
      <c r="AT144" s="1041"/>
      <c r="AU144" s="1041"/>
      <c r="AV144" s="1041"/>
      <c r="AW144" s="1041"/>
      <c r="AX144" s="1041"/>
      <c r="AY144" s="1041"/>
      <c r="AZ144" s="1041"/>
      <c r="BA144" s="1041"/>
      <c r="BB144" s="1041"/>
      <c r="BC144" s="1041"/>
      <c r="BD144" s="1041"/>
      <c r="BE144" s="1041"/>
      <c r="BF144" s="1041"/>
      <c r="BG144" s="1041"/>
      <c r="BH144" s="1041"/>
      <c r="BI144" s="1334"/>
      <c r="BJ144" s="1339"/>
      <c r="BK144" s="1615"/>
      <c r="BL144" s="1339"/>
      <c r="BM144" s="1234"/>
      <c r="BN144" s="1234"/>
      <c r="BO144" s="1238"/>
      <c r="BP144" s="1238"/>
      <c r="BQ144" s="1244"/>
      <c r="BR144" s="1240"/>
      <c r="BS144" s="1241"/>
      <c r="BT144" s="1340"/>
    </row>
    <row r="145" spans="1:72" s="1341" customFormat="1" ht="14.25" hidden="1" customHeight="1">
      <c r="A145" s="1040"/>
      <c r="B145" s="1338"/>
      <c r="C145" s="1334" t="s">
        <v>3025</v>
      </c>
      <c r="D145" s="1234" t="s">
        <v>3087</v>
      </c>
      <c r="E145" s="1262" t="s">
        <v>46</v>
      </c>
      <c r="F145" s="1041">
        <f t="shared" si="43"/>
        <v>0.01</v>
      </c>
      <c r="G145" s="1041"/>
      <c r="H145" s="1041">
        <f t="shared" si="46"/>
        <v>0.01</v>
      </c>
      <c r="I145" s="1029">
        <v>2030</v>
      </c>
      <c r="J145" s="1041"/>
      <c r="K145" s="1041"/>
      <c r="L145" s="1041"/>
      <c r="M145" s="1041"/>
      <c r="N145" s="1041"/>
      <c r="O145" s="1041"/>
      <c r="P145" s="1041"/>
      <c r="Q145" s="1041"/>
      <c r="R145" s="1041"/>
      <c r="S145" s="1041"/>
      <c r="T145" s="1041"/>
      <c r="U145" s="1041"/>
      <c r="V145" s="1041"/>
      <c r="W145" s="1041"/>
      <c r="X145" s="1041"/>
      <c r="Y145" s="1041"/>
      <c r="Z145" s="1041"/>
      <c r="AA145" s="1041"/>
      <c r="AB145" s="1041"/>
      <c r="AC145" s="1041"/>
      <c r="AD145" s="1041"/>
      <c r="AE145" s="1041">
        <v>0.01</v>
      </c>
      <c r="AF145" s="1041"/>
      <c r="AG145" s="1041"/>
      <c r="AH145" s="1041"/>
      <c r="AI145" s="1041"/>
      <c r="AJ145" s="1041"/>
      <c r="AK145" s="1041"/>
      <c r="AL145" s="1041"/>
      <c r="AM145" s="1041"/>
      <c r="AN145" s="1041"/>
      <c r="AO145" s="1041"/>
      <c r="AP145" s="1041"/>
      <c r="AQ145" s="1041"/>
      <c r="AR145" s="1041"/>
      <c r="AS145" s="1041"/>
      <c r="AT145" s="1041"/>
      <c r="AU145" s="1041"/>
      <c r="AV145" s="1041"/>
      <c r="AW145" s="1041"/>
      <c r="AX145" s="1041"/>
      <c r="AY145" s="1041"/>
      <c r="AZ145" s="1041"/>
      <c r="BA145" s="1041"/>
      <c r="BB145" s="1041"/>
      <c r="BC145" s="1041"/>
      <c r="BD145" s="1041"/>
      <c r="BE145" s="1041"/>
      <c r="BF145" s="1041"/>
      <c r="BG145" s="1041"/>
      <c r="BH145" s="1041"/>
      <c r="BI145" s="1334"/>
      <c r="BJ145" s="1339"/>
      <c r="BK145" s="1615"/>
      <c r="BL145" s="1339"/>
      <c r="BM145" s="1234"/>
      <c r="BN145" s="1234"/>
      <c r="BO145" s="1238"/>
      <c r="BP145" s="1238"/>
      <c r="BQ145" s="1244"/>
      <c r="BR145" s="1240"/>
      <c r="BS145" s="1241"/>
      <c r="BT145" s="1340"/>
    </row>
    <row r="146" spans="1:72" s="1326" customFormat="1" ht="27" customHeight="1">
      <c r="A146" s="1028">
        <f>+A134+1</f>
        <v>56</v>
      </c>
      <c r="B146" s="1336" t="s">
        <v>3346</v>
      </c>
      <c r="C146" s="1331"/>
      <c r="D146" s="1331"/>
      <c r="E146" s="1258" t="s">
        <v>3329</v>
      </c>
      <c r="F146" s="1029">
        <f t="shared" si="43"/>
        <v>0.19999999999999998</v>
      </c>
      <c r="G146" s="1029"/>
      <c r="H146" s="1029">
        <f t="shared" si="46"/>
        <v>0.19999999999999998</v>
      </c>
      <c r="I146" s="1029">
        <v>2030</v>
      </c>
      <c r="J146" s="1029">
        <v>0.03</v>
      </c>
      <c r="K146" s="1029"/>
      <c r="L146" s="1029"/>
      <c r="M146" s="1029">
        <v>0.03</v>
      </c>
      <c r="N146" s="1029">
        <v>0.03</v>
      </c>
      <c r="O146" s="1029"/>
      <c r="P146" s="1029"/>
      <c r="Q146" s="1029"/>
      <c r="R146" s="1029"/>
      <c r="S146" s="1029">
        <v>0.03</v>
      </c>
      <c r="T146" s="1029"/>
      <c r="U146" s="1029"/>
      <c r="V146" s="1029"/>
      <c r="W146" s="1029"/>
      <c r="X146" s="1029"/>
      <c r="Y146" s="1029"/>
      <c r="Z146" s="1029"/>
      <c r="AA146" s="1029"/>
      <c r="AB146" s="1029"/>
      <c r="AC146" s="1029"/>
      <c r="AD146" s="1029"/>
      <c r="AE146" s="1029">
        <v>0.02</v>
      </c>
      <c r="AF146" s="1029"/>
      <c r="AG146" s="1029"/>
      <c r="AH146" s="1029"/>
      <c r="AI146" s="1029"/>
      <c r="AJ146" s="1029"/>
      <c r="AK146" s="1029"/>
      <c r="AL146" s="1029"/>
      <c r="AM146" s="1029"/>
      <c r="AN146" s="1029"/>
      <c r="AO146" s="1029"/>
      <c r="AP146" s="1029"/>
      <c r="AQ146" s="1029">
        <v>0.02</v>
      </c>
      <c r="AR146" s="1029"/>
      <c r="AS146" s="1029"/>
      <c r="AT146" s="1029"/>
      <c r="AU146" s="1029"/>
      <c r="AV146" s="1029"/>
      <c r="AW146" s="1029"/>
      <c r="AX146" s="1029">
        <v>0.01</v>
      </c>
      <c r="AY146" s="1029">
        <v>0.01</v>
      </c>
      <c r="AZ146" s="1029"/>
      <c r="BA146" s="1029"/>
      <c r="BB146" s="1029"/>
      <c r="BC146" s="1029"/>
      <c r="BD146" s="1029"/>
      <c r="BE146" s="1029"/>
      <c r="BF146" s="1029">
        <v>0.02</v>
      </c>
      <c r="BG146" s="1029"/>
      <c r="BH146" s="1029"/>
      <c r="BI146" s="1331" t="s">
        <v>860</v>
      </c>
      <c r="BJ146" s="1337"/>
      <c r="BK146" s="1615"/>
      <c r="BL146" s="1337" t="s">
        <v>1923</v>
      </c>
      <c r="BM146" s="1120" t="s">
        <v>3091</v>
      </c>
      <c r="BN146" s="1120" t="s">
        <v>291</v>
      </c>
      <c r="BO146" s="1121"/>
      <c r="BP146" s="1121">
        <v>1</v>
      </c>
      <c r="BQ146" s="1243" t="s">
        <v>3234</v>
      </c>
      <c r="BR146" s="1232" t="s">
        <v>3344</v>
      </c>
      <c r="BS146" s="1124" t="s">
        <v>291</v>
      </c>
    </row>
    <row r="147" spans="1:72" s="1341" customFormat="1" ht="25.5" hidden="1">
      <c r="A147" s="1040"/>
      <c r="B147" s="1338"/>
      <c r="C147" s="1334" t="s">
        <v>3028</v>
      </c>
      <c r="D147" s="1234" t="s">
        <v>3087</v>
      </c>
      <c r="E147" s="1262" t="s">
        <v>46</v>
      </c>
      <c r="F147" s="1041">
        <f t="shared" si="43"/>
        <v>0.01</v>
      </c>
      <c r="G147" s="1041"/>
      <c r="H147" s="1041">
        <f t="shared" si="46"/>
        <v>0.01</v>
      </c>
      <c r="I147" s="1029">
        <v>2030</v>
      </c>
      <c r="J147" s="1041">
        <v>0.01</v>
      </c>
      <c r="K147" s="1041"/>
      <c r="L147" s="1041"/>
      <c r="M147" s="1041"/>
      <c r="N147" s="1041"/>
      <c r="O147" s="1041"/>
      <c r="P147" s="1041"/>
      <c r="Q147" s="1041"/>
      <c r="R147" s="1041"/>
      <c r="S147" s="1041"/>
      <c r="T147" s="1041"/>
      <c r="U147" s="1041"/>
      <c r="V147" s="1041"/>
      <c r="W147" s="1041"/>
      <c r="X147" s="1041"/>
      <c r="Y147" s="1041"/>
      <c r="Z147" s="1041"/>
      <c r="AA147" s="1041"/>
      <c r="AB147" s="1041"/>
      <c r="AC147" s="1041"/>
      <c r="AD147" s="1041"/>
      <c r="AE147" s="1041"/>
      <c r="AF147" s="1041"/>
      <c r="AG147" s="1041"/>
      <c r="AH147" s="1041"/>
      <c r="AI147" s="1041"/>
      <c r="AJ147" s="1041"/>
      <c r="AK147" s="1041"/>
      <c r="AL147" s="1041"/>
      <c r="AM147" s="1041"/>
      <c r="AN147" s="1041"/>
      <c r="AO147" s="1041"/>
      <c r="AP147" s="1041"/>
      <c r="AQ147" s="1041"/>
      <c r="AR147" s="1041"/>
      <c r="AS147" s="1041"/>
      <c r="AT147" s="1041"/>
      <c r="AU147" s="1041"/>
      <c r="AV147" s="1041"/>
      <c r="AW147" s="1041"/>
      <c r="AX147" s="1041"/>
      <c r="AY147" s="1041"/>
      <c r="AZ147" s="1041"/>
      <c r="BA147" s="1041"/>
      <c r="BB147" s="1041"/>
      <c r="BC147" s="1041"/>
      <c r="BD147" s="1041"/>
      <c r="BE147" s="1041"/>
      <c r="BF147" s="1041"/>
      <c r="BG147" s="1041"/>
      <c r="BH147" s="1041"/>
      <c r="BI147" s="1334"/>
      <c r="BJ147" s="1339"/>
      <c r="BK147" s="1615"/>
      <c r="BL147" s="1339"/>
      <c r="BM147" s="1234"/>
      <c r="BN147" s="1234"/>
      <c r="BO147" s="1238"/>
      <c r="BP147" s="1238"/>
      <c r="BQ147" s="1244"/>
      <c r="BR147" s="1240"/>
      <c r="BS147" s="1241"/>
      <c r="BT147" s="1340"/>
    </row>
    <row r="148" spans="1:72" s="1341" customFormat="1" ht="25.5" hidden="1">
      <c r="A148" s="1040"/>
      <c r="B148" s="1338"/>
      <c r="C148" s="1334" t="s">
        <v>3345</v>
      </c>
      <c r="D148" s="1234" t="s">
        <v>3087</v>
      </c>
      <c r="E148" s="1262" t="s">
        <v>46</v>
      </c>
      <c r="F148" s="1041">
        <f t="shared" si="43"/>
        <v>0.02</v>
      </c>
      <c r="G148" s="1041"/>
      <c r="H148" s="1041">
        <f t="shared" si="46"/>
        <v>0.02</v>
      </c>
      <c r="I148" s="1029">
        <v>2030</v>
      </c>
      <c r="J148" s="1041">
        <v>0.01</v>
      </c>
      <c r="K148" s="1041"/>
      <c r="L148" s="1041"/>
      <c r="M148" s="1041"/>
      <c r="N148" s="1041"/>
      <c r="O148" s="1041"/>
      <c r="P148" s="1041"/>
      <c r="Q148" s="1041"/>
      <c r="R148" s="1041"/>
      <c r="S148" s="1041">
        <v>0.01</v>
      </c>
      <c r="T148" s="1041"/>
      <c r="U148" s="1041"/>
      <c r="V148" s="1041"/>
      <c r="W148" s="1041"/>
      <c r="X148" s="1041"/>
      <c r="Y148" s="1041"/>
      <c r="Z148" s="1041"/>
      <c r="AA148" s="1041"/>
      <c r="AB148" s="1041"/>
      <c r="AC148" s="1041"/>
      <c r="AD148" s="1041"/>
      <c r="AE148" s="1041"/>
      <c r="AF148" s="1041"/>
      <c r="AG148" s="1041"/>
      <c r="AH148" s="1041"/>
      <c r="AI148" s="1041"/>
      <c r="AJ148" s="1041"/>
      <c r="AK148" s="1041"/>
      <c r="AL148" s="1041"/>
      <c r="AM148" s="1041"/>
      <c r="AN148" s="1041"/>
      <c r="AO148" s="1041"/>
      <c r="AP148" s="1041"/>
      <c r="AQ148" s="1041"/>
      <c r="AR148" s="1041"/>
      <c r="AS148" s="1041"/>
      <c r="AT148" s="1041"/>
      <c r="AU148" s="1041"/>
      <c r="AV148" s="1041"/>
      <c r="AW148" s="1041"/>
      <c r="AX148" s="1041"/>
      <c r="AY148" s="1041"/>
      <c r="AZ148" s="1041"/>
      <c r="BA148" s="1041"/>
      <c r="BB148" s="1041"/>
      <c r="BC148" s="1041"/>
      <c r="BD148" s="1041"/>
      <c r="BE148" s="1041"/>
      <c r="BF148" s="1041"/>
      <c r="BG148" s="1041"/>
      <c r="BH148" s="1041"/>
      <c r="BI148" s="1334"/>
      <c r="BJ148" s="1339"/>
      <c r="BK148" s="1615"/>
      <c r="BL148" s="1339"/>
      <c r="BM148" s="1234"/>
      <c r="BN148" s="1234"/>
      <c r="BO148" s="1238"/>
      <c r="BP148" s="1238"/>
      <c r="BQ148" s="1244"/>
      <c r="BR148" s="1240"/>
      <c r="BS148" s="1241"/>
      <c r="BT148" s="1340"/>
    </row>
    <row r="149" spans="1:72" s="1341" customFormat="1" ht="25.5" hidden="1">
      <c r="A149" s="1040"/>
      <c r="B149" s="1338"/>
      <c r="C149" s="1334" t="s">
        <v>3197</v>
      </c>
      <c r="D149" s="1234" t="s">
        <v>3087</v>
      </c>
      <c r="E149" s="1262" t="s">
        <v>46</v>
      </c>
      <c r="F149" s="1041">
        <f t="shared" si="43"/>
        <v>0.03</v>
      </c>
      <c r="G149" s="1041"/>
      <c r="H149" s="1041">
        <f t="shared" si="46"/>
        <v>0.03</v>
      </c>
      <c r="I149" s="1029">
        <v>2030</v>
      </c>
      <c r="J149" s="1041">
        <v>0.01</v>
      </c>
      <c r="K149" s="1041"/>
      <c r="L149" s="1041"/>
      <c r="M149" s="1041"/>
      <c r="N149" s="1041"/>
      <c r="O149" s="1041"/>
      <c r="P149" s="1041"/>
      <c r="Q149" s="1041"/>
      <c r="R149" s="1041"/>
      <c r="S149" s="1041">
        <v>0.01</v>
      </c>
      <c r="T149" s="1041"/>
      <c r="U149" s="1041"/>
      <c r="V149" s="1041"/>
      <c r="W149" s="1041"/>
      <c r="X149" s="1041"/>
      <c r="Y149" s="1041"/>
      <c r="Z149" s="1041"/>
      <c r="AA149" s="1041"/>
      <c r="AB149" s="1041"/>
      <c r="AC149" s="1041"/>
      <c r="AD149" s="1041"/>
      <c r="AE149" s="1041"/>
      <c r="AF149" s="1041"/>
      <c r="AG149" s="1041"/>
      <c r="AH149" s="1041"/>
      <c r="AI149" s="1041"/>
      <c r="AJ149" s="1041"/>
      <c r="AK149" s="1041"/>
      <c r="AL149" s="1041"/>
      <c r="AM149" s="1041"/>
      <c r="AN149" s="1041"/>
      <c r="AO149" s="1041"/>
      <c r="AP149" s="1041"/>
      <c r="AQ149" s="1041"/>
      <c r="AR149" s="1041"/>
      <c r="AS149" s="1041"/>
      <c r="AT149" s="1041"/>
      <c r="AU149" s="1041"/>
      <c r="AV149" s="1041"/>
      <c r="AW149" s="1041"/>
      <c r="AX149" s="1041">
        <v>0.01</v>
      </c>
      <c r="AY149" s="1041"/>
      <c r="AZ149" s="1041"/>
      <c r="BA149" s="1041"/>
      <c r="BB149" s="1041"/>
      <c r="BC149" s="1041"/>
      <c r="BD149" s="1041"/>
      <c r="BE149" s="1041"/>
      <c r="BF149" s="1041"/>
      <c r="BG149" s="1041"/>
      <c r="BH149" s="1041"/>
      <c r="BI149" s="1334"/>
      <c r="BJ149" s="1339"/>
      <c r="BK149" s="1615"/>
      <c r="BL149" s="1339"/>
      <c r="BM149" s="1234"/>
      <c r="BN149" s="1234"/>
      <c r="BO149" s="1238"/>
      <c r="BP149" s="1238"/>
      <c r="BQ149" s="1244"/>
      <c r="BR149" s="1240"/>
      <c r="BS149" s="1241"/>
      <c r="BT149" s="1340"/>
    </row>
    <row r="150" spans="1:72" s="1341" customFormat="1" ht="25.5" hidden="1">
      <c r="A150" s="1040"/>
      <c r="B150" s="1338"/>
      <c r="C150" s="1334" t="s">
        <v>3025</v>
      </c>
      <c r="D150" s="1234" t="s">
        <v>3087</v>
      </c>
      <c r="E150" s="1262" t="s">
        <v>46</v>
      </c>
      <c r="F150" s="1041">
        <f t="shared" si="43"/>
        <v>0.04</v>
      </c>
      <c r="G150" s="1041"/>
      <c r="H150" s="1041">
        <f t="shared" si="46"/>
        <v>0.04</v>
      </c>
      <c r="I150" s="1029">
        <v>2030</v>
      </c>
      <c r="J150" s="1041"/>
      <c r="K150" s="1041"/>
      <c r="L150" s="1041"/>
      <c r="M150" s="1041">
        <v>0.01</v>
      </c>
      <c r="N150" s="1041"/>
      <c r="O150" s="1041"/>
      <c r="P150" s="1041"/>
      <c r="Q150" s="1041"/>
      <c r="R150" s="1041"/>
      <c r="S150" s="1041"/>
      <c r="T150" s="1041"/>
      <c r="U150" s="1041"/>
      <c r="V150" s="1041"/>
      <c r="W150" s="1041"/>
      <c r="X150" s="1041"/>
      <c r="Y150" s="1041"/>
      <c r="Z150" s="1041"/>
      <c r="AA150" s="1041"/>
      <c r="AB150" s="1041"/>
      <c r="AC150" s="1041"/>
      <c r="AD150" s="1041"/>
      <c r="AE150" s="1041">
        <v>0.01</v>
      </c>
      <c r="AF150" s="1041"/>
      <c r="AG150" s="1041"/>
      <c r="AH150" s="1041"/>
      <c r="AI150" s="1041"/>
      <c r="AJ150" s="1041"/>
      <c r="AK150" s="1041"/>
      <c r="AL150" s="1041"/>
      <c r="AM150" s="1041"/>
      <c r="AN150" s="1041"/>
      <c r="AO150" s="1041"/>
      <c r="AP150" s="1041"/>
      <c r="AQ150" s="1041">
        <v>0.01</v>
      </c>
      <c r="AR150" s="1041"/>
      <c r="AS150" s="1041"/>
      <c r="AT150" s="1041"/>
      <c r="AU150" s="1041"/>
      <c r="AV150" s="1041"/>
      <c r="AW150" s="1041"/>
      <c r="AX150" s="1041"/>
      <c r="AY150" s="1041"/>
      <c r="AZ150" s="1041"/>
      <c r="BA150" s="1041"/>
      <c r="BB150" s="1041"/>
      <c r="BC150" s="1041"/>
      <c r="BD150" s="1041"/>
      <c r="BE150" s="1041"/>
      <c r="BF150" s="1041">
        <v>0.01</v>
      </c>
      <c r="BG150" s="1041"/>
      <c r="BH150" s="1041"/>
      <c r="BI150" s="1334"/>
      <c r="BJ150" s="1339"/>
      <c r="BK150" s="1615"/>
      <c r="BL150" s="1339"/>
      <c r="BM150" s="1234"/>
      <c r="BN150" s="1234"/>
      <c r="BO150" s="1238"/>
      <c r="BP150" s="1238"/>
      <c r="BQ150" s="1244"/>
      <c r="BR150" s="1240"/>
      <c r="BS150" s="1241"/>
      <c r="BT150" s="1340"/>
    </row>
    <row r="151" spans="1:72" s="1341" customFormat="1" ht="25.5" hidden="1">
      <c r="A151" s="1040"/>
      <c r="B151" s="1338"/>
      <c r="C151" s="1334" t="s">
        <v>3023</v>
      </c>
      <c r="D151" s="1234" t="s">
        <v>3087</v>
      </c>
      <c r="E151" s="1262" t="s">
        <v>46</v>
      </c>
      <c r="F151" s="1041">
        <f t="shared" si="43"/>
        <v>0.03</v>
      </c>
      <c r="G151" s="1041"/>
      <c r="H151" s="1041">
        <f t="shared" si="46"/>
        <v>0.03</v>
      </c>
      <c r="I151" s="1029">
        <v>2030</v>
      </c>
      <c r="J151" s="1041"/>
      <c r="K151" s="1041"/>
      <c r="L151" s="1041"/>
      <c r="M151" s="1041">
        <v>0.01</v>
      </c>
      <c r="N151" s="1041">
        <v>0.01</v>
      </c>
      <c r="O151" s="1041"/>
      <c r="P151" s="1041"/>
      <c r="Q151" s="1041"/>
      <c r="R151" s="1041"/>
      <c r="S151" s="1041"/>
      <c r="T151" s="1041"/>
      <c r="U151" s="1041"/>
      <c r="V151" s="1041"/>
      <c r="W151" s="1041"/>
      <c r="X151" s="1041"/>
      <c r="Y151" s="1041"/>
      <c r="Z151" s="1041"/>
      <c r="AA151" s="1041"/>
      <c r="AB151" s="1041"/>
      <c r="AC151" s="1041"/>
      <c r="AD151" s="1041"/>
      <c r="AE151" s="1041"/>
      <c r="AF151" s="1041"/>
      <c r="AG151" s="1041"/>
      <c r="AH151" s="1041"/>
      <c r="AI151" s="1041"/>
      <c r="AJ151" s="1041"/>
      <c r="AK151" s="1041"/>
      <c r="AL151" s="1041"/>
      <c r="AM151" s="1041"/>
      <c r="AN151" s="1041"/>
      <c r="AO151" s="1041"/>
      <c r="AP151" s="1041"/>
      <c r="AQ151" s="1041"/>
      <c r="AR151" s="1041"/>
      <c r="AS151" s="1041"/>
      <c r="AT151" s="1041"/>
      <c r="AU151" s="1041"/>
      <c r="AV151" s="1041"/>
      <c r="AW151" s="1041"/>
      <c r="AX151" s="1041"/>
      <c r="AY151" s="1041"/>
      <c r="AZ151" s="1041"/>
      <c r="BA151" s="1041"/>
      <c r="BB151" s="1041"/>
      <c r="BC151" s="1041"/>
      <c r="BD151" s="1041"/>
      <c r="BE151" s="1041"/>
      <c r="BF151" s="1041">
        <v>0.01</v>
      </c>
      <c r="BG151" s="1041"/>
      <c r="BH151" s="1041"/>
      <c r="BI151" s="1334"/>
      <c r="BJ151" s="1339"/>
      <c r="BK151" s="1615"/>
      <c r="BL151" s="1339"/>
      <c r="BM151" s="1234"/>
      <c r="BN151" s="1234"/>
      <c r="BO151" s="1238"/>
      <c r="BP151" s="1238"/>
      <c r="BQ151" s="1244"/>
      <c r="BR151" s="1240"/>
      <c r="BS151" s="1241"/>
      <c r="BT151" s="1340"/>
    </row>
    <row r="152" spans="1:72" s="1341" customFormat="1" ht="25.5" hidden="1">
      <c r="A152" s="1040"/>
      <c r="B152" s="1338"/>
      <c r="C152" s="1334" t="s">
        <v>3156</v>
      </c>
      <c r="D152" s="1234" t="s">
        <v>3087</v>
      </c>
      <c r="E152" s="1262" t="s">
        <v>46</v>
      </c>
      <c r="F152" s="1041">
        <f t="shared" si="43"/>
        <v>0.03</v>
      </c>
      <c r="G152" s="1041"/>
      <c r="H152" s="1041">
        <f t="shared" si="46"/>
        <v>0.03</v>
      </c>
      <c r="I152" s="1029">
        <v>2030</v>
      </c>
      <c r="J152" s="1041"/>
      <c r="K152" s="1041"/>
      <c r="L152" s="1041"/>
      <c r="M152" s="1041"/>
      <c r="N152" s="1041"/>
      <c r="O152" s="1041"/>
      <c r="P152" s="1041"/>
      <c r="Q152" s="1041"/>
      <c r="R152" s="1041"/>
      <c r="S152" s="1041"/>
      <c r="T152" s="1041"/>
      <c r="U152" s="1041"/>
      <c r="V152" s="1041"/>
      <c r="W152" s="1041"/>
      <c r="X152" s="1041"/>
      <c r="Y152" s="1041"/>
      <c r="Z152" s="1041"/>
      <c r="AA152" s="1041"/>
      <c r="AB152" s="1041"/>
      <c r="AC152" s="1041"/>
      <c r="AD152" s="1041"/>
      <c r="AE152" s="1041">
        <v>0.01</v>
      </c>
      <c r="AF152" s="1041"/>
      <c r="AG152" s="1041"/>
      <c r="AH152" s="1041"/>
      <c r="AI152" s="1041"/>
      <c r="AJ152" s="1041"/>
      <c r="AK152" s="1041"/>
      <c r="AL152" s="1041"/>
      <c r="AM152" s="1041"/>
      <c r="AN152" s="1041"/>
      <c r="AO152" s="1041"/>
      <c r="AP152" s="1041"/>
      <c r="AQ152" s="1041">
        <v>0.01</v>
      </c>
      <c r="AR152" s="1041"/>
      <c r="AS152" s="1041"/>
      <c r="AT152" s="1041"/>
      <c r="AU152" s="1041"/>
      <c r="AV152" s="1041"/>
      <c r="AW152" s="1041"/>
      <c r="AX152" s="1041"/>
      <c r="AY152" s="1041">
        <v>0.01</v>
      </c>
      <c r="AZ152" s="1041"/>
      <c r="BA152" s="1041"/>
      <c r="BB152" s="1041"/>
      <c r="BC152" s="1041"/>
      <c r="BD152" s="1041"/>
      <c r="BE152" s="1041"/>
      <c r="BF152" s="1041"/>
      <c r="BG152" s="1041"/>
      <c r="BH152" s="1041"/>
      <c r="BI152" s="1334"/>
      <c r="BJ152" s="1339"/>
      <c r="BK152" s="1615"/>
      <c r="BL152" s="1339"/>
      <c r="BM152" s="1234"/>
      <c r="BN152" s="1234"/>
      <c r="BO152" s="1238"/>
      <c r="BP152" s="1238"/>
      <c r="BQ152" s="1244"/>
      <c r="BR152" s="1240"/>
      <c r="BS152" s="1241"/>
      <c r="BT152" s="1340"/>
    </row>
    <row r="153" spans="1:72" s="1341" customFormat="1" ht="25.5" hidden="1">
      <c r="A153" s="1040"/>
      <c r="B153" s="1338"/>
      <c r="C153" s="1334" t="s">
        <v>3013</v>
      </c>
      <c r="D153" s="1234" t="s">
        <v>3087</v>
      </c>
      <c r="E153" s="1262" t="s">
        <v>46</v>
      </c>
      <c r="F153" s="1041">
        <f t="shared" si="43"/>
        <v>0.03</v>
      </c>
      <c r="G153" s="1041"/>
      <c r="H153" s="1041">
        <f t="shared" si="46"/>
        <v>0.03</v>
      </c>
      <c r="I153" s="1029">
        <v>2030</v>
      </c>
      <c r="J153" s="1041"/>
      <c r="K153" s="1041"/>
      <c r="L153" s="1041"/>
      <c r="M153" s="1041">
        <v>0.01</v>
      </c>
      <c r="N153" s="1041">
        <v>0.01</v>
      </c>
      <c r="O153" s="1041"/>
      <c r="P153" s="1041"/>
      <c r="Q153" s="1041"/>
      <c r="R153" s="1041"/>
      <c r="S153" s="1041">
        <v>0.01</v>
      </c>
      <c r="T153" s="1041"/>
      <c r="U153" s="1041"/>
      <c r="V153" s="1041"/>
      <c r="W153" s="1041"/>
      <c r="X153" s="1041"/>
      <c r="Y153" s="1041"/>
      <c r="Z153" s="1041"/>
      <c r="AA153" s="1041"/>
      <c r="AB153" s="1041"/>
      <c r="AC153" s="1041"/>
      <c r="AD153" s="1041"/>
      <c r="AE153" s="1041"/>
      <c r="AF153" s="1041"/>
      <c r="AG153" s="1041"/>
      <c r="AH153" s="1041"/>
      <c r="AI153" s="1041"/>
      <c r="AJ153" s="1041"/>
      <c r="AK153" s="1041"/>
      <c r="AL153" s="1041"/>
      <c r="AM153" s="1041"/>
      <c r="AN153" s="1041"/>
      <c r="AO153" s="1041"/>
      <c r="AP153" s="1041"/>
      <c r="AQ153" s="1041"/>
      <c r="AR153" s="1041"/>
      <c r="AS153" s="1041"/>
      <c r="AT153" s="1041"/>
      <c r="AU153" s="1041"/>
      <c r="AV153" s="1041"/>
      <c r="AW153" s="1041"/>
      <c r="AX153" s="1041"/>
      <c r="AY153" s="1041"/>
      <c r="AZ153" s="1041"/>
      <c r="BA153" s="1041"/>
      <c r="BB153" s="1041"/>
      <c r="BC153" s="1041"/>
      <c r="BD153" s="1041"/>
      <c r="BE153" s="1041"/>
      <c r="BF153" s="1041"/>
      <c r="BG153" s="1041"/>
      <c r="BH153" s="1041"/>
      <c r="BI153" s="1334"/>
      <c r="BJ153" s="1339"/>
      <c r="BK153" s="1615"/>
      <c r="BL153" s="1339"/>
      <c r="BM153" s="1234"/>
      <c r="BN153" s="1234"/>
      <c r="BO153" s="1238"/>
      <c r="BP153" s="1238"/>
      <c r="BQ153" s="1244"/>
      <c r="BR153" s="1240"/>
      <c r="BS153" s="1241"/>
      <c r="BT153" s="1340"/>
    </row>
    <row r="154" spans="1:72" s="1341" customFormat="1" ht="25.5" hidden="1">
      <c r="A154" s="1040"/>
      <c r="B154" s="1338"/>
      <c r="C154" s="1334" t="s">
        <v>3011</v>
      </c>
      <c r="D154" s="1234" t="s">
        <v>3087</v>
      </c>
      <c r="E154" s="1262" t="s">
        <v>46</v>
      </c>
      <c r="F154" s="1041">
        <f t="shared" si="43"/>
        <v>0.01</v>
      </c>
      <c r="G154" s="1041"/>
      <c r="H154" s="1041">
        <f t="shared" si="46"/>
        <v>0.01</v>
      </c>
      <c r="I154" s="1029">
        <v>2030</v>
      </c>
      <c r="J154" s="1041"/>
      <c r="K154" s="1041"/>
      <c r="L154" s="1041"/>
      <c r="M154" s="1041"/>
      <c r="N154" s="1041">
        <v>0.01</v>
      </c>
      <c r="O154" s="1041"/>
      <c r="P154" s="1041"/>
      <c r="Q154" s="1041"/>
      <c r="R154" s="1041"/>
      <c r="S154" s="1041"/>
      <c r="T154" s="1041"/>
      <c r="U154" s="1041"/>
      <c r="V154" s="1041"/>
      <c r="W154" s="1041"/>
      <c r="X154" s="1041"/>
      <c r="Y154" s="1041"/>
      <c r="Z154" s="1041"/>
      <c r="AA154" s="1041"/>
      <c r="AB154" s="1041"/>
      <c r="AC154" s="1041"/>
      <c r="AD154" s="1041"/>
      <c r="AE154" s="1041"/>
      <c r="AF154" s="1041"/>
      <c r="AG154" s="1041"/>
      <c r="AH154" s="1041"/>
      <c r="AI154" s="1041"/>
      <c r="AJ154" s="1041"/>
      <c r="AK154" s="1041"/>
      <c r="AL154" s="1041"/>
      <c r="AM154" s="1041"/>
      <c r="AN154" s="1041"/>
      <c r="AO154" s="1041"/>
      <c r="AP154" s="1041"/>
      <c r="AQ154" s="1041"/>
      <c r="AR154" s="1041"/>
      <c r="AS154" s="1041"/>
      <c r="AT154" s="1041"/>
      <c r="AU154" s="1041"/>
      <c r="AV154" s="1041"/>
      <c r="AW154" s="1041"/>
      <c r="AX154" s="1041"/>
      <c r="AY154" s="1041"/>
      <c r="AZ154" s="1041"/>
      <c r="BA154" s="1041"/>
      <c r="BB154" s="1041"/>
      <c r="BC154" s="1041"/>
      <c r="BD154" s="1041"/>
      <c r="BE154" s="1041"/>
      <c r="BF154" s="1041"/>
      <c r="BG154" s="1041"/>
      <c r="BH154" s="1041"/>
      <c r="BI154" s="1334"/>
      <c r="BJ154" s="1339"/>
      <c r="BK154" s="1615"/>
      <c r="BL154" s="1339"/>
      <c r="BM154" s="1234"/>
      <c r="BN154" s="1234"/>
      <c r="BO154" s="1238"/>
      <c r="BP154" s="1238"/>
      <c r="BQ154" s="1244"/>
      <c r="BR154" s="1240"/>
      <c r="BS154" s="1241"/>
      <c r="BT154" s="1340"/>
    </row>
    <row r="155" spans="1:72" s="1212" customFormat="1" ht="30.75" customHeight="1">
      <c r="A155" s="1028">
        <f>+A146+1</f>
        <v>57</v>
      </c>
      <c r="B155" s="1336" t="s">
        <v>3347</v>
      </c>
      <c r="C155" s="1331"/>
      <c r="D155" s="1331"/>
      <c r="E155" s="1258" t="s">
        <v>3329</v>
      </c>
      <c r="F155" s="1029">
        <f t="shared" si="43"/>
        <v>0.19999999999999998</v>
      </c>
      <c r="G155" s="1029"/>
      <c r="H155" s="1029">
        <f t="shared" si="46"/>
        <v>0.19999999999999998</v>
      </c>
      <c r="I155" s="1029">
        <v>2030</v>
      </c>
      <c r="J155" s="1029">
        <v>0.03</v>
      </c>
      <c r="K155" s="1029"/>
      <c r="L155" s="1029"/>
      <c r="M155" s="1029">
        <v>0.03</v>
      </c>
      <c r="N155" s="1029">
        <v>0.03</v>
      </c>
      <c r="O155" s="1029"/>
      <c r="P155" s="1029"/>
      <c r="Q155" s="1029"/>
      <c r="R155" s="1029"/>
      <c r="S155" s="1029">
        <v>0.03</v>
      </c>
      <c r="T155" s="1029"/>
      <c r="U155" s="1029"/>
      <c r="V155" s="1029"/>
      <c r="W155" s="1029"/>
      <c r="X155" s="1029"/>
      <c r="Y155" s="1029"/>
      <c r="Z155" s="1029"/>
      <c r="AA155" s="1029"/>
      <c r="AB155" s="1029"/>
      <c r="AC155" s="1029"/>
      <c r="AD155" s="1029"/>
      <c r="AE155" s="1029">
        <v>0.02</v>
      </c>
      <c r="AF155" s="1029"/>
      <c r="AG155" s="1029"/>
      <c r="AH155" s="1029"/>
      <c r="AI155" s="1029"/>
      <c r="AJ155" s="1029"/>
      <c r="AK155" s="1029"/>
      <c r="AL155" s="1029"/>
      <c r="AM155" s="1029"/>
      <c r="AN155" s="1029"/>
      <c r="AO155" s="1029"/>
      <c r="AP155" s="1029"/>
      <c r="AQ155" s="1029">
        <v>0.02</v>
      </c>
      <c r="AR155" s="1029"/>
      <c r="AS155" s="1029"/>
      <c r="AT155" s="1029"/>
      <c r="AU155" s="1029"/>
      <c r="AV155" s="1029"/>
      <c r="AW155" s="1029"/>
      <c r="AX155" s="1029">
        <v>0.01</v>
      </c>
      <c r="AY155" s="1029">
        <v>0.01</v>
      </c>
      <c r="AZ155" s="1029"/>
      <c r="BA155" s="1029"/>
      <c r="BB155" s="1029"/>
      <c r="BC155" s="1029"/>
      <c r="BD155" s="1029"/>
      <c r="BE155" s="1029"/>
      <c r="BF155" s="1029">
        <v>0.02</v>
      </c>
      <c r="BG155" s="1029"/>
      <c r="BH155" s="1029"/>
      <c r="BI155" s="1331" t="s">
        <v>860</v>
      </c>
      <c r="BJ155" s="1337"/>
      <c r="BK155" s="1615"/>
      <c r="BL155" s="1337" t="s">
        <v>1923</v>
      </c>
      <c r="BM155" s="1120" t="s">
        <v>3091</v>
      </c>
      <c r="BN155" s="1120" t="s">
        <v>291</v>
      </c>
      <c r="BO155" s="1121"/>
      <c r="BP155" s="1122">
        <v>1</v>
      </c>
      <c r="BQ155" s="1243" t="s">
        <v>3234</v>
      </c>
      <c r="BR155" s="1232" t="s">
        <v>3344</v>
      </c>
      <c r="BS155" s="1124" t="s">
        <v>291</v>
      </c>
      <c r="BT155" s="1211"/>
    </row>
    <row r="156" spans="1:72" s="1344" customFormat="1" ht="25.5" hidden="1">
      <c r="A156" s="1040"/>
      <c r="B156" s="1338"/>
      <c r="C156" s="1334" t="s">
        <v>3016</v>
      </c>
      <c r="D156" s="1234" t="s">
        <v>3087</v>
      </c>
      <c r="E156" s="1262" t="s">
        <v>46</v>
      </c>
      <c r="F156" s="1041">
        <f t="shared" si="43"/>
        <v>0.01</v>
      </c>
      <c r="G156" s="1041"/>
      <c r="H156" s="1041">
        <f t="shared" si="46"/>
        <v>0.01</v>
      </c>
      <c r="I156" s="1029">
        <v>2030</v>
      </c>
      <c r="J156" s="1041">
        <v>0.01</v>
      </c>
      <c r="K156" s="1041"/>
      <c r="L156" s="1041"/>
      <c r="M156" s="1041"/>
      <c r="N156" s="1041"/>
      <c r="O156" s="1041"/>
      <c r="P156" s="1041"/>
      <c r="Q156" s="1041"/>
      <c r="R156" s="1041"/>
      <c r="S156" s="1041"/>
      <c r="T156" s="1041"/>
      <c r="U156" s="1041"/>
      <c r="V156" s="1041"/>
      <c r="W156" s="1041"/>
      <c r="X156" s="1041"/>
      <c r="Y156" s="1041"/>
      <c r="Z156" s="1041"/>
      <c r="AA156" s="1041"/>
      <c r="AB156" s="1041"/>
      <c r="AC156" s="1041"/>
      <c r="AD156" s="1041"/>
      <c r="AE156" s="1041"/>
      <c r="AF156" s="1041"/>
      <c r="AG156" s="1041"/>
      <c r="AH156" s="1041"/>
      <c r="AI156" s="1041"/>
      <c r="AJ156" s="1041"/>
      <c r="AK156" s="1041"/>
      <c r="AL156" s="1041"/>
      <c r="AM156" s="1041"/>
      <c r="AN156" s="1041"/>
      <c r="AO156" s="1041"/>
      <c r="AP156" s="1041"/>
      <c r="AQ156" s="1041"/>
      <c r="AR156" s="1041"/>
      <c r="AS156" s="1041"/>
      <c r="AT156" s="1041"/>
      <c r="AU156" s="1041"/>
      <c r="AV156" s="1041"/>
      <c r="AW156" s="1041"/>
      <c r="AX156" s="1041"/>
      <c r="AY156" s="1041"/>
      <c r="AZ156" s="1041"/>
      <c r="BA156" s="1041"/>
      <c r="BB156" s="1041"/>
      <c r="BC156" s="1041"/>
      <c r="BD156" s="1041"/>
      <c r="BE156" s="1041"/>
      <c r="BF156" s="1041"/>
      <c r="BG156" s="1041"/>
      <c r="BH156" s="1041"/>
      <c r="BI156" s="1334"/>
      <c r="BJ156" s="1339"/>
      <c r="BK156" s="1335"/>
      <c r="BL156" s="1339"/>
      <c r="BM156" s="1234"/>
      <c r="BN156" s="1234"/>
      <c r="BO156" s="1238"/>
      <c r="BP156" s="1342"/>
      <c r="BQ156" s="1244"/>
      <c r="BR156" s="1240"/>
      <c r="BS156" s="1241"/>
      <c r="BT156" s="1343"/>
    </row>
    <row r="157" spans="1:72" s="1344" customFormat="1" ht="25.5" hidden="1">
      <c r="A157" s="1040"/>
      <c r="B157" s="1338"/>
      <c r="C157" s="1334" t="s">
        <v>3113</v>
      </c>
      <c r="D157" s="1234" t="s">
        <v>3087</v>
      </c>
      <c r="E157" s="1262" t="s">
        <v>46</v>
      </c>
      <c r="F157" s="1041">
        <f t="shared" si="43"/>
        <v>0.02</v>
      </c>
      <c r="G157" s="1041"/>
      <c r="H157" s="1041">
        <f t="shared" si="46"/>
        <v>0.02</v>
      </c>
      <c r="I157" s="1029">
        <v>2030</v>
      </c>
      <c r="J157" s="1041">
        <v>0.01</v>
      </c>
      <c r="K157" s="1041"/>
      <c r="L157" s="1041"/>
      <c r="M157" s="1041"/>
      <c r="N157" s="1041"/>
      <c r="O157" s="1041"/>
      <c r="P157" s="1041"/>
      <c r="Q157" s="1041"/>
      <c r="R157" s="1041"/>
      <c r="S157" s="1041"/>
      <c r="T157" s="1041"/>
      <c r="U157" s="1041"/>
      <c r="V157" s="1041"/>
      <c r="W157" s="1041"/>
      <c r="X157" s="1041"/>
      <c r="Y157" s="1041"/>
      <c r="Z157" s="1041"/>
      <c r="AA157" s="1041"/>
      <c r="AB157" s="1041"/>
      <c r="AC157" s="1041"/>
      <c r="AD157" s="1041"/>
      <c r="AE157" s="1041"/>
      <c r="AF157" s="1041"/>
      <c r="AG157" s="1041"/>
      <c r="AH157" s="1041"/>
      <c r="AI157" s="1041"/>
      <c r="AJ157" s="1041"/>
      <c r="AK157" s="1041"/>
      <c r="AL157" s="1041"/>
      <c r="AM157" s="1041"/>
      <c r="AN157" s="1041"/>
      <c r="AO157" s="1041"/>
      <c r="AP157" s="1041"/>
      <c r="AQ157" s="1041"/>
      <c r="AR157" s="1041"/>
      <c r="AS157" s="1041"/>
      <c r="AT157" s="1041"/>
      <c r="AU157" s="1041"/>
      <c r="AV157" s="1041"/>
      <c r="AW157" s="1041"/>
      <c r="AX157" s="1041">
        <v>0.01</v>
      </c>
      <c r="AY157" s="1041"/>
      <c r="AZ157" s="1041"/>
      <c r="BA157" s="1041"/>
      <c r="BB157" s="1041"/>
      <c r="BC157" s="1041"/>
      <c r="BD157" s="1041"/>
      <c r="BE157" s="1041"/>
      <c r="BF157" s="1041"/>
      <c r="BG157" s="1041"/>
      <c r="BH157" s="1041"/>
      <c r="BI157" s="1334"/>
      <c r="BJ157" s="1339"/>
      <c r="BK157" s="1335"/>
      <c r="BL157" s="1339"/>
      <c r="BM157" s="1234"/>
      <c r="BN157" s="1234"/>
      <c r="BO157" s="1238"/>
      <c r="BP157" s="1342"/>
      <c r="BQ157" s="1244"/>
      <c r="BR157" s="1240"/>
      <c r="BS157" s="1241"/>
      <c r="BT157" s="1343"/>
    </row>
    <row r="158" spans="1:72" s="1344" customFormat="1" ht="25.5" hidden="1">
      <c r="A158" s="1040"/>
      <c r="B158" s="1338"/>
      <c r="C158" s="1334" t="s">
        <v>3026</v>
      </c>
      <c r="D158" s="1234" t="s">
        <v>3087</v>
      </c>
      <c r="E158" s="1262" t="s">
        <v>46</v>
      </c>
      <c r="F158" s="1041">
        <f t="shared" si="43"/>
        <v>0.02</v>
      </c>
      <c r="G158" s="1041"/>
      <c r="H158" s="1041">
        <f t="shared" si="46"/>
        <v>0.02</v>
      </c>
      <c r="I158" s="1029">
        <v>2030</v>
      </c>
      <c r="J158" s="1041">
        <v>0.01</v>
      </c>
      <c r="K158" s="1041"/>
      <c r="L158" s="1041"/>
      <c r="M158" s="1041"/>
      <c r="N158" s="1041"/>
      <c r="O158" s="1041"/>
      <c r="P158" s="1041"/>
      <c r="Q158" s="1041"/>
      <c r="R158" s="1041"/>
      <c r="S158" s="1041"/>
      <c r="T158" s="1041"/>
      <c r="U158" s="1041"/>
      <c r="V158" s="1041"/>
      <c r="W158" s="1041"/>
      <c r="X158" s="1041"/>
      <c r="Y158" s="1041"/>
      <c r="Z158" s="1041"/>
      <c r="AA158" s="1041"/>
      <c r="AB158" s="1041"/>
      <c r="AC158" s="1041"/>
      <c r="AD158" s="1041"/>
      <c r="AE158" s="1041"/>
      <c r="AF158" s="1041"/>
      <c r="AG158" s="1041"/>
      <c r="AH158" s="1041"/>
      <c r="AI158" s="1041"/>
      <c r="AJ158" s="1041"/>
      <c r="AK158" s="1041"/>
      <c r="AL158" s="1041"/>
      <c r="AM158" s="1041"/>
      <c r="AN158" s="1041"/>
      <c r="AO158" s="1041"/>
      <c r="AP158" s="1041"/>
      <c r="AQ158" s="1041"/>
      <c r="AR158" s="1041"/>
      <c r="AS158" s="1041"/>
      <c r="AT158" s="1041"/>
      <c r="AU158" s="1041"/>
      <c r="AV158" s="1041"/>
      <c r="AW158" s="1041"/>
      <c r="AX158" s="1041"/>
      <c r="AY158" s="1041"/>
      <c r="AZ158" s="1041"/>
      <c r="BA158" s="1041"/>
      <c r="BB158" s="1041"/>
      <c r="BC158" s="1041"/>
      <c r="BD158" s="1041"/>
      <c r="BE158" s="1041"/>
      <c r="BF158" s="1041">
        <v>0.01</v>
      </c>
      <c r="BG158" s="1041"/>
      <c r="BH158" s="1041"/>
      <c r="BI158" s="1334"/>
      <c r="BJ158" s="1339"/>
      <c r="BK158" s="1335"/>
      <c r="BL158" s="1339"/>
      <c r="BM158" s="1234"/>
      <c r="BN158" s="1234"/>
      <c r="BO158" s="1238"/>
      <c r="BP158" s="1342"/>
      <c r="BQ158" s="1244"/>
      <c r="BR158" s="1240"/>
      <c r="BS158" s="1241"/>
      <c r="BT158" s="1343"/>
    </row>
    <row r="159" spans="1:72" s="1344" customFormat="1" ht="25.5" hidden="1">
      <c r="A159" s="1040"/>
      <c r="B159" s="1338"/>
      <c r="C159" s="1334" t="s">
        <v>3020</v>
      </c>
      <c r="D159" s="1234" t="s">
        <v>3087</v>
      </c>
      <c r="E159" s="1262" t="s">
        <v>46</v>
      </c>
      <c r="F159" s="1041">
        <f t="shared" si="43"/>
        <v>0.03</v>
      </c>
      <c r="G159" s="1041"/>
      <c r="H159" s="1041">
        <f t="shared" si="46"/>
        <v>0.03</v>
      </c>
      <c r="I159" s="1029">
        <v>2030</v>
      </c>
      <c r="J159" s="1041"/>
      <c r="K159" s="1041"/>
      <c r="L159" s="1041"/>
      <c r="M159" s="1041">
        <v>0.01</v>
      </c>
      <c r="N159" s="1041"/>
      <c r="O159" s="1041"/>
      <c r="P159" s="1041"/>
      <c r="Q159" s="1041"/>
      <c r="R159" s="1041"/>
      <c r="S159" s="1041"/>
      <c r="T159" s="1041"/>
      <c r="U159" s="1041"/>
      <c r="V159" s="1041"/>
      <c r="W159" s="1041"/>
      <c r="X159" s="1041"/>
      <c r="Y159" s="1041"/>
      <c r="Z159" s="1041"/>
      <c r="AA159" s="1041"/>
      <c r="AB159" s="1041"/>
      <c r="AC159" s="1041"/>
      <c r="AD159" s="1041"/>
      <c r="AE159" s="1041">
        <v>0.01</v>
      </c>
      <c r="AF159" s="1041"/>
      <c r="AG159" s="1041"/>
      <c r="AH159" s="1041"/>
      <c r="AI159" s="1041"/>
      <c r="AJ159" s="1041"/>
      <c r="AK159" s="1041"/>
      <c r="AL159" s="1041"/>
      <c r="AM159" s="1041"/>
      <c r="AN159" s="1041"/>
      <c r="AO159" s="1041"/>
      <c r="AP159" s="1041"/>
      <c r="AQ159" s="1041"/>
      <c r="AR159" s="1041"/>
      <c r="AS159" s="1041"/>
      <c r="AT159" s="1041"/>
      <c r="AU159" s="1041"/>
      <c r="AV159" s="1041"/>
      <c r="AW159" s="1041"/>
      <c r="AX159" s="1041"/>
      <c r="AY159" s="1041"/>
      <c r="AZ159" s="1041"/>
      <c r="BA159" s="1041"/>
      <c r="BB159" s="1041"/>
      <c r="BC159" s="1041"/>
      <c r="BD159" s="1041"/>
      <c r="BE159" s="1041"/>
      <c r="BF159" s="1041">
        <v>0.01</v>
      </c>
      <c r="BG159" s="1041"/>
      <c r="BH159" s="1041"/>
      <c r="BI159" s="1334"/>
      <c r="BJ159" s="1339"/>
      <c r="BK159" s="1335"/>
      <c r="BL159" s="1339"/>
      <c r="BM159" s="1234"/>
      <c r="BN159" s="1234"/>
      <c r="BO159" s="1238"/>
      <c r="BP159" s="1342"/>
      <c r="BQ159" s="1244"/>
      <c r="BR159" s="1240"/>
      <c r="BS159" s="1241"/>
      <c r="BT159" s="1343"/>
    </row>
    <row r="160" spans="1:72" s="1344" customFormat="1" ht="25.5" hidden="1">
      <c r="A160" s="1040"/>
      <c r="B160" s="1338"/>
      <c r="C160" s="1334" t="s">
        <v>3019</v>
      </c>
      <c r="D160" s="1234" t="s">
        <v>3087</v>
      </c>
      <c r="E160" s="1262" t="s">
        <v>46</v>
      </c>
      <c r="F160" s="1041">
        <f t="shared" si="43"/>
        <v>0.04</v>
      </c>
      <c r="G160" s="1041"/>
      <c r="H160" s="1041">
        <f t="shared" si="46"/>
        <v>0.04</v>
      </c>
      <c r="I160" s="1029">
        <v>2030</v>
      </c>
      <c r="J160" s="1041"/>
      <c r="K160" s="1041"/>
      <c r="L160" s="1041"/>
      <c r="M160" s="1041">
        <v>0.01</v>
      </c>
      <c r="N160" s="1041"/>
      <c r="O160" s="1041"/>
      <c r="P160" s="1041"/>
      <c r="Q160" s="1041"/>
      <c r="R160" s="1041"/>
      <c r="S160" s="1041"/>
      <c r="T160" s="1041"/>
      <c r="U160" s="1041"/>
      <c r="V160" s="1041"/>
      <c r="W160" s="1041"/>
      <c r="X160" s="1041"/>
      <c r="Y160" s="1041"/>
      <c r="Z160" s="1041"/>
      <c r="AA160" s="1041"/>
      <c r="AB160" s="1041"/>
      <c r="AC160" s="1041"/>
      <c r="AD160" s="1041"/>
      <c r="AE160" s="1041">
        <v>0.01</v>
      </c>
      <c r="AF160" s="1041"/>
      <c r="AG160" s="1041"/>
      <c r="AH160" s="1041"/>
      <c r="AI160" s="1041"/>
      <c r="AJ160" s="1041"/>
      <c r="AK160" s="1041"/>
      <c r="AL160" s="1041"/>
      <c r="AM160" s="1041"/>
      <c r="AN160" s="1041"/>
      <c r="AO160" s="1041"/>
      <c r="AP160" s="1041"/>
      <c r="AQ160" s="1041">
        <v>0.02</v>
      </c>
      <c r="AR160" s="1041"/>
      <c r="AS160" s="1041"/>
      <c r="AT160" s="1041"/>
      <c r="AU160" s="1041"/>
      <c r="AV160" s="1041"/>
      <c r="AW160" s="1041"/>
      <c r="AX160" s="1041"/>
      <c r="AY160" s="1041"/>
      <c r="AZ160" s="1041"/>
      <c r="BA160" s="1041"/>
      <c r="BB160" s="1041"/>
      <c r="BC160" s="1041"/>
      <c r="BD160" s="1041"/>
      <c r="BE160" s="1041"/>
      <c r="BF160" s="1041"/>
      <c r="BG160" s="1041"/>
      <c r="BH160" s="1041"/>
      <c r="BI160" s="1334"/>
      <c r="BJ160" s="1339"/>
      <c r="BK160" s="1335"/>
      <c r="BL160" s="1339"/>
      <c r="BM160" s="1234"/>
      <c r="BN160" s="1234"/>
      <c r="BO160" s="1238"/>
      <c r="BP160" s="1342"/>
      <c r="BQ160" s="1244"/>
      <c r="BR160" s="1240"/>
      <c r="BS160" s="1241"/>
      <c r="BT160" s="1343"/>
    </row>
    <row r="161" spans="1:72" s="1344" customFormat="1" ht="25.5" hidden="1">
      <c r="A161" s="1040"/>
      <c r="B161" s="1338"/>
      <c r="C161" s="1334" t="s">
        <v>3018</v>
      </c>
      <c r="D161" s="1234" t="s">
        <v>3087</v>
      </c>
      <c r="E161" s="1262" t="s">
        <v>46</v>
      </c>
      <c r="F161" s="1041">
        <f t="shared" si="43"/>
        <v>0.01</v>
      </c>
      <c r="G161" s="1041"/>
      <c r="H161" s="1041">
        <f t="shared" si="46"/>
        <v>0.01</v>
      </c>
      <c r="I161" s="1029">
        <v>2030</v>
      </c>
      <c r="J161" s="1041"/>
      <c r="K161" s="1041"/>
      <c r="L161" s="1041"/>
      <c r="M161" s="1041">
        <v>0.01</v>
      </c>
      <c r="N161" s="1041"/>
      <c r="O161" s="1041"/>
      <c r="P161" s="1041"/>
      <c r="Q161" s="1041"/>
      <c r="R161" s="1041"/>
      <c r="S161" s="1041"/>
      <c r="T161" s="1041"/>
      <c r="U161" s="1041"/>
      <c r="V161" s="1041"/>
      <c r="W161" s="1041"/>
      <c r="X161" s="1041"/>
      <c r="Y161" s="1041"/>
      <c r="Z161" s="1041"/>
      <c r="AA161" s="1041"/>
      <c r="AB161" s="1041"/>
      <c r="AC161" s="1041"/>
      <c r="AD161" s="1041"/>
      <c r="AE161" s="1041"/>
      <c r="AF161" s="1041"/>
      <c r="AG161" s="1041"/>
      <c r="AH161" s="1041"/>
      <c r="AI161" s="1041"/>
      <c r="AJ161" s="1041"/>
      <c r="AK161" s="1041"/>
      <c r="AL161" s="1041"/>
      <c r="AM161" s="1041"/>
      <c r="AN161" s="1041"/>
      <c r="AO161" s="1041"/>
      <c r="AP161" s="1041"/>
      <c r="AQ161" s="1041"/>
      <c r="AR161" s="1041"/>
      <c r="AS161" s="1041"/>
      <c r="AT161" s="1041"/>
      <c r="AU161" s="1041"/>
      <c r="AV161" s="1041"/>
      <c r="AW161" s="1041"/>
      <c r="AX161" s="1041"/>
      <c r="AY161" s="1041"/>
      <c r="AZ161" s="1041"/>
      <c r="BA161" s="1041"/>
      <c r="BB161" s="1041"/>
      <c r="BC161" s="1041"/>
      <c r="BD161" s="1041"/>
      <c r="BE161" s="1041"/>
      <c r="BF161" s="1041"/>
      <c r="BG161" s="1041"/>
      <c r="BH161" s="1041"/>
      <c r="BI161" s="1334"/>
      <c r="BJ161" s="1339"/>
      <c r="BK161" s="1335"/>
      <c r="BL161" s="1339"/>
      <c r="BM161" s="1234"/>
      <c r="BN161" s="1234"/>
      <c r="BO161" s="1238"/>
      <c r="BP161" s="1342"/>
      <c r="BQ161" s="1244"/>
      <c r="BR161" s="1240"/>
      <c r="BS161" s="1241"/>
      <c r="BT161" s="1343"/>
    </row>
    <row r="162" spans="1:72" s="1344" customFormat="1" ht="25.5" hidden="1">
      <c r="A162" s="1040"/>
      <c r="B162" s="1338"/>
      <c r="C162" s="1334" t="s">
        <v>3017</v>
      </c>
      <c r="D162" s="1234" t="s">
        <v>3087</v>
      </c>
      <c r="E162" s="1262" t="s">
        <v>46</v>
      </c>
      <c r="F162" s="1041">
        <f t="shared" si="43"/>
        <v>0.01</v>
      </c>
      <c r="G162" s="1041"/>
      <c r="H162" s="1041">
        <f t="shared" si="46"/>
        <v>0.01</v>
      </c>
      <c r="I162" s="1029">
        <v>2030</v>
      </c>
      <c r="J162" s="1041"/>
      <c r="K162" s="1041"/>
      <c r="L162" s="1041"/>
      <c r="M162" s="1041"/>
      <c r="N162" s="1041">
        <v>0.01</v>
      </c>
      <c r="O162" s="1041"/>
      <c r="P162" s="1041"/>
      <c r="Q162" s="1041"/>
      <c r="R162" s="1041"/>
      <c r="S162" s="1041"/>
      <c r="T162" s="1041"/>
      <c r="U162" s="1041"/>
      <c r="V162" s="1041"/>
      <c r="W162" s="1041"/>
      <c r="X162" s="1041"/>
      <c r="Y162" s="1041"/>
      <c r="Z162" s="1041"/>
      <c r="AA162" s="1041"/>
      <c r="AB162" s="1041"/>
      <c r="AC162" s="1041"/>
      <c r="AD162" s="1041"/>
      <c r="AE162" s="1041"/>
      <c r="AF162" s="1041"/>
      <c r="AG162" s="1041"/>
      <c r="AH162" s="1041"/>
      <c r="AI162" s="1041"/>
      <c r="AJ162" s="1041"/>
      <c r="AK162" s="1041"/>
      <c r="AL162" s="1041"/>
      <c r="AM162" s="1041"/>
      <c r="AN162" s="1041"/>
      <c r="AO162" s="1041"/>
      <c r="AP162" s="1041"/>
      <c r="AQ162" s="1041"/>
      <c r="AR162" s="1041"/>
      <c r="AS162" s="1041"/>
      <c r="AT162" s="1041"/>
      <c r="AU162" s="1041"/>
      <c r="AV162" s="1041"/>
      <c r="AW162" s="1041"/>
      <c r="AX162" s="1041"/>
      <c r="AY162" s="1041"/>
      <c r="AZ162" s="1041"/>
      <c r="BA162" s="1041"/>
      <c r="BB162" s="1041"/>
      <c r="BC162" s="1041"/>
      <c r="BD162" s="1041"/>
      <c r="BE162" s="1041"/>
      <c r="BF162" s="1041"/>
      <c r="BG162" s="1041"/>
      <c r="BH162" s="1041"/>
      <c r="BI162" s="1334"/>
      <c r="BJ162" s="1339"/>
      <c r="BK162" s="1335"/>
      <c r="BL162" s="1339"/>
      <c r="BM162" s="1234"/>
      <c r="BN162" s="1234"/>
      <c r="BO162" s="1238"/>
      <c r="BP162" s="1342"/>
      <c r="BQ162" s="1244"/>
      <c r="BR162" s="1240"/>
      <c r="BS162" s="1241"/>
      <c r="BT162" s="1343"/>
    </row>
    <row r="163" spans="1:72" s="1344" customFormat="1" ht="25.5" hidden="1">
      <c r="A163" s="1040"/>
      <c r="B163" s="1338"/>
      <c r="C163" s="1334" t="s">
        <v>3187</v>
      </c>
      <c r="D163" s="1234" t="s">
        <v>3087</v>
      </c>
      <c r="E163" s="1262" t="s">
        <v>46</v>
      </c>
      <c r="F163" s="1041">
        <f t="shared" si="43"/>
        <v>0.02</v>
      </c>
      <c r="G163" s="1041"/>
      <c r="H163" s="1041">
        <f t="shared" si="46"/>
        <v>0.02</v>
      </c>
      <c r="I163" s="1029">
        <v>2030</v>
      </c>
      <c r="J163" s="1041"/>
      <c r="K163" s="1041"/>
      <c r="L163" s="1041"/>
      <c r="M163" s="1041"/>
      <c r="N163" s="1041">
        <v>0.01</v>
      </c>
      <c r="O163" s="1041"/>
      <c r="P163" s="1041"/>
      <c r="Q163" s="1041"/>
      <c r="R163" s="1041"/>
      <c r="S163" s="1041">
        <v>0.01</v>
      </c>
      <c r="T163" s="1041"/>
      <c r="U163" s="1041"/>
      <c r="V163" s="1041"/>
      <c r="W163" s="1041"/>
      <c r="X163" s="1041"/>
      <c r="Y163" s="1041"/>
      <c r="Z163" s="1041"/>
      <c r="AA163" s="1041"/>
      <c r="AB163" s="1041"/>
      <c r="AC163" s="1041"/>
      <c r="AD163" s="1041"/>
      <c r="AE163" s="1041"/>
      <c r="AF163" s="1041"/>
      <c r="AG163" s="1041"/>
      <c r="AH163" s="1041"/>
      <c r="AI163" s="1041"/>
      <c r="AJ163" s="1041"/>
      <c r="AK163" s="1041"/>
      <c r="AL163" s="1041"/>
      <c r="AM163" s="1041"/>
      <c r="AN163" s="1041"/>
      <c r="AO163" s="1041"/>
      <c r="AP163" s="1041"/>
      <c r="AQ163" s="1041"/>
      <c r="AR163" s="1041"/>
      <c r="AS163" s="1041"/>
      <c r="AT163" s="1041"/>
      <c r="AU163" s="1041"/>
      <c r="AV163" s="1041"/>
      <c r="AW163" s="1041"/>
      <c r="AX163" s="1041"/>
      <c r="AY163" s="1041"/>
      <c r="AZ163" s="1041"/>
      <c r="BA163" s="1041"/>
      <c r="BB163" s="1041"/>
      <c r="BC163" s="1041"/>
      <c r="BD163" s="1041"/>
      <c r="BE163" s="1041"/>
      <c r="BF163" s="1041"/>
      <c r="BG163" s="1041"/>
      <c r="BH163" s="1041"/>
      <c r="BI163" s="1334"/>
      <c r="BJ163" s="1339"/>
      <c r="BK163" s="1335"/>
      <c r="BL163" s="1339"/>
      <c r="BM163" s="1234"/>
      <c r="BN163" s="1234"/>
      <c r="BO163" s="1238"/>
      <c r="BP163" s="1342"/>
      <c r="BQ163" s="1244"/>
      <c r="BR163" s="1240"/>
      <c r="BS163" s="1241"/>
      <c r="BT163" s="1343"/>
    </row>
    <row r="164" spans="1:72" s="1344" customFormat="1" ht="25.5" hidden="1">
      <c r="A164" s="1040"/>
      <c r="B164" s="1338"/>
      <c r="C164" s="1334" t="s">
        <v>3027</v>
      </c>
      <c r="D164" s="1234" t="s">
        <v>3087</v>
      </c>
      <c r="E164" s="1262" t="s">
        <v>46</v>
      </c>
      <c r="F164" s="1041">
        <f t="shared" si="43"/>
        <v>0.02</v>
      </c>
      <c r="G164" s="1041"/>
      <c r="H164" s="1041">
        <f t="shared" si="46"/>
        <v>0.02</v>
      </c>
      <c r="I164" s="1029">
        <v>2030</v>
      </c>
      <c r="J164" s="1041"/>
      <c r="K164" s="1041"/>
      <c r="L164" s="1041"/>
      <c r="M164" s="1041"/>
      <c r="N164" s="1041">
        <v>0.01</v>
      </c>
      <c r="O164" s="1041"/>
      <c r="P164" s="1041"/>
      <c r="Q164" s="1041"/>
      <c r="R164" s="1041"/>
      <c r="S164" s="1041">
        <v>0.01</v>
      </c>
      <c r="T164" s="1041"/>
      <c r="U164" s="1041"/>
      <c r="V164" s="1041"/>
      <c r="W164" s="1041"/>
      <c r="X164" s="1041"/>
      <c r="Y164" s="1041"/>
      <c r="Z164" s="1041"/>
      <c r="AA164" s="1041"/>
      <c r="AB164" s="1041"/>
      <c r="AC164" s="1041"/>
      <c r="AD164" s="1041"/>
      <c r="AE164" s="1041"/>
      <c r="AF164" s="1041"/>
      <c r="AG164" s="1041"/>
      <c r="AH164" s="1041"/>
      <c r="AI164" s="1041"/>
      <c r="AJ164" s="1041"/>
      <c r="AK164" s="1041"/>
      <c r="AL164" s="1041"/>
      <c r="AM164" s="1041"/>
      <c r="AN164" s="1041"/>
      <c r="AO164" s="1041"/>
      <c r="AP164" s="1041"/>
      <c r="AQ164" s="1041"/>
      <c r="AR164" s="1041"/>
      <c r="AS164" s="1041"/>
      <c r="AT164" s="1041"/>
      <c r="AU164" s="1041"/>
      <c r="AV164" s="1041"/>
      <c r="AW164" s="1041"/>
      <c r="AX164" s="1041"/>
      <c r="AY164" s="1041"/>
      <c r="AZ164" s="1041"/>
      <c r="BA164" s="1041"/>
      <c r="BB164" s="1041"/>
      <c r="BC164" s="1041"/>
      <c r="BD164" s="1041"/>
      <c r="BE164" s="1041"/>
      <c r="BF164" s="1041"/>
      <c r="BG164" s="1041"/>
      <c r="BH164" s="1041"/>
      <c r="BI164" s="1334"/>
      <c r="BJ164" s="1339"/>
      <c r="BK164" s="1335"/>
      <c r="BL164" s="1339"/>
      <c r="BM164" s="1234"/>
      <c r="BN164" s="1234"/>
      <c r="BO164" s="1238"/>
      <c r="BP164" s="1342"/>
      <c r="BQ164" s="1244"/>
      <c r="BR164" s="1240"/>
      <c r="BS164" s="1241"/>
      <c r="BT164" s="1343"/>
    </row>
    <row r="165" spans="1:72" s="1344" customFormat="1" ht="25.5" hidden="1">
      <c r="A165" s="1040"/>
      <c r="B165" s="1338"/>
      <c r="C165" s="1334" t="s">
        <v>3156</v>
      </c>
      <c r="D165" s="1234" t="s">
        <v>3087</v>
      </c>
      <c r="E165" s="1262" t="s">
        <v>46</v>
      </c>
      <c r="F165" s="1041">
        <f t="shared" si="43"/>
        <v>0.01</v>
      </c>
      <c r="G165" s="1041"/>
      <c r="H165" s="1041">
        <f t="shared" si="46"/>
        <v>0.01</v>
      </c>
      <c r="I165" s="1029">
        <v>2030</v>
      </c>
      <c r="J165" s="1041"/>
      <c r="K165" s="1041"/>
      <c r="L165" s="1041"/>
      <c r="M165" s="1041"/>
      <c r="N165" s="1041"/>
      <c r="O165" s="1041"/>
      <c r="P165" s="1041"/>
      <c r="Q165" s="1041"/>
      <c r="R165" s="1041"/>
      <c r="S165" s="1041"/>
      <c r="T165" s="1041"/>
      <c r="U165" s="1041"/>
      <c r="V165" s="1041"/>
      <c r="W165" s="1041"/>
      <c r="X165" s="1041"/>
      <c r="Y165" s="1041"/>
      <c r="Z165" s="1041"/>
      <c r="AA165" s="1041"/>
      <c r="AB165" s="1041"/>
      <c r="AC165" s="1041"/>
      <c r="AD165" s="1041"/>
      <c r="AE165" s="1041"/>
      <c r="AF165" s="1041"/>
      <c r="AG165" s="1041"/>
      <c r="AH165" s="1041"/>
      <c r="AI165" s="1041"/>
      <c r="AJ165" s="1041"/>
      <c r="AK165" s="1041"/>
      <c r="AL165" s="1041"/>
      <c r="AM165" s="1041"/>
      <c r="AN165" s="1041"/>
      <c r="AO165" s="1041"/>
      <c r="AP165" s="1041"/>
      <c r="AQ165" s="1041"/>
      <c r="AR165" s="1041"/>
      <c r="AS165" s="1041"/>
      <c r="AT165" s="1041"/>
      <c r="AU165" s="1041"/>
      <c r="AV165" s="1041"/>
      <c r="AW165" s="1041"/>
      <c r="AX165" s="1041"/>
      <c r="AY165" s="1041">
        <v>0.01</v>
      </c>
      <c r="AZ165" s="1041"/>
      <c r="BA165" s="1041"/>
      <c r="BB165" s="1041"/>
      <c r="BC165" s="1041"/>
      <c r="BD165" s="1041"/>
      <c r="BE165" s="1041"/>
      <c r="BF165" s="1041"/>
      <c r="BG165" s="1041"/>
      <c r="BH165" s="1041"/>
      <c r="BI165" s="1334"/>
      <c r="BJ165" s="1339"/>
      <c r="BK165" s="1335"/>
      <c r="BL165" s="1339"/>
      <c r="BM165" s="1234"/>
      <c r="BN165" s="1234"/>
      <c r="BO165" s="1238"/>
      <c r="BP165" s="1342"/>
      <c r="BQ165" s="1244"/>
      <c r="BR165" s="1240"/>
      <c r="BS165" s="1241"/>
      <c r="BT165" s="1343"/>
    </row>
    <row r="166" spans="1:72" s="1344" customFormat="1" ht="25.5" hidden="1">
      <c r="A166" s="1040"/>
      <c r="B166" s="1338"/>
      <c r="C166" s="1334" t="s">
        <v>3014</v>
      </c>
      <c r="D166" s="1234" t="s">
        <v>3087</v>
      </c>
      <c r="E166" s="1262" t="s">
        <v>46</v>
      </c>
      <c r="F166" s="1041">
        <f t="shared" si="43"/>
        <v>0.01</v>
      </c>
      <c r="G166" s="1041"/>
      <c r="H166" s="1041">
        <f t="shared" si="46"/>
        <v>0.01</v>
      </c>
      <c r="I166" s="1029">
        <v>2030</v>
      </c>
      <c r="J166" s="1041"/>
      <c r="K166" s="1041"/>
      <c r="L166" s="1041"/>
      <c r="M166" s="1041"/>
      <c r="N166" s="1041"/>
      <c r="O166" s="1041"/>
      <c r="P166" s="1041"/>
      <c r="Q166" s="1041"/>
      <c r="R166" s="1041"/>
      <c r="S166" s="1041">
        <v>0.01</v>
      </c>
      <c r="T166" s="1041"/>
      <c r="U166" s="1041"/>
      <c r="V166" s="1041"/>
      <c r="W166" s="1041"/>
      <c r="X166" s="1041"/>
      <c r="Y166" s="1041"/>
      <c r="Z166" s="1041"/>
      <c r="AA166" s="1041"/>
      <c r="AB166" s="1041"/>
      <c r="AC166" s="1041"/>
      <c r="AD166" s="1041"/>
      <c r="AE166" s="1041"/>
      <c r="AF166" s="1041"/>
      <c r="AG166" s="1041"/>
      <c r="AH166" s="1041"/>
      <c r="AI166" s="1041"/>
      <c r="AJ166" s="1041"/>
      <c r="AK166" s="1041"/>
      <c r="AL166" s="1041"/>
      <c r="AM166" s="1041"/>
      <c r="AN166" s="1041"/>
      <c r="AO166" s="1041"/>
      <c r="AP166" s="1041"/>
      <c r="AQ166" s="1041"/>
      <c r="AR166" s="1041"/>
      <c r="AS166" s="1041"/>
      <c r="AT166" s="1041"/>
      <c r="AU166" s="1041"/>
      <c r="AV166" s="1041"/>
      <c r="AW166" s="1041"/>
      <c r="AX166" s="1041"/>
      <c r="AY166" s="1041"/>
      <c r="AZ166" s="1041"/>
      <c r="BA166" s="1041"/>
      <c r="BB166" s="1041"/>
      <c r="BC166" s="1041"/>
      <c r="BD166" s="1041"/>
      <c r="BE166" s="1041"/>
      <c r="BF166" s="1041"/>
      <c r="BG166" s="1041"/>
      <c r="BH166" s="1041"/>
      <c r="BI166" s="1334"/>
      <c r="BJ166" s="1339"/>
      <c r="BK166" s="1335"/>
      <c r="BL166" s="1339"/>
      <c r="BM166" s="1234"/>
      <c r="BN166" s="1234"/>
      <c r="BO166" s="1238"/>
      <c r="BP166" s="1342"/>
      <c r="BQ166" s="1244"/>
      <c r="BR166" s="1240"/>
      <c r="BS166" s="1241"/>
      <c r="BT166" s="1343"/>
    </row>
    <row r="167" spans="1:72" s="1212" customFormat="1" ht="46.5" customHeight="1">
      <c r="A167" s="1028">
        <f>+A155+1</f>
        <v>58</v>
      </c>
      <c r="B167" s="1336" t="s">
        <v>3348</v>
      </c>
      <c r="C167" s="1120"/>
      <c r="D167" s="1234"/>
      <c r="E167" s="1258" t="s">
        <v>3329</v>
      </c>
      <c r="F167" s="1029">
        <f>G167+H167</f>
        <v>6.0000000000000005E-2</v>
      </c>
      <c r="G167" s="1029"/>
      <c r="H167" s="1029">
        <f t="shared" si="46"/>
        <v>6.0000000000000005E-2</v>
      </c>
      <c r="I167" s="1029">
        <v>2030</v>
      </c>
      <c r="J167" s="1029">
        <v>1.0999999999999999E-2</v>
      </c>
      <c r="K167" s="1029"/>
      <c r="L167" s="1029"/>
      <c r="M167" s="1029">
        <v>0.01</v>
      </c>
      <c r="N167" s="1029">
        <v>0.01</v>
      </c>
      <c r="O167" s="1029"/>
      <c r="P167" s="1029"/>
      <c r="Q167" s="1029"/>
      <c r="R167" s="1029"/>
      <c r="S167" s="1029">
        <v>0.01</v>
      </c>
      <c r="T167" s="1029"/>
      <c r="U167" s="1029"/>
      <c r="V167" s="1029"/>
      <c r="W167" s="1029"/>
      <c r="X167" s="1029"/>
      <c r="Y167" s="1029"/>
      <c r="Z167" s="1029"/>
      <c r="AA167" s="1029"/>
      <c r="AB167" s="1029"/>
      <c r="AC167" s="1029"/>
      <c r="AD167" s="1029"/>
      <c r="AE167" s="1029">
        <v>5.0000000000000001E-3</v>
      </c>
      <c r="AF167" s="1029"/>
      <c r="AG167" s="1029"/>
      <c r="AH167" s="1029"/>
      <c r="AI167" s="1029"/>
      <c r="AJ167" s="1029"/>
      <c r="AK167" s="1029"/>
      <c r="AL167" s="1029"/>
      <c r="AM167" s="1029"/>
      <c r="AN167" s="1029"/>
      <c r="AO167" s="1029"/>
      <c r="AP167" s="1029"/>
      <c r="AQ167" s="1029">
        <v>3.0000000000000001E-3</v>
      </c>
      <c r="AR167" s="1029"/>
      <c r="AS167" s="1029"/>
      <c r="AT167" s="1029"/>
      <c r="AU167" s="1029"/>
      <c r="AV167" s="1029"/>
      <c r="AW167" s="1029"/>
      <c r="AX167" s="1029">
        <v>3.0000000000000001E-3</v>
      </c>
      <c r="AY167" s="1029">
        <v>3.0000000000000001E-3</v>
      </c>
      <c r="AZ167" s="1029"/>
      <c r="BA167" s="1029"/>
      <c r="BB167" s="1029"/>
      <c r="BC167" s="1029"/>
      <c r="BD167" s="1029"/>
      <c r="BE167" s="1029"/>
      <c r="BF167" s="1029">
        <v>5.0000000000000001E-3</v>
      </c>
      <c r="BG167" s="1086"/>
      <c r="BH167" s="1086"/>
      <c r="BI167" s="1120" t="s">
        <v>860</v>
      </c>
      <c r="BJ167" s="1337"/>
      <c r="BK167" s="1604" t="s">
        <v>3349</v>
      </c>
      <c r="BL167" s="1120" t="s">
        <v>1917</v>
      </c>
      <c r="BM167" s="1120" t="s">
        <v>3350</v>
      </c>
      <c r="BN167" s="1120" t="s">
        <v>291</v>
      </c>
      <c r="BO167" s="1121"/>
      <c r="BP167" s="1122">
        <v>1</v>
      </c>
      <c r="BQ167" s="1246" t="s">
        <v>3106</v>
      </c>
      <c r="BR167" s="1232" t="s">
        <v>3351</v>
      </c>
      <c r="BS167" s="1124" t="s">
        <v>291</v>
      </c>
      <c r="BT167" s="1211"/>
    </row>
    <row r="168" spans="1:72" s="1344" customFormat="1" ht="25.5" hidden="1">
      <c r="A168" s="1040"/>
      <c r="B168" s="1338"/>
      <c r="C168" s="1234" t="s">
        <v>3013</v>
      </c>
      <c r="D168" s="1234" t="s">
        <v>3087</v>
      </c>
      <c r="E168" s="1262" t="s">
        <v>46</v>
      </c>
      <c r="F168" s="1041">
        <f t="shared" ref="F168:F169" si="52">G168+H168</f>
        <v>0.04</v>
      </c>
      <c r="G168" s="1041"/>
      <c r="H168" s="1041">
        <f t="shared" si="46"/>
        <v>0.04</v>
      </c>
      <c r="I168" s="1029">
        <v>2030</v>
      </c>
      <c r="J168" s="1041">
        <v>0.01</v>
      </c>
      <c r="K168" s="1041"/>
      <c r="L168" s="1041"/>
      <c r="M168" s="1041">
        <v>0.01</v>
      </c>
      <c r="N168" s="1041"/>
      <c r="O168" s="1041"/>
      <c r="P168" s="1041"/>
      <c r="Q168" s="1041"/>
      <c r="R168" s="1041"/>
      <c r="S168" s="1041"/>
      <c r="T168" s="1041"/>
      <c r="U168" s="1041"/>
      <c r="V168" s="1041"/>
      <c r="W168" s="1041"/>
      <c r="X168" s="1041"/>
      <c r="Y168" s="1041"/>
      <c r="Z168" s="1041"/>
      <c r="AA168" s="1041"/>
      <c r="AB168" s="1041"/>
      <c r="AC168" s="1041"/>
      <c r="AD168" s="1041"/>
      <c r="AE168" s="1041">
        <v>0.01</v>
      </c>
      <c r="AF168" s="1041"/>
      <c r="AG168" s="1041"/>
      <c r="AH168" s="1041"/>
      <c r="AI168" s="1041"/>
      <c r="AJ168" s="1041"/>
      <c r="AK168" s="1041"/>
      <c r="AL168" s="1041"/>
      <c r="AM168" s="1041"/>
      <c r="AN168" s="1041"/>
      <c r="AO168" s="1041"/>
      <c r="AP168" s="1041"/>
      <c r="AQ168" s="1041"/>
      <c r="AR168" s="1041"/>
      <c r="AS168" s="1041"/>
      <c r="AT168" s="1041"/>
      <c r="AU168" s="1041"/>
      <c r="AV168" s="1041"/>
      <c r="AW168" s="1041"/>
      <c r="AX168" s="1041">
        <v>0.01</v>
      </c>
      <c r="AY168" s="1041"/>
      <c r="AZ168" s="1041"/>
      <c r="BA168" s="1041"/>
      <c r="BB168" s="1041"/>
      <c r="BC168" s="1041"/>
      <c r="BD168" s="1041"/>
      <c r="BE168" s="1041"/>
      <c r="BF168" s="1041"/>
      <c r="BG168" s="1085"/>
      <c r="BH168" s="1085"/>
      <c r="BI168" s="1234"/>
      <c r="BJ168" s="1339"/>
      <c r="BK168" s="1604"/>
      <c r="BL168" s="1234"/>
      <c r="BM168" s="1234"/>
      <c r="BN168" s="1234"/>
      <c r="BO168" s="1238"/>
      <c r="BP168" s="1342"/>
      <c r="BQ168" s="1253"/>
      <c r="BR168" s="1240"/>
      <c r="BS168" s="1241"/>
      <c r="BT168" s="1343"/>
    </row>
    <row r="169" spans="1:72" s="1344" customFormat="1" ht="25.5" hidden="1">
      <c r="A169" s="1040"/>
      <c r="B169" s="1338"/>
      <c r="C169" s="1234" t="s">
        <v>3026</v>
      </c>
      <c r="D169" s="1234" t="s">
        <v>3087</v>
      </c>
      <c r="E169" s="1262" t="s">
        <v>46</v>
      </c>
      <c r="F169" s="1041">
        <f t="shared" si="52"/>
        <v>0.02</v>
      </c>
      <c r="G169" s="1041"/>
      <c r="H169" s="1041">
        <f t="shared" si="46"/>
        <v>0.02</v>
      </c>
      <c r="I169" s="1029">
        <v>2030</v>
      </c>
      <c r="J169" s="1041"/>
      <c r="K169" s="1041"/>
      <c r="L169" s="1041"/>
      <c r="M169" s="1041"/>
      <c r="N169" s="1041">
        <v>0.01</v>
      </c>
      <c r="O169" s="1041"/>
      <c r="P169" s="1041"/>
      <c r="Q169" s="1041"/>
      <c r="R169" s="1041"/>
      <c r="S169" s="1041">
        <v>0.01</v>
      </c>
      <c r="T169" s="1041"/>
      <c r="U169" s="1041"/>
      <c r="V169" s="1041"/>
      <c r="W169" s="1041"/>
      <c r="X169" s="1041"/>
      <c r="Y169" s="1041"/>
      <c r="Z169" s="1041"/>
      <c r="AA169" s="1041"/>
      <c r="AB169" s="1041"/>
      <c r="AC169" s="1041"/>
      <c r="AD169" s="1041"/>
      <c r="AE169" s="1041"/>
      <c r="AF169" s="1041"/>
      <c r="AG169" s="1041"/>
      <c r="AH169" s="1041"/>
      <c r="AI169" s="1041"/>
      <c r="AJ169" s="1041"/>
      <c r="AK169" s="1041"/>
      <c r="AL169" s="1041"/>
      <c r="AM169" s="1041"/>
      <c r="AN169" s="1041"/>
      <c r="AO169" s="1041"/>
      <c r="AP169" s="1041"/>
      <c r="AQ169" s="1041"/>
      <c r="AR169" s="1041"/>
      <c r="AS169" s="1041"/>
      <c r="AT169" s="1041"/>
      <c r="AU169" s="1041"/>
      <c r="AV169" s="1041"/>
      <c r="AW169" s="1041"/>
      <c r="AX169" s="1041"/>
      <c r="AY169" s="1041"/>
      <c r="AZ169" s="1041"/>
      <c r="BA169" s="1041"/>
      <c r="BB169" s="1041"/>
      <c r="BC169" s="1041"/>
      <c r="BD169" s="1041"/>
      <c r="BE169" s="1041"/>
      <c r="BF169" s="1041"/>
      <c r="BG169" s="1085"/>
      <c r="BH169" s="1085"/>
      <c r="BI169" s="1234"/>
      <c r="BJ169" s="1339"/>
      <c r="BK169" s="1604"/>
      <c r="BL169" s="1234"/>
      <c r="BM169" s="1234"/>
      <c r="BN169" s="1234"/>
      <c r="BO169" s="1238"/>
      <c r="BP169" s="1342"/>
      <c r="BQ169" s="1253"/>
      <c r="BR169" s="1240"/>
      <c r="BS169" s="1241"/>
      <c r="BT169" s="1343"/>
    </row>
    <row r="170" spans="1:72" s="1212" customFormat="1" ht="38.1" customHeight="1">
      <c r="A170" s="1028">
        <f>+A167+1</f>
        <v>59</v>
      </c>
      <c r="B170" s="1336" t="s">
        <v>3352</v>
      </c>
      <c r="C170" s="1120"/>
      <c r="D170" s="1120"/>
      <c r="E170" s="1258" t="s">
        <v>3329</v>
      </c>
      <c r="F170" s="1029">
        <f>G170+H170</f>
        <v>6.0000000000000005E-2</v>
      </c>
      <c r="G170" s="1029"/>
      <c r="H170" s="1029">
        <f t="shared" si="46"/>
        <v>6.0000000000000005E-2</v>
      </c>
      <c r="I170" s="1029">
        <v>2030</v>
      </c>
      <c r="J170" s="1029">
        <v>1.0999999999999999E-2</v>
      </c>
      <c r="K170" s="1029"/>
      <c r="L170" s="1029"/>
      <c r="M170" s="1029">
        <v>0.01</v>
      </c>
      <c r="N170" s="1029">
        <v>0.01</v>
      </c>
      <c r="O170" s="1029"/>
      <c r="P170" s="1029"/>
      <c r="Q170" s="1029"/>
      <c r="R170" s="1029"/>
      <c r="S170" s="1029">
        <v>0.01</v>
      </c>
      <c r="T170" s="1029"/>
      <c r="U170" s="1029"/>
      <c r="V170" s="1029"/>
      <c r="W170" s="1029"/>
      <c r="X170" s="1029"/>
      <c r="Y170" s="1029"/>
      <c r="Z170" s="1029"/>
      <c r="AA170" s="1029"/>
      <c r="AB170" s="1029"/>
      <c r="AC170" s="1029"/>
      <c r="AD170" s="1029"/>
      <c r="AE170" s="1029">
        <v>5.0000000000000001E-3</v>
      </c>
      <c r="AF170" s="1029"/>
      <c r="AG170" s="1029"/>
      <c r="AH170" s="1029"/>
      <c r="AI170" s="1029"/>
      <c r="AJ170" s="1029"/>
      <c r="AK170" s="1029"/>
      <c r="AL170" s="1029"/>
      <c r="AM170" s="1029"/>
      <c r="AN170" s="1029"/>
      <c r="AO170" s="1029"/>
      <c r="AP170" s="1029"/>
      <c r="AQ170" s="1029">
        <v>3.0000000000000001E-3</v>
      </c>
      <c r="AR170" s="1029"/>
      <c r="AS170" s="1029"/>
      <c r="AT170" s="1029"/>
      <c r="AU170" s="1029"/>
      <c r="AV170" s="1029"/>
      <c r="AW170" s="1029"/>
      <c r="AX170" s="1029">
        <v>3.0000000000000001E-3</v>
      </c>
      <c r="AY170" s="1029">
        <v>3.0000000000000001E-3</v>
      </c>
      <c r="AZ170" s="1029"/>
      <c r="BA170" s="1029"/>
      <c r="BB170" s="1029"/>
      <c r="BC170" s="1029"/>
      <c r="BD170" s="1029"/>
      <c r="BE170" s="1029"/>
      <c r="BF170" s="1029">
        <v>5.0000000000000001E-3</v>
      </c>
      <c r="BG170" s="1086"/>
      <c r="BH170" s="1086"/>
      <c r="BI170" s="1120" t="s">
        <v>860</v>
      </c>
      <c r="BJ170" s="1337"/>
      <c r="BK170" s="1604"/>
      <c r="BL170" s="1120" t="s">
        <v>1917</v>
      </c>
      <c r="BM170" s="1120" t="s">
        <v>3350</v>
      </c>
      <c r="BN170" s="1120" t="s">
        <v>291</v>
      </c>
      <c r="BO170" s="1121"/>
      <c r="BP170" s="1122">
        <v>1</v>
      </c>
      <c r="BQ170" s="1243" t="s">
        <v>3106</v>
      </c>
      <c r="BR170" s="1232" t="s">
        <v>3351</v>
      </c>
      <c r="BS170" s="1124" t="s">
        <v>291</v>
      </c>
      <c r="BT170" s="1211"/>
    </row>
    <row r="171" spans="1:72" s="1344" customFormat="1" ht="25.5" hidden="1">
      <c r="A171" s="1040"/>
      <c r="B171" s="1338"/>
      <c r="C171" s="1234" t="s">
        <v>3345</v>
      </c>
      <c r="D171" s="1234" t="s">
        <v>3087</v>
      </c>
      <c r="E171" s="1262" t="s">
        <v>46</v>
      </c>
      <c r="F171" s="1041">
        <f t="shared" ref="F171:F172" si="53">G171+H171</f>
        <v>0.03</v>
      </c>
      <c r="G171" s="1041"/>
      <c r="H171" s="1041">
        <f t="shared" si="46"/>
        <v>0.03</v>
      </c>
      <c r="I171" s="1029">
        <v>2030</v>
      </c>
      <c r="J171" s="1041">
        <v>0.01</v>
      </c>
      <c r="K171" s="1041"/>
      <c r="L171" s="1041"/>
      <c r="M171" s="1041"/>
      <c r="N171" s="1041">
        <v>0.01</v>
      </c>
      <c r="O171" s="1041"/>
      <c r="P171" s="1041"/>
      <c r="Q171" s="1041"/>
      <c r="R171" s="1041"/>
      <c r="S171" s="1041"/>
      <c r="T171" s="1041"/>
      <c r="U171" s="1041"/>
      <c r="V171" s="1041"/>
      <c r="W171" s="1041"/>
      <c r="X171" s="1041"/>
      <c r="Y171" s="1041"/>
      <c r="Z171" s="1041"/>
      <c r="AA171" s="1041"/>
      <c r="AB171" s="1041"/>
      <c r="AC171" s="1041"/>
      <c r="AD171" s="1041"/>
      <c r="AE171" s="1041"/>
      <c r="AF171" s="1041"/>
      <c r="AG171" s="1041"/>
      <c r="AH171" s="1041"/>
      <c r="AI171" s="1041"/>
      <c r="AJ171" s="1041"/>
      <c r="AK171" s="1041"/>
      <c r="AL171" s="1041"/>
      <c r="AM171" s="1041"/>
      <c r="AN171" s="1041"/>
      <c r="AO171" s="1041"/>
      <c r="AP171" s="1041"/>
      <c r="AQ171" s="1041"/>
      <c r="AR171" s="1041"/>
      <c r="AS171" s="1041"/>
      <c r="AT171" s="1041"/>
      <c r="AU171" s="1041"/>
      <c r="AV171" s="1041"/>
      <c r="AW171" s="1041"/>
      <c r="AX171" s="1041"/>
      <c r="AY171" s="1041"/>
      <c r="AZ171" s="1041"/>
      <c r="BA171" s="1041"/>
      <c r="BB171" s="1041"/>
      <c r="BC171" s="1041"/>
      <c r="BD171" s="1041"/>
      <c r="BE171" s="1041"/>
      <c r="BF171" s="1041">
        <v>0.01</v>
      </c>
      <c r="BG171" s="1085"/>
      <c r="BH171" s="1085"/>
      <c r="BI171" s="1234"/>
      <c r="BJ171" s="1339"/>
      <c r="BK171" s="1234"/>
      <c r="BL171" s="1234"/>
      <c r="BM171" s="1234"/>
      <c r="BN171" s="1234"/>
      <c r="BO171" s="1238"/>
      <c r="BP171" s="1342"/>
      <c r="BQ171" s="1244"/>
      <c r="BR171" s="1240"/>
      <c r="BS171" s="1241"/>
      <c r="BT171" s="1343"/>
    </row>
    <row r="172" spans="1:72" s="1344" customFormat="1" ht="25.5" hidden="1">
      <c r="A172" s="1040"/>
      <c r="B172" s="1338"/>
      <c r="C172" s="1234" t="s">
        <v>3015</v>
      </c>
      <c r="D172" s="1234" t="s">
        <v>3087</v>
      </c>
      <c r="E172" s="1262" t="s">
        <v>46</v>
      </c>
      <c r="F172" s="1041">
        <f t="shared" si="53"/>
        <v>0.03</v>
      </c>
      <c r="G172" s="1041"/>
      <c r="H172" s="1041">
        <f t="shared" si="46"/>
        <v>0.03</v>
      </c>
      <c r="I172" s="1029">
        <v>2030</v>
      </c>
      <c r="J172" s="1041"/>
      <c r="K172" s="1041"/>
      <c r="L172" s="1041"/>
      <c r="M172" s="1041">
        <v>0.01</v>
      </c>
      <c r="N172" s="1041"/>
      <c r="O172" s="1041"/>
      <c r="P172" s="1041"/>
      <c r="Q172" s="1041"/>
      <c r="R172" s="1041"/>
      <c r="S172" s="1041">
        <v>0.01</v>
      </c>
      <c r="T172" s="1041"/>
      <c r="U172" s="1041"/>
      <c r="V172" s="1041"/>
      <c r="W172" s="1041"/>
      <c r="X172" s="1041"/>
      <c r="Y172" s="1041"/>
      <c r="Z172" s="1041"/>
      <c r="AA172" s="1041"/>
      <c r="AB172" s="1041"/>
      <c r="AC172" s="1041"/>
      <c r="AD172" s="1041"/>
      <c r="AE172" s="1041">
        <v>0.01</v>
      </c>
      <c r="AF172" s="1041"/>
      <c r="AG172" s="1041"/>
      <c r="AH172" s="1041"/>
      <c r="AI172" s="1041"/>
      <c r="AJ172" s="1041"/>
      <c r="AK172" s="1041"/>
      <c r="AL172" s="1041"/>
      <c r="AM172" s="1041"/>
      <c r="AN172" s="1041"/>
      <c r="AO172" s="1041"/>
      <c r="AP172" s="1041"/>
      <c r="AQ172" s="1041"/>
      <c r="AR172" s="1041"/>
      <c r="AS172" s="1041"/>
      <c r="AT172" s="1041"/>
      <c r="AU172" s="1041"/>
      <c r="AV172" s="1041"/>
      <c r="AW172" s="1041"/>
      <c r="AX172" s="1041"/>
      <c r="AY172" s="1041"/>
      <c r="AZ172" s="1041"/>
      <c r="BA172" s="1041"/>
      <c r="BB172" s="1041"/>
      <c r="BC172" s="1041"/>
      <c r="BD172" s="1041"/>
      <c r="BE172" s="1041"/>
      <c r="BF172" s="1041"/>
      <c r="BG172" s="1085"/>
      <c r="BH172" s="1085"/>
      <c r="BI172" s="1234"/>
      <c r="BJ172" s="1339"/>
      <c r="BK172" s="1234"/>
      <c r="BL172" s="1234"/>
      <c r="BM172" s="1234"/>
      <c r="BN172" s="1234"/>
      <c r="BO172" s="1238"/>
      <c r="BP172" s="1342"/>
      <c r="BQ172" s="1244"/>
      <c r="BR172" s="1240"/>
      <c r="BS172" s="1241"/>
      <c r="BT172" s="1343"/>
    </row>
    <row r="173" spans="1:72" s="1212" customFormat="1" ht="32.450000000000003" customHeight="1">
      <c r="A173" s="1028">
        <f>+A170+1</f>
        <v>60</v>
      </c>
      <c r="B173" s="1130" t="s">
        <v>3353</v>
      </c>
      <c r="C173" s="1120"/>
      <c r="D173" s="1120"/>
      <c r="E173" s="1258" t="s">
        <v>3329</v>
      </c>
      <c r="F173" s="1029">
        <f t="shared" si="43"/>
        <v>4.3000000000000003E-2</v>
      </c>
      <c r="G173" s="1029"/>
      <c r="H173" s="1029">
        <f t="shared" ref="H173:H210" si="54">SUM(J173:BF173)</f>
        <v>4.3000000000000003E-2</v>
      </c>
      <c r="I173" s="1029">
        <v>2030</v>
      </c>
      <c r="J173" s="1029">
        <v>0.02</v>
      </c>
      <c r="K173" s="1029"/>
      <c r="L173" s="1029"/>
      <c r="M173" s="1029">
        <v>6.0000000000000001E-3</v>
      </c>
      <c r="N173" s="1029">
        <v>6.0000000000000001E-3</v>
      </c>
      <c r="O173" s="1029"/>
      <c r="P173" s="1029"/>
      <c r="Q173" s="1029"/>
      <c r="R173" s="1029"/>
      <c r="S173" s="1029">
        <v>5.0000000000000001E-3</v>
      </c>
      <c r="T173" s="1029"/>
      <c r="U173" s="1029"/>
      <c r="V173" s="1029"/>
      <c r="W173" s="1029"/>
      <c r="X173" s="1029"/>
      <c r="Y173" s="1029"/>
      <c r="Z173" s="1029"/>
      <c r="AA173" s="1029"/>
      <c r="AB173" s="1029"/>
      <c r="AC173" s="1029"/>
      <c r="AD173" s="1029"/>
      <c r="AE173" s="1029">
        <v>3.0000000000000001E-3</v>
      </c>
      <c r="AF173" s="1029"/>
      <c r="AG173" s="1029"/>
      <c r="AH173" s="1029"/>
      <c r="AI173" s="1029"/>
      <c r="AJ173" s="1029"/>
      <c r="AK173" s="1029"/>
      <c r="AL173" s="1029"/>
      <c r="AM173" s="1029"/>
      <c r="AN173" s="1029"/>
      <c r="AO173" s="1029"/>
      <c r="AP173" s="1029"/>
      <c r="AQ173" s="1029"/>
      <c r="AR173" s="1029"/>
      <c r="AS173" s="1029"/>
      <c r="AT173" s="1029"/>
      <c r="AU173" s="1029"/>
      <c r="AV173" s="1029"/>
      <c r="AW173" s="1029"/>
      <c r="AX173" s="1029">
        <v>3.0000000000000001E-3</v>
      </c>
      <c r="AY173" s="1029"/>
      <c r="AZ173" s="1029"/>
      <c r="BA173" s="1029"/>
      <c r="BB173" s="1029"/>
      <c r="BC173" s="1029"/>
      <c r="BD173" s="1029"/>
      <c r="BE173" s="1029"/>
      <c r="BF173" s="1029"/>
      <c r="BG173" s="1086"/>
      <c r="BH173" s="1086"/>
      <c r="BI173" s="1120" t="s">
        <v>3354</v>
      </c>
      <c r="BJ173" s="1337"/>
      <c r="BK173" s="1604" t="s">
        <v>3355</v>
      </c>
      <c r="BL173" s="1120" t="s">
        <v>1917</v>
      </c>
      <c r="BM173" s="1120" t="s">
        <v>3350</v>
      </c>
      <c r="BN173" s="1120" t="s">
        <v>291</v>
      </c>
      <c r="BO173" s="1121"/>
      <c r="BP173" s="1122">
        <v>1</v>
      </c>
      <c r="BQ173" s="1243" t="s">
        <v>3106</v>
      </c>
      <c r="BR173" s="1232" t="s">
        <v>3356</v>
      </c>
      <c r="BS173" s="1124" t="s">
        <v>291</v>
      </c>
      <c r="BT173" s="1211"/>
    </row>
    <row r="174" spans="1:72" s="1212" customFormat="1" ht="25.5" hidden="1">
      <c r="A174" s="1028"/>
      <c r="B174" s="1130"/>
      <c r="C174" s="1120" t="s">
        <v>3156</v>
      </c>
      <c r="D174" s="1234" t="s">
        <v>3087</v>
      </c>
      <c r="E174" s="1262" t="s">
        <v>46</v>
      </c>
      <c r="F174" s="1029">
        <f t="shared" si="43"/>
        <v>0.02</v>
      </c>
      <c r="G174" s="1029"/>
      <c r="H174" s="1029">
        <f t="shared" si="54"/>
        <v>0.02</v>
      </c>
      <c r="I174" s="1029">
        <v>2030</v>
      </c>
      <c r="J174" s="1029">
        <v>0.01</v>
      </c>
      <c r="K174" s="1029"/>
      <c r="L174" s="1029"/>
      <c r="M174" s="1029">
        <v>0.01</v>
      </c>
      <c r="N174" s="1029"/>
      <c r="O174" s="1029"/>
      <c r="P174" s="1029"/>
      <c r="Q174" s="1029"/>
      <c r="R174" s="1029"/>
      <c r="S174" s="1029"/>
      <c r="T174" s="1029"/>
      <c r="U174" s="1029"/>
      <c r="V174" s="1029"/>
      <c r="W174" s="1029"/>
      <c r="X174" s="1029"/>
      <c r="Y174" s="1029"/>
      <c r="Z174" s="1029"/>
      <c r="AA174" s="1029"/>
      <c r="AB174" s="1029"/>
      <c r="AC174" s="1029"/>
      <c r="AD174" s="1029"/>
      <c r="AE174" s="1029"/>
      <c r="AF174" s="1029"/>
      <c r="AG174" s="1029"/>
      <c r="AH174" s="1029"/>
      <c r="AI174" s="1029"/>
      <c r="AJ174" s="1029"/>
      <c r="AK174" s="1029"/>
      <c r="AL174" s="1029"/>
      <c r="AM174" s="1029"/>
      <c r="AN174" s="1029"/>
      <c r="AO174" s="1029"/>
      <c r="AP174" s="1029"/>
      <c r="AQ174" s="1029"/>
      <c r="AR174" s="1029"/>
      <c r="AS174" s="1029"/>
      <c r="AT174" s="1029"/>
      <c r="AU174" s="1029"/>
      <c r="AV174" s="1029"/>
      <c r="AW174" s="1029"/>
      <c r="AX174" s="1029"/>
      <c r="AY174" s="1029"/>
      <c r="AZ174" s="1029"/>
      <c r="BA174" s="1029"/>
      <c r="BB174" s="1029"/>
      <c r="BC174" s="1029"/>
      <c r="BD174" s="1029"/>
      <c r="BE174" s="1029"/>
      <c r="BF174" s="1029"/>
      <c r="BG174" s="1086"/>
      <c r="BH174" s="1086"/>
      <c r="BI174" s="1120"/>
      <c r="BJ174" s="1337"/>
      <c r="BK174" s="1604"/>
      <c r="BL174" s="1120"/>
      <c r="BM174" s="1120"/>
      <c r="BN174" s="1120"/>
      <c r="BO174" s="1121"/>
      <c r="BP174" s="1122"/>
      <c r="BQ174" s="1243"/>
      <c r="BR174" s="1232"/>
      <c r="BS174" s="1124"/>
      <c r="BT174" s="1211"/>
    </row>
    <row r="175" spans="1:72" s="1212" customFormat="1" ht="25.5" hidden="1">
      <c r="A175" s="1028"/>
      <c r="B175" s="1130"/>
      <c r="C175" s="1120" t="s">
        <v>3013</v>
      </c>
      <c r="D175" s="1234" t="s">
        <v>3087</v>
      </c>
      <c r="E175" s="1262" t="s">
        <v>46</v>
      </c>
      <c r="F175" s="1029">
        <f t="shared" si="43"/>
        <v>0.02</v>
      </c>
      <c r="G175" s="1029"/>
      <c r="H175" s="1029">
        <f t="shared" si="54"/>
        <v>0.02</v>
      </c>
      <c r="I175" s="1029">
        <v>2030</v>
      </c>
      <c r="J175" s="1029">
        <v>0.01</v>
      </c>
      <c r="K175" s="1029"/>
      <c r="L175" s="1029"/>
      <c r="M175" s="1029"/>
      <c r="N175" s="1029">
        <v>0.01</v>
      </c>
      <c r="O175" s="1029"/>
      <c r="P175" s="1029"/>
      <c r="Q175" s="1029"/>
      <c r="R175" s="1029"/>
      <c r="S175" s="1029"/>
      <c r="T175" s="1029"/>
      <c r="U175" s="1029"/>
      <c r="V175" s="1029"/>
      <c r="W175" s="1029"/>
      <c r="X175" s="1029"/>
      <c r="Y175" s="1029"/>
      <c r="Z175" s="1029"/>
      <c r="AA175" s="1029"/>
      <c r="AB175" s="1029"/>
      <c r="AC175" s="1029"/>
      <c r="AD175" s="1029"/>
      <c r="AE175" s="1029"/>
      <c r="AF175" s="1029"/>
      <c r="AG175" s="1029"/>
      <c r="AH175" s="1029"/>
      <c r="AI175" s="1029"/>
      <c r="AJ175" s="1029"/>
      <c r="AK175" s="1029"/>
      <c r="AL175" s="1029"/>
      <c r="AM175" s="1029"/>
      <c r="AN175" s="1029"/>
      <c r="AO175" s="1029"/>
      <c r="AP175" s="1029"/>
      <c r="AQ175" s="1029"/>
      <c r="AR175" s="1029"/>
      <c r="AS175" s="1029"/>
      <c r="AT175" s="1029"/>
      <c r="AU175" s="1029"/>
      <c r="AV175" s="1029"/>
      <c r="AW175" s="1029"/>
      <c r="AX175" s="1029"/>
      <c r="AY175" s="1029"/>
      <c r="AZ175" s="1029"/>
      <c r="BA175" s="1029"/>
      <c r="BB175" s="1029"/>
      <c r="BC175" s="1029"/>
      <c r="BD175" s="1029"/>
      <c r="BE175" s="1029"/>
      <c r="BF175" s="1029"/>
      <c r="BG175" s="1086"/>
      <c r="BH175" s="1086"/>
      <c r="BI175" s="1120"/>
      <c r="BJ175" s="1337"/>
      <c r="BK175" s="1604"/>
      <c r="BL175" s="1120"/>
      <c r="BM175" s="1120"/>
      <c r="BN175" s="1120"/>
      <c r="BO175" s="1121"/>
      <c r="BP175" s="1122"/>
      <c r="BQ175" s="1243"/>
      <c r="BR175" s="1232"/>
      <c r="BS175" s="1124"/>
      <c r="BT175" s="1211"/>
    </row>
    <row r="176" spans="1:72" s="1212" customFormat="1" ht="34.5" customHeight="1">
      <c r="A176" s="1028">
        <f>+A173+1</f>
        <v>61</v>
      </c>
      <c r="B176" s="1336" t="s">
        <v>3357</v>
      </c>
      <c r="C176" s="1337"/>
      <c r="D176" s="1337"/>
      <c r="E176" s="1258" t="s">
        <v>3329</v>
      </c>
      <c r="F176" s="1029">
        <f t="shared" si="43"/>
        <v>6.5000000000000002E-2</v>
      </c>
      <c r="G176" s="1029"/>
      <c r="H176" s="1029">
        <f>SUM(J176:BF176)</f>
        <v>6.5000000000000002E-2</v>
      </c>
      <c r="I176" s="1029">
        <v>2030</v>
      </c>
      <c r="J176" s="1029">
        <v>1.4999999999999999E-2</v>
      </c>
      <c r="K176" s="1029"/>
      <c r="L176" s="1029"/>
      <c r="M176" s="1029">
        <v>1.4999999999999999E-2</v>
      </c>
      <c r="N176" s="1029">
        <v>0.01</v>
      </c>
      <c r="O176" s="1029"/>
      <c r="P176" s="1029"/>
      <c r="Q176" s="1029"/>
      <c r="R176" s="1029"/>
      <c r="S176" s="1029">
        <v>2E-3</v>
      </c>
      <c r="T176" s="1029"/>
      <c r="U176" s="1029"/>
      <c r="V176" s="1029"/>
      <c r="W176" s="1029"/>
      <c r="X176" s="1029"/>
      <c r="Y176" s="1029"/>
      <c r="Z176" s="1029"/>
      <c r="AA176" s="1029"/>
      <c r="AB176" s="1029"/>
      <c r="AC176" s="1029"/>
      <c r="AD176" s="1029"/>
      <c r="AE176" s="1029">
        <v>3.0000000000000001E-3</v>
      </c>
      <c r="AF176" s="1029"/>
      <c r="AG176" s="1029"/>
      <c r="AH176" s="1029"/>
      <c r="AI176" s="1029"/>
      <c r="AJ176" s="1029"/>
      <c r="AK176" s="1029"/>
      <c r="AL176" s="1029"/>
      <c r="AM176" s="1029"/>
      <c r="AN176" s="1029"/>
      <c r="AO176" s="1029"/>
      <c r="AP176" s="1029"/>
      <c r="AQ176" s="1029"/>
      <c r="AR176" s="1029"/>
      <c r="AS176" s="1029"/>
      <c r="AT176" s="1029"/>
      <c r="AU176" s="1029"/>
      <c r="AV176" s="1029"/>
      <c r="AW176" s="1029"/>
      <c r="AX176" s="1029">
        <v>1.4999999999999999E-2</v>
      </c>
      <c r="AY176" s="1029">
        <v>5.0000000000000001E-3</v>
      </c>
      <c r="AZ176" s="1029"/>
      <c r="BA176" s="1029"/>
      <c r="BB176" s="1029"/>
      <c r="BC176" s="1029"/>
      <c r="BD176" s="1029"/>
      <c r="BE176" s="1029"/>
      <c r="BF176" s="1029"/>
      <c r="BG176" s="1086"/>
      <c r="BH176" s="1086"/>
      <c r="BI176" s="1337" t="s">
        <v>3358</v>
      </c>
      <c r="BJ176" s="1337"/>
      <c r="BK176" s="1604"/>
      <c r="BL176" s="1120" t="s">
        <v>1917</v>
      </c>
      <c r="BM176" s="1120" t="s">
        <v>3350</v>
      </c>
      <c r="BN176" s="1120" t="s">
        <v>291</v>
      </c>
      <c r="BO176" s="1121"/>
      <c r="BP176" s="1122">
        <v>1</v>
      </c>
      <c r="BQ176" s="1243" t="s">
        <v>3106</v>
      </c>
      <c r="BR176" s="1232" t="s">
        <v>3359</v>
      </c>
      <c r="BS176" s="1124" t="s">
        <v>291</v>
      </c>
      <c r="BT176" s="1211"/>
    </row>
    <row r="177" spans="1:72" s="1344" customFormat="1" ht="25.5" hidden="1">
      <c r="A177" s="1040"/>
      <c r="B177" s="1338"/>
      <c r="C177" s="1339" t="s">
        <v>3013</v>
      </c>
      <c r="D177" s="1234" t="s">
        <v>3087</v>
      </c>
      <c r="E177" s="1262" t="s">
        <v>46</v>
      </c>
      <c r="F177" s="1029">
        <f t="shared" si="43"/>
        <v>0.02</v>
      </c>
      <c r="G177" s="1029"/>
      <c r="H177" s="1029">
        <f t="shared" ref="H177:H179" si="55">SUM(J177:BF177)</f>
        <v>0.02</v>
      </c>
      <c r="I177" s="1029">
        <v>2030</v>
      </c>
      <c r="J177" s="1041">
        <v>0.01</v>
      </c>
      <c r="K177" s="1041"/>
      <c r="L177" s="1041"/>
      <c r="M177" s="1041"/>
      <c r="N177" s="1041"/>
      <c r="O177" s="1041"/>
      <c r="P177" s="1041"/>
      <c r="Q177" s="1041"/>
      <c r="R177" s="1041"/>
      <c r="S177" s="1041"/>
      <c r="T177" s="1041"/>
      <c r="U177" s="1041"/>
      <c r="V177" s="1041"/>
      <c r="W177" s="1041"/>
      <c r="X177" s="1041"/>
      <c r="Y177" s="1041"/>
      <c r="Z177" s="1041"/>
      <c r="AA177" s="1041"/>
      <c r="AB177" s="1041"/>
      <c r="AC177" s="1041"/>
      <c r="AD177" s="1041"/>
      <c r="AE177" s="1041"/>
      <c r="AF177" s="1041"/>
      <c r="AG177" s="1041"/>
      <c r="AH177" s="1041"/>
      <c r="AI177" s="1041"/>
      <c r="AJ177" s="1041"/>
      <c r="AK177" s="1041"/>
      <c r="AL177" s="1041"/>
      <c r="AM177" s="1041"/>
      <c r="AN177" s="1041"/>
      <c r="AO177" s="1041"/>
      <c r="AP177" s="1041"/>
      <c r="AQ177" s="1041"/>
      <c r="AR177" s="1041"/>
      <c r="AS177" s="1041"/>
      <c r="AT177" s="1041"/>
      <c r="AU177" s="1041"/>
      <c r="AV177" s="1041"/>
      <c r="AW177" s="1041"/>
      <c r="AX177" s="1041">
        <v>0.01</v>
      </c>
      <c r="AY177" s="1041"/>
      <c r="AZ177" s="1041"/>
      <c r="BA177" s="1041"/>
      <c r="BB177" s="1041"/>
      <c r="BC177" s="1041"/>
      <c r="BD177" s="1041"/>
      <c r="BE177" s="1041"/>
      <c r="BF177" s="1041"/>
      <c r="BG177" s="1085"/>
      <c r="BH177" s="1085"/>
      <c r="BI177" s="1339"/>
      <c r="BJ177" s="1339"/>
      <c r="BK177" s="1604"/>
      <c r="BL177" s="1234"/>
      <c r="BM177" s="1234"/>
      <c r="BN177" s="1234"/>
      <c r="BO177" s="1238"/>
      <c r="BP177" s="1342"/>
      <c r="BQ177" s="1244"/>
      <c r="BR177" s="1240"/>
      <c r="BS177" s="1241"/>
      <c r="BT177" s="1343"/>
    </row>
    <row r="178" spans="1:72" s="1344" customFormat="1" ht="25.5" hidden="1">
      <c r="A178" s="1040"/>
      <c r="B178" s="1338"/>
      <c r="C178" s="1339" t="s">
        <v>3023</v>
      </c>
      <c r="D178" s="1234" t="s">
        <v>3087</v>
      </c>
      <c r="E178" s="1262" t="s">
        <v>46</v>
      </c>
      <c r="F178" s="1029">
        <f t="shared" si="43"/>
        <v>0.02</v>
      </c>
      <c r="G178" s="1029"/>
      <c r="H178" s="1029">
        <f t="shared" si="55"/>
        <v>0.02</v>
      </c>
      <c r="I178" s="1029">
        <v>2030</v>
      </c>
      <c r="J178" s="1041"/>
      <c r="K178" s="1041"/>
      <c r="L178" s="1041"/>
      <c r="M178" s="1041">
        <v>0.01</v>
      </c>
      <c r="N178" s="1041"/>
      <c r="O178" s="1041"/>
      <c r="P178" s="1041"/>
      <c r="Q178" s="1041"/>
      <c r="R178" s="1041"/>
      <c r="S178" s="1041">
        <v>0.01</v>
      </c>
      <c r="T178" s="1041"/>
      <c r="U178" s="1041"/>
      <c r="V178" s="1041"/>
      <c r="W178" s="1041"/>
      <c r="X178" s="1041"/>
      <c r="Y178" s="1041"/>
      <c r="Z178" s="1041"/>
      <c r="AA178" s="1041"/>
      <c r="AB178" s="1041"/>
      <c r="AC178" s="1041"/>
      <c r="AD178" s="1041"/>
      <c r="AE178" s="1041"/>
      <c r="AF178" s="1041"/>
      <c r="AG178" s="1041"/>
      <c r="AH178" s="1041"/>
      <c r="AI178" s="1041"/>
      <c r="AJ178" s="1041"/>
      <c r="AK178" s="1041"/>
      <c r="AL178" s="1041"/>
      <c r="AM178" s="1041"/>
      <c r="AN178" s="1041"/>
      <c r="AO178" s="1041"/>
      <c r="AP178" s="1041"/>
      <c r="AQ178" s="1041"/>
      <c r="AR178" s="1041"/>
      <c r="AS178" s="1041"/>
      <c r="AT178" s="1041"/>
      <c r="AU178" s="1041"/>
      <c r="AV178" s="1041"/>
      <c r="AW178" s="1041"/>
      <c r="AX178" s="1041"/>
      <c r="AY178" s="1041"/>
      <c r="AZ178" s="1041"/>
      <c r="BA178" s="1041"/>
      <c r="BB178" s="1041"/>
      <c r="BC178" s="1041"/>
      <c r="BD178" s="1041"/>
      <c r="BE178" s="1041"/>
      <c r="BF178" s="1041"/>
      <c r="BG178" s="1085"/>
      <c r="BH178" s="1085"/>
      <c r="BI178" s="1339"/>
      <c r="BJ178" s="1339"/>
      <c r="BK178" s="1604"/>
      <c r="BL178" s="1234"/>
      <c r="BM178" s="1234"/>
      <c r="BN178" s="1234"/>
      <c r="BO178" s="1238"/>
      <c r="BP178" s="1342"/>
      <c r="BQ178" s="1244"/>
      <c r="BR178" s="1240"/>
      <c r="BS178" s="1241"/>
      <c r="BT178" s="1343"/>
    </row>
    <row r="179" spans="1:72" s="1344" customFormat="1" ht="25.5" hidden="1">
      <c r="A179" s="1040"/>
      <c r="B179" s="1338"/>
      <c r="C179" s="1339" t="s">
        <v>3156</v>
      </c>
      <c r="D179" s="1234" t="s">
        <v>3087</v>
      </c>
      <c r="E179" s="1262" t="s">
        <v>46</v>
      </c>
      <c r="F179" s="1029">
        <f t="shared" si="43"/>
        <v>0.03</v>
      </c>
      <c r="G179" s="1029"/>
      <c r="H179" s="1029">
        <f t="shared" si="55"/>
        <v>0.03</v>
      </c>
      <c r="I179" s="1029">
        <v>2030</v>
      </c>
      <c r="J179" s="1041"/>
      <c r="K179" s="1041"/>
      <c r="L179" s="1041"/>
      <c r="M179" s="1041">
        <v>0.01</v>
      </c>
      <c r="N179" s="1041">
        <v>0.01</v>
      </c>
      <c r="O179" s="1041"/>
      <c r="P179" s="1041"/>
      <c r="Q179" s="1041"/>
      <c r="R179" s="1041"/>
      <c r="S179" s="1041"/>
      <c r="T179" s="1041"/>
      <c r="U179" s="1041"/>
      <c r="V179" s="1041"/>
      <c r="W179" s="1041"/>
      <c r="X179" s="1041"/>
      <c r="Y179" s="1041"/>
      <c r="Z179" s="1041"/>
      <c r="AA179" s="1041"/>
      <c r="AB179" s="1041"/>
      <c r="AC179" s="1041"/>
      <c r="AD179" s="1041"/>
      <c r="AE179" s="1041"/>
      <c r="AF179" s="1041"/>
      <c r="AG179" s="1041"/>
      <c r="AH179" s="1041"/>
      <c r="AI179" s="1041"/>
      <c r="AJ179" s="1041"/>
      <c r="AK179" s="1041"/>
      <c r="AL179" s="1041"/>
      <c r="AM179" s="1041"/>
      <c r="AN179" s="1041"/>
      <c r="AO179" s="1041"/>
      <c r="AP179" s="1041"/>
      <c r="AQ179" s="1041"/>
      <c r="AR179" s="1041"/>
      <c r="AS179" s="1041"/>
      <c r="AT179" s="1041"/>
      <c r="AU179" s="1041"/>
      <c r="AV179" s="1041"/>
      <c r="AW179" s="1041"/>
      <c r="AX179" s="1041"/>
      <c r="AY179" s="1041">
        <v>0.01</v>
      </c>
      <c r="AZ179" s="1041"/>
      <c r="BA179" s="1041"/>
      <c r="BB179" s="1041"/>
      <c r="BC179" s="1041"/>
      <c r="BD179" s="1041"/>
      <c r="BE179" s="1041"/>
      <c r="BF179" s="1041"/>
      <c r="BG179" s="1085"/>
      <c r="BH179" s="1085"/>
      <c r="BI179" s="1339"/>
      <c r="BJ179" s="1339"/>
      <c r="BK179" s="1604"/>
      <c r="BL179" s="1234"/>
      <c r="BM179" s="1234"/>
      <c r="BN179" s="1234"/>
      <c r="BO179" s="1238"/>
      <c r="BP179" s="1342"/>
      <c r="BQ179" s="1244"/>
      <c r="BR179" s="1240"/>
      <c r="BS179" s="1241"/>
      <c r="BT179" s="1343"/>
    </row>
    <row r="180" spans="1:72" s="1212" customFormat="1" ht="47.25" customHeight="1">
      <c r="A180" s="1028">
        <f>+A176+1</f>
        <v>62</v>
      </c>
      <c r="B180" s="1328" t="s">
        <v>3360</v>
      </c>
      <c r="C180" s="1120" t="s">
        <v>3013</v>
      </c>
      <c r="D180" s="1234" t="s">
        <v>3087</v>
      </c>
      <c r="E180" s="1258" t="s">
        <v>46</v>
      </c>
      <c r="F180" s="1029">
        <f>G180+H180</f>
        <v>4.0000000000000008E-2</v>
      </c>
      <c r="G180" s="1029"/>
      <c r="H180" s="1029">
        <f t="shared" si="54"/>
        <v>4.0000000000000008E-2</v>
      </c>
      <c r="I180" s="1029">
        <v>2030</v>
      </c>
      <c r="J180" s="1029">
        <v>0.02</v>
      </c>
      <c r="K180" s="1029"/>
      <c r="L180" s="1029"/>
      <c r="M180" s="1029">
        <v>6.0000000000000001E-3</v>
      </c>
      <c r="N180" s="1029">
        <v>5.0000000000000001E-3</v>
      </c>
      <c r="O180" s="1029"/>
      <c r="P180" s="1029"/>
      <c r="Q180" s="1029"/>
      <c r="R180" s="1029"/>
      <c r="S180" s="1029">
        <v>5.0000000000000001E-3</v>
      </c>
      <c r="T180" s="1029"/>
      <c r="U180" s="1029"/>
      <c r="V180" s="1029"/>
      <c r="W180" s="1029"/>
      <c r="X180" s="1029"/>
      <c r="Y180" s="1029"/>
      <c r="Z180" s="1029"/>
      <c r="AA180" s="1029"/>
      <c r="AB180" s="1029"/>
      <c r="AC180" s="1029"/>
      <c r="AD180" s="1029"/>
      <c r="AE180" s="1029">
        <v>2E-3</v>
      </c>
      <c r="AF180" s="1029"/>
      <c r="AG180" s="1029"/>
      <c r="AH180" s="1029"/>
      <c r="AI180" s="1029"/>
      <c r="AJ180" s="1029"/>
      <c r="AK180" s="1029"/>
      <c r="AL180" s="1029"/>
      <c r="AM180" s="1029"/>
      <c r="AN180" s="1029"/>
      <c r="AO180" s="1029"/>
      <c r="AP180" s="1029"/>
      <c r="AQ180" s="1029"/>
      <c r="AR180" s="1029"/>
      <c r="AS180" s="1029"/>
      <c r="AT180" s="1029"/>
      <c r="AU180" s="1029"/>
      <c r="AV180" s="1029"/>
      <c r="AW180" s="1029"/>
      <c r="AX180" s="1029">
        <v>2E-3</v>
      </c>
      <c r="AY180" s="1029"/>
      <c r="AZ180" s="1029"/>
      <c r="BA180" s="1029"/>
      <c r="BB180" s="1029"/>
      <c r="BC180" s="1029"/>
      <c r="BD180" s="1029"/>
      <c r="BE180" s="1029"/>
      <c r="BF180" s="1029"/>
      <c r="BG180" s="1086"/>
      <c r="BH180" s="1086"/>
      <c r="BI180" s="1120" t="s">
        <v>3013</v>
      </c>
      <c r="BJ180" s="1337"/>
      <c r="BK180" s="1604"/>
      <c r="BL180" s="1120" t="s">
        <v>1917</v>
      </c>
      <c r="BM180" s="1120" t="s">
        <v>3350</v>
      </c>
      <c r="BN180" s="1120" t="s">
        <v>291</v>
      </c>
      <c r="BO180" s="1121"/>
      <c r="BP180" s="1122">
        <v>1</v>
      </c>
      <c r="BQ180" s="1243" t="s">
        <v>3106</v>
      </c>
      <c r="BR180" s="1232" t="s">
        <v>3361</v>
      </c>
      <c r="BS180" s="1124" t="s">
        <v>291</v>
      </c>
      <c r="BT180" s="1211"/>
    </row>
    <row r="181" spans="1:72" s="1212" customFormat="1" ht="80.45" customHeight="1">
      <c r="A181" s="1028">
        <f t="shared" ref="A181" si="56">+A180+1</f>
        <v>63</v>
      </c>
      <c r="B181" s="1336" t="s">
        <v>3362</v>
      </c>
      <c r="C181" s="1087"/>
      <c r="D181" s="1087"/>
      <c r="E181" s="1258" t="s">
        <v>3329</v>
      </c>
      <c r="F181" s="1029">
        <f t="shared" si="43"/>
        <v>5.2999999999999999E-2</v>
      </c>
      <c r="G181" s="1029"/>
      <c r="H181" s="1029">
        <f>SUM(J181:BF181)</f>
        <v>5.2999999999999999E-2</v>
      </c>
      <c r="I181" s="1029">
        <v>2030</v>
      </c>
      <c r="J181" s="1029">
        <v>8.0000000000000002E-3</v>
      </c>
      <c r="K181" s="1029"/>
      <c r="L181" s="1029"/>
      <c r="M181" s="1029">
        <v>8.0000000000000002E-3</v>
      </c>
      <c r="N181" s="1029">
        <v>8.9999999999999993E-3</v>
      </c>
      <c r="O181" s="1029"/>
      <c r="P181" s="1029"/>
      <c r="Q181" s="1029"/>
      <c r="R181" s="1029"/>
      <c r="S181" s="1029">
        <v>0.02</v>
      </c>
      <c r="T181" s="1029"/>
      <c r="U181" s="1029"/>
      <c r="V181" s="1029"/>
      <c r="W181" s="1029"/>
      <c r="X181" s="1029"/>
      <c r="Y181" s="1029"/>
      <c r="Z181" s="1029"/>
      <c r="AA181" s="1029"/>
      <c r="AB181" s="1029"/>
      <c r="AC181" s="1029"/>
      <c r="AD181" s="1029"/>
      <c r="AE181" s="1029">
        <v>5.0000000000000001E-3</v>
      </c>
      <c r="AF181" s="1029"/>
      <c r="AG181" s="1029"/>
      <c r="AH181" s="1029"/>
      <c r="AI181" s="1029"/>
      <c r="AJ181" s="1029"/>
      <c r="AK181" s="1029"/>
      <c r="AL181" s="1029"/>
      <c r="AM181" s="1029"/>
      <c r="AN181" s="1029"/>
      <c r="AO181" s="1029"/>
      <c r="AP181" s="1029"/>
      <c r="AQ181" s="1029"/>
      <c r="AR181" s="1029"/>
      <c r="AS181" s="1029"/>
      <c r="AT181" s="1029"/>
      <c r="AU181" s="1029"/>
      <c r="AV181" s="1029"/>
      <c r="AW181" s="1029"/>
      <c r="AX181" s="1029">
        <v>3.0000000000000001E-3</v>
      </c>
      <c r="AY181" s="1029"/>
      <c r="AZ181" s="1029"/>
      <c r="BA181" s="1029"/>
      <c r="BB181" s="1029"/>
      <c r="BC181" s="1029"/>
      <c r="BD181" s="1029"/>
      <c r="BE181" s="1029"/>
      <c r="BF181" s="1029"/>
      <c r="BG181" s="1086"/>
      <c r="BH181" s="1086"/>
      <c r="BI181" s="1087" t="s">
        <v>3363</v>
      </c>
      <c r="BJ181" s="1337"/>
      <c r="BK181" s="1120" t="s">
        <v>3364</v>
      </c>
      <c r="BL181" s="1120" t="s">
        <v>1917</v>
      </c>
      <c r="BM181" s="1120" t="s">
        <v>3350</v>
      </c>
      <c r="BN181" s="1120" t="s">
        <v>291</v>
      </c>
      <c r="BO181" s="1121"/>
      <c r="BP181" s="1122">
        <v>1</v>
      </c>
      <c r="BQ181" s="1243" t="s">
        <v>3106</v>
      </c>
      <c r="BR181" s="1232" t="s">
        <v>3365</v>
      </c>
      <c r="BS181" s="1124" t="s">
        <v>291</v>
      </c>
      <c r="BT181" s="1211"/>
    </row>
    <row r="182" spans="1:72" s="1344" customFormat="1" ht="15" hidden="1" customHeight="1">
      <c r="A182" s="1040"/>
      <c r="B182" s="1338"/>
      <c r="C182" s="1088" t="s">
        <v>3197</v>
      </c>
      <c r="D182" s="1234" t="s">
        <v>3087</v>
      </c>
      <c r="E182" s="1262" t="s">
        <v>46</v>
      </c>
      <c r="F182" s="1041">
        <f t="shared" si="43"/>
        <v>0.02</v>
      </c>
      <c r="G182" s="1041"/>
      <c r="H182" s="1041">
        <f t="shared" ref="H182:H183" si="57">SUM(J182:BF182)</f>
        <v>0.02</v>
      </c>
      <c r="I182" s="1029">
        <v>2030</v>
      </c>
      <c r="J182" s="1041">
        <v>0.01</v>
      </c>
      <c r="K182" s="1041"/>
      <c r="L182" s="1041"/>
      <c r="M182" s="1041"/>
      <c r="N182" s="1041">
        <v>0.01</v>
      </c>
      <c r="O182" s="1041"/>
      <c r="P182" s="1041"/>
      <c r="Q182" s="1041"/>
      <c r="R182" s="1041"/>
      <c r="S182" s="1041"/>
      <c r="T182" s="1041"/>
      <c r="U182" s="1041"/>
      <c r="V182" s="1041"/>
      <c r="W182" s="1041"/>
      <c r="X182" s="1041"/>
      <c r="Y182" s="1041"/>
      <c r="Z182" s="1041"/>
      <c r="AA182" s="1041"/>
      <c r="AB182" s="1041"/>
      <c r="AC182" s="1041"/>
      <c r="AD182" s="1041"/>
      <c r="AE182" s="1041"/>
      <c r="AF182" s="1041"/>
      <c r="AG182" s="1041"/>
      <c r="AH182" s="1041"/>
      <c r="AI182" s="1041"/>
      <c r="AJ182" s="1041"/>
      <c r="AK182" s="1041"/>
      <c r="AL182" s="1041"/>
      <c r="AM182" s="1041"/>
      <c r="AN182" s="1041"/>
      <c r="AO182" s="1041"/>
      <c r="AP182" s="1041"/>
      <c r="AQ182" s="1041"/>
      <c r="AR182" s="1041"/>
      <c r="AS182" s="1041"/>
      <c r="AT182" s="1041"/>
      <c r="AU182" s="1041"/>
      <c r="AV182" s="1041"/>
      <c r="AW182" s="1041"/>
      <c r="AX182" s="1041"/>
      <c r="AY182" s="1041"/>
      <c r="AZ182" s="1041"/>
      <c r="BA182" s="1041"/>
      <c r="BB182" s="1041"/>
      <c r="BC182" s="1041"/>
      <c r="BD182" s="1041"/>
      <c r="BE182" s="1041"/>
      <c r="BF182" s="1041"/>
      <c r="BG182" s="1085"/>
      <c r="BH182" s="1085"/>
      <c r="BI182" s="1088"/>
      <c r="BJ182" s="1339"/>
      <c r="BK182" s="1234"/>
      <c r="BL182" s="1234"/>
      <c r="BM182" s="1234"/>
      <c r="BN182" s="1234"/>
      <c r="BO182" s="1238"/>
      <c r="BP182" s="1342"/>
      <c r="BQ182" s="1244"/>
      <c r="BR182" s="1240"/>
      <c r="BS182" s="1241"/>
      <c r="BT182" s="1343"/>
    </row>
    <row r="183" spans="1:72" s="1344" customFormat="1" ht="15" hidden="1" customHeight="1">
      <c r="A183" s="1040"/>
      <c r="B183" s="1338"/>
      <c r="C183" s="1088" t="s">
        <v>3345</v>
      </c>
      <c r="D183" s="1234" t="s">
        <v>3087</v>
      </c>
      <c r="E183" s="1262" t="s">
        <v>46</v>
      </c>
      <c r="F183" s="1041">
        <f t="shared" si="43"/>
        <v>0.03</v>
      </c>
      <c r="G183" s="1041"/>
      <c r="H183" s="1041">
        <f t="shared" si="57"/>
        <v>0.03</v>
      </c>
      <c r="I183" s="1029">
        <v>2030</v>
      </c>
      <c r="J183" s="1041"/>
      <c r="K183" s="1041"/>
      <c r="L183" s="1041"/>
      <c r="M183" s="1041">
        <v>0.01</v>
      </c>
      <c r="N183" s="1041"/>
      <c r="O183" s="1041"/>
      <c r="P183" s="1041"/>
      <c r="Q183" s="1041"/>
      <c r="R183" s="1041"/>
      <c r="S183" s="1041">
        <v>0.01</v>
      </c>
      <c r="T183" s="1041"/>
      <c r="U183" s="1041"/>
      <c r="V183" s="1041"/>
      <c r="W183" s="1041"/>
      <c r="X183" s="1041"/>
      <c r="Y183" s="1041"/>
      <c r="Z183" s="1041"/>
      <c r="AA183" s="1041"/>
      <c r="AB183" s="1041"/>
      <c r="AC183" s="1041"/>
      <c r="AD183" s="1041"/>
      <c r="AE183" s="1041">
        <v>0.01</v>
      </c>
      <c r="AF183" s="1041"/>
      <c r="AG183" s="1041"/>
      <c r="AH183" s="1041"/>
      <c r="AI183" s="1041"/>
      <c r="AJ183" s="1041"/>
      <c r="AK183" s="1041"/>
      <c r="AL183" s="1041"/>
      <c r="AM183" s="1041"/>
      <c r="AN183" s="1041"/>
      <c r="AO183" s="1041"/>
      <c r="AP183" s="1041"/>
      <c r="AQ183" s="1041"/>
      <c r="AR183" s="1041"/>
      <c r="AS183" s="1041"/>
      <c r="AT183" s="1041"/>
      <c r="AU183" s="1041"/>
      <c r="AV183" s="1041"/>
      <c r="AW183" s="1041"/>
      <c r="AX183" s="1041"/>
      <c r="AY183" s="1041"/>
      <c r="AZ183" s="1041"/>
      <c r="BA183" s="1041"/>
      <c r="BB183" s="1041"/>
      <c r="BC183" s="1041"/>
      <c r="BD183" s="1041"/>
      <c r="BE183" s="1041"/>
      <c r="BF183" s="1041"/>
      <c r="BG183" s="1085"/>
      <c r="BH183" s="1085"/>
      <c r="BI183" s="1088"/>
      <c r="BJ183" s="1339"/>
      <c r="BK183" s="1234"/>
      <c r="BL183" s="1234"/>
      <c r="BM183" s="1234"/>
      <c r="BN183" s="1234"/>
      <c r="BO183" s="1238"/>
      <c r="BP183" s="1342"/>
      <c r="BQ183" s="1244"/>
      <c r="BR183" s="1240"/>
      <c r="BS183" s="1241"/>
      <c r="BT183" s="1343"/>
    </row>
    <row r="184" spans="1:72" s="1212" customFormat="1" ht="85.5" customHeight="1">
      <c r="A184" s="1028">
        <f>+A181+1</f>
        <v>64</v>
      </c>
      <c r="B184" s="1130" t="s">
        <v>3366</v>
      </c>
      <c r="C184" s="1337"/>
      <c r="D184" s="1337"/>
      <c r="E184" s="1258" t="s">
        <v>3329</v>
      </c>
      <c r="F184" s="1029">
        <f t="shared" si="43"/>
        <v>5.000000000000001E-2</v>
      </c>
      <c r="G184" s="1029"/>
      <c r="H184" s="1029">
        <f t="shared" si="54"/>
        <v>5.000000000000001E-2</v>
      </c>
      <c r="I184" s="1029">
        <v>2030</v>
      </c>
      <c r="J184" s="1029">
        <v>0.01</v>
      </c>
      <c r="K184" s="1029"/>
      <c r="L184" s="1029"/>
      <c r="M184" s="1029">
        <v>0.01</v>
      </c>
      <c r="N184" s="1029">
        <v>0.01</v>
      </c>
      <c r="O184" s="1029"/>
      <c r="P184" s="1029"/>
      <c r="Q184" s="1029"/>
      <c r="R184" s="1029"/>
      <c r="S184" s="1029">
        <v>0.01</v>
      </c>
      <c r="T184" s="1029"/>
      <c r="U184" s="1029"/>
      <c r="V184" s="1029"/>
      <c r="W184" s="1029"/>
      <c r="X184" s="1029"/>
      <c r="Y184" s="1029"/>
      <c r="Z184" s="1029"/>
      <c r="AA184" s="1029"/>
      <c r="AB184" s="1029"/>
      <c r="AC184" s="1029"/>
      <c r="AD184" s="1029"/>
      <c r="AE184" s="1029">
        <v>3.0000000000000001E-3</v>
      </c>
      <c r="AF184" s="1029"/>
      <c r="AG184" s="1029"/>
      <c r="AH184" s="1029"/>
      <c r="AI184" s="1029"/>
      <c r="AJ184" s="1029"/>
      <c r="AK184" s="1029"/>
      <c r="AL184" s="1029"/>
      <c r="AM184" s="1029"/>
      <c r="AN184" s="1029"/>
      <c r="AO184" s="1029"/>
      <c r="AP184" s="1029"/>
      <c r="AQ184" s="1029"/>
      <c r="AR184" s="1029"/>
      <c r="AS184" s="1029"/>
      <c r="AT184" s="1029"/>
      <c r="AU184" s="1029"/>
      <c r="AV184" s="1029"/>
      <c r="AW184" s="1029"/>
      <c r="AX184" s="1029">
        <v>2E-3</v>
      </c>
      <c r="AY184" s="1029">
        <v>2E-3</v>
      </c>
      <c r="AZ184" s="1029"/>
      <c r="BA184" s="1029"/>
      <c r="BB184" s="1029"/>
      <c r="BC184" s="1029"/>
      <c r="BD184" s="1029"/>
      <c r="BE184" s="1029"/>
      <c r="BF184" s="1029">
        <v>3.0000000000000001E-3</v>
      </c>
      <c r="BG184" s="1086"/>
      <c r="BH184" s="1086"/>
      <c r="BI184" s="1337" t="s">
        <v>3367</v>
      </c>
      <c r="BJ184" s="1337"/>
      <c r="BK184" s="1120" t="s">
        <v>3368</v>
      </c>
      <c r="BL184" s="1120" t="s">
        <v>1917</v>
      </c>
      <c r="BM184" s="1120" t="s">
        <v>3350</v>
      </c>
      <c r="BN184" s="1120" t="s">
        <v>291</v>
      </c>
      <c r="BO184" s="1121"/>
      <c r="BP184" s="1122">
        <v>1</v>
      </c>
      <c r="BQ184" s="1243" t="s">
        <v>3106</v>
      </c>
      <c r="BR184" s="1232" t="s">
        <v>3369</v>
      </c>
      <c r="BS184" s="1124" t="s">
        <v>291</v>
      </c>
      <c r="BT184" s="1211"/>
    </row>
    <row r="185" spans="1:72" s="1344" customFormat="1" ht="25.5" hidden="1">
      <c r="A185" s="1040"/>
      <c r="B185" s="1261"/>
      <c r="C185" s="1339" t="s">
        <v>3020</v>
      </c>
      <c r="D185" s="1234" t="s">
        <v>3087</v>
      </c>
      <c r="E185" s="1262" t="s">
        <v>46</v>
      </c>
      <c r="F185" s="1041">
        <f t="shared" si="43"/>
        <v>0.01</v>
      </c>
      <c r="G185" s="1041"/>
      <c r="H185" s="1041">
        <f t="shared" si="54"/>
        <v>0.01</v>
      </c>
      <c r="I185" s="1029">
        <v>2030</v>
      </c>
      <c r="J185" s="1041">
        <v>0.01</v>
      </c>
      <c r="K185" s="1041"/>
      <c r="L185" s="1041"/>
      <c r="M185" s="1041"/>
      <c r="N185" s="1041"/>
      <c r="O185" s="1041"/>
      <c r="P185" s="1041"/>
      <c r="Q185" s="1041"/>
      <c r="R185" s="1041"/>
      <c r="S185" s="1041"/>
      <c r="T185" s="1041"/>
      <c r="U185" s="1041"/>
      <c r="V185" s="1041"/>
      <c r="W185" s="1041"/>
      <c r="X185" s="1041"/>
      <c r="Y185" s="1041"/>
      <c r="Z185" s="1041"/>
      <c r="AA185" s="1041"/>
      <c r="AB185" s="1041"/>
      <c r="AC185" s="1041"/>
      <c r="AD185" s="1041"/>
      <c r="AE185" s="1041"/>
      <c r="AF185" s="1041"/>
      <c r="AG185" s="1041"/>
      <c r="AH185" s="1041"/>
      <c r="AI185" s="1041"/>
      <c r="AJ185" s="1041"/>
      <c r="AK185" s="1041"/>
      <c r="AL185" s="1041"/>
      <c r="AM185" s="1041"/>
      <c r="AN185" s="1041"/>
      <c r="AO185" s="1041"/>
      <c r="AP185" s="1041"/>
      <c r="AQ185" s="1041"/>
      <c r="AR185" s="1041"/>
      <c r="AS185" s="1041"/>
      <c r="AT185" s="1041"/>
      <c r="AU185" s="1041"/>
      <c r="AV185" s="1041"/>
      <c r="AW185" s="1041"/>
      <c r="AX185" s="1041"/>
      <c r="AY185" s="1041"/>
      <c r="AZ185" s="1041"/>
      <c r="BA185" s="1041"/>
      <c r="BB185" s="1041"/>
      <c r="BC185" s="1041"/>
      <c r="BD185" s="1041"/>
      <c r="BE185" s="1041"/>
      <c r="BF185" s="1041"/>
      <c r="BG185" s="1085"/>
      <c r="BH185" s="1085"/>
      <c r="BI185" s="1339"/>
      <c r="BJ185" s="1339"/>
      <c r="BK185" s="1234"/>
      <c r="BL185" s="1234"/>
      <c r="BM185" s="1234"/>
      <c r="BN185" s="1234"/>
      <c r="BO185" s="1238"/>
      <c r="BP185" s="1342"/>
      <c r="BQ185" s="1345"/>
      <c r="BR185" s="1234"/>
      <c r="BS185" s="1241"/>
      <c r="BT185" s="1343"/>
    </row>
    <row r="186" spans="1:72" s="1344" customFormat="1" ht="25.5" hidden="1">
      <c r="A186" s="1040"/>
      <c r="B186" s="1261"/>
      <c r="C186" s="1339" t="s">
        <v>3026</v>
      </c>
      <c r="D186" s="1234" t="s">
        <v>3087</v>
      </c>
      <c r="E186" s="1262" t="s">
        <v>46</v>
      </c>
      <c r="F186" s="1041">
        <f t="shared" si="43"/>
        <v>0.01</v>
      </c>
      <c r="G186" s="1041"/>
      <c r="H186" s="1041">
        <f t="shared" si="54"/>
        <v>0.01</v>
      </c>
      <c r="I186" s="1029">
        <v>2030</v>
      </c>
      <c r="J186" s="1041"/>
      <c r="K186" s="1041"/>
      <c r="L186" s="1041"/>
      <c r="M186" s="1041">
        <v>0.01</v>
      </c>
      <c r="N186" s="1041"/>
      <c r="O186" s="1041"/>
      <c r="P186" s="1041"/>
      <c r="Q186" s="1041"/>
      <c r="R186" s="1041"/>
      <c r="S186" s="1041"/>
      <c r="T186" s="1041"/>
      <c r="U186" s="1041"/>
      <c r="V186" s="1041"/>
      <c r="W186" s="1041"/>
      <c r="X186" s="1041"/>
      <c r="Y186" s="1041"/>
      <c r="Z186" s="1041"/>
      <c r="AA186" s="1041"/>
      <c r="AB186" s="1041"/>
      <c r="AC186" s="1041"/>
      <c r="AD186" s="1041"/>
      <c r="AE186" s="1041"/>
      <c r="AF186" s="1041"/>
      <c r="AG186" s="1041"/>
      <c r="AH186" s="1041"/>
      <c r="AI186" s="1041"/>
      <c r="AJ186" s="1041"/>
      <c r="AK186" s="1041"/>
      <c r="AL186" s="1041"/>
      <c r="AM186" s="1041"/>
      <c r="AN186" s="1041"/>
      <c r="AO186" s="1041"/>
      <c r="AP186" s="1041"/>
      <c r="AQ186" s="1041"/>
      <c r="AR186" s="1041"/>
      <c r="AS186" s="1041"/>
      <c r="AT186" s="1041"/>
      <c r="AU186" s="1041"/>
      <c r="AV186" s="1041"/>
      <c r="AW186" s="1041"/>
      <c r="AX186" s="1041"/>
      <c r="AY186" s="1041"/>
      <c r="AZ186" s="1041"/>
      <c r="BA186" s="1041"/>
      <c r="BB186" s="1041"/>
      <c r="BC186" s="1041"/>
      <c r="BD186" s="1041"/>
      <c r="BE186" s="1041"/>
      <c r="BF186" s="1041"/>
      <c r="BG186" s="1085"/>
      <c r="BH186" s="1085"/>
      <c r="BI186" s="1339"/>
      <c r="BJ186" s="1339"/>
      <c r="BK186" s="1234"/>
      <c r="BL186" s="1234"/>
      <c r="BM186" s="1234"/>
      <c r="BN186" s="1234"/>
      <c r="BO186" s="1238"/>
      <c r="BP186" s="1342"/>
      <c r="BQ186" s="1345"/>
      <c r="BR186" s="1234"/>
      <c r="BS186" s="1241"/>
      <c r="BT186" s="1343"/>
    </row>
    <row r="187" spans="1:72" s="1344" customFormat="1" ht="25.5" hidden="1">
      <c r="A187" s="1040"/>
      <c r="B187" s="1261"/>
      <c r="C187" s="1339" t="s">
        <v>3016</v>
      </c>
      <c r="D187" s="1234" t="s">
        <v>3087</v>
      </c>
      <c r="E187" s="1262" t="s">
        <v>46</v>
      </c>
      <c r="F187" s="1041">
        <f t="shared" si="43"/>
        <v>0.01</v>
      </c>
      <c r="G187" s="1041"/>
      <c r="H187" s="1041">
        <f t="shared" si="54"/>
        <v>0.01</v>
      </c>
      <c r="I187" s="1029">
        <v>2030</v>
      </c>
      <c r="J187" s="1041"/>
      <c r="K187" s="1041"/>
      <c r="L187" s="1041"/>
      <c r="M187" s="1041"/>
      <c r="N187" s="1041">
        <v>0.01</v>
      </c>
      <c r="O187" s="1041"/>
      <c r="P187" s="1041"/>
      <c r="Q187" s="1041"/>
      <c r="R187" s="1041"/>
      <c r="S187" s="1041"/>
      <c r="T187" s="1041"/>
      <c r="U187" s="1041"/>
      <c r="V187" s="1041"/>
      <c r="W187" s="1041"/>
      <c r="X187" s="1041"/>
      <c r="Y187" s="1041"/>
      <c r="Z187" s="1041"/>
      <c r="AA187" s="1041"/>
      <c r="AB187" s="1041"/>
      <c r="AC187" s="1041"/>
      <c r="AD187" s="1041"/>
      <c r="AE187" s="1041"/>
      <c r="AF187" s="1041"/>
      <c r="AG187" s="1041"/>
      <c r="AH187" s="1041"/>
      <c r="AI187" s="1041"/>
      <c r="AJ187" s="1041"/>
      <c r="AK187" s="1041"/>
      <c r="AL187" s="1041"/>
      <c r="AM187" s="1041"/>
      <c r="AN187" s="1041"/>
      <c r="AO187" s="1041"/>
      <c r="AP187" s="1041"/>
      <c r="AQ187" s="1041"/>
      <c r="AR187" s="1041"/>
      <c r="AS187" s="1041"/>
      <c r="AT187" s="1041"/>
      <c r="AU187" s="1041"/>
      <c r="AV187" s="1041"/>
      <c r="AW187" s="1041"/>
      <c r="AX187" s="1041"/>
      <c r="AY187" s="1041"/>
      <c r="AZ187" s="1041"/>
      <c r="BA187" s="1041"/>
      <c r="BB187" s="1041"/>
      <c r="BC187" s="1041"/>
      <c r="BD187" s="1041"/>
      <c r="BE187" s="1041"/>
      <c r="BF187" s="1041"/>
      <c r="BG187" s="1085"/>
      <c r="BH187" s="1085"/>
      <c r="BI187" s="1339"/>
      <c r="BJ187" s="1339"/>
      <c r="BK187" s="1234"/>
      <c r="BL187" s="1234"/>
      <c r="BM187" s="1234"/>
      <c r="BN187" s="1234"/>
      <c r="BO187" s="1238"/>
      <c r="BP187" s="1342"/>
      <c r="BQ187" s="1345"/>
      <c r="BR187" s="1234"/>
      <c r="BS187" s="1241"/>
      <c r="BT187" s="1343"/>
    </row>
    <row r="188" spans="1:72" s="1344" customFormat="1" ht="25.5" hidden="1">
      <c r="A188" s="1040"/>
      <c r="B188" s="1261"/>
      <c r="C188" s="1339" t="s">
        <v>3011</v>
      </c>
      <c r="D188" s="1234" t="s">
        <v>3087</v>
      </c>
      <c r="E188" s="1262" t="s">
        <v>46</v>
      </c>
      <c r="F188" s="1041">
        <f t="shared" si="43"/>
        <v>0.01</v>
      </c>
      <c r="G188" s="1041"/>
      <c r="H188" s="1041">
        <f t="shared" si="54"/>
        <v>0.01</v>
      </c>
      <c r="I188" s="1029">
        <v>2030</v>
      </c>
      <c r="J188" s="1041"/>
      <c r="K188" s="1041"/>
      <c r="L188" s="1041"/>
      <c r="M188" s="1041"/>
      <c r="N188" s="1041"/>
      <c r="O188" s="1041"/>
      <c r="P188" s="1041"/>
      <c r="Q188" s="1041"/>
      <c r="R188" s="1041"/>
      <c r="S188" s="1041">
        <v>0.01</v>
      </c>
      <c r="T188" s="1041"/>
      <c r="U188" s="1041"/>
      <c r="V188" s="1041"/>
      <c r="W188" s="1041"/>
      <c r="X188" s="1041"/>
      <c r="Y188" s="1041"/>
      <c r="Z188" s="1041"/>
      <c r="AA188" s="1041"/>
      <c r="AB188" s="1041"/>
      <c r="AC188" s="1041"/>
      <c r="AD188" s="1041"/>
      <c r="AE188" s="1041"/>
      <c r="AF188" s="1041"/>
      <c r="AG188" s="1041"/>
      <c r="AH188" s="1041"/>
      <c r="AI188" s="1041"/>
      <c r="AJ188" s="1041"/>
      <c r="AK188" s="1041"/>
      <c r="AL188" s="1041"/>
      <c r="AM188" s="1041"/>
      <c r="AN188" s="1041"/>
      <c r="AO188" s="1041"/>
      <c r="AP188" s="1041"/>
      <c r="AQ188" s="1041"/>
      <c r="AR188" s="1041"/>
      <c r="AS188" s="1041"/>
      <c r="AT188" s="1041"/>
      <c r="AU188" s="1041"/>
      <c r="AV188" s="1041"/>
      <c r="AW188" s="1041"/>
      <c r="AX188" s="1041"/>
      <c r="AY188" s="1041"/>
      <c r="AZ188" s="1041"/>
      <c r="BA188" s="1041"/>
      <c r="BB188" s="1041"/>
      <c r="BC188" s="1041"/>
      <c r="BD188" s="1041"/>
      <c r="BE188" s="1041"/>
      <c r="BF188" s="1041"/>
      <c r="BG188" s="1085"/>
      <c r="BH188" s="1085"/>
      <c r="BI188" s="1339"/>
      <c r="BJ188" s="1339"/>
      <c r="BK188" s="1234"/>
      <c r="BL188" s="1234"/>
      <c r="BM188" s="1234"/>
      <c r="BN188" s="1234"/>
      <c r="BO188" s="1238"/>
      <c r="BP188" s="1342"/>
      <c r="BQ188" s="1345"/>
      <c r="BR188" s="1234"/>
      <c r="BS188" s="1241"/>
      <c r="BT188" s="1343"/>
    </row>
    <row r="189" spans="1:72" s="1344" customFormat="1" ht="31.5" hidden="1" customHeight="1">
      <c r="A189" s="1040"/>
      <c r="B189" s="1261"/>
      <c r="C189" s="1339" t="s">
        <v>3019</v>
      </c>
      <c r="D189" s="1234" t="s">
        <v>3087</v>
      </c>
      <c r="E189" s="1262" t="s">
        <v>46</v>
      </c>
      <c r="F189" s="1041">
        <f t="shared" si="43"/>
        <v>0.01</v>
      </c>
      <c r="G189" s="1041"/>
      <c r="H189" s="1041">
        <f t="shared" si="54"/>
        <v>0.01</v>
      </c>
      <c r="I189" s="1029">
        <v>2030</v>
      </c>
      <c r="J189" s="1041"/>
      <c r="K189" s="1041"/>
      <c r="L189" s="1041"/>
      <c r="M189" s="1041"/>
      <c r="N189" s="1041"/>
      <c r="O189" s="1041"/>
      <c r="P189" s="1041"/>
      <c r="Q189" s="1041"/>
      <c r="R189" s="1041"/>
      <c r="S189" s="1041"/>
      <c r="T189" s="1041"/>
      <c r="U189" s="1041"/>
      <c r="V189" s="1041"/>
      <c r="W189" s="1041"/>
      <c r="X189" s="1041"/>
      <c r="Y189" s="1041"/>
      <c r="Z189" s="1041"/>
      <c r="AA189" s="1041"/>
      <c r="AB189" s="1041"/>
      <c r="AC189" s="1041"/>
      <c r="AD189" s="1041"/>
      <c r="AE189" s="1041">
        <v>0.01</v>
      </c>
      <c r="AF189" s="1041"/>
      <c r="AG189" s="1041"/>
      <c r="AH189" s="1041"/>
      <c r="AI189" s="1041"/>
      <c r="AJ189" s="1041"/>
      <c r="AK189" s="1041"/>
      <c r="AL189" s="1041"/>
      <c r="AM189" s="1041"/>
      <c r="AN189" s="1041"/>
      <c r="AO189" s="1041"/>
      <c r="AP189" s="1041"/>
      <c r="AQ189" s="1041"/>
      <c r="AR189" s="1041"/>
      <c r="AS189" s="1041"/>
      <c r="AT189" s="1041"/>
      <c r="AU189" s="1041"/>
      <c r="AV189" s="1041"/>
      <c r="AW189" s="1041"/>
      <c r="AX189" s="1041"/>
      <c r="AY189" s="1041"/>
      <c r="AZ189" s="1041"/>
      <c r="BA189" s="1041"/>
      <c r="BB189" s="1041"/>
      <c r="BC189" s="1041"/>
      <c r="BD189" s="1041"/>
      <c r="BE189" s="1041"/>
      <c r="BF189" s="1041"/>
      <c r="BG189" s="1085"/>
      <c r="BH189" s="1085"/>
      <c r="BI189" s="1339"/>
      <c r="BJ189" s="1339"/>
      <c r="BK189" s="1234"/>
      <c r="BL189" s="1234"/>
      <c r="BM189" s="1234"/>
      <c r="BN189" s="1234"/>
      <c r="BO189" s="1238"/>
      <c r="BP189" s="1342"/>
      <c r="BQ189" s="1345"/>
      <c r="BR189" s="1234"/>
      <c r="BS189" s="1241"/>
      <c r="BT189" s="1343"/>
    </row>
    <row r="190" spans="1:72" s="1212" customFormat="1" ht="78" customHeight="1">
      <c r="A190" s="1028">
        <f>+A184+1</f>
        <v>65</v>
      </c>
      <c r="B190" s="1346" t="s">
        <v>3370</v>
      </c>
      <c r="C190" s="1337"/>
      <c r="D190" s="1337"/>
      <c r="E190" s="1258" t="s">
        <v>3329</v>
      </c>
      <c r="F190" s="1029">
        <f t="shared" si="43"/>
        <v>5.2000000000000005E-2</v>
      </c>
      <c r="G190" s="1029"/>
      <c r="H190" s="1029">
        <f t="shared" si="54"/>
        <v>5.2000000000000005E-2</v>
      </c>
      <c r="I190" s="1029">
        <v>2030</v>
      </c>
      <c r="J190" s="1029">
        <v>5.0000000000000001E-3</v>
      </c>
      <c r="K190" s="1029"/>
      <c r="L190" s="1029"/>
      <c r="M190" s="1029">
        <v>3.0000000000000001E-3</v>
      </c>
      <c r="N190" s="1029">
        <v>4.0000000000000001E-3</v>
      </c>
      <c r="O190" s="1029"/>
      <c r="P190" s="1029"/>
      <c r="Q190" s="1029"/>
      <c r="R190" s="1029"/>
      <c r="S190" s="1029">
        <v>0.02</v>
      </c>
      <c r="T190" s="1029"/>
      <c r="U190" s="1029"/>
      <c r="V190" s="1029"/>
      <c r="W190" s="1029"/>
      <c r="X190" s="1029"/>
      <c r="Y190" s="1029"/>
      <c r="Z190" s="1029"/>
      <c r="AA190" s="1029"/>
      <c r="AB190" s="1029"/>
      <c r="AC190" s="1029"/>
      <c r="AD190" s="1029"/>
      <c r="AE190" s="1029">
        <v>2E-3</v>
      </c>
      <c r="AF190" s="1029"/>
      <c r="AG190" s="1029"/>
      <c r="AH190" s="1029"/>
      <c r="AI190" s="1029"/>
      <c r="AJ190" s="1029"/>
      <c r="AK190" s="1029"/>
      <c r="AL190" s="1029"/>
      <c r="AM190" s="1029"/>
      <c r="AN190" s="1029"/>
      <c r="AO190" s="1029"/>
      <c r="AP190" s="1029"/>
      <c r="AQ190" s="1029"/>
      <c r="AR190" s="1029"/>
      <c r="AS190" s="1029"/>
      <c r="AT190" s="1029"/>
      <c r="AU190" s="1029"/>
      <c r="AV190" s="1029"/>
      <c r="AW190" s="1029"/>
      <c r="AX190" s="1029">
        <v>8.0000000000000002E-3</v>
      </c>
      <c r="AY190" s="1029">
        <v>0.01</v>
      </c>
      <c r="AZ190" s="1029"/>
      <c r="BA190" s="1029"/>
      <c r="BB190" s="1029"/>
      <c r="BC190" s="1029"/>
      <c r="BD190" s="1029"/>
      <c r="BE190" s="1029"/>
      <c r="BF190" s="1029"/>
      <c r="BG190" s="1086"/>
      <c r="BH190" s="1086"/>
      <c r="BI190" s="1337" t="s">
        <v>3371</v>
      </c>
      <c r="BJ190" s="1337"/>
      <c r="BK190" s="1120" t="s">
        <v>3372</v>
      </c>
      <c r="BL190" s="1120" t="s">
        <v>1917</v>
      </c>
      <c r="BM190" s="1120" t="s">
        <v>3350</v>
      </c>
      <c r="BN190" s="1120" t="s">
        <v>291</v>
      </c>
      <c r="BO190" s="1121"/>
      <c r="BP190" s="1122">
        <v>1</v>
      </c>
      <c r="BQ190" s="1243" t="s">
        <v>3106</v>
      </c>
      <c r="BR190" s="1232" t="s">
        <v>3373</v>
      </c>
      <c r="BS190" s="1124" t="s">
        <v>291</v>
      </c>
      <c r="BT190" s="1211"/>
    </row>
    <row r="191" spans="1:72" s="1344" customFormat="1" ht="19.5" hidden="1" customHeight="1">
      <c r="A191" s="1040"/>
      <c r="B191" s="1347"/>
      <c r="C191" s="1339" t="s">
        <v>3013</v>
      </c>
      <c r="D191" s="1120" t="s">
        <v>3087</v>
      </c>
      <c r="E191" s="1262" t="s">
        <v>46</v>
      </c>
      <c r="F191" s="1041">
        <f t="shared" si="43"/>
        <v>0.01</v>
      </c>
      <c r="G191" s="1041"/>
      <c r="H191" s="1041">
        <f t="shared" si="54"/>
        <v>0.01</v>
      </c>
      <c r="I191" s="1029">
        <v>2030</v>
      </c>
      <c r="J191" s="1041">
        <v>0.01</v>
      </c>
      <c r="K191" s="1041"/>
      <c r="L191" s="1041"/>
      <c r="M191" s="1041"/>
      <c r="N191" s="1041"/>
      <c r="O191" s="1041"/>
      <c r="P191" s="1041"/>
      <c r="Q191" s="1041"/>
      <c r="R191" s="1041"/>
      <c r="S191" s="1041"/>
      <c r="T191" s="1041"/>
      <c r="U191" s="1041"/>
      <c r="V191" s="1041"/>
      <c r="W191" s="1041"/>
      <c r="X191" s="1041"/>
      <c r="Y191" s="1041"/>
      <c r="Z191" s="1041"/>
      <c r="AA191" s="1041"/>
      <c r="AB191" s="1041"/>
      <c r="AC191" s="1041"/>
      <c r="AD191" s="1041"/>
      <c r="AE191" s="1041"/>
      <c r="AF191" s="1041"/>
      <c r="AG191" s="1041"/>
      <c r="AH191" s="1041"/>
      <c r="AI191" s="1041"/>
      <c r="AJ191" s="1041"/>
      <c r="AK191" s="1041"/>
      <c r="AL191" s="1041"/>
      <c r="AM191" s="1041"/>
      <c r="AN191" s="1041"/>
      <c r="AO191" s="1041"/>
      <c r="AP191" s="1041"/>
      <c r="AQ191" s="1041"/>
      <c r="AR191" s="1041"/>
      <c r="AS191" s="1041"/>
      <c r="AT191" s="1041"/>
      <c r="AU191" s="1041"/>
      <c r="AV191" s="1041"/>
      <c r="AW191" s="1041"/>
      <c r="AX191" s="1041"/>
      <c r="AY191" s="1041"/>
      <c r="AZ191" s="1041"/>
      <c r="BA191" s="1041"/>
      <c r="BB191" s="1041"/>
      <c r="BC191" s="1041"/>
      <c r="BD191" s="1041"/>
      <c r="BE191" s="1041"/>
      <c r="BF191" s="1041"/>
      <c r="BG191" s="1085"/>
      <c r="BH191" s="1085"/>
      <c r="BI191" s="1339"/>
      <c r="BJ191" s="1339"/>
      <c r="BK191" s="1234"/>
      <c r="BL191" s="1234"/>
      <c r="BM191" s="1234"/>
      <c r="BN191" s="1234"/>
      <c r="BO191" s="1238"/>
      <c r="BP191" s="1342"/>
      <c r="BQ191" s="1244"/>
      <c r="BR191" s="1240"/>
      <c r="BS191" s="1241"/>
      <c r="BT191" s="1343"/>
    </row>
    <row r="192" spans="1:72" s="1344" customFormat="1" ht="19.5" hidden="1" customHeight="1">
      <c r="A192" s="1040"/>
      <c r="B192" s="1347"/>
      <c r="C192" s="1339" t="s">
        <v>3016</v>
      </c>
      <c r="D192" s="1120" t="s">
        <v>3087</v>
      </c>
      <c r="E192" s="1262" t="s">
        <v>46</v>
      </c>
      <c r="F192" s="1041">
        <f t="shared" si="43"/>
        <v>0.03</v>
      </c>
      <c r="G192" s="1041"/>
      <c r="H192" s="1041">
        <f t="shared" si="54"/>
        <v>0.03</v>
      </c>
      <c r="I192" s="1029">
        <v>2030</v>
      </c>
      <c r="J192" s="1041"/>
      <c r="K192" s="1041"/>
      <c r="L192" s="1041"/>
      <c r="M192" s="1041"/>
      <c r="N192" s="1041">
        <v>0.01</v>
      </c>
      <c r="O192" s="1041"/>
      <c r="P192" s="1041"/>
      <c r="Q192" s="1041"/>
      <c r="R192" s="1041"/>
      <c r="S192" s="1041">
        <v>0.01</v>
      </c>
      <c r="T192" s="1041"/>
      <c r="U192" s="1041"/>
      <c r="V192" s="1041"/>
      <c r="W192" s="1041"/>
      <c r="X192" s="1041"/>
      <c r="Y192" s="1041"/>
      <c r="Z192" s="1041"/>
      <c r="AA192" s="1041"/>
      <c r="AB192" s="1041"/>
      <c r="AC192" s="1041"/>
      <c r="AD192" s="1041"/>
      <c r="AE192" s="1041"/>
      <c r="AF192" s="1041"/>
      <c r="AG192" s="1041"/>
      <c r="AH192" s="1041"/>
      <c r="AI192" s="1041"/>
      <c r="AJ192" s="1041"/>
      <c r="AK192" s="1041"/>
      <c r="AL192" s="1041"/>
      <c r="AM192" s="1041"/>
      <c r="AN192" s="1041"/>
      <c r="AO192" s="1041"/>
      <c r="AP192" s="1041"/>
      <c r="AQ192" s="1041"/>
      <c r="AR192" s="1041"/>
      <c r="AS192" s="1041"/>
      <c r="AT192" s="1041"/>
      <c r="AU192" s="1041"/>
      <c r="AV192" s="1041"/>
      <c r="AW192" s="1041"/>
      <c r="AX192" s="1041">
        <v>0.01</v>
      </c>
      <c r="AY192" s="1041"/>
      <c r="AZ192" s="1041"/>
      <c r="BA192" s="1041"/>
      <c r="BB192" s="1041"/>
      <c r="BC192" s="1041"/>
      <c r="BD192" s="1041"/>
      <c r="BE192" s="1041"/>
      <c r="BF192" s="1041"/>
      <c r="BG192" s="1085"/>
      <c r="BH192" s="1085"/>
      <c r="BI192" s="1339"/>
      <c r="BJ192" s="1339"/>
      <c r="BK192" s="1234"/>
      <c r="BL192" s="1234"/>
      <c r="BM192" s="1234"/>
      <c r="BN192" s="1234"/>
      <c r="BO192" s="1238"/>
      <c r="BP192" s="1342"/>
      <c r="BQ192" s="1244"/>
      <c r="BR192" s="1240"/>
      <c r="BS192" s="1241"/>
      <c r="BT192" s="1343"/>
    </row>
    <row r="193" spans="1:73" s="1344" customFormat="1" ht="19.5" hidden="1" customHeight="1">
      <c r="A193" s="1040"/>
      <c r="B193" s="1347"/>
      <c r="C193" s="1339" t="s">
        <v>3156</v>
      </c>
      <c r="D193" s="1120" t="s">
        <v>3087</v>
      </c>
      <c r="E193" s="1262" t="s">
        <v>46</v>
      </c>
      <c r="F193" s="1041">
        <f t="shared" si="43"/>
        <v>0.01</v>
      </c>
      <c r="G193" s="1041"/>
      <c r="H193" s="1041">
        <f t="shared" si="54"/>
        <v>0.01</v>
      </c>
      <c r="I193" s="1029">
        <v>2030</v>
      </c>
      <c r="J193" s="1041"/>
      <c r="K193" s="1041"/>
      <c r="L193" s="1041"/>
      <c r="M193" s="1041"/>
      <c r="N193" s="1041"/>
      <c r="O193" s="1041"/>
      <c r="P193" s="1041"/>
      <c r="Q193" s="1041"/>
      <c r="R193" s="1041"/>
      <c r="S193" s="1041">
        <v>0.01</v>
      </c>
      <c r="T193" s="1041"/>
      <c r="U193" s="1041"/>
      <c r="V193" s="1041"/>
      <c r="W193" s="1041"/>
      <c r="X193" s="1041"/>
      <c r="Y193" s="1041"/>
      <c r="Z193" s="1041"/>
      <c r="AA193" s="1041"/>
      <c r="AB193" s="1041"/>
      <c r="AC193" s="1041"/>
      <c r="AD193" s="1041"/>
      <c r="AE193" s="1041"/>
      <c r="AF193" s="1041"/>
      <c r="AG193" s="1041"/>
      <c r="AH193" s="1041"/>
      <c r="AI193" s="1041"/>
      <c r="AJ193" s="1041"/>
      <c r="AK193" s="1041"/>
      <c r="AL193" s="1041"/>
      <c r="AM193" s="1041"/>
      <c r="AN193" s="1041"/>
      <c r="AO193" s="1041"/>
      <c r="AP193" s="1041"/>
      <c r="AQ193" s="1041"/>
      <c r="AR193" s="1041"/>
      <c r="AS193" s="1041"/>
      <c r="AT193" s="1041"/>
      <c r="AU193" s="1041"/>
      <c r="AV193" s="1041"/>
      <c r="AW193" s="1041"/>
      <c r="AX193" s="1041"/>
      <c r="AY193" s="1041"/>
      <c r="AZ193" s="1041"/>
      <c r="BA193" s="1041"/>
      <c r="BB193" s="1041"/>
      <c r="BC193" s="1041"/>
      <c r="BD193" s="1041"/>
      <c r="BE193" s="1041"/>
      <c r="BF193" s="1041"/>
      <c r="BG193" s="1085"/>
      <c r="BH193" s="1085"/>
      <c r="BI193" s="1339"/>
      <c r="BJ193" s="1339"/>
      <c r="BK193" s="1234"/>
      <c r="BL193" s="1234"/>
      <c r="BM193" s="1234"/>
      <c r="BN193" s="1234"/>
      <c r="BO193" s="1238"/>
      <c r="BP193" s="1342"/>
      <c r="BQ193" s="1244"/>
      <c r="BR193" s="1240"/>
      <c r="BS193" s="1241"/>
      <c r="BT193" s="1343"/>
    </row>
    <row r="194" spans="1:73" s="1212" customFormat="1" ht="122.45" customHeight="1">
      <c r="A194" s="1028">
        <f>+A190+1</f>
        <v>66</v>
      </c>
      <c r="B194" s="1348" t="s">
        <v>3374</v>
      </c>
      <c r="C194" s="1120"/>
      <c r="D194" s="1120"/>
      <c r="E194" s="1258" t="s">
        <v>3329</v>
      </c>
      <c r="F194" s="1029">
        <f t="shared" si="43"/>
        <v>6.5999999999999989E-2</v>
      </c>
      <c r="G194" s="1029"/>
      <c r="H194" s="1029">
        <f t="shared" si="54"/>
        <v>6.5999999999999989E-2</v>
      </c>
      <c r="I194" s="1029">
        <v>2030</v>
      </c>
      <c r="J194" s="1029">
        <v>1.4E-2</v>
      </c>
      <c r="K194" s="1029"/>
      <c r="L194" s="1029"/>
      <c r="M194" s="1029">
        <v>3.5999999999999997E-2</v>
      </c>
      <c r="N194" s="1029">
        <v>6.0000000000000001E-3</v>
      </c>
      <c r="O194" s="1029"/>
      <c r="P194" s="1029"/>
      <c r="Q194" s="1029"/>
      <c r="R194" s="1029"/>
      <c r="S194" s="1029">
        <v>5.0000000000000001E-3</v>
      </c>
      <c r="T194" s="1029"/>
      <c r="U194" s="1029"/>
      <c r="V194" s="1029"/>
      <c r="W194" s="1029"/>
      <c r="X194" s="1029"/>
      <c r="Y194" s="1029"/>
      <c r="Z194" s="1029"/>
      <c r="AA194" s="1029"/>
      <c r="AB194" s="1029"/>
      <c r="AC194" s="1029"/>
      <c r="AD194" s="1029"/>
      <c r="AE194" s="1029"/>
      <c r="AF194" s="1029"/>
      <c r="AG194" s="1029"/>
      <c r="AH194" s="1029"/>
      <c r="AI194" s="1029"/>
      <c r="AJ194" s="1029"/>
      <c r="AK194" s="1029"/>
      <c r="AL194" s="1029"/>
      <c r="AM194" s="1029"/>
      <c r="AN194" s="1029"/>
      <c r="AO194" s="1029"/>
      <c r="AP194" s="1029"/>
      <c r="AQ194" s="1029"/>
      <c r="AR194" s="1029"/>
      <c r="AS194" s="1029"/>
      <c r="AT194" s="1029"/>
      <c r="AU194" s="1029"/>
      <c r="AV194" s="1029"/>
      <c r="AW194" s="1029"/>
      <c r="AX194" s="1029">
        <v>5.0000000000000001E-3</v>
      </c>
      <c r="AY194" s="1029"/>
      <c r="AZ194" s="1029"/>
      <c r="BA194" s="1029"/>
      <c r="BB194" s="1029"/>
      <c r="BC194" s="1029"/>
      <c r="BD194" s="1029"/>
      <c r="BE194" s="1029"/>
      <c r="BF194" s="1029"/>
      <c r="BG194" s="1086"/>
      <c r="BH194" s="1086"/>
      <c r="BI194" s="1120" t="s">
        <v>3375</v>
      </c>
      <c r="BJ194" s="1337"/>
      <c r="BK194" s="1089" t="s">
        <v>3376</v>
      </c>
      <c r="BL194" s="1120" t="s">
        <v>1923</v>
      </c>
      <c r="BM194" s="1120" t="s">
        <v>3091</v>
      </c>
      <c r="BN194" s="1120" t="s">
        <v>291</v>
      </c>
      <c r="BO194" s="1121"/>
      <c r="BP194" s="1122">
        <v>1</v>
      </c>
      <c r="BQ194" s="1349" t="s">
        <v>3377</v>
      </c>
      <c r="BR194" s="1120" t="s">
        <v>3378</v>
      </c>
      <c r="BS194" s="1124" t="s">
        <v>291</v>
      </c>
      <c r="BT194" s="1211"/>
    </row>
    <row r="195" spans="1:73" s="1344" customFormat="1" ht="13.5" hidden="1">
      <c r="A195" s="1040"/>
      <c r="B195" s="1350"/>
      <c r="C195" s="1234" t="s">
        <v>3016</v>
      </c>
      <c r="D195" s="1120" t="s">
        <v>3087</v>
      </c>
      <c r="E195" s="1262" t="s">
        <v>46</v>
      </c>
      <c r="F195" s="1041">
        <f t="shared" si="43"/>
        <v>0.04</v>
      </c>
      <c r="G195" s="1041"/>
      <c r="H195" s="1041">
        <f t="shared" si="54"/>
        <v>0.04</v>
      </c>
      <c r="I195" s="1029">
        <v>2030</v>
      </c>
      <c r="J195" s="1041">
        <v>0.01</v>
      </c>
      <c r="K195" s="1041"/>
      <c r="L195" s="1041"/>
      <c r="M195" s="1041">
        <v>0.02</v>
      </c>
      <c r="N195" s="1041">
        <v>0.01</v>
      </c>
      <c r="O195" s="1041"/>
      <c r="P195" s="1041"/>
      <c r="Q195" s="1041"/>
      <c r="R195" s="1041"/>
      <c r="S195" s="1041"/>
      <c r="T195" s="1041"/>
      <c r="U195" s="1041"/>
      <c r="V195" s="1041"/>
      <c r="W195" s="1041"/>
      <c r="X195" s="1041"/>
      <c r="Y195" s="1041"/>
      <c r="Z195" s="1041"/>
      <c r="AA195" s="1041"/>
      <c r="AB195" s="1041"/>
      <c r="AC195" s="1041"/>
      <c r="AD195" s="1041"/>
      <c r="AE195" s="1041"/>
      <c r="AF195" s="1041"/>
      <c r="AG195" s="1041"/>
      <c r="AH195" s="1041"/>
      <c r="AI195" s="1041"/>
      <c r="AJ195" s="1041"/>
      <c r="AK195" s="1041"/>
      <c r="AL195" s="1041"/>
      <c r="AM195" s="1041"/>
      <c r="AN195" s="1041"/>
      <c r="AO195" s="1041"/>
      <c r="AP195" s="1041"/>
      <c r="AQ195" s="1041"/>
      <c r="AR195" s="1041"/>
      <c r="AS195" s="1041"/>
      <c r="AT195" s="1041"/>
      <c r="AU195" s="1041"/>
      <c r="AV195" s="1041"/>
      <c r="AW195" s="1041"/>
      <c r="AX195" s="1041"/>
      <c r="AY195" s="1041"/>
      <c r="AZ195" s="1041"/>
      <c r="BA195" s="1041"/>
      <c r="BB195" s="1041"/>
      <c r="BC195" s="1041"/>
      <c r="BD195" s="1041"/>
      <c r="BE195" s="1041"/>
      <c r="BF195" s="1041"/>
      <c r="BG195" s="1085"/>
      <c r="BH195" s="1085"/>
      <c r="BI195" s="1234"/>
      <c r="BJ195" s="1339"/>
      <c r="BK195" s="1090"/>
      <c r="BL195" s="1234"/>
      <c r="BM195" s="1234"/>
      <c r="BN195" s="1234"/>
      <c r="BO195" s="1238"/>
      <c r="BP195" s="1342"/>
      <c r="BQ195" s="1345"/>
      <c r="BR195" s="1234"/>
      <c r="BS195" s="1241"/>
      <c r="BT195" s="1343"/>
    </row>
    <row r="196" spans="1:73" s="1344" customFormat="1" ht="13.5" hidden="1">
      <c r="A196" s="1040"/>
      <c r="B196" s="1350"/>
      <c r="C196" s="1234" t="s">
        <v>3011</v>
      </c>
      <c r="D196" s="1120" t="s">
        <v>3087</v>
      </c>
      <c r="E196" s="1262" t="s">
        <v>46</v>
      </c>
      <c r="F196" s="1041">
        <f t="shared" si="43"/>
        <v>0.03</v>
      </c>
      <c r="G196" s="1041"/>
      <c r="H196" s="1041">
        <f t="shared" si="54"/>
        <v>0.03</v>
      </c>
      <c r="I196" s="1029">
        <v>2030</v>
      </c>
      <c r="J196" s="1041"/>
      <c r="K196" s="1041"/>
      <c r="L196" s="1041"/>
      <c r="M196" s="1041">
        <v>0.02</v>
      </c>
      <c r="N196" s="1041"/>
      <c r="O196" s="1041"/>
      <c r="P196" s="1041"/>
      <c r="Q196" s="1041"/>
      <c r="R196" s="1041"/>
      <c r="S196" s="1041"/>
      <c r="T196" s="1041"/>
      <c r="U196" s="1041"/>
      <c r="V196" s="1041"/>
      <c r="W196" s="1041"/>
      <c r="X196" s="1041"/>
      <c r="Y196" s="1041"/>
      <c r="Z196" s="1041"/>
      <c r="AA196" s="1041"/>
      <c r="AB196" s="1041"/>
      <c r="AC196" s="1041"/>
      <c r="AD196" s="1041"/>
      <c r="AE196" s="1041"/>
      <c r="AF196" s="1041"/>
      <c r="AG196" s="1041"/>
      <c r="AH196" s="1041"/>
      <c r="AI196" s="1041"/>
      <c r="AJ196" s="1041"/>
      <c r="AK196" s="1041"/>
      <c r="AL196" s="1041"/>
      <c r="AM196" s="1041"/>
      <c r="AN196" s="1041"/>
      <c r="AO196" s="1041"/>
      <c r="AP196" s="1041"/>
      <c r="AQ196" s="1041"/>
      <c r="AR196" s="1041"/>
      <c r="AS196" s="1041"/>
      <c r="AT196" s="1041"/>
      <c r="AU196" s="1041"/>
      <c r="AV196" s="1041"/>
      <c r="AW196" s="1041"/>
      <c r="AX196" s="1041">
        <v>0.01</v>
      </c>
      <c r="AY196" s="1041"/>
      <c r="AZ196" s="1041"/>
      <c r="BA196" s="1041"/>
      <c r="BB196" s="1041"/>
      <c r="BC196" s="1041"/>
      <c r="BD196" s="1041"/>
      <c r="BE196" s="1041"/>
      <c r="BF196" s="1041"/>
      <c r="BG196" s="1085"/>
      <c r="BH196" s="1085"/>
      <c r="BI196" s="1234"/>
      <c r="BJ196" s="1339"/>
      <c r="BK196" s="1090"/>
      <c r="BL196" s="1234"/>
      <c r="BM196" s="1234"/>
      <c r="BN196" s="1234"/>
      <c r="BO196" s="1238"/>
      <c r="BP196" s="1342"/>
      <c r="BQ196" s="1345"/>
      <c r="BR196" s="1234"/>
      <c r="BS196" s="1241"/>
      <c r="BT196" s="1343"/>
    </row>
    <row r="197" spans="1:73" s="1212" customFormat="1" ht="62.25" customHeight="1">
      <c r="A197" s="1028">
        <f>+A194+1</f>
        <v>67</v>
      </c>
      <c r="B197" s="1336" t="s">
        <v>3379</v>
      </c>
      <c r="C197" s="1120" t="s">
        <v>3020</v>
      </c>
      <c r="D197" s="1120" t="s">
        <v>3087</v>
      </c>
      <c r="E197" s="1258" t="s">
        <v>46</v>
      </c>
      <c r="F197" s="1029">
        <f t="shared" si="43"/>
        <v>0.2</v>
      </c>
      <c r="G197" s="1029"/>
      <c r="H197" s="1029">
        <f t="shared" si="54"/>
        <v>0.2</v>
      </c>
      <c r="I197" s="1029">
        <v>2030</v>
      </c>
      <c r="J197" s="1029">
        <v>0.05</v>
      </c>
      <c r="K197" s="1029"/>
      <c r="L197" s="1029"/>
      <c r="M197" s="1029">
        <v>0.05</v>
      </c>
      <c r="N197" s="1029">
        <v>0.05</v>
      </c>
      <c r="O197" s="1029"/>
      <c r="P197" s="1029"/>
      <c r="Q197" s="1029"/>
      <c r="R197" s="1029"/>
      <c r="S197" s="1029">
        <v>0.05</v>
      </c>
      <c r="T197" s="1029"/>
      <c r="U197" s="1029"/>
      <c r="V197" s="1029"/>
      <c r="W197" s="1029"/>
      <c r="X197" s="1029"/>
      <c r="Y197" s="1029"/>
      <c r="Z197" s="1029"/>
      <c r="AA197" s="1029"/>
      <c r="AB197" s="1029"/>
      <c r="AC197" s="1029"/>
      <c r="AD197" s="1029"/>
      <c r="AE197" s="1029"/>
      <c r="AF197" s="1029"/>
      <c r="AG197" s="1029"/>
      <c r="AH197" s="1029"/>
      <c r="AI197" s="1029"/>
      <c r="AJ197" s="1029"/>
      <c r="AK197" s="1029"/>
      <c r="AL197" s="1029"/>
      <c r="AM197" s="1029"/>
      <c r="AN197" s="1029"/>
      <c r="AO197" s="1029"/>
      <c r="AP197" s="1029"/>
      <c r="AQ197" s="1029"/>
      <c r="AR197" s="1029"/>
      <c r="AS197" s="1029"/>
      <c r="AT197" s="1029"/>
      <c r="AU197" s="1029"/>
      <c r="AV197" s="1029"/>
      <c r="AW197" s="1029"/>
      <c r="AX197" s="1029"/>
      <c r="AY197" s="1029"/>
      <c r="AZ197" s="1029"/>
      <c r="BA197" s="1029"/>
      <c r="BB197" s="1029"/>
      <c r="BC197" s="1029"/>
      <c r="BD197" s="1029"/>
      <c r="BE197" s="1029"/>
      <c r="BF197" s="1029"/>
      <c r="BG197" s="1086"/>
      <c r="BH197" s="1086"/>
      <c r="BI197" s="1120" t="s">
        <v>3020</v>
      </c>
      <c r="BJ197" s="1337"/>
      <c r="BK197" s="1120" t="s">
        <v>3226</v>
      </c>
      <c r="BL197" s="1120" t="s">
        <v>1923</v>
      </c>
      <c r="BM197" s="1120" t="s">
        <v>3091</v>
      </c>
      <c r="BN197" s="1120" t="s">
        <v>291</v>
      </c>
      <c r="BO197" s="1121"/>
      <c r="BP197" s="1122">
        <v>1</v>
      </c>
      <c r="BQ197" s="1243" t="s">
        <v>3106</v>
      </c>
      <c r="BR197" s="1323" t="s">
        <v>3380</v>
      </c>
      <c r="BS197" s="1124" t="s">
        <v>291</v>
      </c>
      <c r="BT197" s="1211"/>
    </row>
    <row r="198" spans="1:73" s="1126" customFormat="1" ht="61.5" customHeight="1">
      <c r="A198" s="1028">
        <f>A197+1</f>
        <v>68</v>
      </c>
      <c r="B198" s="1351" t="s">
        <v>3381</v>
      </c>
      <c r="C198" s="1331"/>
      <c r="D198" s="1331"/>
      <c r="E198" s="1258" t="s">
        <v>3329</v>
      </c>
      <c r="F198" s="1029">
        <f>G198+H198</f>
        <v>6.8000000000000005E-2</v>
      </c>
      <c r="G198" s="1029"/>
      <c r="H198" s="1029">
        <f>SUM(J198:BH198)</f>
        <v>6.8000000000000005E-2</v>
      </c>
      <c r="I198" s="1029">
        <v>2030</v>
      </c>
      <c r="J198" s="1029">
        <v>1.6E-2</v>
      </c>
      <c r="K198" s="1029"/>
      <c r="L198" s="1029"/>
      <c r="M198" s="1029">
        <v>5.0000000000000001E-3</v>
      </c>
      <c r="N198" s="1029">
        <v>5.0000000000000001E-3</v>
      </c>
      <c r="O198" s="1029"/>
      <c r="P198" s="1029"/>
      <c r="Q198" s="1029"/>
      <c r="R198" s="1029"/>
      <c r="S198" s="1029">
        <v>5.0000000000000001E-3</v>
      </c>
      <c r="T198" s="1029"/>
      <c r="U198" s="1029">
        <v>0.01</v>
      </c>
      <c r="V198" s="1029"/>
      <c r="W198" s="1029"/>
      <c r="X198" s="1029"/>
      <c r="Y198" s="1029"/>
      <c r="Z198" s="1029"/>
      <c r="AA198" s="1029"/>
      <c r="AB198" s="1029"/>
      <c r="AC198" s="1029"/>
      <c r="AD198" s="1029"/>
      <c r="AE198" s="1029">
        <v>0.01</v>
      </c>
      <c r="AF198" s="1029"/>
      <c r="AG198" s="1029"/>
      <c r="AH198" s="1029"/>
      <c r="AI198" s="1029"/>
      <c r="AJ198" s="1029"/>
      <c r="AK198" s="1029">
        <v>2E-3</v>
      </c>
      <c r="AL198" s="1029"/>
      <c r="AM198" s="1029"/>
      <c r="AN198" s="1029"/>
      <c r="AO198" s="1029"/>
      <c r="AP198" s="1029"/>
      <c r="AQ198" s="1029"/>
      <c r="AR198" s="1029"/>
      <c r="AS198" s="1029"/>
      <c r="AT198" s="1029"/>
      <c r="AU198" s="1029"/>
      <c r="AV198" s="1029"/>
      <c r="AW198" s="1029"/>
      <c r="AX198" s="1029">
        <v>6.0000000000000001E-3</v>
      </c>
      <c r="AY198" s="1029"/>
      <c r="AZ198" s="1029"/>
      <c r="BA198" s="1029"/>
      <c r="BB198" s="1029"/>
      <c r="BC198" s="1029"/>
      <c r="BD198" s="1029"/>
      <c r="BE198" s="1029"/>
      <c r="BF198" s="1029">
        <v>8.9999999999999993E-3</v>
      </c>
      <c r="BG198" s="1086"/>
      <c r="BH198" s="1086"/>
      <c r="BI198" s="1331" t="s">
        <v>3382</v>
      </c>
      <c r="BJ198" s="1091"/>
      <c r="BK198" s="1120" t="s">
        <v>3323</v>
      </c>
      <c r="BL198" s="1120" t="s">
        <v>1917</v>
      </c>
      <c r="BM198" s="1120" t="s">
        <v>3091</v>
      </c>
      <c r="BN198" s="1120" t="s">
        <v>291</v>
      </c>
      <c r="BO198" s="1121"/>
      <c r="BP198" s="1122">
        <v>1</v>
      </c>
      <c r="BQ198" s="1243" t="s">
        <v>3323</v>
      </c>
      <c r="BR198" s="1260" t="s">
        <v>3383</v>
      </c>
      <c r="BS198" s="1124"/>
      <c r="BT198" s="1125"/>
    </row>
    <row r="199" spans="1:73" s="1354" customFormat="1" ht="13.5" hidden="1">
      <c r="A199" s="1040"/>
      <c r="B199" s="1352"/>
      <c r="C199" s="1334" t="s">
        <v>3019</v>
      </c>
      <c r="D199" s="1120" t="s">
        <v>3087</v>
      </c>
      <c r="E199" s="1242" t="s">
        <v>46</v>
      </c>
      <c r="F199" s="1029">
        <f t="shared" ref="F199:F200" si="58">G199+H199</f>
        <v>0.04</v>
      </c>
      <c r="G199" s="1029"/>
      <c r="H199" s="1029">
        <f t="shared" ref="H199:H200" si="59">SUM(J199:BH199)</f>
        <v>0.04</v>
      </c>
      <c r="I199" s="1029">
        <v>2030</v>
      </c>
      <c r="J199" s="1041">
        <v>0.01</v>
      </c>
      <c r="K199" s="1041"/>
      <c r="L199" s="1041"/>
      <c r="M199" s="1041"/>
      <c r="N199" s="1041"/>
      <c r="O199" s="1041"/>
      <c r="P199" s="1041"/>
      <c r="Q199" s="1041"/>
      <c r="R199" s="1041"/>
      <c r="S199" s="1041"/>
      <c r="T199" s="1041"/>
      <c r="U199" s="1041">
        <v>0.01</v>
      </c>
      <c r="V199" s="1041"/>
      <c r="W199" s="1041"/>
      <c r="X199" s="1041"/>
      <c r="Y199" s="1041"/>
      <c r="Z199" s="1041"/>
      <c r="AA199" s="1041"/>
      <c r="AB199" s="1041"/>
      <c r="AC199" s="1041"/>
      <c r="AD199" s="1041"/>
      <c r="AE199" s="1041">
        <v>0.01</v>
      </c>
      <c r="AF199" s="1041"/>
      <c r="AG199" s="1041"/>
      <c r="AH199" s="1041"/>
      <c r="AI199" s="1041"/>
      <c r="AJ199" s="1041"/>
      <c r="AK199" s="1041"/>
      <c r="AL199" s="1041"/>
      <c r="AM199" s="1041"/>
      <c r="AN199" s="1041"/>
      <c r="AO199" s="1041"/>
      <c r="AP199" s="1041"/>
      <c r="AQ199" s="1041"/>
      <c r="AR199" s="1041"/>
      <c r="AS199" s="1041"/>
      <c r="AT199" s="1041"/>
      <c r="AU199" s="1041"/>
      <c r="AV199" s="1041"/>
      <c r="AW199" s="1041"/>
      <c r="AX199" s="1041"/>
      <c r="AY199" s="1041"/>
      <c r="AZ199" s="1041"/>
      <c r="BA199" s="1041"/>
      <c r="BB199" s="1041"/>
      <c r="BC199" s="1041"/>
      <c r="BD199" s="1041"/>
      <c r="BE199" s="1041"/>
      <c r="BF199" s="1041">
        <v>0.01</v>
      </c>
      <c r="BG199" s="1085"/>
      <c r="BH199" s="1085"/>
      <c r="BI199" s="1334"/>
      <c r="BJ199" s="1092"/>
      <c r="BK199" s="1234"/>
      <c r="BL199" s="1234"/>
      <c r="BM199" s="1234"/>
      <c r="BN199" s="1234"/>
      <c r="BO199" s="1238"/>
      <c r="BP199" s="1342"/>
      <c r="BQ199" s="1244"/>
      <c r="BR199" s="1353"/>
      <c r="BS199" s="1238"/>
    </row>
    <row r="200" spans="1:73" s="1354" customFormat="1" ht="13.5" hidden="1">
      <c r="A200" s="1040"/>
      <c r="B200" s="1352"/>
      <c r="C200" s="1334" t="s">
        <v>3020</v>
      </c>
      <c r="D200" s="1120" t="s">
        <v>3087</v>
      </c>
      <c r="E200" s="1242" t="s">
        <v>46</v>
      </c>
      <c r="F200" s="1029">
        <f t="shared" si="58"/>
        <v>0.03</v>
      </c>
      <c r="G200" s="1029"/>
      <c r="H200" s="1029">
        <f t="shared" si="59"/>
        <v>0.03</v>
      </c>
      <c r="I200" s="1029">
        <v>2030</v>
      </c>
      <c r="J200" s="1041"/>
      <c r="K200" s="1041"/>
      <c r="L200" s="1041"/>
      <c r="M200" s="1041">
        <v>0.01</v>
      </c>
      <c r="N200" s="1041"/>
      <c r="O200" s="1041"/>
      <c r="P200" s="1041"/>
      <c r="Q200" s="1041"/>
      <c r="R200" s="1041"/>
      <c r="S200" s="1041">
        <v>0.01</v>
      </c>
      <c r="T200" s="1041"/>
      <c r="U200" s="1041"/>
      <c r="V200" s="1041"/>
      <c r="W200" s="1041"/>
      <c r="X200" s="1041"/>
      <c r="Y200" s="1041"/>
      <c r="Z200" s="1041"/>
      <c r="AA200" s="1041"/>
      <c r="AB200" s="1041"/>
      <c r="AC200" s="1041"/>
      <c r="AD200" s="1041"/>
      <c r="AE200" s="1041"/>
      <c r="AF200" s="1041"/>
      <c r="AG200" s="1041"/>
      <c r="AH200" s="1041"/>
      <c r="AI200" s="1041"/>
      <c r="AJ200" s="1041"/>
      <c r="AK200" s="1041"/>
      <c r="AL200" s="1041"/>
      <c r="AM200" s="1041"/>
      <c r="AN200" s="1041"/>
      <c r="AO200" s="1041"/>
      <c r="AP200" s="1041"/>
      <c r="AQ200" s="1041"/>
      <c r="AR200" s="1041"/>
      <c r="AS200" s="1041"/>
      <c r="AT200" s="1041"/>
      <c r="AU200" s="1041"/>
      <c r="AV200" s="1041"/>
      <c r="AW200" s="1041"/>
      <c r="AX200" s="1041">
        <v>0.01</v>
      </c>
      <c r="AY200" s="1041"/>
      <c r="AZ200" s="1041"/>
      <c r="BA200" s="1041"/>
      <c r="BB200" s="1041"/>
      <c r="BC200" s="1041"/>
      <c r="BD200" s="1041"/>
      <c r="BE200" s="1041"/>
      <c r="BF200" s="1041"/>
      <c r="BG200" s="1085"/>
      <c r="BH200" s="1085"/>
      <c r="BI200" s="1334"/>
      <c r="BJ200" s="1092"/>
      <c r="BK200" s="1234"/>
      <c r="BL200" s="1234"/>
      <c r="BM200" s="1234"/>
      <c r="BN200" s="1234"/>
      <c r="BO200" s="1238"/>
      <c r="BP200" s="1342"/>
      <c r="BQ200" s="1244"/>
      <c r="BR200" s="1353"/>
      <c r="BS200" s="1238"/>
    </row>
    <row r="201" spans="1:73" s="1126" customFormat="1" ht="81.599999999999994" customHeight="1">
      <c r="A201" s="1028">
        <f>A198+1</f>
        <v>69</v>
      </c>
      <c r="B201" s="1215" t="s">
        <v>3384</v>
      </c>
      <c r="C201" s="1093"/>
      <c r="D201" s="1120"/>
      <c r="E201" s="1118" t="s">
        <v>3329</v>
      </c>
      <c r="F201" s="1029">
        <v>0.04</v>
      </c>
      <c r="G201" s="1031"/>
      <c r="H201" s="1173">
        <f>SUM(J201:BH201)</f>
        <v>4.1000000000000002E-2</v>
      </c>
      <c r="I201" s="1029"/>
      <c r="J201" s="1029">
        <v>7.0000000000000001E-3</v>
      </c>
      <c r="K201" s="1029"/>
      <c r="L201" s="1029"/>
      <c r="M201" s="1029"/>
      <c r="N201" s="1029">
        <v>2.8000000000000001E-2</v>
      </c>
      <c r="O201" s="1029"/>
      <c r="P201" s="1029"/>
      <c r="Q201" s="1029"/>
      <c r="R201" s="1029"/>
      <c r="S201" s="1029">
        <v>6.0000000000000001E-3</v>
      </c>
      <c r="T201" s="1029"/>
      <c r="U201" s="1029"/>
      <c r="V201" s="1029"/>
      <c r="W201" s="1029"/>
      <c r="X201" s="1029"/>
      <c r="Y201" s="1029"/>
      <c r="Z201" s="1029"/>
      <c r="AA201" s="1029"/>
      <c r="AB201" s="1029"/>
      <c r="AC201" s="1029"/>
      <c r="AD201" s="1029"/>
      <c r="AE201" s="1029"/>
      <c r="AF201" s="1029"/>
      <c r="AG201" s="1029"/>
      <c r="AH201" s="1029"/>
      <c r="AI201" s="1029"/>
      <c r="AJ201" s="1029"/>
      <c r="AK201" s="1029"/>
      <c r="AL201" s="1029"/>
      <c r="AM201" s="1029"/>
      <c r="AN201" s="1029"/>
      <c r="AO201" s="1029"/>
      <c r="AP201" s="1029"/>
      <c r="AQ201" s="1029"/>
      <c r="AR201" s="1029"/>
      <c r="AS201" s="1029"/>
      <c r="AT201" s="1029"/>
      <c r="AU201" s="1029"/>
      <c r="AV201" s="1029"/>
      <c r="AW201" s="1029"/>
      <c r="AX201" s="1029"/>
      <c r="AY201" s="1029"/>
      <c r="AZ201" s="1029"/>
      <c r="BA201" s="1029"/>
      <c r="BB201" s="1029"/>
      <c r="BC201" s="1029"/>
      <c r="BD201" s="1029"/>
      <c r="BE201" s="1029"/>
      <c r="BF201" s="1029"/>
      <c r="BG201" s="1086"/>
      <c r="BH201" s="1086"/>
      <c r="BI201" s="1093" t="s">
        <v>3385</v>
      </c>
      <c r="BJ201" s="1120"/>
      <c r="BK201" s="1120" t="s">
        <v>3386</v>
      </c>
      <c r="BL201" s="1120"/>
      <c r="BM201" s="1120"/>
      <c r="BN201" s="1120" t="s">
        <v>298</v>
      </c>
      <c r="BP201" s="1126">
        <v>1</v>
      </c>
      <c r="BQ201" s="1178"/>
      <c r="BR201" s="1178"/>
      <c r="BT201" s="1355"/>
      <c r="BU201" s="1356"/>
    </row>
    <row r="202" spans="1:73" s="1126" customFormat="1" ht="13.5" hidden="1" customHeight="1">
      <c r="A202" s="1028"/>
      <c r="B202" s="1215"/>
      <c r="C202" s="1093" t="s">
        <v>3016</v>
      </c>
      <c r="D202" s="1120" t="s">
        <v>3087</v>
      </c>
      <c r="E202" s="1118" t="s">
        <v>46</v>
      </c>
      <c r="F202" s="1029">
        <f>G202+H202</f>
        <v>0.04</v>
      </c>
      <c r="G202" s="1031"/>
      <c r="H202" s="1173">
        <f>SUM(J202:BH202)</f>
        <v>0.04</v>
      </c>
      <c r="I202" s="1029">
        <v>2030</v>
      </c>
      <c r="J202" s="1029">
        <v>0.01</v>
      </c>
      <c r="K202" s="1029"/>
      <c r="L202" s="1029"/>
      <c r="M202" s="1029"/>
      <c r="N202" s="1029">
        <v>0.03</v>
      </c>
      <c r="O202" s="1029"/>
      <c r="P202" s="1029"/>
      <c r="Q202" s="1029"/>
      <c r="R202" s="1029"/>
      <c r="S202" s="1029"/>
      <c r="T202" s="1029"/>
      <c r="U202" s="1029"/>
      <c r="V202" s="1029"/>
      <c r="W202" s="1029"/>
      <c r="X202" s="1029"/>
      <c r="Y202" s="1029"/>
      <c r="Z202" s="1029"/>
      <c r="AA202" s="1029"/>
      <c r="AB202" s="1029"/>
      <c r="AC202" s="1029"/>
      <c r="AD202" s="1029"/>
      <c r="AE202" s="1029"/>
      <c r="AF202" s="1029"/>
      <c r="AG202" s="1029"/>
      <c r="AH202" s="1029"/>
      <c r="AI202" s="1029"/>
      <c r="AJ202" s="1029"/>
      <c r="AK202" s="1029"/>
      <c r="AL202" s="1029"/>
      <c r="AM202" s="1029"/>
      <c r="AN202" s="1029"/>
      <c r="AO202" s="1029"/>
      <c r="AP202" s="1029"/>
      <c r="AQ202" s="1029"/>
      <c r="AR202" s="1029"/>
      <c r="AS202" s="1029"/>
      <c r="AT202" s="1029"/>
      <c r="AU202" s="1029"/>
      <c r="AV202" s="1029"/>
      <c r="AW202" s="1029"/>
      <c r="AX202" s="1029"/>
      <c r="AY202" s="1029"/>
      <c r="AZ202" s="1029"/>
      <c r="BA202" s="1029"/>
      <c r="BB202" s="1029"/>
      <c r="BC202" s="1029"/>
      <c r="BD202" s="1029"/>
      <c r="BE202" s="1029"/>
      <c r="BF202" s="1029"/>
      <c r="BG202" s="1086"/>
      <c r="BH202" s="1086"/>
      <c r="BI202" s="1093"/>
      <c r="BJ202" s="1120"/>
      <c r="BK202" s="1120"/>
      <c r="BL202" s="1120"/>
      <c r="BM202" s="1120"/>
      <c r="BN202" s="1120"/>
      <c r="BQ202" s="1178"/>
      <c r="BR202" s="1178"/>
      <c r="BT202" s="1355"/>
      <c r="BU202" s="1356"/>
    </row>
    <row r="203" spans="1:73" ht="81" customHeight="1">
      <c r="A203" s="1028">
        <f t="shared" ref="A203" si="60">A201+1</f>
        <v>70</v>
      </c>
      <c r="B203" s="1348" t="s">
        <v>3387</v>
      </c>
      <c r="C203" s="1093"/>
      <c r="D203" s="1120" t="s">
        <v>3087</v>
      </c>
      <c r="E203" s="1118"/>
      <c r="F203" s="1029">
        <v>0.1</v>
      </c>
      <c r="G203" s="1026"/>
      <c r="H203" s="1173">
        <f>SUM(J203:BH203)</f>
        <v>0.1</v>
      </c>
      <c r="I203" s="1029">
        <v>2030</v>
      </c>
      <c r="J203" s="1029">
        <v>0.08</v>
      </c>
      <c r="K203" s="1029"/>
      <c r="L203" s="1029"/>
      <c r="M203" s="1029"/>
      <c r="N203" s="1029">
        <v>1.4999999999999999E-2</v>
      </c>
      <c r="O203" s="1029"/>
      <c r="P203" s="1029"/>
      <c r="Q203" s="1029"/>
      <c r="R203" s="1029"/>
      <c r="S203" s="1029">
        <v>5.0000000000000001E-3</v>
      </c>
      <c r="T203" s="1029"/>
      <c r="U203" s="1029"/>
      <c r="V203" s="1029"/>
      <c r="W203" s="1029"/>
      <c r="X203" s="1029"/>
      <c r="Y203" s="1029"/>
      <c r="Z203" s="1029"/>
      <c r="AA203" s="1029"/>
      <c r="AB203" s="1029"/>
      <c r="AC203" s="1029"/>
      <c r="AD203" s="1029"/>
      <c r="AE203" s="1029"/>
      <c r="AF203" s="1029"/>
      <c r="AG203" s="1029"/>
      <c r="AH203" s="1029"/>
      <c r="AI203" s="1029"/>
      <c r="AJ203" s="1029"/>
      <c r="AK203" s="1029"/>
      <c r="AL203" s="1029"/>
      <c r="AM203" s="1029"/>
      <c r="AN203" s="1029"/>
      <c r="AO203" s="1029"/>
      <c r="AP203" s="1029"/>
      <c r="AQ203" s="1029"/>
      <c r="AR203" s="1029"/>
      <c r="AS203" s="1029"/>
      <c r="AT203" s="1029"/>
      <c r="AU203" s="1029"/>
      <c r="AV203" s="1029"/>
      <c r="AW203" s="1029"/>
      <c r="AX203" s="1029"/>
      <c r="AY203" s="1029"/>
      <c r="AZ203" s="1029"/>
      <c r="BA203" s="1029"/>
      <c r="BB203" s="1029"/>
      <c r="BC203" s="1029"/>
      <c r="BD203" s="1029"/>
      <c r="BE203" s="1029"/>
      <c r="BF203" s="1029"/>
      <c r="BG203" s="1086"/>
      <c r="BH203" s="1086"/>
      <c r="BI203" s="1093" t="s">
        <v>3388</v>
      </c>
      <c r="BJ203" s="1120"/>
      <c r="BK203" s="1120" t="s">
        <v>3389</v>
      </c>
      <c r="BL203" s="1120"/>
      <c r="BM203" s="1120"/>
      <c r="BN203" s="1120" t="s">
        <v>298</v>
      </c>
      <c r="BO203" s="1178"/>
      <c r="BP203" s="1178">
        <v>1</v>
      </c>
      <c r="BQ203" s="1178"/>
      <c r="BR203" s="1178"/>
      <c r="BS203" s="1178"/>
      <c r="BT203" s="1355"/>
    </row>
    <row r="204" spans="1:73" s="1165" customFormat="1" ht="13.5" hidden="1">
      <c r="A204" s="1040"/>
      <c r="B204" s="1350"/>
      <c r="C204" s="1093" t="s">
        <v>3020</v>
      </c>
      <c r="D204" s="1120" t="s">
        <v>3087</v>
      </c>
      <c r="E204" s="1242" t="s">
        <v>46</v>
      </c>
      <c r="F204" s="1041">
        <v>1.1000000000000001</v>
      </c>
      <c r="G204" s="1094"/>
      <c r="H204" s="1266">
        <f t="shared" ref="H204:H206" si="61">SUM(J204:BH204)</f>
        <v>0.04</v>
      </c>
      <c r="I204" s="1029">
        <v>2030</v>
      </c>
      <c r="J204" s="1041">
        <v>0.03</v>
      </c>
      <c r="K204" s="1041"/>
      <c r="L204" s="1041"/>
      <c r="M204" s="1041"/>
      <c r="N204" s="1041">
        <v>0.01</v>
      </c>
      <c r="O204" s="1041"/>
      <c r="P204" s="1041"/>
      <c r="Q204" s="1041"/>
      <c r="R204" s="1041"/>
      <c r="S204" s="1041"/>
      <c r="T204" s="1041"/>
      <c r="U204" s="1041"/>
      <c r="V204" s="1041"/>
      <c r="W204" s="1041"/>
      <c r="X204" s="1041"/>
      <c r="Y204" s="1041"/>
      <c r="Z204" s="1041"/>
      <c r="AA204" s="1041"/>
      <c r="AB204" s="1041"/>
      <c r="AC204" s="1041"/>
      <c r="AD204" s="1041"/>
      <c r="AE204" s="1041"/>
      <c r="AF204" s="1041"/>
      <c r="AG204" s="1041"/>
      <c r="AH204" s="1041"/>
      <c r="AI204" s="1041"/>
      <c r="AJ204" s="1041"/>
      <c r="AK204" s="1041"/>
      <c r="AL204" s="1041"/>
      <c r="AM204" s="1041"/>
      <c r="AN204" s="1041"/>
      <c r="AO204" s="1041"/>
      <c r="AP204" s="1041"/>
      <c r="AQ204" s="1041"/>
      <c r="AR204" s="1041"/>
      <c r="AS204" s="1041"/>
      <c r="AT204" s="1041"/>
      <c r="AU204" s="1041"/>
      <c r="AV204" s="1041"/>
      <c r="AW204" s="1041"/>
      <c r="AX204" s="1041"/>
      <c r="AY204" s="1041"/>
      <c r="AZ204" s="1041"/>
      <c r="BA204" s="1041"/>
      <c r="BB204" s="1041"/>
      <c r="BC204" s="1041"/>
      <c r="BD204" s="1041"/>
      <c r="BE204" s="1041"/>
      <c r="BF204" s="1041"/>
      <c r="BG204" s="1085"/>
      <c r="BH204" s="1085"/>
      <c r="BI204" s="1095"/>
      <c r="BJ204" s="1234"/>
      <c r="BK204" s="1234"/>
      <c r="BL204" s="1234"/>
      <c r="BM204" s="1234"/>
      <c r="BN204" s="1234"/>
      <c r="BO204" s="1272"/>
      <c r="BP204" s="1272"/>
      <c r="BQ204" s="1272"/>
      <c r="BR204" s="1272"/>
      <c r="BS204" s="1272"/>
      <c r="BT204" s="1355"/>
    </row>
    <row r="205" spans="1:73" s="1165" customFormat="1" ht="13.5" hidden="1">
      <c r="A205" s="1040"/>
      <c r="B205" s="1350"/>
      <c r="C205" s="1093" t="s">
        <v>3016</v>
      </c>
      <c r="D205" s="1120" t="s">
        <v>3087</v>
      </c>
      <c r="E205" s="1242" t="s">
        <v>46</v>
      </c>
      <c r="F205" s="1041">
        <v>2.1</v>
      </c>
      <c r="G205" s="1094"/>
      <c r="H205" s="1266">
        <f t="shared" si="61"/>
        <v>0.03</v>
      </c>
      <c r="I205" s="1029">
        <v>2030</v>
      </c>
      <c r="J205" s="1041">
        <v>0.03</v>
      </c>
      <c r="K205" s="1041"/>
      <c r="L205" s="1041"/>
      <c r="M205" s="1041"/>
      <c r="N205" s="1041"/>
      <c r="O205" s="1041"/>
      <c r="P205" s="1041"/>
      <c r="Q205" s="1041"/>
      <c r="R205" s="1041"/>
      <c r="S205" s="1041"/>
      <c r="T205" s="1041"/>
      <c r="U205" s="1041"/>
      <c r="V205" s="1041"/>
      <c r="W205" s="1041"/>
      <c r="X205" s="1041"/>
      <c r="Y205" s="1041"/>
      <c r="Z205" s="1041"/>
      <c r="AA205" s="1041"/>
      <c r="AB205" s="1041"/>
      <c r="AC205" s="1041"/>
      <c r="AD205" s="1041"/>
      <c r="AE205" s="1041"/>
      <c r="AF205" s="1041"/>
      <c r="AG205" s="1041"/>
      <c r="AH205" s="1041"/>
      <c r="AI205" s="1041"/>
      <c r="AJ205" s="1041"/>
      <c r="AK205" s="1041"/>
      <c r="AL205" s="1041"/>
      <c r="AM205" s="1041"/>
      <c r="AN205" s="1041"/>
      <c r="AO205" s="1041"/>
      <c r="AP205" s="1041"/>
      <c r="AQ205" s="1041"/>
      <c r="AR205" s="1041"/>
      <c r="AS205" s="1041"/>
      <c r="AT205" s="1041"/>
      <c r="AU205" s="1041"/>
      <c r="AV205" s="1041"/>
      <c r="AW205" s="1041"/>
      <c r="AX205" s="1041"/>
      <c r="AY205" s="1041"/>
      <c r="AZ205" s="1041"/>
      <c r="BA205" s="1041"/>
      <c r="BB205" s="1041"/>
      <c r="BC205" s="1041"/>
      <c r="BD205" s="1041"/>
      <c r="BE205" s="1041"/>
      <c r="BF205" s="1041"/>
      <c r="BG205" s="1085"/>
      <c r="BH205" s="1085"/>
      <c r="BI205" s="1095"/>
      <c r="BJ205" s="1234"/>
      <c r="BK205" s="1234"/>
      <c r="BL205" s="1234"/>
      <c r="BM205" s="1234"/>
      <c r="BN205" s="1234"/>
      <c r="BO205" s="1272"/>
      <c r="BP205" s="1272"/>
      <c r="BQ205" s="1272"/>
      <c r="BR205" s="1272"/>
      <c r="BS205" s="1272"/>
      <c r="BT205" s="1355"/>
    </row>
    <row r="206" spans="1:73" s="1165" customFormat="1" ht="13.5" hidden="1">
      <c r="A206" s="1040"/>
      <c r="B206" s="1350"/>
      <c r="C206" s="1093" t="s">
        <v>3113</v>
      </c>
      <c r="D206" s="1120" t="s">
        <v>3087</v>
      </c>
      <c r="E206" s="1242" t="s">
        <v>46</v>
      </c>
      <c r="F206" s="1041">
        <v>3.1</v>
      </c>
      <c r="G206" s="1094"/>
      <c r="H206" s="1266">
        <f t="shared" si="61"/>
        <v>0.03</v>
      </c>
      <c r="I206" s="1029">
        <v>2030</v>
      </c>
      <c r="J206" s="1041">
        <v>0.02</v>
      </c>
      <c r="K206" s="1041"/>
      <c r="L206" s="1041"/>
      <c r="M206" s="1041"/>
      <c r="N206" s="1041"/>
      <c r="O206" s="1041"/>
      <c r="P206" s="1041"/>
      <c r="Q206" s="1041"/>
      <c r="R206" s="1041"/>
      <c r="S206" s="1041">
        <v>0.01</v>
      </c>
      <c r="T206" s="1041"/>
      <c r="U206" s="1041"/>
      <c r="V206" s="1041"/>
      <c r="W206" s="1041"/>
      <c r="X206" s="1041"/>
      <c r="Y206" s="1041"/>
      <c r="Z206" s="1041"/>
      <c r="AA206" s="1041"/>
      <c r="AB206" s="1041"/>
      <c r="AC206" s="1041"/>
      <c r="AD206" s="1041"/>
      <c r="AE206" s="1041"/>
      <c r="AF206" s="1041"/>
      <c r="AG206" s="1041"/>
      <c r="AH206" s="1041"/>
      <c r="AI206" s="1041"/>
      <c r="AJ206" s="1041"/>
      <c r="AK206" s="1041"/>
      <c r="AL206" s="1041"/>
      <c r="AM206" s="1041"/>
      <c r="AN206" s="1041"/>
      <c r="AO206" s="1041"/>
      <c r="AP206" s="1041"/>
      <c r="AQ206" s="1041"/>
      <c r="AR206" s="1041"/>
      <c r="AS206" s="1041"/>
      <c r="AT206" s="1041"/>
      <c r="AU206" s="1041"/>
      <c r="AV206" s="1041"/>
      <c r="AW206" s="1041"/>
      <c r="AX206" s="1041"/>
      <c r="AY206" s="1041"/>
      <c r="AZ206" s="1041"/>
      <c r="BA206" s="1041"/>
      <c r="BB206" s="1041"/>
      <c r="BC206" s="1041"/>
      <c r="BD206" s="1041"/>
      <c r="BE206" s="1041"/>
      <c r="BF206" s="1041"/>
      <c r="BG206" s="1085"/>
      <c r="BH206" s="1085"/>
      <c r="BI206" s="1095"/>
      <c r="BJ206" s="1234"/>
      <c r="BK206" s="1234"/>
      <c r="BL206" s="1234"/>
      <c r="BM206" s="1234"/>
      <c r="BN206" s="1234"/>
      <c r="BO206" s="1272"/>
      <c r="BP206" s="1272"/>
      <c r="BQ206" s="1272"/>
      <c r="BR206" s="1272"/>
      <c r="BS206" s="1272"/>
      <c r="BT206" s="1355"/>
    </row>
    <row r="207" spans="1:73" s="1364" customFormat="1" ht="35.25" customHeight="1">
      <c r="A207" s="1068" t="s">
        <v>640</v>
      </c>
      <c r="B207" s="1357" t="s">
        <v>2767</v>
      </c>
      <c r="C207" s="1358"/>
      <c r="D207" s="1358"/>
      <c r="E207" s="1068"/>
      <c r="F207" s="1026">
        <f>F208</f>
        <v>0.37</v>
      </c>
      <c r="G207" s="1026">
        <f t="shared" ref="G207" si="62">G208</f>
        <v>0.2</v>
      </c>
      <c r="H207" s="1026">
        <f>SUM(J207:BH207)</f>
        <v>0.17</v>
      </c>
      <c r="I207" s="1029">
        <v>2030</v>
      </c>
      <c r="J207" s="1026">
        <f>J208</f>
        <v>0</v>
      </c>
      <c r="K207" s="1026">
        <f t="shared" ref="K207:BF207" si="63">K208</f>
        <v>0</v>
      </c>
      <c r="L207" s="1026">
        <f t="shared" si="63"/>
        <v>0</v>
      </c>
      <c r="M207" s="1026">
        <f t="shared" si="63"/>
        <v>0.14000000000000001</v>
      </c>
      <c r="N207" s="1026">
        <f t="shared" si="63"/>
        <v>0</v>
      </c>
      <c r="O207" s="1026">
        <f t="shared" si="63"/>
        <v>0</v>
      </c>
      <c r="P207" s="1026">
        <f t="shared" si="63"/>
        <v>0</v>
      </c>
      <c r="Q207" s="1026">
        <f t="shared" si="63"/>
        <v>0</v>
      </c>
      <c r="R207" s="1026">
        <f t="shared" si="63"/>
        <v>0</v>
      </c>
      <c r="S207" s="1026">
        <f t="shared" si="63"/>
        <v>0</v>
      </c>
      <c r="T207" s="1026">
        <f t="shared" si="63"/>
        <v>0</v>
      </c>
      <c r="U207" s="1026">
        <f t="shared" si="63"/>
        <v>0</v>
      </c>
      <c r="V207" s="1026">
        <f t="shared" si="63"/>
        <v>0</v>
      </c>
      <c r="W207" s="1026">
        <f t="shared" si="63"/>
        <v>0</v>
      </c>
      <c r="X207" s="1026">
        <f t="shared" si="63"/>
        <v>0</v>
      </c>
      <c r="Y207" s="1026">
        <f t="shared" si="63"/>
        <v>0</v>
      </c>
      <c r="Z207" s="1026">
        <f t="shared" si="63"/>
        <v>0</v>
      </c>
      <c r="AA207" s="1026">
        <f t="shared" si="63"/>
        <v>0</v>
      </c>
      <c r="AB207" s="1026">
        <f t="shared" si="63"/>
        <v>0</v>
      </c>
      <c r="AC207" s="1026">
        <f t="shared" si="63"/>
        <v>0</v>
      </c>
      <c r="AD207" s="1026">
        <f t="shared" si="63"/>
        <v>0</v>
      </c>
      <c r="AE207" s="1026">
        <f t="shared" si="63"/>
        <v>0</v>
      </c>
      <c r="AF207" s="1026">
        <f t="shared" si="63"/>
        <v>0</v>
      </c>
      <c r="AG207" s="1026">
        <f t="shared" si="63"/>
        <v>0</v>
      </c>
      <c r="AH207" s="1026">
        <f t="shared" si="63"/>
        <v>0</v>
      </c>
      <c r="AI207" s="1026">
        <f t="shared" si="63"/>
        <v>0</v>
      </c>
      <c r="AJ207" s="1026">
        <f t="shared" si="63"/>
        <v>0</v>
      </c>
      <c r="AK207" s="1026">
        <f t="shared" si="63"/>
        <v>0</v>
      </c>
      <c r="AL207" s="1026">
        <f t="shared" si="63"/>
        <v>0</v>
      </c>
      <c r="AM207" s="1026">
        <f t="shared" si="63"/>
        <v>0</v>
      </c>
      <c r="AN207" s="1026">
        <f t="shared" si="63"/>
        <v>0</v>
      </c>
      <c r="AO207" s="1026">
        <f t="shared" si="63"/>
        <v>0</v>
      </c>
      <c r="AP207" s="1026">
        <f t="shared" si="63"/>
        <v>0</v>
      </c>
      <c r="AQ207" s="1026">
        <f t="shared" si="63"/>
        <v>0</v>
      </c>
      <c r="AR207" s="1026">
        <f t="shared" si="63"/>
        <v>0</v>
      </c>
      <c r="AS207" s="1026">
        <f t="shared" si="63"/>
        <v>0</v>
      </c>
      <c r="AT207" s="1026">
        <f t="shared" si="63"/>
        <v>0</v>
      </c>
      <c r="AU207" s="1026">
        <f t="shared" si="63"/>
        <v>0</v>
      </c>
      <c r="AV207" s="1026">
        <f t="shared" si="63"/>
        <v>0</v>
      </c>
      <c r="AW207" s="1026">
        <f t="shared" si="63"/>
        <v>0</v>
      </c>
      <c r="AX207" s="1026">
        <f t="shared" si="63"/>
        <v>0</v>
      </c>
      <c r="AY207" s="1026">
        <f t="shared" si="63"/>
        <v>0.01</v>
      </c>
      <c r="AZ207" s="1026">
        <f t="shared" si="63"/>
        <v>0</v>
      </c>
      <c r="BA207" s="1026">
        <f t="shared" si="63"/>
        <v>0</v>
      </c>
      <c r="BB207" s="1026">
        <f t="shared" si="63"/>
        <v>0</v>
      </c>
      <c r="BC207" s="1026">
        <f t="shared" si="63"/>
        <v>0</v>
      </c>
      <c r="BD207" s="1026">
        <f t="shared" si="63"/>
        <v>0</v>
      </c>
      <c r="BE207" s="1026">
        <f t="shared" si="63"/>
        <v>0</v>
      </c>
      <c r="BF207" s="1026">
        <f t="shared" si="63"/>
        <v>0.02</v>
      </c>
      <c r="BG207" s="1026"/>
      <c r="BH207" s="1026"/>
      <c r="BI207" s="1358"/>
      <c r="BJ207" s="1096"/>
      <c r="BK207" s="1196"/>
      <c r="BL207" s="1196"/>
      <c r="BM207" s="1196"/>
      <c r="BN207" s="1196"/>
      <c r="BO207" s="1359"/>
      <c r="BP207" s="1359"/>
      <c r="BQ207" s="1360"/>
      <c r="BR207" s="1361"/>
      <c r="BS207" s="1362"/>
      <c r="BT207" s="1363"/>
    </row>
    <row r="208" spans="1:73" s="1152" customFormat="1" ht="36" customHeight="1">
      <c r="A208" s="1028">
        <f>A203+1</f>
        <v>71</v>
      </c>
      <c r="B208" s="1365" t="s">
        <v>3390</v>
      </c>
      <c r="C208" s="1331" t="s">
        <v>3156</v>
      </c>
      <c r="D208" s="1120" t="s">
        <v>3087</v>
      </c>
      <c r="E208" s="1091" t="s">
        <v>40</v>
      </c>
      <c r="F208" s="1029">
        <f>G208+H208</f>
        <v>0.37</v>
      </c>
      <c r="G208" s="1097">
        <v>0.2</v>
      </c>
      <c r="H208" s="1029">
        <f>SUM(J208:BH208)</f>
        <v>0.17</v>
      </c>
      <c r="I208" s="1029">
        <v>2030</v>
      </c>
      <c r="J208" s="1026"/>
      <c r="K208" s="1026"/>
      <c r="L208" s="1026"/>
      <c r="M208" s="1026">
        <v>0.14000000000000001</v>
      </c>
      <c r="N208" s="1026"/>
      <c r="O208" s="1026"/>
      <c r="P208" s="1026"/>
      <c r="Q208" s="1026"/>
      <c r="R208" s="1026"/>
      <c r="S208" s="1026"/>
      <c r="T208" s="1026"/>
      <c r="U208" s="1026"/>
      <c r="V208" s="1026"/>
      <c r="W208" s="1026"/>
      <c r="X208" s="1026"/>
      <c r="Y208" s="1026"/>
      <c r="Z208" s="1026"/>
      <c r="AA208" s="1026"/>
      <c r="AB208" s="1026"/>
      <c r="AC208" s="1026"/>
      <c r="AD208" s="1026"/>
      <c r="AE208" s="1026"/>
      <c r="AF208" s="1026"/>
      <c r="AG208" s="1026"/>
      <c r="AH208" s="1026"/>
      <c r="AI208" s="1026"/>
      <c r="AJ208" s="1026"/>
      <c r="AK208" s="1026"/>
      <c r="AL208" s="1026"/>
      <c r="AM208" s="1026"/>
      <c r="AN208" s="1026"/>
      <c r="AO208" s="1026"/>
      <c r="AP208" s="1026"/>
      <c r="AQ208" s="1026"/>
      <c r="AR208" s="1026"/>
      <c r="AS208" s="1026"/>
      <c r="AT208" s="1026"/>
      <c r="AU208" s="1026"/>
      <c r="AV208" s="1026"/>
      <c r="AW208" s="1026"/>
      <c r="AX208" s="1026"/>
      <c r="AY208" s="1097">
        <v>0.01</v>
      </c>
      <c r="AZ208" s="1026"/>
      <c r="BA208" s="1026"/>
      <c r="BB208" s="1026"/>
      <c r="BC208" s="1026"/>
      <c r="BD208" s="1026"/>
      <c r="BE208" s="1026"/>
      <c r="BF208" s="1097">
        <v>0.02</v>
      </c>
      <c r="BG208" s="1027"/>
      <c r="BH208" s="1027"/>
      <c r="BI208" s="1319" t="s">
        <v>3391</v>
      </c>
      <c r="BJ208" s="1319" t="s">
        <v>3392</v>
      </c>
      <c r="BK208" s="1120" t="s">
        <v>3393</v>
      </c>
      <c r="BL208" s="1120"/>
      <c r="BM208" s="1120"/>
      <c r="BN208" s="1120" t="s">
        <v>298</v>
      </c>
      <c r="BO208" s="1121"/>
      <c r="BP208" s="1122">
        <v>1</v>
      </c>
      <c r="BQ208" s="1243"/>
      <c r="BR208" s="1366"/>
      <c r="BS208" s="1124"/>
      <c r="BT208" s="1125"/>
    </row>
    <row r="209" spans="1:73" ht="27" customHeight="1">
      <c r="A209" s="1208" t="s">
        <v>719</v>
      </c>
      <c r="B209" s="1367" t="s">
        <v>3394</v>
      </c>
      <c r="C209" s="1024"/>
      <c r="D209" s="1024"/>
      <c r="E209" s="1024"/>
      <c r="F209" s="1026">
        <f t="shared" si="43"/>
        <v>2.0900000000000003</v>
      </c>
      <c r="G209" s="1026">
        <f>G210</f>
        <v>0.22</v>
      </c>
      <c r="H209" s="1026">
        <f t="shared" si="54"/>
        <v>1.8700000000000003</v>
      </c>
      <c r="I209" s="1029"/>
      <c r="J209" s="1026">
        <f>J210</f>
        <v>0</v>
      </c>
      <c r="K209" s="1026">
        <f t="shared" ref="K209:O209" si="64">K210</f>
        <v>0.68</v>
      </c>
      <c r="L209" s="1026">
        <f t="shared" si="64"/>
        <v>0</v>
      </c>
      <c r="M209" s="1026">
        <f t="shared" si="64"/>
        <v>0.5</v>
      </c>
      <c r="N209" s="1026">
        <f t="shared" si="64"/>
        <v>0.11</v>
      </c>
      <c r="O209" s="1026">
        <f t="shared" si="64"/>
        <v>0</v>
      </c>
      <c r="P209" s="1026"/>
      <c r="Q209" s="1026"/>
      <c r="R209" s="1026"/>
      <c r="S209" s="1026">
        <f>S210</f>
        <v>0</v>
      </c>
      <c r="T209" s="1026">
        <f>T210</f>
        <v>0</v>
      </c>
      <c r="U209" s="1026">
        <f>U210</f>
        <v>0</v>
      </c>
      <c r="V209" s="1026"/>
      <c r="W209" s="1026">
        <f>W210</f>
        <v>0</v>
      </c>
      <c r="X209" s="1026"/>
      <c r="Y209" s="1026"/>
      <c r="Z209" s="1026"/>
      <c r="AA209" s="1026">
        <f>AA210</f>
        <v>0</v>
      </c>
      <c r="AB209" s="1026"/>
      <c r="AC209" s="1026">
        <f t="shared" ref="AC209:AI209" si="65">AC210</f>
        <v>0</v>
      </c>
      <c r="AD209" s="1026">
        <f t="shared" si="65"/>
        <v>0</v>
      </c>
      <c r="AE209" s="1026">
        <f t="shared" si="65"/>
        <v>0</v>
      </c>
      <c r="AF209" s="1026">
        <f t="shared" si="65"/>
        <v>0</v>
      </c>
      <c r="AG209" s="1026">
        <f t="shared" si="65"/>
        <v>0</v>
      </c>
      <c r="AH209" s="1026">
        <f t="shared" si="65"/>
        <v>0</v>
      </c>
      <c r="AI209" s="1026">
        <f t="shared" si="65"/>
        <v>0</v>
      </c>
      <c r="AJ209" s="1026"/>
      <c r="AK209" s="1026"/>
      <c r="AL209" s="1026"/>
      <c r="AM209" s="1026"/>
      <c r="AN209" s="1026"/>
      <c r="AO209" s="1026"/>
      <c r="AP209" s="1026"/>
      <c r="AQ209" s="1026"/>
      <c r="AR209" s="1026"/>
      <c r="AS209" s="1026"/>
      <c r="AT209" s="1026">
        <f>AT210</f>
        <v>0</v>
      </c>
      <c r="AU209" s="1026"/>
      <c r="AV209" s="1026"/>
      <c r="AW209" s="1026">
        <f>AW210</f>
        <v>0</v>
      </c>
      <c r="AX209" s="1026">
        <f>AX210</f>
        <v>7.0000000000000007E-2</v>
      </c>
      <c r="AY209" s="1026">
        <f>AY210</f>
        <v>0</v>
      </c>
      <c r="AZ209" s="1026">
        <f>AZ210</f>
        <v>0</v>
      </c>
      <c r="BA209" s="1026"/>
      <c r="BB209" s="1026"/>
      <c r="BC209" s="1026">
        <f>BC210</f>
        <v>0</v>
      </c>
      <c r="BD209" s="1026"/>
      <c r="BE209" s="1026"/>
      <c r="BF209" s="1026">
        <f>BF210</f>
        <v>0.51</v>
      </c>
      <c r="BG209" s="1027"/>
      <c r="BH209" s="1027"/>
      <c r="BI209" s="1024"/>
      <c r="BJ209" s="1368"/>
      <c r="BK209" s="1208"/>
      <c r="BL209" s="1208"/>
      <c r="BM209" s="1208"/>
      <c r="BN209" s="1208"/>
      <c r="BO209" s="1122"/>
      <c r="BS209" s="1210"/>
      <c r="BT209" s="1118"/>
    </row>
    <row r="210" spans="1:73" s="1126" customFormat="1" ht="71.45" customHeight="1">
      <c r="A210" s="1318">
        <f>A208+1</f>
        <v>72</v>
      </c>
      <c r="B210" s="1130" t="s">
        <v>3395</v>
      </c>
      <c r="C210" s="1032" t="s">
        <v>3023</v>
      </c>
      <c r="D210" s="1120" t="s">
        <v>3087</v>
      </c>
      <c r="E210" s="1032" t="s">
        <v>2764</v>
      </c>
      <c r="F210" s="1029">
        <f t="shared" si="43"/>
        <v>2.0900000000000003</v>
      </c>
      <c r="G210" s="1029">
        <v>0.22</v>
      </c>
      <c r="H210" s="1029">
        <f t="shared" si="54"/>
        <v>1.8700000000000003</v>
      </c>
      <c r="I210" s="1029">
        <v>2030</v>
      </c>
      <c r="J210" s="1029"/>
      <c r="K210" s="1029">
        <v>0.68</v>
      </c>
      <c r="L210" s="1029"/>
      <c r="M210" s="1029">
        <v>0.5</v>
      </c>
      <c r="N210" s="1029">
        <v>0.11</v>
      </c>
      <c r="O210" s="1029"/>
      <c r="P210" s="1029"/>
      <c r="Q210" s="1029"/>
      <c r="R210" s="1029"/>
      <c r="S210" s="1029"/>
      <c r="T210" s="1029"/>
      <c r="U210" s="1029"/>
      <c r="V210" s="1029"/>
      <c r="W210" s="1029"/>
      <c r="X210" s="1029"/>
      <c r="Y210" s="1029"/>
      <c r="Z210" s="1029"/>
      <c r="AA210" s="1029"/>
      <c r="AB210" s="1029"/>
      <c r="AC210" s="1029"/>
      <c r="AD210" s="1029"/>
      <c r="AE210" s="1029"/>
      <c r="AF210" s="1029"/>
      <c r="AG210" s="1029"/>
      <c r="AH210" s="1029"/>
      <c r="AI210" s="1029"/>
      <c r="AJ210" s="1029"/>
      <c r="AK210" s="1029"/>
      <c r="AL210" s="1029"/>
      <c r="AM210" s="1029"/>
      <c r="AN210" s="1029"/>
      <c r="AO210" s="1029"/>
      <c r="AP210" s="1029"/>
      <c r="AQ210" s="1029"/>
      <c r="AR210" s="1029"/>
      <c r="AS210" s="1029"/>
      <c r="AT210" s="1029"/>
      <c r="AU210" s="1029"/>
      <c r="AV210" s="1029"/>
      <c r="AW210" s="1029"/>
      <c r="AX210" s="1029">
        <v>7.0000000000000007E-2</v>
      </c>
      <c r="AY210" s="1029"/>
      <c r="AZ210" s="1029"/>
      <c r="BA210" s="1029"/>
      <c r="BB210" s="1029"/>
      <c r="BC210" s="1029"/>
      <c r="BD210" s="1029"/>
      <c r="BE210" s="1029"/>
      <c r="BF210" s="1029">
        <v>0.51</v>
      </c>
      <c r="BG210" s="1034"/>
      <c r="BH210" s="1034"/>
      <c r="BI210" s="1032" t="s">
        <v>3396</v>
      </c>
      <c r="BJ210" s="1120" t="s">
        <v>3397</v>
      </c>
      <c r="BK210" s="1120" t="s">
        <v>3398</v>
      </c>
      <c r="BL210" s="1120" t="s">
        <v>1917</v>
      </c>
      <c r="BM210" s="1120" t="s">
        <v>3399</v>
      </c>
      <c r="BN210" s="1120" t="s">
        <v>291</v>
      </c>
      <c r="BO210" s="1121"/>
      <c r="BP210" s="1122">
        <v>1</v>
      </c>
      <c r="BQ210" s="1179" t="s">
        <v>3228</v>
      </c>
      <c r="BR210" s="1123"/>
      <c r="BS210" s="1124" t="s">
        <v>3184</v>
      </c>
      <c r="BT210" s="1120" t="s">
        <v>3400</v>
      </c>
    </row>
    <row r="211" spans="1:73" ht="18.75" customHeight="1">
      <c r="A211" s="1023" t="s">
        <v>733</v>
      </c>
      <c r="B211" s="1207" t="s">
        <v>2765</v>
      </c>
      <c r="C211" s="1222"/>
      <c r="D211" s="1222"/>
      <c r="E211" s="1369"/>
      <c r="F211" s="1026">
        <f t="shared" si="43"/>
        <v>2.2000000000000002</v>
      </c>
      <c r="G211" s="1026"/>
      <c r="H211" s="1026">
        <f>SUM(H212:H213)</f>
        <v>2.2000000000000002</v>
      </c>
      <c r="I211" s="1029"/>
      <c r="J211" s="1026">
        <f>SUM(J212:J213)</f>
        <v>0</v>
      </c>
      <c r="K211" s="1026">
        <f t="shared" ref="K211:BH211" si="66">SUM(K212:K213)</f>
        <v>0.03</v>
      </c>
      <c r="L211" s="1026">
        <f t="shared" si="66"/>
        <v>0</v>
      </c>
      <c r="M211" s="1026">
        <f t="shared" si="66"/>
        <v>0</v>
      </c>
      <c r="N211" s="1026">
        <f t="shared" si="66"/>
        <v>0</v>
      </c>
      <c r="O211" s="1026">
        <f t="shared" si="66"/>
        <v>0</v>
      </c>
      <c r="P211" s="1026">
        <f t="shared" si="66"/>
        <v>0</v>
      </c>
      <c r="Q211" s="1026">
        <f t="shared" si="66"/>
        <v>0</v>
      </c>
      <c r="R211" s="1026">
        <f t="shared" si="66"/>
        <v>0</v>
      </c>
      <c r="S211" s="1026">
        <f t="shared" si="66"/>
        <v>2.17</v>
      </c>
      <c r="T211" s="1026">
        <f t="shared" si="66"/>
        <v>0</v>
      </c>
      <c r="U211" s="1026">
        <f t="shared" si="66"/>
        <v>0</v>
      </c>
      <c r="V211" s="1026">
        <f t="shared" si="66"/>
        <v>0</v>
      </c>
      <c r="W211" s="1026">
        <f t="shared" si="66"/>
        <v>0</v>
      </c>
      <c r="X211" s="1026">
        <f t="shared" si="66"/>
        <v>0</v>
      </c>
      <c r="Y211" s="1026">
        <f t="shared" si="66"/>
        <v>0</v>
      </c>
      <c r="Z211" s="1026">
        <f t="shared" si="66"/>
        <v>0</v>
      </c>
      <c r="AA211" s="1026">
        <f t="shared" si="66"/>
        <v>0</v>
      </c>
      <c r="AB211" s="1026">
        <f t="shared" si="66"/>
        <v>0</v>
      </c>
      <c r="AC211" s="1026">
        <f t="shared" si="66"/>
        <v>0</v>
      </c>
      <c r="AD211" s="1026">
        <f t="shared" si="66"/>
        <v>0</v>
      </c>
      <c r="AE211" s="1026">
        <f t="shared" si="66"/>
        <v>0</v>
      </c>
      <c r="AF211" s="1026">
        <f t="shared" si="66"/>
        <v>0</v>
      </c>
      <c r="AG211" s="1026">
        <f t="shared" si="66"/>
        <v>0</v>
      </c>
      <c r="AH211" s="1026">
        <f t="shared" si="66"/>
        <v>0</v>
      </c>
      <c r="AI211" s="1026">
        <f t="shared" si="66"/>
        <v>0</v>
      </c>
      <c r="AJ211" s="1026">
        <f t="shared" si="66"/>
        <v>0</v>
      </c>
      <c r="AK211" s="1026">
        <f t="shared" si="66"/>
        <v>0</v>
      </c>
      <c r="AL211" s="1026">
        <f t="shared" si="66"/>
        <v>0</v>
      </c>
      <c r="AM211" s="1026">
        <f t="shared" si="66"/>
        <v>0</v>
      </c>
      <c r="AN211" s="1026">
        <f t="shared" si="66"/>
        <v>0</v>
      </c>
      <c r="AO211" s="1026">
        <f t="shared" si="66"/>
        <v>0</v>
      </c>
      <c r="AP211" s="1026">
        <f t="shared" si="66"/>
        <v>0</v>
      </c>
      <c r="AQ211" s="1026">
        <f t="shared" si="66"/>
        <v>0</v>
      </c>
      <c r="AR211" s="1026">
        <f t="shared" si="66"/>
        <v>0</v>
      </c>
      <c r="AS211" s="1026">
        <f t="shared" si="66"/>
        <v>0</v>
      </c>
      <c r="AT211" s="1026">
        <f t="shared" si="66"/>
        <v>0</v>
      </c>
      <c r="AU211" s="1026">
        <f t="shared" si="66"/>
        <v>0</v>
      </c>
      <c r="AV211" s="1026">
        <f t="shared" si="66"/>
        <v>0</v>
      </c>
      <c r="AW211" s="1026">
        <f t="shared" si="66"/>
        <v>0</v>
      </c>
      <c r="AX211" s="1026">
        <f t="shared" si="66"/>
        <v>0</v>
      </c>
      <c r="AY211" s="1026">
        <f t="shared" si="66"/>
        <v>0</v>
      </c>
      <c r="AZ211" s="1026">
        <f t="shared" si="66"/>
        <v>0</v>
      </c>
      <c r="BA211" s="1026">
        <f t="shared" si="66"/>
        <v>0</v>
      </c>
      <c r="BB211" s="1026">
        <f t="shared" si="66"/>
        <v>0</v>
      </c>
      <c r="BC211" s="1026">
        <f t="shared" si="66"/>
        <v>0</v>
      </c>
      <c r="BD211" s="1026">
        <f t="shared" si="66"/>
        <v>0</v>
      </c>
      <c r="BE211" s="1026">
        <f t="shared" si="66"/>
        <v>0</v>
      </c>
      <c r="BF211" s="1026">
        <f t="shared" si="66"/>
        <v>0</v>
      </c>
      <c r="BG211" s="1027">
        <f t="shared" si="66"/>
        <v>0</v>
      </c>
      <c r="BH211" s="1027">
        <f t="shared" si="66"/>
        <v>0</v>
      </c>
      <c r="BI211" s="1222"/>
      <c r="BJ211" s="1208"/>
      <c r="BK211" s="1208"/>
      <c r="BL211" s="1208"/>
      <c r="BM211" s="1208"/>
      <c r="BN211" s="1208"/>
      <c r="BO211" s="1122"/>
      <c r="BS211" s="1210"/>
      <c r="BT211" s="1118"/>
    </row>
    <row r="212" spans="1:73" s="1177" customFormat="1" ht="92.45" customHeight="1">
      <c r="A212" s="1028">
        <f>A210+1</f>
        <v>73</v>
      </c>
      <c r="B212" s="1316" t="s">
        <v>3401</v>
      </c>
      <c r="C212" s="1032" t="s">
        <v>3015</v>
      </c>
      <c r="D212" s="1120" t="s">
        <v>3087</v>
      </c>
      <c r="E212" s="1370" t="s">
        <v>37</v>
      </c>
      <c r="F212" s="1029">
        <f t="shared" si="43"/>
        <v>0.5</v>
      </c>
      <c r="G212" s="1031"/>
      <c r="H212" s="1029">
        <f>SUM(J212:BF212)</f>
        <v>0.5</v>
      </c>
      <c r="I212" s="1029">
        <v>2030</v>
      </c>
      <c r="J212" s="1029"/>
      <c r="K212" s="1029">
        <v>0.03</v>
      </c>
      <c r="L212" s="1029"/>
      <c r="M212" s="1029"/>
      <c r="N212" s="1031"/>
      <c r="O212" s="1029"/>
      <c r="P212" s="1029"/>
      <c r="Q212" s="1029"/>
      <c r="R212" s="1029"/>
      <c r="S212" s="1029">
        <v>0.47</v>
      </c>
      <c r="T212" s="1029"/>
      <c r="U212" s="1029"/>
      <c r="V212" s="1029"/>
      <c r="W212" s="1029"/>
      <c r="X212" s="1029"/>
      <c r="Y212" s="1029"/>
      <c r="Z212" s="1029"/>
      <c r="AA212" s="1029"/>
      <c r="AB212" s="1029"/>
      <c r="AC212" s="1029"/>
      <c r="AD212" s="1029"/>
      <c r="AE212" s="1029"/>
      <c r="AF212" s="1029"/>
      <c r="AG212" s="1029"/>
      <c r="AH212" s="1029"/>
      <c r="AI212" s="1029"/>
      <c r="AJ212" s="1029"/>
      <c r="AK212" s="1029"/>
      <c r="AL212" s="1029"/>
      <c r="AM212" s="1029"/>
      <c r="AN212" s="1029"/>
      <c r="AO212" s="1029"/>
      <c r="AP212" s="1029"/>
      <c r="AQ212" s="1029"/>
      <c r="AR212" s="1029"/>
      <c r="AS212" s="1029"/>
      <c r="AT212" s="1029"/>
      <c r="AU212" s="1029"/>
      <c r="AV212" s="1029"/>
      <c r="AW212" s="1029"/>
      <c r="AX212" s="1029"/>
      <c r="AY212" s="1029"/>
      <c r="AZ212" s="1029"/>
      <c r="BA212" s="1029"/>
      <c r="BB212" s="1029"/>
      <c r="BC212" s="1029"/>
      <c r="BD212" s="1029"/>
      <c r="BE212" s="1029"/>
      <c r="BF212" s="1029"/>
      <c r="BG212" s="1029"/>
      <c r="BH212" s="1029"/>
      <c r="BI212" s="1032" t="s">
        <v>3402</v>
      </c>
      <c r="BJ212" s="1120" t="s">
        <v>3403</v>
      </c>
      <c r="BK212" s="1220" t="s">
        <v>3404</v>
      </c>
      <c r="BL212" s="1337" t="s">
        <v>1923</v>
      </c>
      <c r="BM212" s="1120" t="s">
        <v>3091</v>
      </c>
      <c r="BN212" s="1120" t="s">
        <v>291</v>
      </c>
      <c r="BO212" s="1121"/>
      <c r="BP212" s="1121">
        <v>1</v>
      </c>
      <c r="BQ212" s="1246" t="s">
        <v>3307</v>
      </c>
      <c r="BR212" s="1232" t="s">
        <v>3405</v>
      </c>
      <c r="BS212" s="1124" t="s">
        <v>291</v>
      </c>
      <c r="BT212" s="1221"/>
    </row>
    <row r="213" spans="1:73" s="1177" customFormat="1" ht="111.95" customHeight="1">
      <c r="A213" s="1028">
        <f>+A212+1</f>
        <v>74</v>
      </c>
      <c r="B213" s="1215" t="s">
        <v>3406</v>
      </c>
      <c r="C213" s="1032"/>
      <c r="D213" s="1032"/>
      <c r="E213" s="1370"/>
      <c r="F213" s="1029">
        <f t="shared" si="43"/>
        <v>1.7</v>
      </c>
      <c r="G213" s="1031"/>
      <c r="H213" s="1029">
        <f>SUM(J213:BF213)</f>
        <v>1.7</v>
      </c>
      <c r="I213" s="1029">
        <v>2030</v>
      </c>
      <c r="J213" s="1029"/>
      <c r="K213" s="1029"/>
      <c r="L213" s="1029"/>
      <c r="M213" s="1029"/>
      <c r="N213" s="1031"/>
      <c r="O213" s="1029"/>
      <c r="P213" s="1029"/>
      <c r="Q213" s="1029"/>
      <c r="R213" s="1029"/>
      <c r="S213" s="1029">
        <v>1.7</v>
      </c>
      <c r="T213" s="1029"/>
      <c r="U213" s="1029"/>
      <c r="V213" s="1029"/>
      <c r="W213" s="1029"/>
      <c r="X213" s="1029"/>
      <c r="Y213" s="1029"/>
      <c r="Z213" s="1029"/>
      <c r="AA213" s="1029"/>
      <c r="AB213" s="1029"/>
      <c r="AC213" s="1029"/>
      <c r="AD213" s="1029"/>
      <c r="AE213" s="1029"/>
      <c r="AF213" s="1029"/>
      <c r="AG213" s="1029"/>
      <c r="AH213" s="1029"/>
      <c r="AI213" s="1029"/>
      <c r="AJ213" s="1029"/>
      <c r="AK213" s="1029"/>
      <c r="AL213" s="1029"/>
      <c r="AM213" s="1029"/>
      <c r="AN213" s="1029"/>
      <c r="AO213" s="1029"/>
      <c r="AP213" s="1029"/>
      <c r="AQ213" s="1029"/>
      <c r="AR213" s="1029"/>
      <c r="AS213" s="1029"/>
      <c r="AT213" s="1029"/>
      <c r="AU213" s="1029"/>
      <c r="AV213" s="1029"/>
      <c r="AW213" s="1029"/>
      <c r="AX213" s="1029"/>
      <c r="AY213" s="1029"/>
      <c r="AZ213" s="1029"/>
      <c r="BA213" s="1029"/>
      <c r="BB213" s="1029"/>
      <c r="BC213" s="1029"/>
      <c r="BD213" s="1029"/>
      <c r="BE213" s="1029"/>
      <c r="BF213" s="1029"/>
      <c r="BG213" s="1029"/>
      <c r="BH213" s="1029"/>
      <c r="BI213" s="1032" t="s">
        <v>3407</v>
      </c>
      <c r="BJ213" s="1120" t="s">
        <v>3408</v>
      </c>
      <c r="BK213" s="1120" t="s">
        <v>3159</v>
      </c>
      <c r="BL213" s="1120" t="s">
        <v>1917</v>
      </c>
      <c r="BM213" s="1120" t="s">
        <v>3153</v>
      </c>
      <c r="BN213" s="1120" t="s">
        <v>291</v>
      </c>
      <c r="BO213" s="1121"/>
      <c r="BP213" s="1121">
        <v>1</v>
      </c>
      <c r="BQ213" s="1243" t="s">
        <v>3307</v>
      </c>
      <c r="BR213" s="1232" t="s">
        <v>3409</v>
      </c>
      <c r="BS213" s="1124" t="s">
        <v>291</v>
      </c>
      <c r="BT213" s="1221"/>
    </row>
    <row r="214" spans="1:73" s="1254" customFormat="1" hidden="1">
      <c r="A214" s="1040"/>
      <c r="B214" s="1233"/>
      <c r="C214" s="1046" t="s">
        <v>3016</v>
      </c>
      <c r="D214" s="1120" t="s">
        <v>3087</v>
      </c>
      <c r="E214" s="1371" t="s">
        <v>37</v>
      </c>
      <c r="F214" s="1041">
        <f t="shared" ref="F214:F215" si="67">G214+H214</f>
        <v>0.85</v>
      </c>
      <c r="G214" s="1042"/>
      <c r="H214" s="1041">
        <f t="shared" ref="H214:H215" si="68">SUM(J214:BF214)</f>
        <v>0.85</v>
      </c>
      <c r="I214" s="1029">
        <v>2030</v>
      </c>
      <c r="J214" s="1041"/>
      <c r="K214" s="1041"/>
      <c r="L214" s="1041"/>
      <c r="M214" s="1041"/>
      <c r="N214" s="1042"/>
      <c r="O214" s="1041"/>
      <c r="P214" s="1041"/>
      <c r="Q214" s="1041"/>
      <c r="R214" s="1041"/>
      <c r="S214" s="1041">
        <v>0.85</v>
      </c>
      <c r="T214" s="1041"/>
      <c r="U214" s="1041"/>
      <c r="V214" s="1041"/>
      <c r="W214" s="1041"/>
      <c r="X214" s="1041"/>
      <c r="Y214" s="1041"/>
      <c r="Z214" s="1041"/>
      <c r="AA214" s="1041"/>
      <c r="AB214" s="1041"/>
      <c r="AC214" s="1041"/>
      <c r="AD214" s="1041"/>
      <c r="AE214" s="1041"/>
      <c r="AF214" s="1041"/>
      <c r="AG214" s="1041"/>
      <c r="AH214" s="1041"/>
      <c r="AI214" s="1041"/>
      <c r="AJ214" s="1041"/>
      <c r="AK214" s="1041"/>
      <c r="AL214" s="1041"/>
      <c r="AM214" s="1041"/>
      <c r="AN214" s="1041"/>
      <c r="AO214" s="1041"/>
      <c r="AP214" s="1041"/>
      <c r="AQ214" s="1041"/>
      <c r="AR214" s="1041"/>
      <c r="AS214" s="1041"/>
      <c r="AT214" s="1041"/>
      <c r="AU214" s="1041"/>
      <c r="AV214" s="1041"/>
      <c r="AW214" s="1041"/>
      <c r="AX214" s="1041"/>
      <c r="AY214" s="1041"/>
      <c r="AZ214" s="1041"/>
      <c r="BA214" s="1041"/>
      <c r="BB214" s="1041"/>
      <c r="BC214" s="1041"/>
      <c r="BD214" s="1041"/>
      <c r="BE214" s="1041"/>
      <c r="BF214" s="1041"/>
      <c r="BG214" s="1041"/>
      <c r="BH214" s="1041"/>
      <c r="BI214" s="1046"/>
      <c r="BJ214" s="1234"/>
      <c r="BK214" s="1234"/>
      <c r="BL214" s="1234"/>
      <c r="BM214" s="1234"/>
      <c r="BN214" s="1234"/>
      <c r="BO214" s="1238"/>
      <c r="BP214" s="1238"/>
      <c r="BQ214" s="1244"/>
      <c r="BR214" s="1239"/>
      <c r="BS214" s="1241"/>
      <c r="BT214" s="1252"/>
    </row>
    <row r="215" spans="1:73" s="1254" customFormat="1" hidden="1">
      <c r="A215" s="1040"/>
      <c r="B215" s="1233"/>
      <c r="C215" s="1046" t="s">
        <v>3018</v>
      </c>
      <c r="D215" s="1120" t="s">
        <v>3087</v>
      </c>
      <c r="E215" s="1371" t="s">
        <v>37</v>
      </c>
      <c r="F215" s="1041">
        <f t="shared" si="67"/>
        <v>0.85</v>
      </c>
      <c r="G215" s="1042"/>
      <c r="H215" s="1041">
        <f t="shared" si="68"/>
        <v>0.85</v>
      </c>
      <c r="I215" s="1029">
        <v>2030</v>
      </c>
      <c r="J215" s="1041"/>
      <c r="K215" s="1041"/>
      <c r="L215" s="1041"/>
      <c r="M215" s="1041"/>
      <c r="N215" s="1042"/>
      <c r="O215" s="1041"/>
      <c r="P215" s="1041"/>
      <c r="Q215" s="1041"/>
      <c r="R215" s="1041"/>
      <c r="S215" s="1041">
        <v>0.15</v>
      </c>
      <c r="T215" s="1041">
        <v>0.7</v>
      </c>
      <c r="U215" s="1041"/>
      <c r="V215" s="1041"/>
      <c r="W215" s="1041"/>
      <c r="X215" s="1041"/>
      <c r="Y215" s="1041"/>
      <c r="Z215" s="1041"/>
      <c r="AA215" s="1041"/>
      <c r="AB215" s="1041"/>
      <c r="AC215" s="1041"/>
      <c r="AD215" s="1041"/>
      <c r="AE215" s="1041"/>
      <c r="AF215" s="1041"/>
      <c r="AG215" s="1041"/>
      <c r="AH215" s="1041"/>
      <c r="AI215" s="1041"/>
      <c r="AJ215" s="1041"/>
      <c r="AK215" s="1041"/>
      <c r="AL215" s="1041"/>
      <c r="AM215" s="1041"/>
      <c r="AN215" s="1041"/>
      <c r="AO215" s="1041"/>
      <c r="AP215" s="1041"/>
      <c r="AQ215" s="1041"/>
      <c r="AR215" s="1041"/>
      <c r="AS215" s="1041"/>
      <c r="AT215" s="1041"/>
      <c r="AU215" s="1041"/>
      <c r="AV215" s="1041"/>
      <c r="AW215" s="1041"/>
      <c r="AX215" s="1041"/>
      <c r="AY215" s="1041"/>
      <c r="AZ215" s="1041"/>
      <c r="BA215" s="1041"/>
      <c r="BB215" s="1041"/>
      <c r="BC215" s="1041"/>
      <c r="BD215" s="1041"/>
      <c r="BE215" s="1041"/>
      <c r="BF215" s="1041"/>
      <c r="BG215" s="1041"/>
      <c r="BH215" s="1041"/>
      <c r="BI215" s="1046"/>
      <c r="BJ215" s="1234"/>
      <c r="BK215" s="1234"/>
      <c r="BL215" s="1234"/>
      <c r="BM215" s="1234"/>
      <c r="BN215" s="1234"/>
      <c r="BO215" s="1238"/>
      <c r="BP215" s="1238"/>
      <c r="BQ215" s="1244"/>
      <c r="BR215" s="1239"/>
      <c r="BS215" s="1241"/>
      <c r="BT215" s="1252"/>
    </row>
    <row r="216" spans="1:73" s="1118" customFormat="1" ht="18.95" customHeight="1">
      <c r="A216" s="1098" t="s">
        <v>739</v>
      </c>
      <c r="B216" s="1213" t="s">
        <v>108</v>
      </c>
      <c r="C216" s="1208"/>
      <c r="D216" s="1208"/>
      <c r="E216" s="1125"/>
      <c r="F216" s="1026">
        <f>F217</f>
        <v>8.8999999999999986</v>
      </c>
      <c r="G216" s="1026">
        <f>G217</f>
        <v>0</v>
      </c>
      <c r="H216" s="1029">
        <f>SUM(J216:BF216)</f>
        <v>8.8999999999999986</v>
      </c>
      <c r="I216" s="1029"/>
      <c r="J216" s="1026">
        <f>J217</f>
        <v>3.65</v>
      </c>
      <c r="K216" s="1026">
        <f t="shared" ref="K216:BH216" si="69">K217</f>
        <v>0</v>
      </c>
      <c r="L216" s="1026">
        <f t="shared" si="69"/>
        <v>0</v>
      </c>
      <c r="M216" s="1026">
        <f t="shared" si="69"/>
        <v>1</v>
      </c>
      <c r="N216" s="1026">
        <f t="shared" si="69"/>
        <v>1.1000000000000001</v>
      </c>
      <c r="O216" s="1026">
        <f t="shared" si="69"/>
        <v>0</v>
      </c>
      <c r="P216" s="1026">
        <f t="shared" si="69"/>
        <v>0</v>
      </c>
      <c r="Q216" s="1026">
        <f t="shared" si="69"/>
        <v>0</v>
      </c>
      <c r="R216" s="1026">
        <f t="shared" si="69"/>
        <v>0</v>
      </c>
      <c r="S216" s="1026">
        <f t="shared" si="69"/>
        <v>2.5</v>
      </c>
      <c r="T216" s="1026">
        <f t="shared" si="69"/>
        <v>0</v>
      </c>
      <c r="U216" s="1026">
        <f t="shared" si="69"/>
        <v>0</v>
      </c>
      <c r="V216" s="1026">
        <f t="shared" si="69"/>
        <v>0</v>
      </c>
      <c r="W216" s="1026">
        <f t="shared" si="69"/>
        <v>0</v>
      </c>
      <c r="X216" s="1026">
        <f t="shared" si="69"/>
        <v>0</v>
      </c>
      <c r="Y216" s="1026">
        <f t="shared" si="69"/>
        <v>0</v>
      </c>
      <c r="Z216" s="1026">
        <f t="shared" si="69"/>
        <v>0</v>
      </c>
      <c r="AA216" s="1026">
        <f t="shared" si="69"/>
        <v>0</v>
      </c>
      <c r="AB216" s="1026">
        <f t="shared" si="69"/>
        <v>0</v>
      </c>
      <c r="AC216" s="1026">
        <f t="shared" si="69"/>
        <v>0</v>
      </c>
      <c r="AD216" s="1026">
        <f t="shared" si="69"/>
        <v>0</v>
      </c>
      <c r="AE216" s="1026">
        <f t="shared" si="69"/>
        <v>0</v>
      </c>
      <c r="AF216" s="1026">
        <f t="shared" si="69"/>
        <v>0</v>
      </c>
      <c r="AG216" s="1026">
        <f t="shared" si="69"/>
        <v>0</v>
      </c>
      <c r="AH216" s="1026">
        <f t="shared" si="69"/>
        <v>0</v>
      </c>
      <c r="AI216" s="1026">
        <f t="shared" si="69"/>
        <v>0</v>
      </c>
      <c r="AJ216" s="1026">
        <f t="shared" si="69"/>
        <v>0</v>
      </c>
      <c r="AK216" s="1026">
        <f t="shared" si="69"/>
        <v>0</v>
      </c>
      <c r="AL216" s="1026">
        <f t="shared" si="69"/>
        <v>0</v>
      </c>
      <c r="AM216" s="1026">
        <f t="shared" si="69"/>
        <v>0</v>
      </c>
      <c r="AN216" s="1026">
        <f t="shared" si="69"/>
        <v>0</v>
      </c>
      <c r="AO216" s="1026">
        <f t="shared" si="69"/>
        <v>0</v>
      </c>
      <c r="AP216" s="1026">
        <f t="shared" si="69"/>
        <v>0</v>
      </c>
      <c r="AQ216" s="1026">
        <f t="shared" si="69"/>
        <v>0</v>
      </c>
      <c r="AR216" s="1026">
        <f t="shared" si="69"/>
        <v>0</v>
      </c>
      <c r="AS216" s="1026">
        <f t="shared" si="69"/>
        <v>0</v>
      </c>
      <c r="AT216" s="1026">
        <f t="shared" si="69"/>
        <v>0</v>
      </c>
      <c r="AU216" s="1026">
        <f t="shared" si="69"/>
        <v>0</v>
      </c>
      <c r="AV216" s="1026">
        <f t="shared" si="69"/>
        <v>0</v>
      </c>
      <c r="AW216" s="1026">
        <f t="shared" si="69"/>
        <v>0</v>
      </c>
      <c r="AX216" s="1026">
        <f t="shared" si="69"/>
        <v>0</v>
      </c>
      <c r="AY216" s="1026">
        <f t="shared" si="69"/>
        <v>0.2</v>
      </c>
      <c r="AZ216" s="1026">
        <f t="shared" si="69"/>
        <v>0</v>
      </c>
      <c r="BA216" s="1026">
        <f t="shared" si="69"/>
        <v>0</v>
      </c>
      <c r="BB216" s="1026">
        <f t="shared" si="69"/>
        <v>0</v>
      </c>
      <c r="BC216" s="1026">
        <f t="shared" si="69"/>
        <v>0</v>
      </c>
      <c r="BD216" s="1026">
        <f t="shared" si="69"/>
        <v>0</v>
      </c>
      <c r="BE216" s="1026">
        <f t="shared" si="69"/>
        <v>0</v>
      </c>
      <c r="BF216" s="1026">
        <f t="shared" si="69"/>
        <v>0.45</v>
      </c>
      <c r="BG216" s="1027">
        <f t="shared" si="69"/>
        <v>0</v>
      </c>
      <c r="BH216" s="1027">
        <f t="shared" si="69"/>
        <v>0</v>
      </c>
      <c r="BI216" s="1208"/>
      <c r="BJ216" s="1208"/>
      <c r="BK216" s="1208"/>
      <c r="BL216" s="1208"/>
      <c r="BM216" s="1208"/>
      <c r="BN216" s="1208"/>
      <c r="BO216" s="1122"/>
      <c r="BP216" s="1121"/>
      <c r="BQ216" s="1179"/>
      <c r="BR216" s="1179"/>
      <c r="BS216" s="1210"/>
    </row>
    <row r="217" spans="1:73" ht="86.45" customHeight="1">
      <c r="A217" s="1028">
        <f>A213+1</f>
        <v>75</v>
      </c>
      <c r="B217" s="1215" t="s">
        <v>3148</v>
      </c>
      <c r="C217" s="1119" t="s">
        <v>3156</v>
      </c>
      <c r="D217" s="1120" t="s">
        <v>3087</v>
      </c>
      <c r="E217" s="1120" t="s">
        <v>57</v>
      </c>
      <c r="F217" s="1029">
        <f>G217+H217</f>
        <v>8.8999999999999986</v>
      </c>
      <c r="G217" s="1031"/>
      <c r="H217" s="1029">
        <f>SUM(J217:BF217)</f>
        <v>8.8999999999999986</v>
      </c>
      <c r="I217" s="1029">
        <v>2030</v>
      </c>
      <c r="J217" s="1372">
        <v>3.65</v>
      </c>
      <c r="K217" s="1372"/>
      <c r="L217" s="1372"/>
      <c r="M217" s="1372">
        <v>1</v>
      </c>
      <c r="N217" s="1372">
        <v>1.1000000000000001</v>
      </c>
      <c r="O217" s="1031"/>
      <c r="P217" s="1031"/>
      <c r="Q217" s="1031"/>
      <c r="R217" s="1031"/>
      <c r="S217" s="1029">
        <f>3-0.5</f>
        <v>2.5</v>
      </c>
      <c r="T217" s="1031"/>
      <c r="U217" s="1372"/>
      <c r="V217" s="1372"/>
      <c r="W217" s="1031"/>
      <c r="X217" s="1031"/>
      <c r="Y217" s="1031"/>
      <c r="Z217" s="1031"/>
      <c r="AA217" s="1031"/>
      <c r="AB217" s="1031"/>
      <c r="AC217" s="1031"/>
      <c r="AD217" s="1031"/>
      <c r="AE217" s="1031"/>
      <c r="AF217" s="1031"/>
      <c r="AG217" s="1031"/>
      <c r="AH217" s="1031"/>
      <c r="AI217" s="1031"/>
      <c r="AJ217" s="1031"/>
      <c r="AK217" s="1031"/>
      <c r="AL217" s="1031"/>
      <c r="AM217" s="1031"/>
      <c r="AN217" s="1031"/>
      <c r="AO217" s="1031"/>
      <c r="AP217" s="1031"/>
      <c r="AQ217" s="1031"/>
      <c r="AR217" s="1031"/>
      <c r="AS217" s="1031"/>
      <c r="AT217" s="1031"/>
      <c r="AU217" s="1031"/>
      <c r="AV217" s="1031"/>
      <c r="AW217" s="1372"/>
      <c r="AX217" s="1372"/>
      <c r="AY217" s="1372">
        <v>0.2</v>
      </c>
      <c r="AZ217" s="1372"/>
      <c r="BA217" s="1372"/>
      <c r="BB217" s="1372"/>
      <c r="BC217" s="1031"/>
      <c r="BD217" s="1031"/>
      <c r="BE217" s="1031"/>
      <c r="BF217" s="1031">
        <v>0.45</v>
      </c>
      <c r="BG217" s="1031"/>
      <c r="BH217" s="1031"/>
      <c r="BI217" s="1119" t="s">
        <v>3156</v>
      </c>
      <c r="BJ217" s="1120" t="s">
        <v>3410</v>
      </c>
      <c r="BK217" s="1119" t="s">
        <v>3411</v>
      </c>
      <c r="BL217" s="1119" t="s">
        <v>1917</v>
      </c>
      <c r="BM217" s="1120" t="s">
        <v>3153</v>
      </c>
      <c r="BN217" s="1120" t="s">
        <v>291</v>
      </c>
      <c r="BP217" s="1121">
        <v>1</v>
      </c>
      <c r="BQ217" s="1243" t="s">
        <v>3154</v>
      </c>
      <c r="BR217" s="1232" t="s">
        <v>3155</v>
      </c>
      <c r="BS217" s="1124" t="s">
        <v>291</v>
      </c>
      <c r="BT217" s="1118"/>
    </row>
    <row r="218" spans="1:73" ht="23.45" customHeight="1">
      <c r="A218" s="1023" t="s">
        <v>820</v>
      </c>
      <c r="B218" s="1213" t="s">
        <v>95</v>
      </c>
      <c r="C218" s="1217"/>
      <c r="D218" s="1217"/>
      <c r="E218" s="1125"/>
      <c r="F218" s="1026">
        <f>SUM(F469:F470)</f>
        <v>0.76</v>
      </c>
      <c r="G218" s="1026">
        <f>SUM(G219:G219)</f>
        <v>0</v>
      </c>
      <c r="H218" s="1026">
        <f>SUM(J218:BF218)</f>
        <v>0.27</v>
      </c>
      <c r="I218" s="1029"/>
      <c r="J218" s="1026">
        <f t="shared" ref="J218:BH218" si="70">SUM(J219:J219)</f>
        <v>0.27</v>
      </c>
      <c r="K218" s="1026">
        <f t="shared" si="70"/>
        <v>0</v>
      </c>
      <c r="L218" s="1026">
        <f t="shared" si="70"/>
        <v>0</v>
      </c>
      <c r="M218" s="1026">
        <f t="shared" si="70"/>
        <v>0</v>
      </c>
      <c r="N218" s="1026">
        <f t="shared" si="70"/>
        <v>0</v>
      </c>
      <c r="O218" s="1026">
        <f t="shared" si="70"/>
        <v>0</v>
      </c>
      <c r="P218" s="1026">
        <f t="shared" si="70"/>
        <v>0</v>
      </c>
      <c r="Q218" s="1026">
        <f t="shared" si="70"/>
        <v>0</v>
      </c>
      <c r="R218" s="1026">
        <f t="shared" si="70"/>
        <v>0</v>
      </c>
      <c r="S218" s="1026">
        <f t="shared" si="70"/>
        <v>0</v>
      </c>
      <c r="T218" s="1026">
        <f t="shared" si="70"/>
        <v>0</v>
      </c>
      <c r="U218" s="1026">
        <f t="shared" si="70"/>
        <v>0</v>
      </c>
      <c r="V218" s="1026">
        <f t="shared" si="70"/>
        <v>0</v>
      </c>
      <c r="W218" s="1026">
        <f t="shared" si="70"/>
        <v>0</v>
      </c>
      <c r="X218" s="1026">
        <f t="shared" si="70"/>
        <v>0</v>
      </c>
      <c r="Y218" s="1026">
        <f t="shared" si="70"/>
        <v>0</v>
      </c>
      <c r="Z218" s="1026">
        <f t="shared" si="70"/>
        <v>0</v>
      </c>
      <c r="AA218" s="1026">
        <f t="shared" si="70"/>
        <v>0</v>
      </c>
      <c r="AB218" s="1026">
        <f t="shared" si="70"/>
        <v>0</v>
      </c>
      <c r="AC218" s="1026">
        <f t="shared" si="70"/>
        <v>0</v>
      </c>
      <c r="AD218" s="1026">
        <f t="shared" si="70"/>
        <v>0</v>
      </c>
      <c r="AE218" s="1026">
        <f t="shared" si="70"/>
        <v>0</v>
      </c>
      <c r="AF218" s="1026">
        <f t="shared" si="70"/>
        <v>0</v>
      </c>
      <c r="AG218" s="1026">
        <f t="shared" si="70"/>
        <v>0</v>
      </c>
      <c r="AH218" s="1026">
        <f t="shared" si="70"/>
        <v>0</v>
      </c>
      <c r="AI218" s="1026">
        <f t="shared" si="70"/>
        <v>0</v>
      </c>
      <c r="AJ218" s="1026">
        <f t="shared" si="70"/>
        <v>0</v>
      </c>
      <c r="AK218" s="1026">
        <f t="shared" si="70"/>
        <v>0</v>
      </c>
      <c r="AL218" s="1026">
        <f t="shared" si="70"/>
        <v>0</v>
      </c>
      <c r="AM218" s="1026">
        <f t="shared" si="70"/>
        <v>0</v>
      </c>
      <c r="AN218" s="1026">
        <f t="shared" si="70"/>
        <v>0</v>
      </c>
      <c r="AO218" s="1026">
        <f t="shared" si="70"/>
        <v>0</v>
      </c>
      <c r="AP218" s="1026">
        <f t="shared" si="70"/>
        <v>0</v>
      </c>
      <c r="AQ218" s="1026">
        <f t="shared" si="70"/>
        <v>0</v>
      </c>
      <c r="AR218" s="1026">
        <f t="shared" si="70"/>
        <v>0</v>
      </c>
      <c r="AS218" s="1026">
        <f t="shared" si="70"/>
        <v>0</v>
      </c>
      <c r="AT218" s="1026">
        <f t="shared" si="70"/>
        <v>0</v>
      </c>
      <c r="AU218" s="1026">
        <f t="shared" si="70"/>
        <v>0</v>
      </c>
      <c r="AV218" s="1026">
        <f t="shared" si="70"/>
        <v>0</v>
      </c>
      <c r="AW218" s="1026">
        <f t="shared" si="70"/>
        <v>0</v>
      </c>
      <c r="AX218" s="1026">
        <f t="shared" si="70"/>
        <v>0</v>
      </c>
      <c r="AY218" s="1026">
        <f t="shared" si="70"/>
        <v>0</v>
      </c>
      <c r="AZ218" s="1026">
        <f t="shared" si="70"/>
        <v>0</v>
      </c>
      <c r="BA218" s="1026">
        <f t="shared" si="70"/>
        <v>0</v>
      </c>
      <c r="BB218" s="1026">
        <f t="shared" si="70"/>
        <v>0</v>
      </c>
      <c r="BC218" s="1026">
        <f t="shared" si="70"/>
        <v>0</v>
      </c>
      <c r="BD218" s="1026">
        <f t="shared" si="70"/>
        <v>0</v>
      </c>
      <c r="BE218" s="1026">
        <f t="shared" si="70"/>
        <v>0</v>
      </c>
      <c r="BF218" s="1026">
        <f t="shared" si="70"/>
        <v>0</v>
      </c>
      <c r="BG218" s="1027">
        <f t="shared" si="70"/>
        <v>0</v>
      </c>
      <c r="BH218" s="1027">
        <f t="shared" si="70"/>
        <v>0</v>
      </c>
      <c r="BI218" s="1027">
        <f>SUM(BI469:BI470)</f>
        <v>0</v>
      </c>
      <c r="BJ218" s="1208"/>
      <c r="BK218" s="1217"/>
      <c r="BL218" s="1119"/>
      <c r="BM218" s="1120"/>
      <c r="BN218" s="1120"/>
      <c r="BO218" s="1122"/>
      <c r="BS218" s="1210"/>
      <c r="BT218" s="1118"/>
    </row>
    <row r="219" spans="1:73" s="1126" customFormat="1" ht="74.25" customHeight="1">
      <c r="A219" s="1028">
        <f>A217+1</f>
        <v>76</v>
      </c>
      <c r="B219" s="1317" t="s">
        <v>3412</v>
      </c>
      <c r="C219" s="1083" t="s">
        <v>3013</v>
      </c>
      <c r="D219" s="1120" t="s">
        <v>3087</v>
      </c>
      <c r="E219" s="1083" t="s">
        <v>24</v>
      </c>
      <c r="F219" s="1029">
        <v>0.27</v>
      </c>
      <c r="G219" s="1029"/>
      <c r="H219" s="1173">
        <f>SUM(J219:BH219)</f>
        <v>0.27</v>
      </c>
      <c r="I219" s="1029">
        <v>2030</v>
      </c>
      <c r="J219" s="1073">
        <v>0.27</v>
      </c>
      <c r="K219" s="1029"/>
      <c r="L219" s="1029"/>
      <c r="M219" s="1029"/>
      <c r="N219" s="1029"/>
      <c r="O219" s="1029"/>
      <c r="P219" s="1029"/>
      <c r="Q219" s="1029"/>
      <c r="R219" s="1029"/>
      <c r="S219" s="1029"/>
      <c r="T219" s="1029"/>
      <c r="U219" s="1029"/>
      <c r="V219" s="1029"/>
      <c r="W219" s="1029"/>
      <c r="X219" s="1029"/>
      <c r="Y219" s="1029"/>
      <c r="Z219" s="1029"/>
      <c r="AA219" s="1029"/>
      <c r="AB219" s="1029"/>
      <c r="AC219" s="1029"/>
      <c r="AD219" s="1029"/>
      <c r="AE219" s="1029"/>
      <c r="AF219" s="1029"/>
      <c r="AG219" s="1029"/>
      <c r="AH219" s="1029"/>
      <c r="AI219" s="1029"/>
      <c r="AJ219" s="1029"/>
      <c r="AK219" s="1029"/>
      <c r="AL219" s="1029"/>
      <c r="AM219" s="1029"/>
      <c r="AN219" s="1029"/>
      <c r="AO219" s="1029"/>
      <c r="AP219" s="1029"/>
      <c r="AQ219" s="1029"/>
      <c r="AR219" s="1029"/>
      <c r="AS219" s="1029"/>
      <c r="AT219" s="1029"/>
      <c r="AU219" s="1029"/>
      <c r="AV219" s="1029"/>
      <c r="AW219" s="1029"/>
      <c r="AX219" s="1029"/>
      <c r="AY219" s="1029"/>
      <c r="AZ219" s="1029"/>
      <c r="BA219" s="1029"/>
      <c r="BB219" s="1029"/>
      <c r="BC219" s="1029"/>
      <c r="BD219" s="1029"/>
      <c r="BE219" s="1029"/>
      <c r="BF219" s="1029"/>
      <c r="BG219" s="1029"/>
      <c r="BH219" s="1029"/>
      <c r="BI219" s="1318" t="s">
        <v>3013</v>
      </c>
      <c r="BJ219" s="1120" t="s">
        <v>3413</v>
      </c>
      <c r="BK219" s="1120" t="s">
        <v>3414</v>
      </c>
      <c r="BL219" s="1120" t="s">
        <v>298</v>
      </c>
      <c r="BM219" s="1120" t="s">
        <v>3291</v>
      </c>
      <c r="BN219" s="1120" t="s">
        <v>298</v>
      </c>
      <c r="BP219" s="1126">
        <v>1</v>
      </c>
      <c r="BQ219" s="1178"/>
      <c r="BR219" s="1178"/>
      <c r="BT219" s="1355"/>
      <c r="BU219" s="1356"/>
    </row>
    <row r="220" spans="1:73" s="1221" customFormat="1" ht="17.25" customHeight="1">
      <c r="A220" s="1208" t="s">
        <v>840</v>
      </c>
      <c r="B220" s="1373" t="s">
        <v>2775</v>
      </c>
      <c r="C220" s="1024"/>
      <c r="D220" s="1024"/>
      <c r="E220" s="1024"/>
      <c r="F220" s="1026">
        <f>G220+H220</f>
        <v>0.04</v>
      </c>
      <c r="G220" s="1026">
        <f>G221</f>
        <v>0</v>
      </c>
      <c r="H220" s="1026">
        <f>SUM(J220:BF220)</f>
        <v>0.04</v>
      </c>
      <c r="I220" s="1029"/>
      <c r="J220" s="1026">
        <f>J221</f>
        <v>0</v>
      </c>
      <c r="K220" s="1026">
        <f>K221</f>
        <v>0</v>
      </c>
      <c r="L220" s="1026"/>
      <c r="M220" s="1026">
        <f>M221</f>
        <v>0</v>
      </c>
      <c r="N220" s="1026">
        <f>N221</f>
        <v>0</v>
      </c>
      <c r="O220" s="1026">
        <f>O221</f>
        <v>0</v>
      </c>
      <c r="P220" s="1026"/>
      <c r="Q220" s="1026"/>
      <c r="R220" s="1026"/>
      <c r="S220" s="1026">
        <f>S221</f>
        <v>0.04</v>
      </c>
      <c r="T220" s="1026">
        <f>T221</f>
        <v>0</v>
      </c>
      <c r="U220" s="1026">
        <f>U221</f>
        <v>0</v>
      </c>
      <c r="V220" s="1026"/>
      <c r="W220" s="1026">
        <f>W221</f>
        <v>0</v>
      </c>
      <c r="X220" s="1026"/>
      <c r="Y220" s="1026"/>
      <c r="Z220" s="1026"/>
      <c r="AA220" s="1026">
        <f>AA221</f>
        <v>0</v>
      </c>
      <c r="AB220" s="1026"/>
      <c r="AC220" s="1026">
        <f t="shared" ref="AC220:AI220" si="71">AC221</f>
        <v>0</v>
      </c>
      <c r="AD220" s="1026">
        <f t="shared" si="71"/>
        <v>0</v>
      </c>
      <c r="AE220" s="1026">
        <f t="shared" si="71"/>
        <v>0</v>
      </c>
      <c r="AF220" s="1026">
        <f t="shared" si="71"/>
        <v>0</v>
      </c>
      <c r="AG220" s="1026">
        <f t="shared" si="71"/>
        <v>0</v>
      </c>
      <c r="AH220" s="1026">
        <f t="shared" si="71"/>
        <v>0</v>
      </c>
      <c r="AI220" s="1026">
        <f t="shared" si="71"/>
        <v>0</v>
      </c>
      <c r="AJ220" s="1026"/>
      <c r="AK220" s="1026"/>
      <c r="AL220" s="1026"/>
      <c r="AM220" s="1026"/>
      <c r="AN220" s="1026"/>
      <c r="AO220" s="1026"/>
      <c r="AP220" s="1026"/>
      <c r="AQ220" s="1026"/>
      <c r="AR220" s="1026"/>
      <c r="AS220" s="1026"/>
      <c r="AT220" s="1026">
        <f>AT221</f>
        <v>0</v>
      </c>
      <c r="AU220" s="1026"/>
      <c r="AV220" s="1026"/>
      <c r="AW220" s="1026">
        <f>AW221</f>
        <v>0</v>
      </c>
      <c r="AX220" s="1026">
        <f>AX221</f>
        <v>0</v>
      </c>
      <c r="AY220" s="1026">
        <f>AY221</f>
        <v>0</v>
      </c>
      <c r="AZ220" s="1026">
        <f>AZ221</f>
        <v>0</v>
      </c>
      <c r="BA220" s="1026"/>
      <c r="BB220" s="1026"/>
      <c r="BC220" s="1026">
        <f>BC221</f>
        <v>0</v>
      </c>
      <c r="BD220" s="1026"/>
      <c r="BE220" s="1026"/>
      <c r="BF220" s="1026">
        <f>BF221</f>
        <v>0</v>
      </c>
      <c r="BG220" s="1027"/>
      <c r="BH220" s="1027"/>
      <c r="BI220" s="1024"/>
      <c r="BJ220" s="1368"/>
      <c r="BK220" s="1208"/>
      <c r="BL220" s="1208"/>
      <c r="BM220" s="1208"/>
      <c r="BN220" s="1208"/>
      <c r="BO220" s="1121"/>
      <c r="BP220" s="1121"/>
      <c r="BQ220" s="1179"/>
      <c r="BR220" s="1179"/>
      <c r="BS220" s="1210"/>
    </row>
    <row r="221" spans="1:73" s="1354" customFormat="1" ht="100.5" customHeight="1">
      <c r="A221" s="1099">
        <f>A219+1</f>
        <v>77</v>
      </c>
      <c r="B221" s="1374" t="s">
        <v>3415</v>
      </c>
      <c r="C221" s="1032" t="s">
        <v>3026</v>
      </c>
      <c r="D221" s="1120" t="s">
        <v>3087</v>
      </c>
      <c r="E221" s="1032" t="s">
        <v>2776</v>
      </c>
      <c r="F221" s="1029">
        <f>G221+H221</f>
        <v>0.04</v>
      </c>
      <c r="G221" s="1029"/>
      <c r="H221" s="1029">
        <f>SUM(J221:BF221)</f>
        <v>0.04</v>
      </c>
      <c r="I221" s="1029">
        <v>2030</v>
      </c>
      <c r="J221" s="1029"/>
      <c r="K221" s="1029"/>
      <c r="L221" s="1029"/>
      <c r="M221" s="1029"/>
      <c r="N221" s="1029"/>
      <c r="O221" s="1029"/>
      <c r="P221" s="1029"/>
      <c r="Q221" s="1029"/>
      <c r="R221" s="1029"/>
      <c r="S221" s="1029">
        <v>0.04</v>
      </c>
      <c r="T221" s="1029"/>
      <c r="U221" s="1029"/>
      <c r="V221" s="1029"/>
      <c r="W221" s="1029"/>
      <c r="X221" s="1029"/>
      <c r="Y221" s="1029"/>
      <c r="Z221" s="1029"/>
      <c r="AA221" s="1029"/>
      <c r="AB221" s="1029"/>
      <c r="AC221" s="1029"/>
      <c r="AD221" s="1029"/>
      <c r="AE221" s="1029"/>
      <c r="AF221" s="1029"/>
      <c r="AG221" s="1029"/>
      <c r="AH221" s="1029"/>
      <c r="AI221" s="1029"/>
      <c r="AJ221" s="1029"/>
      <c r="AK221" s="1029"/>
      <c r="AL221" s="1029"/>
      <c r="AM221" s="1029"/>
      <c r="AN221" s="1029"/>
      <c r="AO221" s="1029"/>
      <c r="AP221" s="1029"/>
      <c r="AQ221" s="1029"/>
      <c r="AR221" s="1029"/>
      <c r="AS221" s="1029"/>
      <c r="AT221" s="1029"/>
      <c r="AU221" s="1029"/>
      <c r="AV221" s="1029"/>
      <c r="AW221" s="1029"/>
      <c r="AX221" s="1029"/>
      <c r="AY221" s="1029"/>
      <c r="AZ221" s="1029"/>
      <c r="BA221" s="1029"/>
      <c r="BB221" s="1029"/>
      <c r="BC221" s="1029"/>
      <c r="BD221" s="1029"/>
      <c r="BE221" s="1029"/>
      <c r="BF221" s="1029"/>
      <c r="BG221" s="1029"/>
      <c r="BH221" s="1029"/>
      <c r="BI221" s="1032" t="s">
        <v>3176</v>
      </c>
      <c r="BJ221" s="1248" t="s">
        <v>3416</v>
      </c>
      <c r="BK221" s="1220" t="s">
        <v>3417</v>
      </c>
      <c r="BL221" s="1220" t="s">
        <v>1923</v>
      </c>
      <c r="BM221" s="1120" t="s">
        <v>3091</v>
      </c>
      <c r="BN221" s="1120" t="s">
        <v>291</v>
      </c>
      <c r="BO221" s="1121"/>
      <c r="BP221" s="1342">
        <v>1</v>
      </c>
      <c r="BQ221" s="1375"/>
      <c r="BR221" s="1375"/>
      <c r="BS221" s="1124" t="s">
        <v>291</v>
      </c>
      <c r="BT221" s="1118" t="s">
        <v>3418</v>
      </c>
    </row>
    <row r="222" spans="1:73" s="1126" customFormat="1" ht="16.5" customHeight="1">
      <c r="A222" s="1376" t="s">
        <v>3419</v>
      </c>
      <c r="B222" s="1207" t="s">
        <v>3420</v>
      </c>
      <c r="C222" s="1222"/>
      <c r="D222" s="1222"/>
      <c r="E222" s="1377"/>
      <c r="F222" s="1026">
        <f>F223</f>
        <v>4.88</v>
      </c>
      <c r="G222" s="1026">
        <f>G223</f>
        <v>0</v>
      </c>
      <c r="H222" s="1026">
        <f>H223</f>
        <v>4.88</v>
      </c>
      <c r="I222" s="1029"/>
      <c r="J222" s="1026">
        <f>J223</f>
        <v>0.13</v>
      </c>
      <c r="K222" s="1026">
        <f t="shared" ref="K222:BF222" si="72">K223</f>
        <v>0.17</v>
      </c>
      <c r="L222" s="1026"/>
      <c r="M222" s="1026">
        <f t="shared" si="72"/>
        <v>0</v>
      </c>
      <c r="N222" s="1026">
        <f t="shared" si="72"/>
        <v>0</v>
      </c>
      <c r="O222" s="1026">
        <f t="shared" si="72"/>
        <v>0</v>
      </c>
      <c r="P222" s="1026"/>
      <c r="Q222" s="1026"/>
      <c r="R222" s="1026"/>
      <c r="S222" s="1026">
        <f t="shared" si="72"/>
        <v>4.58</v>
      </c>
      <c r="T222" s="1026">
        <f t="shared" si="72"/>
        <v>0</v>
      </c>
      <c r="U222" s="1026">
        <f t="shared" si="72"/>
        <v>0</v>
      </c>
      <c r="V222" s="1026"/>
      <c r="W222" s="1026">
        <f t="shared" si="72"/>
        <v>0</v>
      </c>
      <c r="X222" s="1026"/>
      <c r="Y222" s="1026"/>
      <c r="Z222" s="1026"/>
      <c r="AA222" s="1026">
        <f t="shared" si="72"/>
        <v>0</v>
      </c>
      <c r="AB222" s="1026">
        <f t="shared" si="72"/>
        <v>0</v>
      </c>
      <c r="AC222" s="1026">
        <f t="shared" si="72"/>
        <v>0</v>
      </c>
      <c r="AD222" s="1026">
        <f t="shared" si="72"/>
        <v>0</v>
      </c>
      <c r="AE222" s="1026">
        <f t="shared" si="72"/>
        <v>0</v>
      </c>
      <c r="AF222" s="1026">
        <f t="shared" si="72"/>
        <v>0</v>
      </c>
      <c r="AG222" s="1026">
        <f t="shared" si="72"/>
        <v>0</v>
      </c>
      <c r="AH222" s="1026">
        <f t="shared" si="72"/>
        <v>0</v>
      </c>
      <c r="AI222" s="1026">
        <f t="shared" si="72"/>
        <v>0</v>
      </c>
      <c r="AJ222" s="1026">
        <f t="shared" si="72"/>
        <v>0</v>
      </c>
      <c r="AK222" s="1026"/>
      <c r="AL222" s="1026"/>
      <c r="AM222" s="1026"/>
      <c r="AN222" s="1026"/>
      <c r="AO222" s="1026"/>
      <c r="AP222" s="1026"/>
      <c r="AQ222" s="1026">
        <f t="shared" si="72"/>
        <v>0</v>
      </c>
      <c r="AR222" s="1026"/>
      <c r="AS222" s="1026"/>
      <c r="AT222" s="1026">
        <f t="shared" si="72"/>
        <v>0</v>
      </c>
      <c r="AU222" s="1026"/>
      <c r="AV222" s="1026"/>
      <c r="AW222" s="1026">
        <f t="shared" si="72"/>
        <v>0</v>
      </c>
      <c r="AX222" s="1026">
        <f t="shared" si="72"/>
        <v>0</v>
      </c>
      <c r="AY222" s="1026">
        <f t="shared" si="72"/>
        <v>0</v>
      </c>
      <c r="AZ222" s="1026">
        <f t="shared" si="72"/>
        <v>0</v>
      </c>
      <c r="BA222" s="1026"/>
      <c r="BB222" s="1026">
        <f t="shared" si="72"/>
        <v>0</v>
      </c>
      <c r="BC222" s="1026">
        <f t="shared" si="72"/>
        <v>0</v>
      </c>
      <c r="BD222" s="1026"/>
      <c r="BE222" s="1026"/>
      <c r="BF222" s="1026">
        <f t="shared" si="72"/>
        <v>0</v>
      </c>
      <c r="BG222" s="1027"/>
      <c r="BH222" s="1027"/>
      <c r="BI222" s="1222"/>
      <c r="BJ222" s="1208"/>
      <c r="BK222" s="1208"/>
      <c r="BL222" s="1208"/>
      <c r="BM222" s="1208"/>
      <c r="BN222" s="1208"/>
      <c r="BO222" s="1122"/>
      <c r="BP222" s="1122"/>
      <c r="BQ222" s="1123"/>
      <c r="BR222" s="1123"/>
      <c r="BS222" s="1210"/>
      <c r="BT222" s="1125"/>
    </row>
    <row r="223" spans="1:73" s="1177" customFormat="1" ht="19.5" customHeight="1">
      <c r="A223" s="1023" t="s">
        <v>78</v>
      </c>
      <c r="B223" s="1100" t="s">
        <v>89</v>
      </c>
      <c r="C223" s="1024"/>
      <c r="D223" s="1024"/>
      <c r="E223" s="1024"/>
      <c r="F223" s="1026">
        <f t="shared" ref="F223:F233" si="73">G223+H223</f>
        <v>4.88</v>
      </c>
      <c r="G223" s="1026">
        <f>SUM(G224:G225)</f>
        <v>0</v>
      </c>
      <c r="H223" s="1026">
        <f t="shared" ref="H223:H228" si="74">SUM(J223:BF223)</f>
        <v>4.88</v>
      </c>
      <c r="I223" s="1029"/>
      <c r="J223" s="1026">
        <f t="shared" ref="J223:BH223" si="75">SUM(J224:J225)</f>
        <v>0.13</v>
      </c>
      <c r="K223" s="1026">
        <f t="shared" si="75"/>
        <v>0.17</v>
      </c>
      <c r="L223" s="1026">
        <f t="shared" si="75"/>
        <v>0</v>
      </c>
      <c r="M223" s="1026">
        <f t="shared" si="75"/>
        <v>0</v>
      </c>
      <c r="N223" s="1026">
        <f t="shared" si="75"/>
        <v>0</v>
      </c>
      <c r="O223" s="1026">
        <f t="shared" si="75"/>
        <v>0</v>
      </c>
      <c r="P223" s="1026">
        <f t="shared" si="75"/>
        <v>0</v>
      </c>
      <c r="Q223" s="1026">
        <f t="shared" si="75"/>
        <v>0</v>
      </c>
      <c r="R223" s="1026">
        <f t="shared" si="75"/>
        <v>0</v>
      </c>
      <c r="S223" s="1026">
        <f t="shared" si="75"/>
        <v>4.58</v>
      </c>
      <c r="T223" s="1026">
        <f t="shared" si="75"/>
        <v>0</v>
      </c>
      <c r="U223" s="1026">
        <f t="shared" si="75"/>
        <v>0</v>
      </c>
      <c r="V223" s="1026">
        <f t="shared" si="75"/>
        <v>0</v>
      </c>
      <c r="W223" s="1026">
        <f t="shared" si="75"/>
        <v>0</v>
      </c>
      <c r="X223" s="1026">
        <f t="shared" si="75"/>
        <v>0</v>
      </c>
      <c r="Y223" s="1026">
        <f t="shared" si="75"/>
        <v>0</v>
      </c>
      <c r="Z223" s="1026">
        <f t="shared" si="75"/>
        <v>0</v>
      </c>
      <c r="AA223" s="1026">
        <f t="shared" si="75"/>
        <v>0</v>
      </c>
      <c r="AB223" s="1026">
        <f t="shared" si="75"/>
        <v>0</v>
      </c>
      <c r="AC223" s="1026">
        <f t="shared" si="75"/>
        <v>0</v>
      </c>
      <c r="AD223" s="1026">
        <f t="shared" si="75"/>
        <v>0</v>
      </c>
      <c r="AE223" s="1026">
        <f t="shared" si="75"/>
        <v>0</v>
      </c>
      <c r="AF223" s="1026">
        <f t="shared" si="75"/>
        <v>0</v>
      </c>
      <c r="AG223" s="1026">
        <f t="shared" si="75"/>
        <v>0</v>
      </c>
      <c r="AH223" s="1026">
        <f t="shared" si="75"/>
        <v>0</v>
      </c>
      <c r="AI223" s="1026">
        <f t="shared" si="75"/>
        <v>0</v>
      </c>
      <c r="AJ223" s="1026">
        <f t="shared" si="75"/>
        <v>0</v>
      </c>
      <c r="AK223" s="1026">
        <f t="shared" si="75"/>
        <v>0</v>
      </c>
      <c r="AL223" s="1026">
        <f t="shared" si="75"/>
        <v>0</v>
      </c>
      <c r="AM223" s="1026">
        <f t="shared" si="75"/>
        <v>0</v>
      </c>
      <c r="AN223" s="1026">
        <f t="shared" si="75"/>
        <v>0</v>
      </c>
      <c r="AO223" s="1026">
        <f t="shared" si="75"/>
        <v>0</v>
      </c>
      <c r="AP223" s="1026">
        <f t="shared" si="75"/>
        <v>0</v>
      </c>
      <c r="AQ223" s="1026">
        <f t="shared" si="75"/>
        <v>0</v>
      </c>
      <c r="AR223" s="1026">
        <f t="shared" si="75"/>
        <v>0</v>
      </c>
      <c r="AS223" s="1026">
        <f t="shared" si="75"/>
        <v>0</v>
      </c>
      <c r="AT223" s="1026">
        <f t="shared" si="75"/>
        <v>0</v>
      </c>
      <c r="AU223" s="1026">
        <f t="shared" si="75"/>
        <v>0</v>
      </c>
      <c r="AV223" s="1026">
        <f t="shared" si="75"/>
        <v>0</v>
      </c>
      <c r="AW223" s="1026">
        <f t="shared" si="75"/>
        <v>0</v>
      </c>
      <c r="AX223" s="1026">
        <f t="shared" si="75"/>
        <v>0</v>
      </c>
      <c r="AY223" s="1026">
        <f t="shared" si="75"/>
        <v>0</v>
      </c>
      <c r="AZ223" s="1026">
        <f t="shared" si="75"/>
        <v>0</v>
      </c>
      <c r="BA223" s="1026">
        <f t="shared" si="75"/>
        <v>0</v>
      </c>
      <c r="BB223" s="1026">
        <f t="shared" si="75"/>
        <v>0</v>
      </c>
      <c r="BC223" s="1026">
        <f t="shared" si="75"/>
        <v>0</v>
      </c>
      <c r="BD223" s="1026">
        <f t="shared" si="75"/>
        <v>0</v>
      </c>
      <c r="BE223" s="1026">
        <f t="shared" si="75"/>
        <v>0</v>
      </c>
      <c r="BF223" s="1026">
        <f t="shared" si="75"/>
        <v>0</v>
      </c>
      <c r="BG223" s="1027">
        <f t="shared" si="75"/>
        <v>0</v>
      </c>
      <c r="BH223" s="1027">
        <f t="shared" si="75"/>
        <v>0</v>
      </c>
      <c r="BI223" s="1024"/>
      <c r="BJ223" s="1208"/>
      <c r="BK223" s="1209"/>
      <c r="BL223" s="1209"/>
      <c r="BM223" s="1208"/>
      <c r="BN223" s="1208"/>
      <c r="BO223" s="1122"/>
      <c r="BP223" s="1121"/>
      <c r="BQ223" s="1179"/>
      <c r="BR223" s="1179"/>
      <c r="BS223" s="1210"/>
      <c r="BT223" s="1221"/>
    </row>
    <row r="224" spans="1:73" s="1177" customFormat="1" ht="94.5" customHeight="1">
      <c r="A224" s="1099">
        <f>A221+1</f>
        <v>78</v>
      </c>
      <c r="B224" s="1215" t="s">
        <v>3421</v>
      </c>
      <c r="C224" s="1032" t="s">
        <v>3015</v>
      </c>
      <c r="D224" s="1120" t="s">
        <v>3087</v>
      </c>
      <c r="E224" s="1032" t="s">
        <v>20</v>
      </c>
      <c r="F224" s="1029">
        <f t="shared" si="73"/>
        <v>3.73</v>
      </c>
      <c r="G224" s="1029"/>
      <c r="H224" s="1029">
        <f t="shared" si="74"/>
        <v>3.73</v>
      </c>
      <c r="I224" s="1029">
        <v>2030</v>
      </c>
      <c r="J224" s="1029"/>
      <c r="K224" s="1029">
        <v>0.17</v>
      </c>
      <c r="L224" s="1029"/>
      <c r="M224" s="1029"/>
      <c r="N224" s="1029"/>
      <c r="O224" s="1029"/>
      <c r="P224" s="1029"/>
      <c r="Q224" s="1029"/>
      <c r="R224" s="1029"/>
      <c r="S224" s="1029">
        <v>3.56</v>
      </c>
      <c r="T224" s="1029"/>
      <c r="U224" s="1029"/>
      <c r="V224" s="1029"/>
      <c r="W224" s="1029"/>
      <c r="X224" s="1029"/>
      <c r="Y224" s="1029"/>
      <c r="Z224" s="1029"/>
      <c r="AA224" s="1029"/>
      <c r="AB224" s="1029"/>
      <c r="AC224" s="1029"/>
      <c r="AD224" s="1029"/>
      <c r="AE224" s="1029"/>
      <c r="AF224" s="1029"/>
      <c r="AG224" s="1029"/>
      <c r="AH224" s="1029"/>
      <c r="AI224" s="1029"/>
      <c r="AJ224" s="1029"/>
      <c r="AK224" s="1029"/>
      <c r="AL224" s="1029"/>
      <c r="AM224" s="1029"/>
      <c r="AN224" s="1029"/>
      <c r="AO224" s="1029"/>
      <c r="AP224" s="1029"/>
      <c r="AQ224" s="1029"/>
      <c r="AR224" s="1029"/>
      <c r="AS224" s="1029"/>
      <c r="AT224" s="1029"/>
      <c r="AU224" s="1029"/>
      <c r="AV224" s="1029"/>
      <c r="AW224" s="1029"/>
      <c r="AX224" s="1029"/>
      <c r="AY224" s="1029"/>
      <c r="AZ224" s="1029"/>
      <c r="BA224" s="1029"/>
      <c r="BB224" s="1029"/>
      <c r="BC224" s="1029"/>
      <c r="BD224" s="1029"/>
      <c r="BE224" s="1029"/>
      <c r="BF224" s="1029"/>
      <c r="BG224" s="1029"/>
      <c r="BH224" s="1029"/>
      <c r="BI224" s="1032" t="s">
        <v>3422</v>
      </c>
      <c r="BJ224" s="1120" t="s">
        <v>3423</v>
      </c>
      <c r="BK224" s="1120" t="s">
        <v>3424</v>
      </c>
      <c r="BL224" s="1120" t="s">
        <v>1917</v>
      </c>
      <c r="BM224" s="1120" t="s">
        <v>3425</v>
      </c>
      <c r="BN224" s="1120" t="s">
        <v>291</v>
      </c>
      <c r="BO224" s="1121"/>
      <c r="BP224" s="1121">
        <v>1</v>
      </c>
      <c r="BQ224" s="1179" t="s">
        <v>3426</v>
      </c>
      <c r="BR224" s="1179" t="s">
        <v>3427</v>
      </c>
      <c r="BS224" s="1124" t="s">
        <v>3184</v>
      </c>
      <c r="BT224" s="1221" t="s">
        <v>3428</v>
      </c>
    </row>
    <row r="225" spans="1:72" s="1354" customFormat="1" ht="87.6" customHeight="1">
      <c r="A225" s="1099">
        <f>A224+1</f>
        <v>79</v>
      </c>
      <c r="B225" s="1215" t="s">
        <v>3429</v>
      </c>
      <c r="C225" s="1032" t="s">
        <v>3156</v>
      </c>
      <c r="D225" s="1120" t="s">
        <v>3087</v>
      </c>
      <c r="E225" s="1045" t="s">
        <v>20</v>
      </c>
      <c r="F225" s="1029">
        <f t="shared" si="73"/>
        <v>1.1499999999999999</v>
      </c>
      <c r="G225" s="1031"/>
      <c r="H225" s="1029">
        <f t="shared" si="74"/>
        <v>1.1499999999999999</v>
      </c>
      <c r="I225" s="1029">
        <v>2030</v>
      </c>
      <c r="J225" s="1029">
        <v>0.13</v>
      </c>
      <c r="K225" s="1029"/>
      <c r="L225" s="1029"/>
      <c r="M225" s="1029"/>
      <c r="N225" s="1031"/>
      <c r="O225" s="1029"/>
      <c r="P225" s="1029"/>
      <c r="Q225" s="1029"/>
      <c r="R225" s="1029"/>
      <c r="S225" s="1029">
        <v>1.02</v>
      </c>
      <c r="T225" s="1029"/>
      <c r="U225" s="1029"/>
      <c r="V225" s="1029"/>
      <c r="W225" s="1029"/>
      <c r="X225" s="1029"/>
      <c r="Y225" s="1029"/>
      <c r="Z225" s="1029"/>
      <c r="AA225" s="1029"/>
      <c r="AB225" s="1029"/>
      <c r="AC225" s="1029"/>
      <c r="AD225" s="1029"/>
      <c r="AE225" s="1029"/>
      <c r="AF225" s="1029"/>
      <c r="AG225" s="1029"/>
      <c r="AH225" s="1029"/>
      <c r="AI225" s="1029"/>
      <c r="AJ225" s="1029"/>
      <c r="AK225" s="1029"/>
      <c r="AL225" s="1029"/>
      <c r="AM225" s="1029"/>
      <c r="AN225" s="1029"/>
      <c r="AO225" s="1029"/>
      <c r="AP225" s="1029"/>
      <c r="AQ225" s="1029"/>
      <c r="AR225" s="1029"/>
      <c r="AS225" s="1029"/>
      <c r="AT225" s="1029"/>
      <c r="AU225" s="1029"/>
      <c r="AV225" s="1029"/>
      <c r="AW225" s="1029"/>
      <c r="AX225" s="1029"/>
      <c r="AY225" s="1029"/>
      <c r="AZ225" s="1029"/>
      <c r="BA225" s="1029"/>
      <c r="BB225" s="1029"/>
      <c r="BC225" s="1029"/>
      <c r="BD225" s="1029"/>
      <c r="BE225" s="1029"/>
      <c r="BF225" s="1029"/>
      <c r="BG225" s="1029"/>
      <c r="BH225" s="1029"/>
      <c r="BI225" s="1032" t="s">
        <v>3430</v>
      </c>
      <c r="BJ225" s="1120" t="s">
        <v>3431</v>
      </c>
      <c r="BK225" s="1220" t="s">
        <v>3432</v>
      </c>
      <c r="BL225" s="1220" t="s">
        <v>1917</v>
      </c>
      <c r="BM225" s="1120" t="s">
        <v>3433</v>
      </c>
      <c r="BN225" s="1120" t="s">
        <v>291</v>
      </c>
      <c r="BO225" s="1121"/>
      <c r="BP225" s="1342">
        <v>1</v>
      </c>
      <c r="BQ225" s="1179" t="s">
        <v>3426</v>
      </c>
      <c r="BR225" s="1375" t="s">
        <v>3434</v>
      </c>
      <c r="BS225" s="1124" t="s">
        <v>3184</v>
      </c>
      <c r="BT225" s="1269"/>
    </row>
    <row r="226" spans="1:72" s="1126" customFormat="1" ht="48" customHeight="1">
      <c r="A226" s="1023" t="s">
        <v>3435</v>
      </c>
      <c r="B226" s="1378" t="s">
        <v>3436</v>
      </c>
      <c r="C226" s="1222"/>
      <c r="D226" s="1222"/>
      <c r="E226" s="1125"/>
      <c r="F226" s="1026">
        <f>G226+H226</f>
        <v>1857.1</v>
      </c>
      <c r="G226" s="1026">
        <f>G227+G231+G406+G234+G236+G276+G284+G288+G290</f>
        <v>1819.24</v>
      </c>
      <c r="H226" s="1026">
        <f>SUM(J226:BF226)</f>
        <v>37.86</v>
      </c>
      <c r="I226" s="1026" t="e">
        <f>I227+I231+#REF!+I234+I236+I276+I284+I290+#REF!+I406</f>
        <v>#REF!</v>
      </c>
      <c r="J226" s="1026">
        <f t="shared" ref="J226:BF226" si="76">J227+J231+J406+J234+J236+J276+J284+J288+J290</f>
        <v>4.8100000000000005</v>
      </c>
      <c r="K226" s="1026">
        <f t="shared" si="76"/>
        <v>1.75</v>
      </c>
      <c r="L226" s="1026">
        <f t="shared" si="76"/>
        <v>0</v>
      </c>
      <c r="M226" s="1026">
        <f t="shared" si="76"/>
        <v>9.6399999999999988</v>
      </c>
      <c r="N226" s="1026">
        <f t="shared" si="76"/>
        <v>3.96</v>
      </c>
      <c r="O226" s="1026">
        <f t="shared" si="76"/>
        <v>0</v>
      </c>
      <c r="P226" s="1026">
        <f t="shared" si="76"/>
        <v>0</v>
      </c>
      <c r="Q226" s="1026">
        <f t="shared" si="76"/>
        <v>0</v>
      </c>
      <c r="R226" s="1026">
        <f t="shared" si="76"/>
        <v>0</v>
      </c>
      <c r="S226" s="1026">
        <f t="shared" si="76"/>
        <v>9.69</v>
      </c>
      <c r="T226" s="1026">
        <f t="shared" si="76"/>
        <v>0</v>
      </c>
      <c r="U226" s="1026">
        <f t="shared" si="76"/>
        <v>0.80999999999999994</v>
      </c>
      <c r="V226" s="1026">
        <f t="shared" si="76"/>
        <v>0</v>
      </c>
      <c r="W226" s="1026">
        <f t="shared" si="76"/>
        <v>0</v>
      </c>
      <c r="X226" s="1026">
        <f t="shared" si="76"/>
        <v>0</v>
      </c>
      <c r="Y226" s="1026">
        <f t="shared" si="76"/>
        <v>0</v>
      </c>
      <c r="Z226" s="1026">
        <f t="shared" si="76"/>
        <v>0</v>
      </c>
      <c r="AA226" s="1026">
        <f t="shared" si="76"/>
        <v>0.04</v>
      </c>
      <c r="AB226" s="1026">
        <f t="shared" si="76"/>
        <v>0.02</v>
      </c>
      <c r="AC226" s="1026">
        <f t="shared" si="76"/>
        <v>0</v>
      </c>
      <c r="AD226" s="1026">
        <f t="shared" si="76"/>
        <v>0</v>
      </c>
      <c r="AE226" s="1026">
        <f t="shared" si="76"/>
        <v>0</v>
      </c>
      <c r="AF226" s="1026">
        <f t="shared" si="76"/>
        <v>0</v>
      </c>
      <c r="AG226" s="1026">
        <f t="shared" si="76"/>
        <v>0</v>
      </c>
      <c r="AH226" s="1026">
        <f t="shared" si="76"/>
        <v>0</v>
      </c>
      <c r="AI226" s="1026">
        <f t="shared" si="76"/>
        <v>0</v>
      </c>
      <c r="AJ226" s="1026">
        <f t="shared" si="76"/>
        <v>0</v>
      </c>
      <c r="AK226" s="1026">
        <f t="shared" si="76"/>
        <v>0</v>
      </c>
      <c r="AL226" s="1026">
        <f t="shared" si="76"/>
        <v>0</v>
      </c>
      <c r="AM226" s="1026">
        <f t="shared" si="76"/>
        <v>0</v>
      </c>
      <c r="AN226" s="1026">
        <f t="shared" si="76"/>
        <v>0</v>
      </c>
      <c r="AO226" s="1026">
        <f t="shared" si="76"/>
        <v>0</v>
      </c>
      <c r="AP226" s="1026">
        <f t="shared" si="76"/>
        <v>0</v>
      </c>
      <c r="AQ226" s="1026">
        <f t="shared" si="76"/>
        <v>0</v>
      </c>
      <c r="AR226" s="1026">
        <f t="shared" si="76"/>
        <v>0</v>
      </c>
      <c r="AS226" s="1026">
        <f t="shared" si="76"/>
        <v>0</v>
      </c>
      <c r="AT226" s="1026">
        <f t="shared" si="76"/>
        <v>0</v>
      </c>
      <c r="AU226" s="1026">
        <f t="shared" si="76"/>
        <v>0</v>
      </c>
      <c r="AV226" s="1026">
        <f t="shared" si="76"/>
        <v>0</v>
      </c>
      <c r="AW226" s="1026">
        <f t="shared" si="76"/>
        <v>0</v>
      </c>
      <c r="AX226" s="1026">
        <f t="shared" si="76"/>
        <v>0.52</v>
      </c>
      <c r="AY226" s="1026">
        <f t="shared" si="76"/>
        <v>0</v>
      </c>
      <c r="AZ226" s="1026">
        <f t="shared" si="76"/>
        <v>0.03</v>
      </c>
      <c r="BA226" s="1026">
        <f t="shared" si="76"/>
        <v>0</v>
      </c>
      <c r="BB226" s="1026">
        <f t="shared" si="76"/>
        <v>0</v>
      </c>
      <c r="BC226" s="1026">
        <f t="shared" si="76"/>
        <v>0</v>
      </c>
      <c r="BD226" s="1026">
        <f t="shared" si="76"/>
        <v>0</v>
      </c>
      <c r="BE226" s="1026">
        <f t="shared" si="76"/>
        <v>0</v>
      </c>
      <c r="BF226" s="1026">
        <f t="shared" si="76"/>
        <v>6.59</v>
      </c>
      <c r="BG226" s="1101" t="e">
        <f>BG227+BG231+#REF!+BG234+BG236+BG276+BG284+BG290+#REF!+BG406+BG288</f>
        <v>#REF!</v>
      </c>
      <c r="BH226" s="1101" t="e">
        <f>BH227+BH231+#REF!+BH234+BH236+BH276+BH284+BH290+#REF!+BH406+BH288</f>
        <v>#REF!</v>
      </c>
      <c r="BI226" s="1027"/>
      <c r="BJ226" s="1208"/>
      <c r="BK226" s="1208"/>
      <c r="BL226" s="1208"/>
      <c r="BM226" s="1208"/>
      <c r="BN226" s="1208"/>
      <c r="BO226" s="1122"/>
      <c r="BP226" s="1122"/>
      <c r="BQ226" s="1123"/>
      <c r="BR226" s="1123"/>
      <c r="BS226" s="1210"/>
      <c r="BT226" s="1125"/>
    </row>
    <row r="227" spans="1:72" ht="21.95" customHeight="1">
      <c r="A227" s="1023" t="s">
        <v>78</v>
      </c>
      <c r="B227" s="1207" t="s">
        <v>379</v>
      </c>
      <c r="C227" s="1127"/>
      <c r="D227" s="1127"/>
      <c r="E227" s="1118"/>
      <c r="F227" s="1026">
        <f t="shared" si="73"/>
        <v>5</v>
      </c>
      <c r="G227" s="1026">
        <f>G228</f>
        <v>0</v>
      </c>
      <c r="H227" s="1026">
        <f t="shared" si="74"/>
        <v>5</v>
      </c>
      <c r="I227" s="1029"/>
      <c r="J227" s="1026">
        <f>J228</f>
        <v>0</v>
      </c>
      <c r="K227" s="1026">
        <f t="shared" ref="K227:BH227" si="77">K228</f>
        <v>0</v>
      </c>
      <c r="L227" s="1026">
        <f t="shared" si="77"/>
        <v>0</v>
      </c>
      <c r="M227" s="1026">
        <f t="shared" si="77"/>
        <v>0</v>
      </c>
      <c r="N227" s="1026">
        <f t="shared" si="77"/>
        <v>0</v>
      </c>
      <c r="O227" s="1026">
        <f t="shared" si="77"/>
        <v>0</v>
      </c>
      <c r="P227" s="1026">
        <f t="shared" si="77"/>
        <v>0</v>
      </c>
      <c r="Q227" s="1026">
        <f t="shared" si="77"/>
        <v>0</v>
      </c>
      <c r="R227" s="1026">
        <f t="shared" si="77"/>
        <v>0</v>
      </c>
      <c r="S227" s="1026">
        <f t="shared" si="77"/>
        <v>0</v>
      </c>
      <c r="T227" s="1026">
        <f t="shared" si="77"/>
        <v>0</v>
      </c>
      <c r="U227" s="1026">
        <f t="shared" si="77"/>
        <v>0</v>
      </c>
      <c r="V227" s="1026">
        <f t="shared" si="77"/>
        <v>0</v>
      </c>
      <c r="W227" s="1026">
        <f t="shared" si="77"/>
        <v>0</v>
      </c>
      <c r="X227" s="1026">
        <f t="shared" si="77"/>
        <v>0</v>
      </c>
      <c r="Y227" s="1026">
        <f t="shared" si="77"/>
        <v>0</v>
      </c>
      <c r="Z227" s="1026">
        <f t="shared" si="77"/>
        <v>0</v>
      </c>
      <c r="AA227" s="1026">
        <f t="shared" si="77"/>
        <v>0</v>
      </c>
      <c r="AB227" s="1026">
        <f t="shared" si="77"/>
        <v>0</v>
      </c>
      <c r="AC227" s="1026">
        <f t="shared" si="77"/>
        <v>0</v>
      </c>
      <c r="AD227" s="1026">
        <f t="shared" si="77"/>
        <v>0</v>
      </c>
      <c r="AE227" s="1026">
        <f t="shared" si="77"/>
        <v>0</v>
      </c>
      <c r="AF227" s="1026">
        <f t="shared" si="77"/>
        <v>0</v>
      </c>
      <c r="AG227" s="1026">
        <f t="shared" si="77"/>
        <v>0</v>
      </c>
      <c r="AH227" s="1026">
        <f t="shared" si="77"/>
        <v>0</v>
      </c>
      <c r="AI227" s="1026">
        <f t="shared" si="77"/>
        <v>0</v>
      </c>
      <c r="AJ227" s="1026">
        <f t="shared" si="77"/>
        <v>0</v>
      </c>
      <c r="AK227" s="1026">
        <f t="shared" si="77"/>
        <v>0</v>
      </c>
      <c r="AL227" s="1026">
        <f t="shared" si="77"/>
        <v>0</v>
      </c>
      <c r="AM227" s="1026">
        <f t="shared" si="77"/>
        <v>0</v>
      </c>
      <c r="AN227" s="1026">
        <f t="shared" si="77"/>
        <v>0</v>
      </c>
      <c r="AO227" s="1026">
        <f t="shared" si="77"/>
        <v>0</v>
      </c>
      <c r="AP227" s="1026">
        <f t="shared" si="77"/>
        <v>0</v>
      </c>
      <c r="AQ227" s="1026">
        <f t="shared" si="77"/>
        <v>0</v>
      </c>
      <c r="AR227" s="1026">
        <f t="shared" si="77"/>
        <v>0</v>
      </c>
      <c r="AS227" s="1026">
        <f t="shared" si="77"/>
        <v>0</v>
      </c>
      <c r="AT227" s="1026">
        <f t="shared" si="77"/>
        <v>0</v>
      </c>
      <c r="AU227" s="1026">
        <f t="shared" si="77"/>
        <v>0</v>
      </c>
      <c r="AV227" s="1026">
        <f t="shared" si="77"/>
        <v>0</v>
      </c>
      <c r="AW227" s="1026">
        <f t="shared" si="77"/>
        <v>0</v>
      </c>
      <c r="AX227" s="1026">
        <f t="shared" si="77"/>
        <v>0</v>
      </c>
      <c r="AY227" s="1026">
        <f t="shared" si="77"/>
        <v>0</v>
      </c>
      <c r="AZ227" s="1026">
        <f t="shared" si="77"/>
        <v>0</v>
      </c>
      <c r="BA227" s="1026">
        <f t="shared" si="77"/>
        <v>0</v>
      </c>
      <c r="BB227" s="1026">
        <f t="shared" si="77"/>
        <v>0</v>
      </c>
      <c r="BC227" s="1026">
        <f t="shared" si="77"/>
        <v>0</v>
      </c>
      <c r="BD227" s="1026">
        <f t="shared" si="77"/>
        <v>0</v>
      </c>
      <c r="BE227" s="1026">
        <f t="shared" si="77"/>
        <v>0</v>
      </c>
      <c r="BF227" s="1026">
        <f t="shared" si="77"/>
        <v>5</v>
      </c>
      <c r="BG227" s="1027">
        <f t="shared" si="77"/>
        <v>0</v>
      </c>
      <c r="BH227" s="1027">
        <f t="shared" si="77"/>
        <v>0</v>
      </c>
      <c r="BI227" s="1127"/>
      <c r="BJ227" s="1120"/>
      <c r="BK227" s="1120"/>
      <c r="BL227" s="1120"/>
      <c r="BM227" s="1120"/>
      <c r="BN227" s="1120"/>
      <c r="BS227" s="1124"/>
      <c r="BT227" s="1118"/>
    </row>
    <row r="228" spans="1:72" ht="85.5" customHeight="1">
      <c r="A228" s="1028">
        <f>A225+1</f>
        <v>80</v>
      </c>
      <c r="B228" s="1130" t="s">
        <v>3437</v>
      </c>
      <c r="C228" s="1127" t="s">
        <v>3345</v>
      </c>
      <c r="D228" s="1127"/>
      <c r="E228" s="1118"/>
      <c r="F228" s="1031">
        <f t="shared" si="73"/>
        <v>5</v>
      </c>
      <c r="G228" s="1031"/>
      <c r="H228" s="1029">
        <f t="shared" si="74"/>
        <v>5</v>
      </c>
      <c r="I228" s="1029">
        <v>2030</v>
      </c>
      <c r="J228" s="1031"/>
      <c r="K228" s="1031"/>
      <c r="L228" s="1031"/>
      <c r="M228" s="1031"/>
      <c r="N228" s="1031"/>
      <c r="O228" s="1031"/>
      <c r="P228" s="1031"/>
      <c r="Q228" s="1031"/>
      <c r="R228" s="1031"/>
      <c r="S228" s="1029"/>
      <c r="T228" s="1031"/>
      <c r="U228" s="1031"/>
      <c r="V228" s="1031"/>
      <c r="W228" s="1031"/>
      <c r="X228" s="1031"/>
      <c r="Y228" s="1031"/>
      <c r="Z228" s="1031"/>
      <c r="AA228" s="1031"/>
      <c r="AB228" s="1031"/>
      <c r="AC228" s="1031"/>
      <c r="AD228" s="1031"/>
      <c r="AE228" s="1031"/>
      <c r="AF228" s="1031"/>
      <c r="AG228" s="1031"/>
      <c r="AH228" s="1031"/>
      <c r="AI228" s="1031"/>
      <c r="AJ228" s="1031"/>
      <c r="AK228" s="1031"/>
      <c r="AL228" s="1031"/>
      <c r="AM228" s="1031"/>
      <c r="AN228" s="1031"/>
      <c r="AO228" s="1031"/>
      <c r="AP228" s="1031"/>
      <c r="AQ228" s="1031"/>
      <c r="AR228" s="1031"/>
      <c r="AS228" s="1031"/>
      <c r="AT228" s="1031"/>
      <c r="AU228" s="1031"/>
      <c r="AV228" s="1031"/>
      <c r="AW228" s="1031"/>
      <c r="AX228" s="1031"/>
      <c r="AY228" s="1031"/>
      <c r="AZ228" s="1031"/>
      <c r="BA228" s="1031"/>
      <c r="BB228" s="1031"/>
      <c r="BC228" s="1031"/>
      <c r="BD228" s="1031"/>
      <c r="BE228" s="1031"/>
      <c r="BF228" s="1031">
        <v>5</v>
      </c>
      <c r="BG228" s="1039"/>
      <c r="BH228" s="1039"/>
      <c r="BI228" s="1127" t="s">
        <v>3438</v>
      </c>
      <c r="BJ228" s="1120" t="s">
        <v>3439</v>
      </c>
      <c r="BK228" s="1379" t="s">
        <v>3440</v>
      </c>
      <c r="BL228" s="1379" t="s">
        <v>1923</v>
      </c>
      <c r="BM228" s="1120" t="s">
        <v>3091</v>
      </c>
      <c r="BN228" s="1120" t="s">
        <v>291</v>
      </c>
      <c r="BP228" s="1121">
        <v>1</v>
      </c>
      <c r="BS228" s="1124"/>
      <c r="BT228" s="1120" t="s">
        <v>3441</v>
      </c>
    </row>
    <row r="229" spans="1:72" s="1165" customFormat="1" hidden="1">
      <c r="A229" s="1053"/>
      <c r="B229" s="1261" t="s">
        <v>92</v>
      </c>
      <c r="C229" s="1324" t="s">
        <v>3345</v>
      </c>
      <c r="D229" s="1120" t="s">
        <v>3087</v>
      </c>
      <c r="E229" s="1242" t="s">
        <v>93</v>
      </c>
      <c r="F229" s="1042">
        <f t="shared" si="73"/>
        <v>4</v>
      </c>
      <c r="G229" s="1042"/>
      <c r="H229" s="1041">
        <v>4</v>
      </c>
      <c r="I229" s="1029">
        <v>2030</v>
      </c>
      <c r="J229" s="1042"/>
      <c r="K229" s="1042"/>
      <c r="L229" s="1042"/>
      <c r="M229" s="1042"/>
      <c r="N229" s="1042"/>
      <c r="O229" s="1042"/>
      <c r="P229" s="1042"/>
      <c r="Q229" s="1042"/>
      <c r="R229" s="1042"/>
      <c r="S229" s="1041"/>
      <c r="T229" s="1042"/>
      <c r="U229" s="1042"/>
      <c r="V229" s="1042"/>
      <c r="W229" s="1042"/>
      <c r="X229" s="1042"/>
      <c r="Y229" s="1042"/>
      <c r="Z229" s="1042"/>
      <c r="AA229" s="1042"/>
      <c r="AB229" s="1042"/>
      <c r="AC229" s="1042"/>
      <c r="AD229" s="1042"/>
      <c r="AE229" s="1042"/>
      <c r="AF229" s="1042"/>
      <c r="AG229" s="1042"/>
      <c r="AH229" s="1042"/>
      <c r="AI229" s="1042"/>
      <c r="AJ229" s="1042"/>
      <c r="AK229" s="1042"/>
      <c r="AL229" s="1042"/>
      <c r="AM229" s="1042"/>
      <c r="AN229" s="1042"/>
      <c r="AO229" s="1042"/>
      <c r="AP229" s="1042"/>
      <c r="AQ229" s="1042"/>
      <c r="AR229" s="1042"/>
      <c r="AS229" s="1042"/>
      <c r="AT229" s="1042"/>
      <c r="AU229" s="1042"/>
      <c r="AV229" s="1042"/>
      <c r="AW229" s="1042"/>
      <c r="AX229" s="1042"/>
      <c r="AY229" s="1042"/>
      <c r="AZ229" s="1042"/>
      <c r="BA229" s="1042"/>
      <c r="BB229" s="1042"/>
      <c r="BC229" s="1042"/>
      <c r="BD229" s="1042"/>
      <c r="BE229" s="1042"/>
      <c r="BF229" s="1042">
        <v>4</v>
      </c>
      <c r="BG229" s="1042"/>
      <c r="BH229" s="1042"/>
      <c r="BI229" s="1324"/>
      <c r="BJ229" s="1234"/>
      <c r="BK229" s="1380"/>
      <c r="BL229" s="1380"/>
      <c r="BM229" s="1234"/>
      <c r="BN229" s="1234"/>
      <c r="BO229" s="1238"/>
      <c r="BP229" s="1238"/>
      <c r="BQ229" s="1239"/>
      <c r="BR229" s="1239"/>
      <c r="BS229" s="1241"/>
      <c r="BT229" s="1242"/>
    </row>
    <row r="230" spans="1:72" s="1141" customFormat="1" ht="13.5" hidden="1">
      <c r="A230" s="1053"/>
      <c r="B230" s="1261" t="s">
        <v>122</v>
      </c>
      <c r="C230" s="1324" t="s">
        <v>3345</v>
      </c>
      <c r="D230" s="1120" t="s">
        <v>3087</v>
      </c>
      <c r="E230" s="1242" t="s">
        <v>44</v>
      </c>
      <c r="F230" s="1042">
        <f t="shared" si="73"/>
        <v>1</v>
      </c>
      <c r="G230" s="1042"/>
      <c r="H230" s="1041">
        <f>SUM(J230:BF230)</f>
        <v>1</v>
      </c>
      <c r="I230" s="1029">
        <v>2030</v>
      </c>
      <c r="J230" s="1042"/>
      <c r="K230" s="1042"/>
      <c r="L230" s="1042"/>
      <c r="M230" s="1042"/>
      <c r="N230" s="1042"/>
      <c r="O230" s="1042"/>
      <c r="P230" s="1042"/>
      <c r="Q230" s="1042"/>
      <c r="R230" s="1042"/>
      <c r="S230" s="1041"/>
      <c r="T230" s="1042"/>
      <c r="U230" s="1042"/>
      <c r="V230" s="1042"/>
      <c r="W230" s="1042"/>
      <c r="X230" s="1042"/>
      <c r="Y230" s="1042"/>
      <c r="Z230" s="1042"/>
      <c r="AA230" s="1042"/>
      <c r="AB230" s="1042"/>
      <c r="AC230" s="1042"/>
      <c r="AD230" s="1042"/>
      <c r="AE230" s="1042"/>
      <c r="AF230" s="1042"/>
      <c r="AG230" s="1042"/>
      <c r="AH230" s="1042"/>
      <c r="AI230" s="1042"/>
      <c r="AJ230" s="1042"/>
      <c r="AK230" s="1042"/>
      <c r="AL230" s="1042"/>
      <c r="AM230" s="1042"/>
      <c r="AN230" s="1042"/>
      <c r="AO230" s="1042"/>
      <c r="AP230" s="1042"/>
      <c r="AQ230" s="1042"/>
      <c r="AR230" s="1042"/>
      <c r="AS230" s="1042"/>
      <c r="AT230" s="1042"/>
      <c r="AU230" s="1042"/>
      <c r="AV230" s="1042"/>
      <c r="AW230" s="1042"/>
      <c r="AX230" s="1042"/>
      <c r="AY230" s="1042"/>
      <c r="AZ230" s="1042"/>
      <c r="BA230" s="1042"/>
      <c r="BB230" s="1042"/>
      <c r="BC230" s="1042"/>
      <c r="BD230" s="1042"/>
      <c r="BE230" s="1042"/>
      <c r="BF230" s="1042">
        <v>1</v>
      </c>
      <c r="BG230" s="1042"/>
      <c r="BH230" s="1042"/>
      <c r="BI230" s="1324"/>
      <c r="BJ230" s="1234"/>
      <c r="BK230" s="1380"/>
      <c r="BL230" s="1380"/>
      <c r="BM230" s="1234"/>
      <c r="BN230" s="1234"/>
      <c r="BO230" s="1238"/>
      <c r="BP230" s="1342"/>
      <c r="BQ230" s="1375"/>
      <c r="BR230" s="1375"/>
      <c r="BS230" s="1241"/>
      <c r="BT230" s="1269"/>
    </row>
    <row r="231" spans="1:72" s="1212" customFormat="1" ht="16.5" customHeight="1">
      <c r="A231" s="1023" t="s">
        <v>79</v>
      </c>
      <c r="B231" s="1207" t="s">
        <v>94</v>
      </c>
      <c r="C231" s="1068"/>
      <c r="D231" s="1068"/>
      <c r="E231" s="1208"/>
      <c r="F231" s="1026">
        <f t="shared" si="73"/>
        <v>0.7</v>
      </c>
      <c r="G231" s="1069"/>
      <c r="H231" s="1026">
        <f>SUM(H232:H233)</f>
        <v>0.7</v>
      </c>
      <c r="I231" s="1029"/>
      <c r="J231" s="1026">
        <f>SUM(J232:J233)</f>
        <v>0</v>
      </c>
      <c r="K231" s="1026">
        <f t="shared" ref="K231:BH231" si="78">SUM(K232:K233)</f>
        <v>0</v>
      </c>
      <c r="L231" s="1026">
        <f t="shared" si="78"/>
        <v>0</v>
      </c>
      <c r="M231" s="1026">
        <f t="shared" si="78"/>
        <v>0.5</v>
      </c>
      <c r="N231" s="1026">
        <f t="shared" si="78"/>
        <v>0</v>
      </c>
      <c r="O231" s="1026">
        <f t="shared" si="78"/>
        <v>0</v>
      </c>
      <c r="P231" s="1026">
        <f t="shared" si="78"/>
        <v>0</v>
      </c>
      <c r="Q231" s="1026">
        <f t="shared" si="78"/>
        <v>0</v>
      </c>
      <c r="R231" s="1026">
        <f t="shared" si="78"/>
        <v>0</v>
      </c>
      <c r="S231" s="1026">
        <f t="shared" si="78"/>
        <v>0.2</v>
      </c>
      <c r="T231" s="1026">
        <f t="shared" si="78"/>
        <v>0</v>
      </c>
      <c r="U231" s="1026">
        <f t="shared" si="78"/>
        <v>0</v>
      </c>
      <c r="V231" s="1026">
        <f t="shared" si="78"/>
        <v>0</v>
      </c>
      <c r="W231" s="1026">
        <f t="shared" si="78"/>
        <v>0</v>
      </c>
      <c r="X231" s="1026">
        <f t="shared" si="78"/>
        <v>0</v>
      </c>
      <c r="Y231" s="1026">
        <f t="shared" si="78"/>
        <v>0</v>
      </c>
      <c r="Z231" s="1026">
        <f t="shared" si="78"/>
        <v>0</v>
      </c>
      <c r="AA231" s="1026">
        <f t="shared" si="78"/>
        <v>0</v>
      </c>
      <c r="AB231" s="1026">
        <f t="shared" si="78"/>
        <v>0</v>
      </c>
      <c r="AC231" s="1026">
        <f t="shared" si="78"/>
        <v>0</v>
      </c>
      <c r="AD231" s="1026">
        <f t="shared" si="78"/>
        <v>0</v>
      </c>
      <c r="AE231" s="1026">
        <f t="shared" si="78"/>
        <v>0</v>
      </c>
      <c r="AF231" s="1026">
        <f t="shared" si="78"/>
        <v>0</v>
      </c>
      <c r="AG231" s="1026">
        <f t="shared" si="78"/>
        <v>0</v>
      </c>
      <c r="AH231" s="1026">
        <f t="shared" si="78"/>
        <v>0</v>
      </c>
      <c r="AI231" s="1026">
        <f t="shared" si="78"/>
        <v>0</v>
      </c>
      <c r="AJ231" s="1026">
        <f t="shared" si="78"/>
        <v>0</v>
      </c>
      <c r="AK231" s="1026">
        <f t="shared" si="78"/>
        <v>0</v>
      </c>
      <c r="AL231" s="1026">
        <f t="shared" si="78"/>
        <v>0</v>
      </c>
      <c r="AM231" s="1026">
        <f t="shared" si="78"/>
        <v>0</v>
      </c>
      <c r="AN231" s="1026">
        <f t="shared" si="78"/>
        <v>0</v>
      </c>
      <c r="AO231" s="1026">
        <f t="shared" si="78"/>
        <v>0</v>
      </c>
      <c r="AP231" s="1026">
        <f t="shared" si="78"/>
        <v>0</v>
      </c>
      <c r="AQ231" s="1026">
        <f t="shared" si="78"/>
        <v>0</v>
      </c>
      <c r="AR231" s="1026">
        <f t="shared" si="78"/>
        <v>0</v>
      </c>
      <c r="AS231" s="1026">
        <f t="shared" si="78"/>
        <v>0</v>
      </c>
      <c r="AT231" s="1026">
        <f t="shared" si="78"/>
        <v>0</v>
      </c>
      <c r="AU231" s="1026">
        <f t="shared" si="78"/>
        <v>0</v>
      </c>
      <c r="AV231" s="1026">
        <f t="shared" si="78"/>
        <v>0</v>
      </c>
      <c r="AW231" s="1026">
        <f t="shared" si="78"/>
        <v>0</v>
      </c>
      <c r="AX231" s="1026">
        <f t="shared" si="78"/>
        <v>0</v>
      </c>
      <c r="AY231" s="1026">
        <f t="shared" si="78"/>
        <v>0</v>
      </c>
      <c r="AZ231" s="1026">
        <f t="shared" si="78"/>
        <v>0</v>
      </c>
      <c r="BA231" s="1026">
        <f t="shared" si="78"/>
        <v>0</v>
      </c>
      <c r="BB231" s="1026">
        <f t="shared" si="78"/>
        <v>0</v>
      </c>
      <c r="BC231" s="1026">
        <f t="shared" si="78"/>
        <v>0</v>
      </c>
      <c r="BD231" s="1026">
        <f t="shared" si="78"/>
        <v>0</v>
      </c>
      <c r="BE231" s="1026">
        <f t="shared" si="78"/>
        <v>0</v>
      </c>
      <c r="BF231" s="1026">
        <f t="shared" si="78"/>
        <v>0</v>
      </c>
      <c r="BG231" s="1027">
        <f t="shared" si="78"/>
        <v>0</v>
      </c>
      <c r="BH231" s="1027">
        <f t="shared" si="78"/>
        <v>0</v>
      </c>
      <c r="BI231" s="1068"/>
      <c r="BJ231" s="1208"/>
      <c r="BK231" s="1209"/>
      <c r="BL231" s="1209"/>
      <c r="BM231" s="1208"/>
      <c r="BN231" s="1208"/>
      <c r="BO231" s="1122"/>
      <c r="BP231" s="1122"/>
      <c r="BQ231" s="1123"/>
      <c r="BR231" s="1123"/>
      <c r="BS231" s="1210"/>
      <c r="BT231" s="1211"/>
    </row>
    <row r="232" spans="1:72" s="1280" customFormat="1" ht="78.599999999999994" customHeight="1">
      <c r="A232" s="1028">
        <f>+A228+1</f>
        <v>81</v>
      </c>
      <c r="B232" s="1328" t="s">
        <v>3442</v>
      </c>
      <c r="C232" s="1032" t="s">
        <v>3197</v>
      </c>
      <c r="D232" s="1120" t="s">
        <v>3087</v>
      </c>
      <c r="E232" s="1120" t="s">
        <v>32</v>
      </c>
      <c r="F232" s="1029">
        <f t="shared" si="73"/>
        <v>0.5</v>
      </c>
      <c r="G232" s="1031"/>
      <c r="H232" s="1029">
        <f>SUM(J232:BF232)</f>
        <v>0.5</v>
      </c>
      <c r="I232" s="1029">
        <v>2030</v>
      </c>
      <c r="J232" s="1029"/>
      <c r="K232" s="1029"/>
      <c r="L232" s="1029"/>
      <c r="M232" s="1029">
        <v>0.5</v>
      </c>
      <c r="N232" s="1031"/>
      <c r="O232" s="1029"/>
      <c r="P232" s="1029"/>
      <c r="Q232" s="1029"/>
      <c r="R232" s="1029"/>
      <c r="S232" s="1029"/>
      <c r="T232" s="1029"/>
      <c r="U232" s="1029"/>
      <c r="V232" s="1029"/>
      <c r="W232" s="1029"/>
      <c r="X232" s="1029"/>
      <c r="Y232" s="1029"/>
      <c r="Z232" s="1029"/>
      <c r="AA232" s="1029"/>
      <c r="AB232" s="1029"/>
      <c r="AC232" s="1029"/>
      <c r="AD232" s="1029"/>
      <c r="AE232" s="1029"/>
      <c r="AF232" s="1029"/>
      <c r="AG232" s="1029"/>
      <c r="AH232" s="1029"/>
      <c r="AI232" s="1029"/>
      <c r="AJ232" s="1029"/>
      <c r="AK232" s="1029"/>
      <c r="AL232" s="1029"/>
      <c r="AM232" s="1029"/>
      <c r="AN232" s="1029"/>
      <c r="AO232" s="1029"/>
      <c r="AP232" s="1029"/>
      <c r="AQ232" s="1029"/>
      <c r="AR232" s="1029"/>
      <c r="AS232" s="1029"/>
      <c r="AT232" s="1029"/>
      <c r="AU232" s="1029"/>
      <c r="AV232" s="1029"/>
      <c r="AW232" s="1029"/>
      <c r="AX232" s="1029"/>
      <c r="AY232" s="1029"/>
      <c r="AZ232" s="1029"/>
      <c r="BA232" s="1029"/>
      <c r="BB232" s="1029"/>
      <c r="BC232" s="1029"/>
      <c r="BD232" s="1029"/>
      <c r="BE232" s="1029"/>
      <c r="BF232" s="1029"/>
      <c r="BG232" s="1029"/>
      <c r="BH232" s="1029"/>
      <c r="BI232" s="1032" t="s">
        <v>3443</v>
      </c>
      <c r="BJ232" s="1120" t="s">
        <v>3444</v>
      </c>
      <c r="BK232" s="1220" t="s">
        <v>3445</v>
      </c>
      <c r="BL232" s="1120" t="s">
        <v>1923</v>
      </c>
      <c r="BM232" s="1120" t="s">
        <v>3091</v>
      </c>
      <c r="BN232" s="1120" t="s">
        <v>291</v>
      </c>
      <c r="BO232" s="1121"/>
      <c r="BP232" s="1121">
        <v>1</v>
      </c>
      <c r="BQ232" s="1179"/>
      <c r="BR232" s="1179"/>
      <c r="BS232" s="1124"/>
      <c r="BT232" s="1221"/>
    </row>
    <row r="233" spans="1:72" s="1280" customFormat="1" ht="75" customHeight="1">
      <c r="A233" s="1028">
        <f>A232+1</f>
        <v>82</v>
      </c>
      <c r="B233" s="1328" t="s">
        <v>3446</v>
      </c>
      <c r="C233" s="1032" t="s">
        <v>3026</v>
      </c>
      <c r="D233" s="1120" t="s">
        <v>3087</v>
      </c>
      <c r="E233" s="1381" t="s">
        <v>32</v>
      </c>
      <c r="F233" s="1029">
        <f t="shared" si="73"/>
        <v>0.2</v>
      </c>
      <c r="G233" s="1029"/>
      <c r="H233" s="1029">
        <f>SUM(J233:BF233)</f>
        <v>0.2</v>
      </c>
      <c r="I233" s="1029">
        <v>2030</v>
      </c>
      <c r="J233" s="1029"/>
      <c r="K233" s="1029"/>
      <c r="L233" s="1029"/>
      <c r="M233" s="1382"/>
      <c r="N233" s="1029"/>
      <c r="O233" s="1029"/>
      <c r="P233" s="1029"/>
      <c r="Q233" s="1029"/>
      <c r="R233" s="1029"/>
      <c r="S233" s="1029">
        <v>0.2</v>
      </c>
      <c r="T233" s="1029"/>
      <c r="U233" s="1029"/>
      <c r="V233" s="1029"/>
      <c r="W233" s="1029"/>
      <c r="X233" s="1029"/>
      <c r="Y233" s="1029"/>
      <c r="Z233" s="1029"/>
      <c r="AA233" s="1029"/>
      <c r="AB233" s="1029"/>
      <c r="AC233" s="1029"/>
      <c r="AD233" s="1029"/>
      <c r="AE233" s="1029"/>
      <c r="AF233" s="1029"/>
      <c r="AG233" s="1029"/>
      <c r="AH233" s="1029"/>
      <c r="AI233" s="1029"/>
      <c r="AJ233" s="1029"/>
      <c r="AK233" s="1029"/>
      <c r="AL233" s="1029"/>
      <c r="AM233" s="1029"/>
      <c r="AN233" s="1029"/>
      <c r="AO233" s="1029"/>
      <c r="AP233" s="1029"/>
      <c r="AQ233" s="1029"/>
      <c r="AR233" s="1029"/>
      <c r="AS233" s="1029"/>
      <c r="AT233" s="1029"/>
      <c r="AU233" s="1029"/>
      <c r="AV233" s="1029"/>
      <c r="AW233" s="1029"/>
      <c r="AX233" s="1029"/>
      <c r="AY233" s="1029"/>
      <c r="AZ233" s="1029"/>
      <c r="BA233" s="1029"/>
      <c r="BB233" s="1029"/>
      <c r="BC233" s="1029"/>
      <c r="BD233" s="1029"/>
      <c r="BE233" s="1029"/>
      <c r="BF233" s="1029"/>
      <c r="BG233" s="1029"/>
      <c r="BH233" s="1029"/>
      <c r="BI233" s="1032" t="s">
        <v>3447</v>
      </c>
      <c r="BJ233" s="1120" t="s">
        <v>3448</v>
      </c>
      <c r="BK233" s="1220" t="s">
        <v>3449</v>
      </c>
      <c r="BL233" s="1220" t="s">
        <v>1917</v>
      </c>
      <c r="BM233" s="1120" t="s">
        <v>3450</v>
      </c>
      <c r="BN233" s="1120" t="s">
        <v>291</v>
      </c>
      <c r="BO233" s="1121"/>
      <c r="BP233" s="1121">
        <v>1</v>
      </c>
      <c r="BQ233" s="1179"/>
      <c r="BR233" s="1179"/>
      <c r="BS233" s="1124"/>
      <c r="BT233" s="1221"/>
    </row>
    <row r="234" spans="1:72" ht="31.5" customHeight="1">
      <c r="A234" s="1125" t="s">
        <v>362</v>
      </c>
      <c r="B234" s="1213" t="s">
        <v>2759</v>
      </c>
      <c r="C234" s="1068"/>
      <c r="D234" s="1068"/>
      <c r="E234" s="1068"/>
      <c r="F234" s="1026">
        <f t="shared" ref="F234:BF234" si="79">F235</f>
        <v>0.2</v>
      </c>
      <c r="G234" s="1026">
        <f t="shared" si="79"/>
        <v>0</v>
      </c>
      <c r="H234" s="1026">
        <f>SUM(J234:BF234)</f>
        <v>0.2</v>
      </c>
      <c r="I234" s="1029"/>
      <c r="J234" s="1026">
        <f t="shared" si="79"/>
        <v>0</v>
      </c>
      <c r="K234" s="1026">
        <f t="shared" si="79"/>
        <v>0</v>
      </c>
      <c r="L234" s="1026"/>
      <c r="M234" s="1026">
        <f t="shared" si="79"/>
        <v>0</v>
      </c>
      <c r="N234" s="1026">
        <f t="shared" si="79"/>
        <v>0</v>
      </c>
      <c r="O234" s="1026">
        <f t="shared" si="79"/>
        <v>0</v>
      </c>
      <c r="P234" s="1026"/>
      <c r="Q234" s="1026"/>
      <c r="R234" s="1026"/>
      <c r="S234" s="1026">
        <f t="shared" si="79"/>
        <v>0</v>
      </c>
      <c r="T234" s="1026">
        <f t="shared" si="79"/>
        <v>0</v>
      </c>
      <c r="U234" s="1026">
        <f t="shared" si="79"/>
        <v>0</v>
      </c>
      <c r="V234" s="1026"/>
      <c r="W234" s="1026">
        <f t="shared" si="79"/>
        <v>0</v>
      </c>
      <c r="X234" s="1026"/>
      <c r="Y234" s="1026"/>
      <c r="Z234" s="1026"/>
      <c r="AA234" s="1026">
        <f t="shared" si="79"/>
        <v>0</v>
      </c>
      <c r="AB234" s="1026">
        <f t="shared" si="79"/>
        <v>0</v>
      </c>
      <c r="AC234" s="1026">
        <f t="shared" si="79"/>
        <v>0</v>
      </c>
      <c r="AD234" s="1026">
        <f t="shared" si="79"/>
        <v>0</v>
      </c>
      <c r="AE234" s="1026">
        <f t="shared" si="79"/>
        <v>0</v>
      </c>
      <c r="AF234" s="1026">
        <f t="shared" si="79"/>
        <v>0</v>
      </c>
      <c r="AG234" s="1026">
        <f t="shared" si="79"/>
        <v>0</v>
      </c>
      <c r="AH234" s="1026">
        <f t="shared" si="79"/>
        <v>0</v>
      </c>
      <c r="AI234" s="1026">
        <f t="shared" si="79"/>
        <v>0</v>
      </c>
      <c r="AJ234" s="1026">
        <f t="shared" si="79"/>
        <v>0</v>
      </c>
      <c r="AK234" s="1026"/>
      <c r="AL234" s="1026"/>
      <c r="AM234" s="1026"/>
      <c r="AN234" s="1026"/>
      <c r="AO234" s="1026"/>
      <c r="AP234" s="1026"/>
      <c r="AQ234" s="1026">
        <f t="shared" si="79"/>
        <v>0</v>
      </c>
      <c r="AR234" s="1026"/>
      <c r="AS234" s="1026"/>
      <c r="AT234" s="1026">
        <f t="shared" si="79"/>
        <v>0</v>
      </c>
      <c r="AU234" s="1026"/>
      <c r="AV234" s="1026"/>
      <c r="AW234" s="1026">
        <f t="shared" si="79"/>
        <v>0</v>
      </c>
      <c r="AX234" s="1026">
        <f t="shared" si="79"/>
        <v>0</v>
      </c>
      <c r="AY234" s="1026">
        <f t="shared" si="79"/>
        <v>0</v>
      </c>
      <c r="AZ234" s="1026">
        <f t="shared" si="79"/>
        <v>0</v>
      </c>
      <c r="BA234" s="1026"/>
      <c r="BB234" s="1026">
        <f t="shared" si="79"/>
        <v>0</v>
      </c>
      <c r="BC234" s="1026">
        <f t="shared" si="79"/>
        <v>0</v>
      </c>
      <c r="BD234" s="1026"/>
      <c r="BE234" s="1026"/>
      <c r="BF234" s="1026">
        <f t="shared" si="79"/>
        <v>0.2</v>
      </c>
      <c r="BG234" s="1027"/>
      <c r="BH234" s="1027"/>
      <c r="BI234" s="1068"/>
      <c r="BJ234" s="1102"/>
      <c r="BK234" s="1208"/>
      <c r="BL234" s="1208"/>
      <c r="BM234" s="1208"/>
      <c r="BN234" s="1208"/>
      <c r="BO234" s="1122"/>
      <c r="BS234" s="1210"/>
      <c r="BT234" s="1118"/>
    </row>
    <row r="235" spans="1:72" s="1126" customFormat="1" ht="62.25" customHeight="1">
      <c r="A235" s="1028">
        <f>A233+1</f>
        <v>83</v>
      </c>
      <c r="B235" s="1130" t="s">
        <v>3451</v>
      </c>
      <c r="C235" s="1127" t="s">
        <v>3013</v>
      </c>
      <c r="D235" s="1120" t="s">
        <v>3087</v>
      </c>
      <c r="E235" s="1118" t="s">
        <v>46</v>
      </c>
      <c r="F235" s="1031">
        <f>G235+H235</f>
        <v>0.2</v>
      </c>
      <c r="G235" s="1031"/>
      <c r="H235" s="1029">
        <f>SUM(J235:BF235)</f>
        <v>0.2</v>
      </c>
      <c r="I235" s="1029">
        <v>2030</v>
      </c>
      <c r="J235" s="1029"/>
      <c r="K235" s="1029"/>
      <c r="L235" s="1029"/>
      <c r="M235" s="1029"/>
      <c r="N235" s="1029"/>
      <c r="O235" s="1029"/>
      <c r="P235" s="1029"/>
      <c r="Q235" s="1029"/>
      <c r="R235" s="1029"/>
      <c r="S235" s="1029"/>
      <c r="T235" s="1029"/>
      <c r="U235" s="1029"/>
      <c r="V235" s="1029"/>
      <c r="W235" s="1029"/>
      <c r="X235" s="1029"/>
      <c r="Y235" s="1029"/>
      <c r="Z235" s="1029"/>
      <c r="AA235" s="1029"/>
      <c r="AB235" s="1029"/>
      <c r="AC235" s="1029"/>
      <c r="AD235" s="1029"/>
      <c r="AE235" s="1029"/>
      <c r="AF235" s="1029"/>
      <c r="AG235" s="1029"/>
      <c r="AH235" s="1029"/>
      <c r="AI235" s="1029"/>
      <c r="AJ235" s="1029"/>
      <c r="AK235" s="1029"/>
      <c r="AL235" s="1029"/>
      <c r="AM235" s="1029"/>
      <c r="AN235" s="1029"/>
      <c r="AO235" s="1029"/>
      <c r="AP235" s="1029"/>
      <c r="AQ235" s="1029"/>
      <c r="AR235" s="1029"/>
      <c r="AS235" s="1029"/>
      <c r="AT235" s="1029"/>
      <c r="AU235" s="1029"/>
      <c r="AV235" s="1029"/>
      <c r="AW235" s="1029"/>
      <c r="AX235" s="1029"/>
      <c r="AY235" s="1029"/>
      <c r="AZ235" s="1029"/>
      <c r="BA235" s="1029"/>
      <c r="BB235" s="1029"/>
      <c r="BC235" s="1029"/>
      <c r="BD235" s="1029"/>
      <c r="BE235" s="1029"/>
      <c r="BF235" s="1029">
        <v>0.2</v>
      </c>
      <c r="BG235" s="1029"/>
      <c r="BH235" s="1029"/>
      <c r="BI235" s="1127" t="s">
        <v>3452</v>
      </c>
      <c r="BJ235" s="1120" t="s">
        <v>3453</v>
      </c>
      <c r="BK235" s="1120" t="s">
        <v>3454</v>
      </c>
      <c r="BL235" s="1120" t="s">
        <v>1917</v>
      </c>
      <c r="BM235" s="1120" t="s">
        <v>3091</v>
      </c>
      <c r="BN235" s="1120" t="s">
        <v>291</v>
      </c>
      <c r="BO235" s="1121"/>
      <c r="BP235" s="1122">
        <v>1</v>
      </c>
      <c r="BQ235" s="1123"/>
      <c r="BR235" s="1123"/>
      <c r="BS235" s="1124"/>
      <c r="BT235" s="1125"/>
    </row>
    <row r="236" spans="1:72" s="1126" customFormat="1" ht="16.5" customHeight="1">
      <c r="A236" s="1023" t="s">
        <v>378</v>
      </c>
      <c r="B236" s="1367" t="s">
        <v>107</v>
      </c>
      <c r="C236" s="1222"/>
      <c r="D236" s="1222"/>
      <c r="E236" s="1125"/>
      <c r="F236" s="1069">
        <f>G236+H236</f>
        <v>16.019999999999996</v>
      </c>
      <c r="G236" s="1103">
        <f t="shared" ref="G236" si="80">SUM(G237:G256)</f>
        <v>0</v>
      </c>
      <c r="H236" s="1026">
        <f t="shared" ref="H236:H256" si="81">SUM(J236:BF236)</f>
        <v>16.019999999999996</v>
      </c>
      <c r="I236" s="1029"/>
      <c r="J236" s="1103">
        <f>SUM(J237:J257)</f>
        <v>3.56</v>
      </c>
      <c r="K236" s="1103">
        <f t="shared" ref="K236:BH236" si="82">SUM(K237:K257)</f>
        <v>1.49</v>
      </c>
      <c r="L236" s="1103">
        <f t="shared" si="82"/>
        <v>0</v>
      </c>
      <c r="M236" s="1103">
        <f t="shared" si="82"/>
        <v>4.2399999999999993</v>
      </c>
      <c r="N236" s="1103">
        <f t="shared" si="82"/>
        <v>3.5</v>
      </c>
      <c r="O236" s="1103">
        <f t="shared" si="82"/>
        <v>0</v>
      </c>
      <c r="P236" s="1103">
        <f t="shared" si="82"/>
        <v>0</v>
      </c>
      <c r="Q236" s="1103">
        <f t="shared" si="82"/>
        <v>0</v>
      </c>
      <c r="R236" s="1103">
        <f t="shared" si="82"/>
        <v>0</v>
      </c>
      <c r="S236" s="1103">
        <f t="shared" si="82"/>
        <v>1.6900000000000002</v>
      </c>
      <c r="T236" s="1103">
        <f t="shared" si="82"/>
        <v>0</v>
      </c>
      <c r="U236" s="1103">
        <f t="shared" si="82"/>
        <v>0.71</v>
      </c>
      <c r="V236" s="1103">
        <f t="shared" si="82"/>
        <v>0</v>
      </c>
      <c r="W236" s="1103">
        <f t="shared" si="82"/>
        <v>0</v>
      </c>
      <c r="X236" s="1103">
        <f t="shared" si="82"/>
        <v>0</v>
      </c>
      <c r="Y236" s="1103">
        <f t="shared" si="82"/>
        <v>0</v>
      </c>
      <c r="Z236" s="1103">
        <f t="shared" si="82"/>
        <v>0</v>
      </c>
      <c r="AA236" s="1103">
        <f t="shared" si="82"/>
        <v>0</v>
      </c>
      <c r="AB236" s="1103">
        <f t="shared" si="82"/>
        <v>0.02</v>
      </c>
      <c r="AC236" s="1103">
        <f t="shared" si="82"/>
        <v>0</v>
      </c>
      <c r="AD236" s="1103">
        <f t="shared" si="82"/>
        <v>0</v>
      </c>
      <c r="AE236" s="1103">
        <f t="shared" si="82"/>
        <v>0</v>
      </c>
      <c r="AF236" s="1103">
        <f t="shared" si="82"/>
        <v>0</v>
      </c>
      <c r="AG236" s="1103">
        <f t="shared" si="82"/>
        <v>0</v>
      </c>
      <c r="AH236" s="1103">
        <f t="shared" si="82"/>
        <v>0</v>
      </c>
      <c r="AI236" s="1103">
        <f t="shared" si="82"/>
        <v>0</v>
      </c>
      <c r="AJ236" s="1103">
        <f t="shared" si="82"/>
        <v>0</v>
      </c>
      <c r="AK236" s="1103">
        <f t="shared" si="82"/>
        <v>0</v>
      </c>
      <c r="AL236" s="1103">
        <f t="shared" si="82"/>
        <v>0</v>
      </c>
      <c r="AM236" s="1103">
        <f t="shared" si="82"/>
        <v>0</v>
      </c>
      <c r="AN236" s="1103">
        <f t="shared" si="82"/>
        <v>0</v>
      </c>
      <c r="AO236" s="1103">
        <f t="shared" si="82"/>
        <v>0</v>
      </c>
      <c r="AP236" s="1103">
        <f t="shared" si="82"/>
        <v>0</v>
      </c>
      <c r="AQ236" s="1103">
        <f t="shared" si="82"/>
        <v>0</v>
      </c>
      <c r="AR236" s="1103">
        <f t="shared" si="82"/>
        <v>0</v>
      </c>
      <c r="AS236" s="1103">
        <f t="shared" si="82"/>
        <v>0</v>
      </c>
      <c r="AT236" s="1103">
        <f t="shared" si="82"/>
        <v>0</v>
      </c>
      <c r="AU236" s="1103">
        <f t="shared" si="82"/>
        <v>0</v>
      </c>
      <c r="AV236" s="1103">
        <f t="shared" si="82"/>
        <v>0</v>
      </c>
      <c r="AW236" s="1103">
        <f t="shared" si="82"/>
        <v>0</v>
      </c>
      <c r="AX236" s="1103">
        <f t="shared" si="82"/>
        <v>0.52</v>
      </c>
      <c r="AY236" s="1103">
        <f t="shared" si="82"/>
        <v>0</v>
      </c>
      <c r="AZ236" s="1103">
        <f t="shared" si="82"/>
        <v>0</v>
      </c>
      <c r="BA236" s="1103">
        <f t="shared" si="82"/>
        <v>0</v>
      </c>
      <c r="BB236" s="1103">
        <f t="shared" si="82"/>
        <v>0</v>
      </c>
      <c r="BC236" s="1103">
        <f t="shared" si="82"/>
        <v>0</v>
      </c>
      <c r="BD236" s="1103">
        <f t="shared" si="82"/>
        <v>0</v>
      </c>
      <c r="BE236" s="1103">
        <f t="shared" si="82"/>
        <v>0</v>
      </c>
      <c r="BF236" s="1103">
        <f t="shared" si="82"/>
        <v>0.29000000000000004</v>
      </c>
      <c r="BG236" s="1103">
        <f t="shared" si="82"/>
        <v>0</v>
      </c>
      <c r="BH236" s="1103">
        <f t="shared" si="82"/>
        <v>0</v>
      </c>
      <c r="BI236" s="1222"/>
      <c r="BJ236" s="1208"/>
      <c r="BK236" s="1208"/>
      <c r="BL236" s="1208"/>
      <c r="BM236" s="1208"/>
      <c r="BN236" s="1208"/>
      <c r="BO236" s="1122"/>
      <c r="BP236" s="1122"/>
      <c r="BQ236" s="1123"/>
      <c r="BR236" s="1123"/>
      <c r="BS236" s="1210"/>
      <c r="BT236" s="1125"/>
    </row>
    <row r="237" spans="1:72" ht="110.45" customHeight="1">
      <c r="A237" s="1028">
        <f>+A235+1</f>
        <v>84</v>
      </c>
      <c r="B237" s="1130" t="s">
        <v>3455</v>
      </c>
      <c r="C237" s="1049" t="s">
        <v>3015</v>
      </c>
      <c r="D237" s="1120" t="s">
        <v>3087</v>
      </c>
      <c r="E237" s="1118" t="s">
        <v>59</v>
      </c>
      <c r="F237" s="1031">
        <f t="shared" ref="F237:F296" si="83">G237+H237</f>
        <v>0.05</v>
      </c>
      <c r="G237" s="1031"/>
      <c r="H237" s="1029">
        <f t="shared" si="81"/>
        <v>0.05</v>
      </c>
      <c r="I237" s="1029">
        <v>2030</v>
      </c>
      <c r="J237" s="1029"/>
      <c r="K237" s="1031"/>
      <c r="L237" s="1031"/>
      <c r="M237" s="1031"/>
      <c r="N237" s="1031"/>
      <c r="O237" s="1031"/>
      <c r="P237" s="1031"/>
      <c r="Q237" s="1031"/>
      <c r="R237" s="1031"/>
      <c r="S237" s="1031">
        <v>0.05</v>
      </c>
      <c r="T237" s="1031"/>
      <c r="U237" s="1031"/>
      <c r="V237" s="1031"/>
      <c r="W237" s="1031"/>
      <c r="X237" s="1031"/>
      <c r="Y237" s="1031"/>
      <c r="Z237" s="1031"/>
      <c r="AA237" s="1031"/>
      <c r="AB237" s="1031"/>
      <c r="AC237" s="1031"/>
      <c r="AD237" s="1031"/>
      <c r="AE237" s="1031"/>
      <c r="AF237" s="1031"/>
      <c r="AG237" s="1031"/>
      <c r="AH237" s="1031"/>
      <c r="AI237" s="1031"/>
      <c r="AJ237" s="1031"/>
      <c r="AK237" s="1031"/>
      <c r="AL237" s="1031"/>
      <c r="AM237" s="1031"/>
      <c r="AN237" s="1031"/>
      <c r="AO237" s="1031"/>
      <c r="AP237" s="1031"/>
      <c r="AQ237" s="1031"/>
      <c r="AR237" s="1031"/>
      <c r="AS237" s="1031"/>
      <c r="AT237" s="1031"/>
      <c r="AU237" s="1031"/>
      <c r="AV237" s="1031"/>
      <c r="AW237" s="1031"/>
      <c r="AX237" s="1031"/>
      <c r="AY237" s="1031"/>
      <c r="AZ237" s="1031"/>
      <c r="BA237" s="1031"/>
      <c r="BB237" s="1031"/>
      <c r="BC237" s="1031"/>
      <c r="BD237" s="1031"/>
      <c r="BE237" s="1031"/>
      <c r="BF237" s="1031"/>
      <c r="BG237" s="1031"/>
      <c r="BH237" s="1031"/>
      <c r="BI237" s="1049" t="s">
        <v>3402</v>
      </c>
      <c r="BJ237" s="1120" t="s">
        <v>3456</v>
      </c>
      <c r="BK237" s="1120" t="s">
        <v>3457</v>
      </c>
      <c r="BL237" s="1120" t="s">
        <v>1923</v>
      </c>
      <c r="BM237" s="1120" t="s">
        <v>3458</v>
      </c>
      <c r="BN237" s="1120" t="s">
        <v>291</v>
      </c>
      <c r="BP237" s="1121">
        <v>1</v>
      </c>
      <c r="BS237" s="1124"/>
      <c r="BT237" s="1118"/>
    </row>
    <row r="238" spans="1:72" ht="60" customHeight="1">
      <c r="A238" s="1028">
        <f>+A237+1</f>
        <v>85</v>
      </c>
      <c r="B238" s="1215" t="s">
        <v>3459</v>
      </c>
      <c r="C238" s="1127" t="s">
        <v>3113</v>
      </c>
      <c r="D238" s="1120" t="s">
        <v>3087</v>
      </c>
      <c r="E238" s="1118" t="s">
        <v>59</v>
      </c>
      <c r="F238" s="1031">
        <f t="shared" si="83"/>
        <v>0.02</v>
      </c>
      <c r="G238" s="1031"/>
      <c r="H238" s="1029">
        <f t="shared" si="81"/>
        <v>0.02</v>
      </c>
      <c r="I238" s="1029">
        <v>2030</v>
      </c>
      <c r="J238" s="1029"/>
      <c r="K238" s="1031"/>
      <c r="L238" s="1031"/>
      <c r="M238" s="1031"/>
      <c r="N238" s="1031"/>
      <c r="O238" s="1031"/>
      <c r="P238" s="1031"/>
      <c r="Q238" s="1031"/>
      <c r="R238" s="1031"/>
      <c r="S238" s="1031"/>
      <c r="T238" s="1031"/>
      <c r="U238" s="1031"/>
      <c r="V238" s="1031"/>
      <c r="W238" s="1031"/>
      <c r="X238" s="1031"/>
      <c r="Y238" s="1031"/>
      <c r="Z238" s="1031"/>
      <c r="AA238" s="1031"/>
      <c r="AB238" s="1031">
        <v>0.02</v>
      </c>
      <c r="AC238" s="1031"/>
      <c r="AD238" s="1031"/>
      <c r="AE238" s="1031"/>
      <c r="AF238" s="1031"/>
      <c r="AG238" s="1031"/>
      <c r="AH238" s="1031"/>
      <c r="AI238" s="1031"/>
      <c r="AJ238" s="1031"/>
      <c r="AK238" s="1031"/>
      <c r="AL238" s="1031"/>
      <c r="AM238" s="1031"/>
      <c r="AN238" s="1031"/>
      <c r="AO238" s="1031"/>
      <c r="AP238" s="1031"/>
      <c r="AQ238" s="1031"/>
      <c r="AR238" s="1031"/>
      <c r="AS238" s="1031"/>
      <c r="AT238" s="1031"/>
      <c r="AU238" s="1031"/>
      <c r="AV238" s="1031"/>
      <c r="AW238" s="1031"/>
      <c r="AX238" s="1031"/>
      <c r="AY238" s="1031"/>
      <c r="AZ238" s="1031"/>
      <c r="BA238" s="1031"/>
      <c r="BB238" s="1031"/>
      <c r="BC238" s="1031"/>
      <c r="BD238" s="1031"/>
      <c r="BE238" s="1031"/>
      <c r="BF238" s="1031"/>
      <c r="BG238" s="1031"/>
      <c r="BH238" s="1031"/>
      <c r="BI238" s="1127" t="s">
        <v>3460</v>
      </c>
      <c r="BJ238" s="1383" t="s">
        <v>3461</v>
      </c>
      <c r="BK238" s="1120" t="s">
        <v>3462</v>
      </c>
      <c r="BL238" s="1120" t="s">
        <v>1923</v>
      </c>
      <c r="BM238" s="1120" t="s">
        <v>3091</v>
      </c>
      <c r="BN238" s="1120" t="s">
        <v>291</v>
      </c>
      <c r="BP238" s="1121">
        <v>1</v>
      </c>
      <c r="BS238" s="1124"/>
      <c r="BT238" s="1118"/>
    </row>
    <row r="239" spans="1:72" ht="151.5" customHeight="1">
      <c r="A239" s="1028">
        <f>+A238+1</f>
        <v>86</v>
      </c>
      <c r="B239" s="1215" t="s">
        <v>3463</v>
      </c>
      <c r="C239" s="1127" t="s">
        <v>3025</v>
      </c>
      <c r="D239" s="1120" t="s">
        <v>3087</v>
      </c>
      <c r="E239" s="1118" t="s">
        <v>59</v>
      </c>
      <c r="F239" s="1031">
        <f t="shared" si="83"/>
        <v>1.26</v>
      </c>
      <c r="G239" s="1031"/>
      <c r="H239" s="1029">
        <f t="shared" si="81"/>
        <v>1.26</v>
      </c>
      <c r="I239" s="1029">
        <v>2030</v>
      </c>
      <c r="J239" s="1031">
        <f>0.28+0.03</f>
        <v>0.31000000000000005</v>
      </c>
      <c r="K239" s="1031">
        <v>0.19</v>
      </c>
      <c r="L239" s="1031"/>
      <c r="M239" s="1031">
        <f>0.15+0.12</f>
        <v>0.27</v>
      </c>
      <c r="N239" s="1031">
        <f>0.17+0.17</f>
        <v>0.34</v>
      </c>
      <c r="O239" s="1031"/>
      <c r="P239" s="1031"/>
      <c r="Q239" s="1031"/>
      <c r="R239" s="1031"/>
      <c r="S239" s="1031">
        <v>0.15</v>
      </c>
      <c r="T239" s="1031"/>
      <c r="U239" s="1031"/>
      <c r="V239" s="1031"/>
      <c r="W239" s="1031"/>
      <c r="X239" s="1031"/>
      <c r="Y239" s="1031"/>
      <c r="Z239" s="1031"/>
      <c r="AA239" s="1031"/>
      <c r="AB239" s="1031"/>
      <c r="AC239" s="1031"/>
      <c r="AD239" s="1031"/>
      <c r="AE239" s="1031"/>
      <c r="AF239" s="1031"/>
      <c r="AG239" s="1031"/>
      <c r="AH239" s="1031"/>
      <c r="AI239" s="1031"/>
      <c r="AJ239" s="1031"/>
      <c r="AK239" s="1031"/>
      <c r="AL239" s="1031"/>
      <c r="AM239" s="1031"/>
      <c r="AN239" s="1031"/>
      <c r="AO239" s="1031"/>
      <c r="AP239" s="1031"/>
      <c r="AQ239" s="1031"/>
      <c r="AR239" s="1031"/>
      <c r="AS239" s="1031"/>
      <c r="AT239" s="1031"/>
      <c r="AU239" s="1031"/>
      <c r="AV239" s="1031"/>
      <c r="AW239" s="1031"/>
      <c r="AX239" s="1031"/>
      <c r="AY239" s="1031"/>
      <c r="AZ239" s="1031"/>
      <c r="BA239" s="1031"/>
      <c r="BB239" s="1031"/>
      <c r="BC239" s="1031"/>
      <c r="BD239" s="1031"/>
      <c r="BE239" s="1031"/>
      <c r="BF239" s="1031"/>
      <c r="BG239" s="1039"/>
      <c r="BH239" s="1039"/>
      <c r="BI239" s="1127" t="s">
        <v>3464</v>
      </c>
      <c r="BJ239" s="1120" t="s">
        <v>3465</v>
      </c>
      <c r="BK239" s="1120" t="s">
        <v>3466</v>
      </c>
      <c r="BL239" s="1120" t="s">
        <v>1923</v>
      </c>
      <c r="BM239" s="1120" t="s">
        <v>3091</v>
      </c>
      <c r="BN239" s="1120" t="s">
        <v>291</v>
      </c>
      <c r="BP239" s="1121">
        <v>1</v>
      </c>
      <c r="BS239" s="1124"/>
      <c r="BT239" s="1118"/>
    </row>
    <row r="240" spans="1:72" ht="228" customHeight="1">
      <c r="A240" s="1599">
        <f>+A239</f>
        <v>86</v>
      </c>
      <c r="B240" s="1596" t="s">
        <v>3463</v>
      </c>
      <c r="C240" s="1127" t="s">
        <v>3015</v>
      </c>
      <c r="D240" s="1120" t="s">
        <v>3087</v>
      </c>
      <c r="E240" s="1118" t="s">
        <v>59</v>
      </c>
      <c r="F240" s="1031">
        <f t="shared" si="83"/>
        <v>0.86</v>
      </c>
      <c r="G240" s="1031"/>
      <c r="H240" s="1029">
        <f t="shared" si="81"/>
        <v>0.86</v>
      </c>
      <c r="I240" s="1029">
        <v>2030</v>
      </c>
      <c r="J240" s="1031">
        <v>0.36</v>
      </c>
      <c r="K240" s="1031"/>
      <c r="L240" s="1031"/>
      <c r="M240" s="1031">
        <v>0.24</v>
      </c>
      <c r="N240" s="1031">
        <v>0.14000000000000001</v>
      </c>
      <c r="O240" s="1031"/>
      <c r="P240" s="1031"/>
      <c r="Q240" s="1031"/>
      <c r="R240" s="1031"/>
      <c r="S240" s="1031">
        <v>0.12</v>
      </c>
      <c r="T240" s="1031"/>
      <c r="U240" s="1031"/>
      <c r="V240" s="1031"/>
      <c r="W240" s="1031"/>
      <c r="X240" s="1031"/>
      <c r="Y240" s="1031"/>
      <c r="Z240" s="1031"/>
      <c r="AA240" s="1031"/>
      <c r="AB240" s="1031"/>
      <c r="AC240" s="1031"/>
      <c r="AD240" s="1031"/>
      <c r="AE240" s="1031"/>
      <c r="AF240" s="1031"/>
      <c r="AG240" s="1031"/>
      <c r="AH240" s="1031"/>
      <c r="AI240" s="1031"/>
      <c r="AJ240" s="1031"/>
      <c r="AK240" s="1031"/>
      <c r="AL240" s="1031"/>
      <c r="AM240" s="1031"/>
      <c r="AN240" s="1031"/>
      <c r="AO240" s="1031"/>
      <c r="AP240" s="1031"/>
      <c r="AQ240" s="1031"/>
      <c r="AR240" s="1031"/>
      <c r="AS240" s="1031"/>
      <c r="AT240" s="1031"/>
      <c r="AU240" s="1031"/>
      <c r="AV240" s="1031"/>
      <c r="AW240" s="1031"/>
      <c r="AX240" s="1031"/>
      <c r="AY240" s="1031"/>
      <c r="AZ240" s="1031"/>
      <c r="BA240" s="1031"/>
      <c r="BB240" s="1031"/>
      <c r="BC240" s="1031"/>
      <c r="BD240" s="1031"/>
      <c r="BE240" s="1031"/>
      <c r="BF240" s="1031"/>
      <c r="BG240" s="1039"/>
      <c r="BH240" s="1039"/>
      <c r="BI240" s="1127" t="s">
        <v>3467</v>
      </c>
      <c r="BJ240" s="1120" t="s">
        <v>3468</v>
      </c>
      <c r="BK240" s="1120" t="s">
        <v>3466</v>
      </c>
      <c r="BL240" s="1120" t="s">
        <v>1923</v>
      </c>
      <c r="BM240" s="1120" t="s">
        <v>3091</v>
      </c>
      <c r="BN240" s="1120" t="s">
        <v>291</v>
      </c>
      <c r="BS240" s="1124"/>
      <c r="BT240" s="1118"/>
    </row>
    <row r="241" spans="1:72" ht="50.25" customHeight="1">
      <c r="A241" s="1601"/>
      <c r="B241" s="1598"/>
      <c r="C241" s="1127" t="s">
        <v>3027</v>
      </c>
      <c r="D241" s="1120" t="s">
        <v>3087</v>
      </c>
      <c r="E241" s="1118" t="s">
        <v>59</v>
      </c>
      <c r="F241" s="1031">
        <f t="shared" si="83"/>
        <v>0.37</v>
      </c>
      <c r="G241" s="1031"/>
      <c r="H241" s="1029">
        <f t="shared" si="81"/>
        <v>0.37</v>
      </c>
      <c r="I241" s="1029">
        <v>2030</v>
      </c>
      <c r="J241" s="1031">
        <v>0.01</v>
      </c>
      <c r="K241" s="1031"/>
      <c r="L241" s="1031"/>
      <c r="M241" s="1031">
        <v>0.2</v>
      </c>
      <c r="N241" s="1029">
        <v>7.0000000000000007E-2</v>
      </c>
      <c r="O241" s="1031"/>
      <c r="P241" s="1031"/>
      <c r="Q241" s="1031"/>
      <c r="R241" s="1031"/>
      <c r="S241" s="1029">
        <v>0.09</v>
      </c>
      <c r="T241" s="1031"/>
      <c r="U241" s="1031"/>
      <c r="V241" s="1031"/>
      <c r="W241" s="1031"/>
      <c r="X241" s="1031"/>
      <c r="Y241" s="1031"/>
      <c r="Z241" s="1031"/>
      <c r="AA241" s="1031"/>
      <c r="AB241" s="1031"/>
      <c r="AC241" s="1031"/>
      <c r="AD241" s="1031"/>
      <c r="AE241" s="1031"/>
      <c r="AF241" s="1031"/>
      <c r="AG241" s="1031"/>
      <c r="AH241" s="1031"/>
      <c r="AI241" s="1031"/>
      <c r="AJ241" s="1031"/>
      <c r="AK241" s="1031"/>
      <c r="AL241" s="1031"/>
      <c r="AM241" s="1031"/>
      <c r="AN241" s="1031"/>
      <c r="AO241" s="1031"/>
      <c r="AP241" s="1031"/>
      <c r="AQ241" s="1031"/>
      <c r="AR241" s="1031"/>
      <c r="AS241" s="1031"/>
      <c r="AT241" s="1031"/>
      <c r="AU241" s="1031"/>
      <c r="AV241" s="1031"/>
      <c r="AW241" s="1031"/>
      <c r="AX241" s="1031"/>
      <c r="AY241" s="1031"/>
      <c r="AZ241" s="1031"/>
      <c r="BA241" s="1031"/>
      <c r="BB241" s="1031"/>
      <c r="BC241" s="1031"/>
      <c r="BD241" s="1031"/>
      <c r="BE241" s="1031"/>
      <c r="BF241" s="1031"/>
      <c r="BG241" s="1039"/>
      <c r="BH241" s="1039"/>
      <c r="BI241" s="1127" t="s">
        <v>3469</v>
      </c>
      <c r="BJ241" s="1120" t="s">
        <v>3470</v>
      </c>
      <c r="BK241" s="1120" t="s">
        <v>3466</v>
      </c>
      <c r="BL241" s="1120" t="s">
        <v>1923</v>
      </c>
      <c r="BM241" s="1120" t="s">
        <v>3091</v>
      </c>
      <c r="BN241" s="1120" t="s">
        <v>291</v>
      </c>
      <c r="BS241" s="1124"/>
      <c r="BT241" s="1118"/>
    </row>
    <row r="242" spans="1:72" ht="102.75" customHeight="1">
      <c r="A242" s="1599">
        <f>A240</f>
        <v>86</v>
      </c>
      <c r="B242" s="1596" t="s">
        <v>3463</v>
      </c>
      <c r="C242" s="1127" t="s">
        <v>3019</v>
      </c>
      <c r="D242" s="1120" t="s">
        <v>3087</v>
      </c>
      <c r="E242" s="1118" t="s">
        <v>59</v>
      </c>
      <c r="F242" s="1031">
        <f t="shared" si="83"/>
        <v>0.97999999999999987</v>
      </c>
      <c r="G242" s="1031"/>
      <c r="H242" s="1029">
        <f t="shared" si="81"/>
        <v>0.97999999999999987</v>
      </c>
      <c r="I242" s="1029">
        <v>2030</v>
      </c>
      <c r="J242" s="1031">
        <v>0.15</v>
      </c>
      <c r="K242" s="1031">
        <v>0.19</v>
      </c>
      <c r="L242" s="1031"/>
      <c r="M242" s="1031">
        <v>0.16</v>
      </c>
      <c r="N242" s="1031">
        <v>0.2</v>
      </c>
      <c r="O242" s="1031"/>
      <c r="P242" s="1031"/>
      <c r="Q242" s="1031"/>
      <c r="R242" s="1031"/>
      <c r="S242" s="1031">
        <v>0.18</v>
      </c>
      <c r="T242" s="1031"/>
      <c r="U242" s="1031">
        <v>0.1</v>
      </c>
      <c r="V242" s="1031"/>
      <c r="W242" s="1031"/>
      <c r="X242" s="1031"/>
      <c r="Y242" s="1031"/>
      <c r="Z242" s="1031"/>
      <c r="AA242" s="1031"/>
      <c r="AB242" s="1031"/>
      <c r="AC242" s="1031"/>
      <c r="AD242" s="1031"/>
      <c r="AE242" s="1031"/>
      <c r="AF242" s="1031"/>
      <c r="AG242" s="1031"/>
      <c r="AH242" s="1031"/>
      <c r="AI242" s="1031"/>
      <c r="AJ242" s="1031"/>
      <c r="AK242" s="1031"/>
      <c r="AL242" s="1031"/>
      <c r="AM242" s="1031"/>
      <c r="AN242" s="1031"/>
      <c r="AO242" s="1031"/>
      <c r="AP242" s="1031"/>
      <c r="AQ242" s="1031"/>
      <c r="AR242" s="1031"/>
      <c r="AS242" s="1031"/>
      <c r="AT242" s="1031"/>
      <c r="AU242" s="1031"/>
      <c r="AV242" s="1031"/>
      <c r="AW242" s="1031"/>
      <c r="AX242" s="1031"/>
      <c r="AY242" s="1031"/>
      <c r="AZ242" s="1031"/>
      <c r="BA242" s="1031"/>
      <c r="BB242" s="1031"/>
      <c r="BC242" s="1031"/>
      <c r="BD242" s="1031"/>
      <c r="BE242" s="1031"/>
      <c r="BF242" s="1031"/>
      <c r="BG242" s="1039"/>
      <c r="BH242" s="1039"/>
      <c r="BI242" s="1127" t="s">
        <v>3471</v>
      </c>
      <c r="BJ242" s="1120" t="s">
        <v>3472</v>
      </c>
      <c r="BK242" s="1120" t="s">
        <v>3466</v>
      </c>
      <c r="BL242" s="1120" t="s">
        <v>1923</v>
      </c>
      <c r="BM242" s="1120" t="s">
        <v>3091</v>
      </c>
      <c r="BN242" s="1120" t="s">
        <v>291</v>
      </c>
      <c r="BS242" s="1124"/>
      <c r="BT242" s="1118"/>
    </row>
    <row r="243" spans="1:72" ht="51" customHeight="1">
      <c r="A243" s="1600"/>
      <c r="B243" s="1597"/>
      <c r="C243" s="1127" t="s">
        <v>3014</v>
      </c>
      <c r="D243" s="1120" t="s">
        <v>3087</v>
      </c>
      <c r="E243" s="1118" t="s">
        <v>59</v>
      </c>
      <c r="F243" s="1031">
        <f t="shared" si="83"/>
        <v>0.78999999999999992</v>
      </c>
      <c r="G243" s="1031"/>
      <c r="H243" s="1029">
        <f t="shared" si="81"/>
        <v>0.78999999999999992</v>
      </c>
      <c r="I243" s="1029">
        <v>2030</v>
      </c>
      <c r="J243" s="1031">
        <v>0.19</v>
      </c>
      <c r="K243" s="1031">
        <v>0.15</v>
      </c>
      <c r="L243" s="1031"/>
      <c r="M243" s="1031">
        <v>0.12</v>
      </c>
      <c r="N243" s="1031">
        <v>0.13</v>
      </c>
      <c r="O243" s="1031"/>
      <c r="P243" s="1031"/>
      <c r="Q243" s="1031"/>
      <c r="R243" s="1031"/>
      <c r="S243" s="1031">
        <v>0.1</v>
      </c>
      <c r="T243" s="1031"/>
      <c r="U243" s="1031">
        <v>0.1</v>
      </c>
      <c r="V243" s="1031"/>
      <c r="W243" s="1031"/>
      <c r="X243" s="1031"/>
      <c r="Y243" s="1031"/>
      <c r="Z243" s="1031"/>
      <c r="AA243" s="1031"/>
      <c r="AB243" s="1031"/>
      <c r="AC243" s="1031"/>
      <c r="AD243" s="1031"/>
      <c r="AE243" s="1031"/>
      <c r="AF243" s="1031"/>
      <c r="AG243" s="1031"/>
      <c r="AH243" s="1031"/>
      <c r="AI243" s="1031"/>
      <c r="AJ243" s="1031"/>
      <c r="AK243" s="1031"/>
      <c r="AL243" s="1031"/>
      <c r="AM243" s="1031"/>
      <c r="AN243" s="1031"/>
      <c r="AO243" s="1031"/>
      <c r="AP243" s="1031"/>
      <c r="AQ243" s="1031"/>
      <c r="AR243" s="1031"/>
      <c r="AS243" s="1031"/>
      <c r="AT243" s="1031"/>
      <c r="AU243" s="1031"/>
      <c r="AV243" s="1031"/>
      <c r="AW243" s="1031"/>
      <c r="AX243" s="1031"/>
      <c r="AY243" s="1031"/>
      <c r="AZ243" s="1031"/>
      <c r="BA243" s="1031"/>
      <c r="BB243" s="1031"/>
      <c r="BC243" s="1031"/>
      <c r="BD243" s="1031"/>
      <c r="BE243" s="1031"/>
      <c r="BF243" s="1031"/>
      <c r="BG243" s="1039"/>
      <c r="BH243" s="1039"/>
      <c r="BI243" s="1127" t="s">
        <v>3473</v>
      </c>
      <c r="BJ243" s="1120" t="s">
        <v>3474</v>
      </c>
      <c r="BK243" s="1120" t="s">
        <v>3466</v>
      </c>
      <c r="BL243" s="1120" t="s">
        <v>1923</v>
      </c>
      <c r="BM243" s="1120" t="s">
        <v>3091</v>
      </c>
      <c r="BN243" s="1120" t="s">
        <v>291</v>
      </c>
      <c r="BS243" s="1124"/>
      <c r="BT243" s="1118"/>
    </row>
    <row r="244" spans="1:72" ht="224.25" customHeight="1">
      <c r="A244" s="1600"/>
      <c r="B244" s="1597"/>
      <c r="C244" s="1127" t="s">
        <v>3023</v>
      </c>
      <c r="D244" s="1120" t="s">
        <v>3087</v>
      </c>
      <c r="E244" s="1118" t="s">
        <v>59</v>
      </c>
      <c r="F244" s="1031">
        <f t="shared" si="83"/>
        <v>1.06</v>
      </c>
      <c r="G244" s="1031"/>
      <c r="H244" s="1029">
        <f t="shared" si="81"/>
        <v>1.06</v>
      </c>
      <c r="I244" s="1029">
        <v>2030</v>
      </c>
      <c r="J244" s="1031">
        <f>0.18+0.07</f>
        <v>0.25</v>
      </c>
      <c r="K244" s="1031">
        <f>0.2-0.02+0.03</f>
        <v>0.21000000000000002</v>
      </c>
      <c r="L244" s="1031"/>
      <c r="M244" s="1031">
        <f>0.38-0.02+0.07</f>
        <v>0.43</v>
      </c>
      <c r="N244" s="1031">
        <v>0.17</v>
      </c>
      <c r="O244" s="1031"/>
      <c r="P244" s="1031"/>
      <c r="Q244" s="1031"/>
      <c r="R244" s="1031"/>
      <c r="S244" s="1031"/>
      <c r="T244" s="1031"/>
      <c r="U244" s="1031"/>
      <c r="V244" s="1031"/>
      <c r="W244" s="1031"/>
      <c r="X244" s="1031"/>
      <c r="Y244" s="1031"/>
      <c r="Z244" s="1031"/>
      <c r="AA244" s="1031"/>
      <c r="AB244" s="1031"/>
      <c r="AC244" s="1031"/>
      <c r="AD244" s="1031"/>
      <c r="AE244" s="1031"/>
      <c r="AF244" s="1031"/>
      <c r="AG244" s="1031"/>
      <c r="AH244" s="1031"/>
      <c r="AI244" s="1031"/>
      <c r="AJ244" s="1031"/>
      <c r="AK244" s="1031"/>
      <c r="AL244" s="1031"/>
      <c r="AM244" s="1031"/>
      <c r="AN244" s="1031"/>
      <c r="AO244" s="1031"/>
      <c r="AP244" s="1031"/>
      <c r="AQ244" s="1031"/>
      <c r="AR244" s="1031"/>
      <c r="AS244" s="1031"/>
      <c r="AT244" s="1031"/>
      <c r="AU244" s="1031"/>
      <c r="AV244" s="1031"/>
      <c r="AW244" s="1031"/>
      <c r="AX244" s="1031"/>
      <c r="AY244" s="1031"/>
      <c r="AZ244" s="1031"/>
      <c r="BA244" s="1031"/>
      <c r="BB244" s="1031"/>
      <c r="BC244" s="1031"/>
      <c r="BD244" s="1031"/>
      <c r="BE244" s="1031"/>
      <c r="BF244" s="1031"/>
      <c r="BG244" s="1039"/>
      <c r="BH244" s="1039"/>
      <c r="BI244" s="1127" t="s">
        <v>3475</v>
      </c>
      <c r="BJ244" s="1120" t="s">
        <v>3476</v>
      </c>
      <c r="BK244" s="1120" t="s">
        <v>3466</v>
      </c>
      <c r="BL244" s="1120" t="s">
        <v>1917</v>
      </c>
      <c r="BM244" s="1120" t="s">
        <v>3477</v>
      </c>
      <c r="BN244" s="1120" t="s">
        <v>291</v>
      </c>
      <c r="BP244" s="1384"/>
      <c r="BQ244" s="1385"/>
      <c r="BR244" s="1385"/>
      <c r="BS244" s="1124" t="s">
        <v>12</v>
      </c>
      <c r="BT244" s="1118"/>
    </row>
    <row r="245" spans="1:72" ht="207.75" customHeight="1">
      <c r="A245" s="1600"/>
      <c r="B245" s="1598"/>
      <c r="C245" s="1127" t="s">
        <v>3013</v>
      </c>
      <c r="D245" s="1120" t="s">
        <v>3087</v>
      </c>
      <c r="E245" s="1118" t="s">
        <v>59</v>
      </c>
      <c r="F245" s="1031">
        <f t="shared" si="83"/>
        <v>1.4300000000000002</v>
      </c>
      <c r="G245" s="1031"/>
      <c r="H245" s="1029">
        <f t="shared" si="81"/>
        <v>1.4300000000000002</v>
      </c>
      <c r="I245" s="1029">
        <v>2030</v>
      </c>
      <c r="J245" s="1031">
        <f>0.38+0.23</f>
        <v>0.61</v>
      </c>
      <c r="K245" s="1176">
        <v>0.1</v>
      </c>
      <c r="L245" s="1176"/>
      <c r="M245" s="1031">
        <f>0.25+0.17</f>
        <v>0.42000000000000004</v>
      </c>
      <c r="N245" s="1031">
        <f>0.05+0.07</f>
        <v>0.12000000000000001</v>
      </c>
      <c r="O245" s="1031"/>
      <c r="P245" s="1031"/>
      <c r="Q245" s="1031"/>
      <c r="R245" s="1031"/>
      <c r="S245" s="1031">
        <v>0.1</v>
      </c>
      <c r="T245" s="1031"/>
      <c r="U245" s="1031">
        <v>0.08</v>
      </c>
      <c r="V245" s="1031"/>
      <c r="W245" s="1031"/>
      <c r="X245" s="1031"/>
      <c r="Y245" s="1031"/>
      <c r="Z245" s="1031"/>
      <c r="AA245" s="1031"/>
      <c r="AB245" s="1031"/>
      <c r="AC245" s="1031"/>
      <c r="AD245" s="1031"/>
      <c r="AE245" s="1031"/>
      <c r="AF245" s="1031"/>
      <c r="AG245" s="1031"/>
      <c r="AH245" s="1031"/>
      <c r="AI245" s="1031"/>
      <c r="AJ245" s="1031"/>
      <c r="AK245" s="1031"/>
      <c r="AL245" s="1031"/>
      <c r="AM245" s="1031"/>
      <c r="AN245" s="1031"/>
      <c r="AO245" s="1031"/>
      <c r="AP245" s="1031"/>
      <c r="AQ245" s="1031"/>
      <c r="AR245" s="1031"/>
      <c r="AS245" s="1031"/>
      <c r="AT245" s="1031"/>
      <c r="AU245" s="1031"/>
      <c r="AV245" s="1031"/>
      <c r="AW245" s="1031"/>
      <c r="AX245" s="1031"/>
      <c r="AY245" s="1031"/>
      <c r="AZ245" s="1031"/>
      <c r="BA245" s="1031"/>
      <c r="BB245" s="1031"/>
      <c r="BC245" s="1031"/>
      <c r="BD245" s="1031"/>
      <c r="BE245" s="1031"/>
      <c r="BF245" s="1031"/>
      <c r="BG245" s="1039"/>
      <c r="BH245" s="1039"/>
      <c r="BI245" s="1127" t="s">
        <v>3478</v>
      </c>
      <c r="BJ245" s="1120" t="s">
        <v>3479</v>
      </c>
      <c r="BK245" s="1120" t="s">
        <v>3466</v>
      </c>
      <c r="BL245" s="1120" t="s">
        <v>1917</v>
      </c>
      <c r="BM245" s="1120" t="s">
        <v>3480</v>
      </c>
      <c r="BN245" s="1120" t="s">
        <v>291</v>
      </c>
      <c r="BS245" s="1124"/>
      <c r="BT245" s="1118"/>
    </row>
    <row r="246" spans="1:72" ht="93.75" customHeight="1">
      <c r="A246" s="1600"/>
      <c r="B246" s="1608" t="s">
        <v>3463</v>
      </c>
      <c r="C246" s="1127" t="s">
        <v>3113</v>
      </c>
      <c r="D246" s="1120" t="s">
        <v>3087</v>
      </c>
      <c r="E246" s="1118" t="s">
        <v>59</v>
      </c>
      <c r="F246" s="1031">
        <f t="shared" si="83"/>
        <v>0.92</v>
      </c>
      <c r="G246" s="1031"/>
      <c r="H246" s="1029">
        <f t="shared" si="81"/>
        <v>0.92</v>
      </c>
      <c r="I246" s="1029">
        <v>2030</v>
      </c>
      <c r="J246" s="1031">
        <f>0.19+0.04</f>
        <v>0.23</v>
      </c>
      <c r="K246" s="1031">
        <v>0.01</v>
      </c>
      <c r="L246" s="1031"/>
      <c r="M246" s="1031">
        <f>0.3-0.04+0.09</f>
        <v>0.35</v>
      </c>
      <c r="N246" s="1031">
        <v>0.2</v>
      </c>
      <c r="O246" s="1031"/>
      <c r="P246" s="1031"/>
      <c r="Q246" s="1031"/>
      <c r="R246" s="1031"/>
      <c r="S246" s="1104">
        <f>0.04+0.05</f>
        <v>0.09</v>
      </c>
      <c r="T246" s="1031"/>
      <c r="U246" s="1031"/>
      <c r="V246" s="1031"/>
      <c r="W246" s="1031"/>
      <c r="X246" s="1031"/>
      <c r="Y246" s="1031"/>
      <c r="Z246" s="1031"/>
      <c r="AA246" s="1031"/>
      <c r="AB246" s="1031"/>
      <c r="AC246" s="1031"/>
      <c r="AD246" s="1031"/>
      <c r="AE246" s="1031"/>
      <c r="AF246" s="1031"/>
      <c r="AG246" s="1031"/>
      <c r="AH246" s="1031"/>
      <c r="AI246" s="1031"/>
      <c r="AJ246" s="1031"/>
      <c r="AK246" s="1031"/>
      <c r="AL246" s="1031"/>
      <c r="AM246" s="1031"/>
      <c r="AN246" s="1031"/>
      <c r="AO246" s="1031"/>
      <c r="AP246" s="1031"/>
      <c r="AQ246" s="1031"/>
      <c r="AR246" s="1031"/>
      <c r="AS246" s="1031"/>
      <c r="AT246" s="1031"/>
      <c r="AU246" s="1031"/>
      <c r="AV246" s="1031"/>
      <c r="AW246" s="1031"/>
      <c r="AX246" s="1031"/>
      <c r="AY246" s="1031"/>
      <c r="AZ246" s="1031"/>
      <c r="BA246" s="1031"/>
      <c r="BB246" s="1031"/>
      <c r="BC246" s="1031"/>
      <c r="BD246" s="1031"/>
      <c r="BE246" s="1031"/>
      <c r="BF246" s="1031">
        <v>0.04</v>
      </c>
      <c r="BG246" s="1039"/>
      <c r="BH246" s="1039"/>
      <c r="BI246" s="1127" t="s">
        <v>3481</v>
      </c>
      <c r="BJ246" s="1386" t="s">
        <v>3482</v>
      </c>
      <c r="BK246" s="1120" t="s">
        <v>3466</v>
      </c>
      <c r="BL246" s="1120" t="s">
        <v>1917</v>
      </c>
      <c r="BM246" s="1120" t="s">
        <v>3483</v>
      </c>
      <c r="BN246" s="1120" t="s">
        <v>291</v>
      </c>
      <c r="BS246" s="1124" t="s">
        <v>188</v>
      </c>
      <c r="BT246" s="1118"/>
    </row>
    <row r="247" spans="1:72" ht="36.75" customHeight="1">
      <c r="A247" s="1600"/>
      <c r="B247" s="1608"/>
      <c r="C247" s="1127" t="s">
        <v>3016</v>
      </c>
      <c r="D247" s="1120" t="s">
        <v>3087</v>
      </c>
      <c r="E247" s="1118" t="s">
        <v>59</v>
      </c>
      <c r="F247" s="1031">
        <f t="shared" si="83"/>
        <v>0.38999999999999996</v>
      </c>
      <c r="G247" s="1031"/>
      <c r="H247" s="1029">
        <f t="shared" si="81"/>
        <v>0.38999999999999996</v>
      </c>
      <c r="I247" s="1029">
        <v>2030</v>
      </c>
      <c r="J247" s="1031">
        <v>0.08</v>
      </c>
      <c r="K247" s="1031"/>
      <c r="L247" s="1031"/>
      <c r="M247" s="1031">
        <f>0.04+0.07</f>
        <v>0.11000000000000001</v>
      </c>
      <c r="N247" s="1031">
        <v>0.15</v>
      </c>
      <c r="O247" s="1031"/>
      <c r="P247" s="1031"/>
      <c r="Q247" s="1031"/>
      <c r="R247" s="1031"/>
      <c r="S247" s="1031">
        <v>0.05</v>
      </c>
      <c r="T247" s="1031"/>
      <c r="U247" s="1031"/>
      <c r="V247" s="1031"/>
      <c r="W247" s="1031"/>
      <c r="X247" s="1031"/>
      <c r="Y247" s="1031"/>
      <c r="Z247" s="1031"/>
      <c r="AA247" s="1031"/>
      <c r="AB247" s="1031"/>
      <c r="AC247" s="1031"/>
      <c r="AD247" s="1031"/>
      <c r="AE247" s="1031"/>
      <c r="AF247" s="1031"/>
      <c r="AG247" s="1031"/>
      <c r="AH247" s="1031"/>
      <c r="AI247" s="1031"/>
      <c r="AJ247" s="1031"/>
      <c r="AK247" s="1031"/>
      <c r="AL247" s="1031"/>
      <c r="AM247" s="1031"/>
      <c r="AN247" s="1031"/>
      <c r="AO247" s="1031"/>
      <c r="AP247" s="1031"/>
      <c r="AQ247" s="1031"/>
      <c r="AR247" s="1031"/>
      <c r="AS247" s="1031"/>
      <c r="AT247" s="1031"/>
      <c r="AU247" s="1031"/>
      <c r="AV247" s="1031"/>
      <c r="AW247" s="1031"/>
      <c r="AX247" s="1031"/>
      <c r="AY247" s="1031"/>
      <c r="AZ247" s="1031"/>
      <c r="BA247" s="1031"/>
      <c r="BB247" s="1031"/>
      <c r="BC247" s="1031"/>
      <c r="BD247" s="1031"/>
      <c r="BE247" s="1031"/>
      <c r="BF247" s="1031"/>
      <c r="BG247" s="1039"/>
      <c r="BH247" s="1039"/>
      <c r="BI247" s="1127" t="s">
        <v>3484</v>
      </c>
      <c r="BJ247" s="1386" t="s">
        <v>3485</v>
      </c>
      <c r="BK247" s="1120" t="s">
        <v>3466</v>
      </c>
      <c r="BL247" s="1171" t="s">
        <v>1923</v>
      </c>
      <c r="BM247" s="1120" t="s">
        <v>3091</v>
      </c>
      <c r="BN247" s="1120" t="s">
        <v>291</v>
      </c>
      <c r="BS247" s="1124" t="s">
        <v>3486</v>
      </c>
      <c r="BT247" s="1118"/>
    </row>
    <row r="248" spans="1:72" ht="70.5" customHeight="1">
      <c r="A248" s="1601"/>
      <c r="B248" s="1608"/>
      <c r="C248" s="1127" t="s">
        <v>3017</v>
      </c>
      <c r="D248" s="1120" t="s">
        <v>3087</v>
      </c>
      <c r="E248" s="1118" t="s">
        <v>59</v>
      </c>
      <c r="F248" s="1031">
        <f t="shared" si="83"/>
        <v>0.71</v>
      </c>
      <c r="G248" s="1031"/>
      <c r="H248" s="1029">
        <f t="shared" si="81"/>
        <v>0.71</v>
      </c>
      <c r="I248" s="1029">
        <v>2030</v>
      </c>
      <c r="J248" s="1031">
        <v>0.24</v>
      </c>
      <c r="K248" s="1031">
        <v>0.06</v>
      </c>
      <c r="L248" s="1031"/>
      <c r="M248" s="1031">
        <v>0.13</v>
      </c>
      <c r="N248" s="1031">
        <v>0.13</v>
      </c>
      <c r="O248" s="1031"/>
      <c r="P248" s="1031"/>
      <c r="Q248" s="1031"/>
      <c r="R248" s="1031"/>
      <c r="S248" s="1031"/>
      <c r="T248" s="1031"/>
      <c r="U248" s="1029">
        <v>0.09</v>
      </c>
      <c r="V248" s="1029"/>
      <c r="W248" s="1031"/>
      <c r="X248" s="1031"/>
      <c r="Y248" s="1031"/>
      <c r="Z248" s="1031"/>
      <c r="AA248" s="1031"/>
      <c r="AB248" s="1031"/>
      <c r="AC248" s="1031"/>
      <c r="AD248" s="1031"/>
      <c r="AE248" s="1031"/>
      <c r="AF248" s="1031"/>
      <c r="AG248" s="1031"/>
      <c r="AH248" s="1031"/>
      <c r="AI248" s="1031"/>
      <c r="AJ248" s="1031"/>
      <c r="AK248" s="1031"/>
      <c r="AL248" s="1031"/>
      <c r="AM248" s="1031"/>
      <c r="AN248" s="1031"/>
      <c r="AO248" s="1031"/>
      <c r="AP248" s="1031"/>
      <c r="AQ248" s="1031"/>
      <c r="AR248" s="1031"/>
      <c r="AS248" s="1031"/>
      <c r="AT248" s="1031"/>
      <c r="AU248" s="1031"/>
      <c r="AV248" s="1031"/>
      <c r="AW248" s="1031"/>
      <c r="AX248" s="1031"/>
      <c r="AY248" s="1031"/>
      <c r="AZ248" s="1031"/>
      <c r="BA248" s="1031"/>
      <c r="BB248" s="1031"/>
      <c r="BC248" s="1031"/>
      <c r="BD248" s="1031"/>
      <c r="BE248" s="1031"/>
      <c r="BF248" s="1031">
        <v>0.06</v>
      </c>
      <c r="BG248" s="1039"/>
      <c r="BH248" s="1039"/>
      <c r="BI248" s="1127" t="s">
        <v>3487</v>
      </c>
      <c r="BJ248" s="1387" t="s">
        <v>3488</v>
      </c>
      <c r="BK248" s="1120" t="s">
        <v>3466</v>
      </c>
      <c r="BL248" s="1120" t="s">
        <v>1923</v>
      </c>
      <c r="BM248" s="1120" t="s">
        <v>3091</v>
      </c>
      <c r="BN248" s="1120" t="s">
        <v>291</v>
      </c>
      <c r="BS248" s="1124"/>
      <c r="BT248" s="1118"/>
    </row>
    <row r="249" spans="1:72" ht="80.25" customHeight="1">
      <c r="A249" s="1612">
        <f>A242</f>
        <v>86</v>
      </c>
      <c r="B249" s="1596" t="s">
        <v>3463</v>
      </c>
      <c r="C249" s="1127" t="s">
        <v>3018</v>
      </c>
      <c r="D249" s="1120" t="s">
        <v>3087</v>
      </c>
      <c r="E249" s="1118" t="s">
        <v>59</v>
      </c>
      <c r="F249" s="1031">
        <f t="shared" si="83"/>
        <v>0.67999999999999994</v>
      </c>
      <c r="G249" s="1031"/>
      <c r="H249" s="1029">
        <f t="shared" si="81"/>
        <v>0.67999999999999994</v>
      </c>
      <c r="I249" s="1029">
        <v>2030</v>
      </c>
      <c r="J249" s="1031">
        <v>0.12</v>
      </c>
      <c r="K249" s="1031">
        <v>0.11</v>
      </c>
      <c r="L249" s="1031"/>
      <c r="M249" s="1031">
        <f>0.23-0.1</f>
        <v>0.13</v>
      </c>
      <c r="N249" s="1031">
        <f>0.12+0.1</f>
        <v>0.22</v>
      </c>
      <c r="O249" s="1031"/>
      <c r="P249" s="1031"/>
      <c r="Q249" s="1031"/>
      <c r="R249" s="1031"/>
      <c r="S249" s="1031">
        <v>0.1</v>
      </c>
      <c r="T249" s="1031"/>
      <c r="U249" s="1031"/>
      <c r="V249" s="1031"/>
      <c r="W249" s="1031"/>
      <c r="X249" s="1031"/>
      <c r="Y249" s="1031"/>
      <c r="Z249" s="1031"/>
      <c r="AA249" s="1031"/>
      <c r="AB249" s="1031"/>
      <c r="AC249" s="1031"/>
      <c r="AD249" s="1031"/>
      <c r="AE249" s="1031"/>
      <c r="AF249" s="1031"/>
      <c r="AG249" s="1031"/>
      <c r="AH249" s="1031"/>
      <c r="AI249" s="1031"/>
      <c r="AJ249" s="1031"/>
      <c r="AK249" s="1031"/>
      <c r="AL249" s="1031"/>
      <c r="AM249" s="1031"/>
      <c r="AN249" s="1031"/>
      <c r="AO249" s="1031"/>
      <c r="AP249" s="1031"/>
      <c r="AQ249" s="1031"/>
      <c r="AR249" s="1031"/>
      <c r="AS249" s="1031"/>
      <c r="AT249" s="1031"/>
      <c r="AU249" s="1031"/>
      <c r="AV249" s="1031"/>
      <c r="AW249" s="1031"/>
      <c r="AX249" s="1031"/>
      <c r="AY249" s="1031"/>
      <c r="AZ249" s="1031"/>
      <c r="BA249" s="1031"/>
      <c r="BB249" s="1031"/>
      <c r="BC249" s="1031"/>
      <c r="BD249" s="1031"/>
      <c r="BE249" s="1031"/>
      <c r="BF249" s="1031"/>
      <c r="BG249" s="1039"/>
      <c r="BH249" s="1039"/>
      <c r="BI249" s="1127" t="s">
        <v>3489</v>
      </c>
      <c r="BJ249" s="1120" t="s">
        <v>3490</v>
      </c>
      <c r="BK249" s="1120" t="s">
        <v>3466</v>
      </c>
      <c r="BL249" s="1120" t="s">
        <v>1923</v>
      </c>
      <c r="BM249" s="1120" t="s">
        <v>3091</v>
      </c>
      <c r="BN249" s="1120" t="s">
        <v>291</v>
      </c>
      <c r="BS249" s="1124"/>
      <c r="BT249" s="1118"/>
    </row>
    <row r="250" spans="1:72" ht="90" customHeight="1">
      <c r="A250" s="1613"/>
      <c r="B250" s="1597"/>
      <c r="C250" s="1127" t="s">
        <v>3020</v>
      </c>
      <c r="D250" s="1120" t="s">
        <v>3087</v>
      </c>
      <c r="E250" s="1118" t="s">
        <v>59</v>
      </c>
      <c r="F250" s="1031">
        <f t="shared" si="83"/>
        <v>0.85</v>
      </c>
      <c r="G250" s="1031"/>
      <c r="H250" s="1029">
        <f t="shared" si="81"/>
        <v>0.85</v>
      </c>
      <c r="I250" s="1029">
        <v>2030</v>
      </c>
      <c r="J250" s="1031">
        <v>0.19</v>
      </c>
      <c r="K250" s="1031">
        <v>0.2</v>
      </c>
      <c r="L250" s="1031"/>
      <c r="M250" s="1031">
        <v>0.13</v>
      </c>
      <c r="N250" s="1031">
        <v>0.2</v>
      </c>
      <c r="O250" s="1031"/>
      <c r="P250" s="1031"/>
      <c r="Q250" s="1031"/>
      <c r="R250" s="1031"/>
      <c r="S250" s="1031">
        <v>0.13</v>
      </c>
      <c r="T250" s="1031"/>
      <c r="U250" s="1031"/>
      <c r="V250" s="1031"/>
      <c r="W250" s="1031"/>
      <c r="X250" s="1031"/>
      <c r="Y250" s="1031"/>
      <c r="Z250" s="1031"/>
      <c r="AA250" s="1031"/>
      <c r="AB250" s="1031"/>
      <c r="AC250" s="1031"/>
      <c r="AD250" s="1031"/>
      <c r="AE250" s="1031"/>
      <c r="AF250" s="1031"/>
      <c r="AG250" s="1031"/>
      <c r="AH250" s="1031"/>
      <c r="AI250" s="1031"/>
      <c r="AJ250" s="1031"/>
      <c r="AK250" s="1031"/>
      <c r="AL250" s="1031"/>
      <c r="AM250" s="1031"/>
      <c r="AN250" s="1031"/>
      <c r="AO250" s="1031"/>
      <c r="AP250" s="1031"/>
      <c r="AQ250" s="1031"/>
      <c r="AR250" s="1031"/>
      <c r="AS250" s="1031"/>
      <c r="AT250" s="1031"/>
      <c r="AU250" s="1031"/>
      <c r="AV250" s="1031"/>
      <c r="AW250" s="1031"/>
      <c r="AX250" s="1031"/>
      <c r="AY250" s="1031"/>
      <c r="AZ250" s="1031"/>
      <c r="BA250" s="1031"/>
      <c r="BB250" s="1031"/>
      <c r="BC250" s="1031"/>
      <c r="BD250" s="1031"/>
      <c r="BE250" s="1031"/>
      <c r="BF250" s="1031"/>
      <c r="BG250" s="1039"/>
      <c r="BH250" s="1039"/>
      <c r="BI250" s="1127" t="s">
        <v>3491</v>
      </c>
      <c r="BJ250" s="1387" t="s">
        <v>3492</v>
      </c>
      <c r="BK250" s="1120" t="s">
        <v>3466</v>
      </c>
      <c r="BL250" s="1120" t="s">
        <v>1917</v>
      </c>
      <c r="BM250" s="1120" t="s">
        <v>3091</v>
      </c>
      <c r="BN250" s="1120" t="s">
        <v>291</v>
      </c>
      <c r="BS250" s="1124"/>
      <c r="BT250" s="1118"/>
    </row>
    <row r="251" spans="1:72" ht="104.25" customHeight="1">
      <c r="A251" s="1614"/>
      <c r="B251" s="1598"/>
      <c r="C251" s="1127" t="s">
        <v>3187</v>
      </c>
      <c r="D251" s="1120" t="s">
        <v>3087</v>
      </c>
      <c r="E251" s="1118" t="s">
        <v>59</v>
      </c>
      <c r="F251" s="1031">
        <f t="shared" si="83"/>
        <v>0.97000000000000008</v>
      </c>
      <c r="G251" s="1031"/>
      <c r="H251" s="1029">
        <f t="shared" si="81"/>
        <v>0.97000000000000008</v>
      </c>
      <c r="I251" s="1029">
        <v>2030</v>
      </c>
      <c r="J251" s="1105">
        <v>0.1</v>
      </c>
      <c r="K251" s="1176">
        <v>0.02</v>
      </c>
      <c r="L251" s="1176"/>
      <c r="M251" s="1176">
        <f>0.03+0.44</f>
        <v>0.47</v>
      </c>
      <c r="N251" s="1031">
        <v>0.18</v>
      </c>
      <c r="O251" s="1031"/>
      <c r="P251" s="1031"/>
      <c r="Q251" s="1031"/>
      <c r="R251" s="1031"/>
      <c r="S251" s="1104">
        <v>0.16</v>
      </c>
      <c r="T251" s="1031"/>
      <c r="U251" s="1031"/>
      <c r="V251" s="1031"/>
      <c r="W251" s="1031"/>
      <c r="X251" s="1031"/>
      <c r="Y251" s="1031"/>
      <c r="Z251" s="1031"/>
      <c r="AA251" s="1031"/>
      <c r="AB251" s="1031"/>
      <c r="AC251" s="1031"/>
      <c r="AD251" s="1031"/>
      <c r="AE251" s="1031"/>
      <c r="AF251" s="1031"/>
      <c r="AG251" s="1031"/>
      <c r="AH251" s="1031"/>
      <c r="AI251" s="1031"/>
      <c r="AJ251" s="1031"/>
      <c r="AK251" s="1031"/>
      <c r="AL251" s="1031"/>
      <c r="AM251" s="1031"/>
      <c r="AN251" s="1031"/>
      <c r="AO251" s="1031"/>
      <c r="AP251" s="1031"/>
      <c r="AQ251" s="1031"/>
      <c r="AR251" s="1031"/>
      <c r="AS251" s="1031"/>
      <c r="AT251" s="1031"/>
      <c r="AU251" s="1031"/>
      <c r="AV251" s="1031"/>
      <c r="AW251" s="1031"/>
      <c r="AX251" s="1031"/>
      <c r="AY251" s="1031"/>
      <c r="AZ251" s="1031"/>
      <c r="BA251" s="1031"/>
      <c r="BB251" s="1031"/>
      <c r="BC251" s="1031"/>
      <c r="BD251" s="1031"/>
      <c r="BE251" s="1031"/>
      <c r="BF251" s="1029">
        <v>0.04</v>
      </c>
      <c r="BG251" s="1029"/>
      <c r="BH251" s="1029"/>
      <c r="BI251" s="1127" t="s">
        <v>3493</v>
      </c>
      <c r="BJ251" s="1383" t="s">
        <v>3494</v>
      </c>
      <c r="BK251" s="1120" t="s">
        <v>3466</v>
      </c>
      <c r="BL251" s="1120" t="s">
        <v>1923</v>
      </c>
      <c r="BM251" s="1120" t="s">
        <v>3091</v>
      </c>
      <c r="BN251" s="1120" t="s">
        <v>291</v>
      </c>
      <c r="BO251" s="1388"/>
      <c r="BP251" s="1120"/>
      <c r="BS251" s="1389"/>
      <c r="BT251" s="1118"/>
    </row>
    <row r="252" spans="1:72" ht="45" customHeight="1">
      <c r="A252" s="1612">
        <f>86</f>
        <v>86</v>
      </c>
      <c r="B252" s="1596" t="s">
        <v>3463</v>
      </c>
      <c r="C252" s="1127" t="s">
        <v>3197</v>
      </c>
      <c r="D252" s="1120" t="s">
        <v>3087</v>
      </c>
      <c r="E252" s="1118" t="s">
        <v>59</v>
      </c>
      <c r="F252" s="1031">
        <f t="shared" si="83"/>
        <v>0.66</v>
      </c>
      <c r="G252" s="1031"/>
      <c r="H252" s="1029">
        <f t="shared" si="81"/>
        <v>0.66</v>
      </c>
      <c r="I252" s="1029">
        <v>2030</v>
      </c>
      <c r="J252" s="1031">
        <v>0.09</v>
      </c>
      <c r="K252" s="1390">
        <v>0.1</v>
      </c>
      <c r="L252" s="1390"/>
      <c r="M252" s="1031">
        <v>0.14000000000000001</v>
      </c>
      <c r="N252" s="1390">
        <v>0.33</v>
      </c>
      <c r="O252" s="1031"/>
      <c r="P252" s="1031"/>
      <c r="Q252" s="1031"/>
      <c r="R252" s="1031"/>
      <c r="S252" s="1104"/>
      <c r="T252" s="1031"/>
      <c r="U252" s="1031"/>
      <c r="V252" s="1031"/>
      <c r="W252" s="1031"/>
      <c r="X252" s="1031"/>
      <c r="Y252" s="1031"/>
      <c r="Z252" s="1031"/>
      <c r="AA252" s="1031"/>
      <c r="AB252" s="1031"/>
      <c r="AC252" s="1031"/>
      <c r="AD252" s="1031"/>
      <c r="AE252" s="1031"/>
      <c r="AF252" s="1031"/>
      <c r="AG252" s="1031"/>
      <c r="AH252" s="1031"/>
      <c r="AI252" s="1031"/>
      <c r="AJ252" s="1031"/>
      <c r="AK252" s="1031"/>
      <c r="AL252" s="1031"/>
      <c r="AM252" s="1031"/>
      <c r="AN252" s="1031"/>
      <c r="AO252" s="1031"/>
      <c r="AP252" s="1031"/>
      <c r="AQ252" s="1031"/>
      <c r="AR252" s="1031"/>
      <c r="AS252" s="1031"/>
      <c r="AT252" s="1031"/>
      <c r="AU252" s="1031"/>
      <c r="AV252" s="1031"/>
      <c r="AW252" s="1031"/>
      <c r="AX252" s="1031"/>
      <c r="AY252" s="1031"/>
      <c r="AZ252" s="1031"/>
      <c r="BA252" s="1031"/>
      <c r="BB252" s="1031"/>
      <c r="BC252" s="1031"/>
      <c r="BD252" s="1031"/>
      <c r="BE252" s="1031"/>
      <c r="BF252" s="1390"/>
      <c r="BG252" s="1390"/>
      <c r="BH252" s="1390"/>
      <c r="BI252" s="1127" t="s">
        <v>3495</v>
      </c>
      <c r="BJ252" s="1387" t="s">
        <v>3496</v>
      </c>
      <c r="BK252" s="1120" t="s">
        <v>3466</v>
      </c>
      <c r="BL252" s="1120" t="s">
        <v>1923</v>
      </c>
      <c r="BM252" s="1120" t="s">
        <v>3091</v>
      </c>
      <c r="BN252" s="1120" t="s">
        <v>291</v>
      </c>
      <c r="BS252" s="1124"/>
      <c r="BT252" s="1118"/>
    </row>
    <row r="253" spans="1:72" ht="257.25" customHeight="1">
      <c r="A253" s="1613"/>
      <c r="B253" s="1597"/>
      <c r="C253" s="1127" t="s">
        <v>3026</v>
      </c>
      <c r="D253" s="1120" t="s">
        <v>3087</v>
      </c>
      <c r="E253" s="1118" t="s">
        <v>59</v>
      </c>
      <c r="F253" s="1031">
        <f t="shared" si="83"/>
        <v>1.97</v>
      </c>
      <c r="G253" s="1031"/>
      <c r="H253" s="1029">
        <f t="shared" si="81"/>
        <v>1.97</v>
      </c>
      <c r="I253" s="1029">
        <v>2030</v>
      </c>
      <c r="J253" s="1031">
        <v>0.1</v>
      </c>
      <c r="K253" s="1031">
        <v>0.15</v>
      </c>
      <c r="L253" s="1031"/>
      <c r="M253" s="1031">
        <f>0.2+0.17</f>
        <v>0.37</v>
      </c>
      <c r="N253" s="1031">
        <f>0.26+0.1</f>
        <v>0.36</v>
      </c>
      <c r="O253" s="1031"/>
      <c r="P253" s="1031"/>
      <c r="Q253" s="1031"/>
      <c r="R253" s="1031"/>
      <c r="S253" s="1031">
        <v>0.2</v>
      </c>
      <c r="T253" s="1031"/>
      <c r="U253" s="1031">
        <f>0.02+0.1</f>
        <v>0.12000000000000001</v>
      </c>
      <c r="V253" s="1031"/>
      <c r="W253" s="1031"/>
      <c r="X253" s="1031"/>
      <c r="Y253" s="1031"/>
      <c r="Z253" s="1031"/>
      <c r="AA253" s="1031"/>
      <c r="AB253" s="1031"/>
      <c r="AC253" s="1031"/>
      <c r="AD253" s="1031"/>
      <c r="AE253" s="1031"/>
      <c r="AF253" s="1031"/>
      <c r="AG253" s="1031"/>
      <c r="AH253" s="1031"/>
      <c r="AI253" s="1031"/>
      <c r="AJ253" s="1031"/>
      <c r="AK253" s="1031"/>
      <c r="AL253" s="1031"/>
      <c r="AM253" s="1031"/>
      <c r="AN253" s="1031"/>
      <c r="AO253" s="1031"/>
      <c r="AP253" s="1031"/>
      <c r="AQ253" s="1031"/>
      <c r="AR253" s="1031"/>
      <c r="AS253" s="1031"/>
      <c r="AT253" s="1031"/>
      <c r="AU253" s="1031"/>
      <c r="AV253" s="1031"/>
      <c r="AW253" s="1031"/>
      <c r="AX253" s="1031">
        <v>0.52</v>
      </c>
      <c r="AY253" s="1031"/>
      <c r="AZ253" s="1031"/>
      <c r="BA253" s="1031"/>
      <c r="BB253" s="1031"/>
      <c r="BC253" s="1031"/>
      <c r="BD253" s="1031"/>
      <c r="BE253" s="1031"/>
      <c r="BF253" s="1031">
        <f>0.02+0.13</f>
        <v>0.15</v>
      </c>
      <c r="BG253" s="1039"/>
      <c r="BH253" s="1039"/>
      <c r="BI253" s="1127" t="s">
        <v>3497</v>
      </c>
      <c r="BJ253" s="1387" t="s">
        <v>3498</v>
      </c>
      <c r="BK253" s="1120" t="s">
        <v>3466</v>
      </c>
      <c r="BL253" s="1120" t="s">
        <v>1923</v>
      </c>
      <c r="BM253" s="1120" t="s">
        <v>3091</v>
      </c>
      <c r="BN253" s="1120" t="s">
        <v>291</v>
      </c>
      <c r="BS253" s="1124"/>
      <c r="BT253" s="1118"/>
    </row>
    <row r="254" spans="1:72" ht="32.25" customHeight="1">
      <c r="A254" s="1613"/>
      <c r="B254" s="1597"/>
      <c r="C254" s="1032" t="s">
        <v>3011</v>
      </c>
      <c r="D254" s="1120" t="s">
        <v>3087</v>
      </c>
      <c r="E254" s="1118" t="s">
        <v>59</v>
      </c>
      <c r="F254" s="1031">
        <f t="shared" si="83"/>
        <v>0.42</v>
      </c>
      <c r="G254" s="1031"/>
      <c r="H254" s="1029">
        <f t="shared" si="81"/>
        <v>0.42</v>
      </c>
      <c r="I254" s="1029">
        <v>2030</v>
      </c>
      <c r="J254" s="1029">
        <f>0.12+0.02</f>
        <v>0.13999999999999999</v>
      </c>
      <c r="K254" s="1029"/>
      <c r="L254" s="1029"/>
      <c r="M254" s="1029">
        <v>0.13</v>
      </c>
      <c r="N254" s="1031">
        <v>0.1</v>
      </c>
      <c r="O254" s="1031"/>
      <c r="P254" s="1031"/>
      <c r="Q254" s="1031"/>
      <c r="R254" s="1031"/>
      <c r="S254" s="1031">
        <v>0.05</v>
      </c>
      <c r="T254" s="1031"/>
      <c r="U254" s="1031"/>
      <c r="V254" s="1031"/>
      <c r="W254" s="1031"/>
      <c r="X254" s="1031"/>
      <c r="Y254" s="1031"/>
      <c r="Z254" s="1031"/>
      <c r="AA254" s="1031"/>
      <c r="AB254" s="1031"/>
      <c r="AC254" s="1031"/>
      <c r="AD254" s="1031"/>
      <c r="AE254" s="1031"/>
      <c r="AF254" s="1031"/>
      <c r="AG254" s="1031"/>
      <c r="AH254" s="1031"/>
      <c r="AI254" s="1031"/>
      <c r="AJ254" s="1031"/>
      <c r="AK254" s="1031"/>
      <c r="AL254" s="1031"/>
      <c r="AM254" s="1031"/>
      <c r="AN254" s="1031"/>
      <c r="AO254" s="1031"/>
      <c r="AP254" s="1031"/>
      <c r="AQ254" s="1031"/>
      <c r="AR254" s="1031"/>
      <c r="AS254" s="1031"/>
      <c r="AT254" s="1031"/>
      <c r="AU254" s="1031"/>
      <c r="AV254" s="1031"/>
      <c r="AW254" s="1031"/>
      <c r="AX254" s="1031"/>
      <c r="AY254" s="1031"/>
      <c r="AZ254" s="1031"/>
      <c r="BA254" s="1031"/>
      <c r="BB254" s="1031"/>
      <c r="BC254" s="1031"/>
      <c r="BD254" s="1031"/>
      <c r="BE254" s="1031"/>
      <c r="BF254" s="1031"/>
      <c r="BG254" s="1039"/>
      <c r="BH254" s="1039"/>
      <c r="BI254" s="1032" t="s">
        <v>3499</v>
      </c>
      <c r="BJ254" s="1265" t="s">
        <v>3500</v>
      </c>
      <c r="BK254" s="1120" t="s">
        <v>3466</v>
      </c>
      <c r="BL254" s="1171" t="s">
        <v>1923</v>
      </c>
      <c r="BM254" s="1120" t="s">
        <v>3091</v>
      </c>
      <c r="BN254" s="1120" t="s">
        <v>291</v>
      </c>
      <c r="BS254" s="1124"/>
      <c r="BT254" s="1118"/>
    </row>
    <row r="255" spans="1:72" ht="96.75" customHeight="1">
      <c r="A255" s="1614"/>
      <c r="B255" s="1598"/>
      <c r="C255" s="1049" t="s">
        <v>3345</v>
      </c>
      <c r="D255" s="1120" t="s">
        <v>3087</v>
      </c>
      <c r="E255" s="1118" t="s">
        <v>59</v>
      </c>
      <c r="F255" s="1031">
        <f t="shared" si="83"/>
        <v>0.47000000000000008</v>
      </c>
      <c r="G255" s="1031"/>
      <c r="H255" s="1029">
        <f t="shared" si="81"/>
        <v>0.47000000000000008</v>
      </c>
      <c r="I255" s="1029">
        <v>2030</v>
      </c>
      <c r="J255" s="1031">
        <f>0.1+0.02</f>
        <v>0.12000000000000001</v>
      </c>
      <c r="K255" s="1031"/>
      <c r="L255" s="1031"/>
      <c r="M255" s="1031">
        <f>0.05+0.04</f>
        <v>0.09</v>
      </c>
      <c r="N255" s="1031">
        <f>0.2+0.02</f>
        <v>0.22</v>
      </c>
      <c r="O255" s="1031"/>
      <c r="P255" s="1031"/>
      <c r="Q255" s="1031"/>
      <c r="R255" s="1031"/>
      <c r="S255" s="1031">
        <v>0.02</v>
      </c>
      <c r="T255" s="1031"/>
      <c r="U255" s="1031">
        <v>0.02</v>
      </c>
      <c r="V255" s="1031"/>
      <c r="W255" s="1031"/>
      <c r="X255" s="1031"/>
      <c r="Y255" s="1031"/>
      <c r="Z255" s="1031"/>
      <c r="AA255" s="1031"/>
      <c r="AB255" s="1031"/>
      <c r="AC255" s="1031"/>
      <c r="AD255" s="1031"/>
      <c r="AE255" s="1031"/>
      <c r="AF255" s="1031"/>
      <c r="AG255" s="1031"/>
      <c r="AH255" s="1031"/>
      <c r="AI255" s="1031"/>
      <c r="AJ255" s="1031"/>
      <c r="AK255" s="1031"/>
      <c r="AL255" s="1031"/>
      <c r="AM255" s="1031"/>
      <c r="AN255" s="1031"/>
      <c r="AO255" s="1031"/>
      <c r="AP255" s="1031"/>
      <c r="AQ255" s="1031"/>
      <c r="AR255" s="1031"/>
      <c r="AS255" s="1031"/>
      <c r="AT255" s="1031"/>
      <c r="AU255" s="1031"/>
      <c r="AV255" s="1031"/>
      <c r="AW255" s="1031"/>
      <c r="AX255" s="1031"/>
      <c r="AY255" s="1031"/>
      <c r="AZ255" s="1031"/>
      <c r="BA255" s="1031"/>
      <c r="BB255" s="1031"/>
      <c r="BC255" s="1031"/>
      <c r="BD255" s="1031"/>
      <c r="BE255" s="1031"/>
      <c r="BF255" s="1031"/>
      <c r="BG255" s="1039"/>
      <c r="BH255" s="1039"/>
      <c r="BI255" s="1049" t="s">
        <v>3501</v>
      </c>
      <c r="BJ255" s="1120" t="s">
        <v>3502</v>
      </c>
      <c r="BK255" s="1120" t="s">
        <v>3466</v>
      </c>
      <c r="BL255" s="1379" t="s">
        <v>1923</v>
      </c>
      <c r="BM255" s="1120" t="s">
        <v>3091</v>
      </c>
      <c r="BN255" s="1120" t="s">
        <v>291</v>
      </c>
      <c r="BS255" s="1124"/>
      <c r="BT255" s="1118"/>
    </row>
    <row r="256" spans="1:72" ht="30.95" customHeight="1">
      <c r="A256" s="1028">
        <f>A252</f>
        <v>86</v>
      </c>
      <c r="B256" s="1215" t="s">
        <v>3463</v>
      </c>
      <c r="C256" s="1176" t="s">
        <v>3028</v>
      </c>
      <c r="D256" s="1120" t="s">
        <v>3087</v>
      </c>
      <c r="E256" s="1118" t="s">
        <v>59</v>
      </c>
      <c r="F256" s="1031">
        <f t="shared" si="83"/>
        <v>0.48</v>
      </c>
      <c r="G256" s="1031"/>
      <c r="H256" s="1029">
        <f t="shared" si="81"/>
        <v>0.48</v>
      </c>
      <c r="I256" s="1029">
        <v>2030</v>
      </c>
      <c r="J256" s="1031">
        <v>0.15</v>
      </c>
      <c r="K256" s="1031"/>
      <c r="L256" s="1031"/>
      <c r="M256" s="1031">
        <v>0.18</v>
      </c>
      <c r="N256" s="1031">
        <f>0.11+0.04</f>
        <v>0.15</v>
      </c>
      <c r="O256" s="1031"/>
      <c r="P256" s="1031"/>
      <c r="Q256" s="1031"/>
      <c r="R256" s="1031"/>
      <c r="S256" s="1031"/>
      <c r="T256" s="1031"/>
      <c r="U256" s="1031"/>
      <c r="V256" s="1031"/>
      <c r="W256" s="1031"/>
      <c r="X256" s="1031"/>
      <c r="Y256" s="1031"/>
      <c r="Z256" s="1031"/>
      <c r="AA256" s="1031"/>
      <c r="AB256" s="1031"/>
      <c r="AC256" s="1031"/>
      <c r="AD256" s="1031"/>
      <c r="AE256" s="1031"/>
      <c r="AF256" s="1031"/>
      <c r="AG256" s="1031"/>
      <c r="AH256" s="1031"/>
      <c r="AI256" s="1031"/>
      <c r="AJ256" s="1031"/>
      <c r="AK256" s="1031"/>
      <c r="AL256" s="1031"/>
      <c r="AM256" s="1031"/>
      <c r="AN256" s="1031"/>
      <c r="AO256" s="1031"/>
      <c r="AP256" s="1031"/>
      <c r="AQ256" s="1031"/>
      <c r="AR256" s="1031"/>
      <c r="AS256" s="1031"/>
      <c r="AT256" s="1031"/>
      <c r="AU256" s="1031"/>
      <c r="AV256" s="1031"/>
      <c r="AW256" s="1031"/>
      <c r="AX256" s="1031"/>
      <c r="AY256" s="1031"/>
      <c r="AZ256" s="1031"/>
      <c r="BA256" s="1031"/>
      <c r="BB256" s="1031"/>
      <c r="BC256" s="1031"/>
      <c r="BD256" s="1031"/>
      <c r="BE256" s="1031"/>
      <c r="BF256" s="1031"/>
      <c r="BG256" s="1039"/>
      <c r="BH256" s="1039"/>
      <c r="BI256" s="1176" t="s">
        <v>3503</v>
      </c>
      <c r="BJ256" s="1120" t="s">
        <v>3504</v>
      </c>
      <c r="BK256" s="1120" t="s">
        <v>3466</v>
      </c>
      <c r="BL256" s="1120"/>
      <c r="BM256" s="1120"/>
      <c r="BN256" s="1120" t="s">
        <v>291</v>
      </c>
      <c r="BS256" s="1124"/>
      <c r="BT256" s="1118"/>
    </row>
    <row r="257" spans="1:72" ht="39" customHeight="1">
      <c r="A257" s="1028">
        <f>A256+1</f>
        <v>87</v>
      </c>
      <c r="B257" s="1130" t="s">
        <v>3463</v>
      </c>
      <c r="C257" s="1176"/>
      <c r="D257" s="1120"/>
      <c r="E257" s="1118"/>
      <c r="F257" s="1031">
        <f t="shared" si="83"/>
        <v>0.67999999999999994</v>
      </c>
      <c r="G257" s="1031"/>
      <c r="H257" s="1029">
        <f>SUM(J257:BF257)</f>
        <v>0.67999999999999994</v>
      </c>
      <c r="I257" s="1029">
        <v>2030</v>
      </c>
      <c r="J257" s="1106">
        <f>SUM(J258:J275)</f>
        <v>0.11999999999999998</v>
      </c>
      <c r="K257" s="1106">
        <f t="shared" ref="K257:BH257" si="84">SUM(K258:K275)</f>
        <v>0</v>
      </c>
      <c r="L257" s="1106">
        <f t="shared" si="84"/>
        <v>0</v>
      </c>
      <c r="M257" s="1106">
        <f t="shared" si="84"/>
        <v>0.17</v>
      </c>
      <c r="N257" s="1106">
        <f t="shared" si="84"/>
        <v>0.09</v>
      </c>
      <c r="O257" s="1106">
        <f t="shared" si="84"/>
        <v>0</v>
      </c>
      <c r="P257" s="1106">
        <f t="shared" si="84"/>
        <v>0</v>
      </c>
      <c r="Q257" s="1106">
        <f t="shared" si="84"/>
        <v>0</v>
      </c>
      <c r="R257" s="1106">
        <f t="shared" si="84"/>
        <v>0</v>
      </c>
      <c r="S257" s="1106">
        <f t="shared" si="84"/>
        <v>0.1</v>
      </c>
      <c r="T257" s="1106">
        <f t="shared" si="84"/>
        <v>0</v>
      </c>
      <c r="U257" s="1106">
        <f t="shared" si="84"/>
        <v>0.19999999999999998</v>
      </c>
      <c r="V257" s="1106">
        <f t="shared" si="84"/>
        <v>0</v>
      </c>
      <c r="W257" s="1106">
        <f t="shared" si="84"/>
        <v>0</v>
      </c>
      <c r="X257" s="1106">
        <f t="shared" si="84"/>
        <v>0</v>
      </c>
      <c r="Y257" s="1106">
        <f t="shared" si="84"/>
        <v>0</v>
      </c>
      <c r="Z257" s="1106">
        <f t="shared" si="84"/>
        <v>0</v>
      </c>
      <c r="AA257" s="1106">
        <f t="shared" si="84"/>
        <v>0</v>
      </c>
      <c r="AB257" s="1106">
        <f t="shared" si="84"/>
        <v>0</v>
      </c>
      <c r="AC257" s="1106">
        <f t="shared" si="84"/>
        <v>0</v>
      </c>
      <c r="AD257" s="1106">
        <f t="shared" si="84"/>
        <v>0</v>
      </c>
      <c r="AE257" s="1106">
        <f t="shared" si="84"/>
        <v>0</v>
      </c>
      <c r="AF257" s="1106">
        <f t="shared" si="84"/>
        <v>0</v>
      </c>
      <c r="AG257" s="1106">
        <f t="shared" si="84"/>
        <v>0</v>
      </c>
      <c r="AH257" s="1106">
        <f t="shared" si="84"/>
        <v>0</v>
      </c>
      <c r="AI257" s="1106">
        <f t="shared" si="84"/>
        <v>0</v>
      </c>
      <c r="AJ257" s="1106">
        <f t="shared" si="84"/>
        <v>0</v>
      </c>
      <c r="AK257" s="1106">
        <f t="shared" si="84"/>
        <v>0</v>
      </c>
      <c r="AL257" s="1106">
        <f t="shared" si="84"/>
        <v>0</v>
      </c>
      <c r="AM257" s="1106">
        <f t="shared" si="84"/>
        <v>0</v>
      </c>
      <c r="AN257" s="1106">
        <f t="shared" si="84"/>
        <v>0</v>
      </c>
      <c r="AO257" s="1106">
        <f t="shared" si="84"/>
        <v>0</v>
      </c>
      <c r="AP257" s="1106">
        <f t="shared" si="84"/>
        <v>0</v>
      </c>
      <c r="AQ257" s="1106">
        <f t="shared" si="84"/>
        <v>0</v>
      </c>
      <c r="AR257" s="1106">
        <f t="shared" si="84"/>
        <v>0</v>
      </c>
      <c r="AS257" s="1106">
        <f t="shared" si="84"/>
        <v>0</v>
      </c>
      <c r="AT257" s="1106">
        <f t="shared" si="84"/>
        <v>0</v>
      </c>
      <c r="AU257" s="1106">
        <f t="shared" si="84"/>
        <v>0</v>
      </c>
      <c r="AV257" s="1106">
        <f t="shared" si="84"/>
        <v>0</v>
      </c>
      <c r="AW257" s="1106">
        <f t="shared" si="84"/>
        <v>0</v>
      </c>
      <c r="AX257" s="1106">
        <f t="shared" si="84"/>
        <v>0</v>
      </c>
      <c r="AY257" s="1106">
        <f t="shared" si="84"/>
        <v>0</v>
      </c>
      <c r="AZ257" s="1106">
        <f t="shared" si="84"/>
        <v>0</v>
      </c>
      <c r="BA257" s="1106">
        <f t="shared" si="84"/>
        <v>0</v>
      </c>
      <c r="BB257" s="1106">
        <f t="shared" si="84"/>
        <v>0</v>
      </c>
      <c r="BC257" s="1106">
        <f t="shared" si="84"/>
        <v>0</v>
      </c>
      <c r="BD257" s="1106">
        <f t="shared" si="84"/>
        <v>0</v>
      </c>
      <c r="BE257" s="1106">
        <f t="shared" si="84"/>
        <v>0</v>
      </c>
      <c r="BF257" s="1106">
        <f t="shared" si="84"/>
        <v>0</v>
      </c>
      <c r="BG257" s="1106">
        <f t="shared" si="84"/>
        <v>0</v>
      </c>
      <c r="BH257" s="1106">
        <f t="shared" si="84"/>
        <v>0</v>
      </c>
      <c r="BI257" s="1176" t="s">
        <v>880</v>
      </c>
      <c r="BJ257" s="1120"/>
      <c r="BK257" s="1120" t="s">
        <v>3466</v>
      </c>
      <c r="BL257" s="1120"/>
      <c r="BM257" s="1120"/>
      <c r="BN257" s="1120" t="s">
        <v>298</v>
      </c>
      <c r="BP257" s="1121">
        <v>1</v>
      </c>
      <c r="BS257" s="1124"/>
      <c r="BT257" s="1118"/>
    </row>
    <row r="258" spans="1:72" hidden="1">
      <c r="A258" s="1028"/>
      <c r="B258" s="1130"/>
      <c r="C258" s="1176" t="s">
        <v>3028</v>
      </c>
      <c r="D258" s="1120" t="s">
        <v>3087</v>
      </c>
      <c r="E258" s="1118" t="s">
        <v>59</v>
      </c>
      <c r="F258" s="1031">
        <f t="shared" si="83"/>
        <v>0.01</v>
      </c>
      <c r="G258" s="1031"/>
      <c r="H258" s="1029">
        <f t="shared" ref="H258:H275" si="85">SUM(J258:BF258)</f>
        <v>0.01</v>
      </c>
      <c r="I258" s="1029">
        <v>2030</v>
      </c>
      <c r="J258" s="1031">
        <v>0.01</v>
      </c>
      <c r="K258" s="1031"/>
      <c r="L258" s="1031"/>
      <c r="M258" s="1031"/>
      <c r="N258" s="1031"/>
      <c r="O258" s="1031"/>
      <c r="P258" s="1031"/>
      <c r="Q258" s="1031"/>
      <c r="R258" s="1031"/>
      <c r="S258" s="1031"/>
      <c r="T258" s="1031"/>
      <c r="U258" s="1031"/>
      <c r="V258" s="1031"/>
      <c r="W258" s="1031"/>
      <c r="X258" s="1031"/>
      <c r="Y258" s="1031"/>
      <c r="Z258" s="1031"/>
      <c r="AA258" s="1031"/>
      <c r="AB258" s="1031"/>
      <c r="AC258" s="1031"/>
      <c r="AD258" s="1031"/>
      <c r="AE258" s="1031"/>
      <c r="AF258" s="1031"/>
      <c r="AG258" s="1031"/>
      <c r="AH258" s="1031"/>
      <c r="AI258" s="1031"/>
      <c r="AJ258" s="1031"/>
      <c r="AK258" s="1031"/>
      <c r="AL258" s="1031"/>
      <c r="AM258" s="1031"/>
      <c r="AN258" s="1031"/>
      <c r="AO258" s="1031"/>
      <c r="AP258" s="1031"/>
      <c r="AQ258" s="1031"/>
      <c r="AR258" s="1031"/>
      <c r="AS258" s="1031"/>
      <c r="AT258" s="1031"/>
      <c r="AU258" s="1031"/>
      <c r="AV258" s="1031"/>
      <c r="AW258" s="1031"/>
      <c r="AX258" s="1031"/>
      <c r="AY258" s="1031"/>
      <c r="AZ258" s="1031"/>
      <c r="BA258" s="1031"/>
      <c r="BB258" s="1031"/>
      <c r="BC258" s="1031"/>
      <c r="BD258" s="1031"/>
      <c r="BE258" s="1031"/>
      <c r="BF258" s="1031"/>
      <c r="BG258" s="1039"/>
      <c r="BH258" s="1039"/>
      <c r="BI258" s="1176"/>
      <c r="BJ258" s="1120"/>
      <c r="BK258" s="1120"/>
      <c r="BL258" s="1120"/>
      <c r="BM258" s="1120"/>
      <c r="BN258" s="1120"/>
      <c r="BS258" s="1124"/>
      <c r="BT258" s="1118"/>
    </row>
    <row r="259" spans="1:72" hidden="1">
      <c r="A259" s="1028"/>
      <c r="B259" s="1130"/>
      <c r="C259" s="1176" t="s">
        <v>3345</v>
      </c>
      <c r="D259" s="1120" t="s">
        <v>3087</v>
      </c>
      <c r="E259" s="1118" t="s">
        <v>59</v>
      </c>
      <c r="F259" s="1031">
        <f t="shared" si="83"/>
        <v>0.03</v>
      </c>
      <c r="G259" s="1031"/>
      <c r="H259" s="1029">
        <f t="shared" si="85"/>
        <v>0.03</v>
      </c>
      <c r="I259" s="1029">
        <v>2030</v>
      </c>
      <c r="J259" s="1031">
        <v>0.01</v>
      </c>
      <c r="K259" s="1031"/>
      <c r="L259" s="1031"/>
      <c r="M259" s="1031">
        <v>0.01</v>
      </c>
      <c r="N259" s="1031"/>
      <c r="O259" s="1031"/>
      <c r="P259" s="1031"/>
      <c r="Q259" s="1031"/>
      <c r="R259" s="1031"/>
      <c r="S259" s="1031">
        <v>0.01</v>
      </c>
      <c r="T259" s="1031"/>
      <c r="U259" s="1031"/>
      <c r="V259" s="1031"/>
      <c r="W259" s="1031"/>
      <c r="X259" s="1031"/>
      <c r="Y259" s="1031"/>
      <c r="Z259" s="1031"/>
      <c r="AA259" s="1031"/>
      <c r="AB259" s="1031"/>
      <c r="AC259" s="1031"/>
      <c r="AD259" s="1031"/>
      <c r="AE259" s="1031"/>
      <c r="AF259" s="1031"/>
      <c r="AG259" s="1031"/>
      <c r="AH259" s="1031"/>
      <c r="AI259" s="1031"/>
      <c r="AJ259" s="1031"/>
      <c r="AK259" s="1031"/>
      <c r="AL259" s="1031"/>
      <c r="AM259" s="1031"/>
      <c r="AN259" s="1031"/>
      <c r="AO259" s="1031"/>
      <c r="AP259" s="1031"/>
      <c r="AQ259" s="1031"/>
      <c r="AR259" s="1031"/>
      <c r="AS259" s="1031"/>
      <c r="AT259" s="1031"/>
      <c r="AU259" s="1031"/>
      <c r="AV259" s="1031"/>
      <c r="AW259" s="1031"/>
      <c r="AX259" s="1031"/>
      <c r="AY259" s="1031"/>
      <c r="AZ259" s="1031"/>
      <c r="BA259" s="1031"/>
      <c r="BB259" s="1031"/>
      <c r="BC259" s="1031"/>
      <c r="BD259" s="1031"/>
      <c r="BE259" s="1031"/>
      <c r="BF259" s="1031"/>
      <c r="BG259" s="1039"/>
      <c r="BH259" s="1039"/>
      <c r="BI259" s="1176"/>
      <c r="BJ259" s="1120"/>
      <c r="BK259" s="1120"/>
      <c r="BL259" s="1120"/>
      <c r="BM259" s="1120"/>
      <c r="BN259" s="1120"/>
      <c r="BS259" s="1124"/>
      <c r="BT259" s="1118"/>
    </row>
    <row r="260" spans="1:72" hidden="1">
      <c r="A260" s="1028"/>
      <c r="B260" s="1130"/>
      <c r="C260" s="1176" t="s">
        <v>3197</v>
      </c>
      <c r="D260" s="1120" t="s">
        <v>3087</v>
      </c>
      <c r="E260" s="1118" t="s">
        <v>59</v>
      </c>
      <c r="F260" s="1031">
        <f t="shared" si="83"/>
        <v>0.03</v>
      </c>
      <c r="G260" s="1031"/>
      <c r="H260" s="1029">
        <f t="shared" si="85"/>
        <v>0.03</v>
      </c>
      <c r="I260" s="1029">
        <v>2030</v>
      </c>
      <c r="J260" s="1031">
        <v>0.01</v>
      </c>
      <c r="K260" s="1031"/>
      <c r="L260" s="1031"/>
      <c r="M260" s="1031">
        <v>0.01</v>
      </c>
      <c r="N260" s="1031"/>
      <c r="O260" s="1031"/>
      <c r="P260" s="1031"/>
      <c r="Q260" s="1031"/>
      <c r="R260" s="1031"/>
      <c r="S260" s="1031">
        <v>0.01</v>
      </c>
      <c r="T260" s="1031"/>
      <c r="U260" s="1031"/>
      <c r="V260" s="1031"/>
      <c r="W260" s="1031"/>
      <c r="X260" s="1031"/>
      <c r="Y260" s="1031"/>
      <c r="Z260" s="1031"/>
      <c r="AA260" s="1031"/>
      <c r="AB260" s="1031"/>
      <c r="AC260" s="1031"/>
      <c r="AD260" s="1031"/>
      <c r="AE260" s="1031"/>
      <c r="AF260" s="1031"/>
      <c r="AG260" s="1031"/>
      <c r="AH260" s="1031"/>
      <c r="AI260" s="1031"/>
      <c r="AJ260" s="1031"/>
      <c r="AK260" s="1031"/>
      <c r="AL260" s="1031"/>
      <c r="AM260" s="1031"/>
      <c r="AN260" s="1031"/>
      <c r="AO260" s="1031"/>
      <c r="AP260" s="1031"/>
      <c r="AQ260" s="1031"/>
      <c r="AR260" s="1031"/>
      <c r="AS260" s="1031"/>
      <c r="AT260" s="1031"/>
      <c r="AU260" s="1031"/>
      <c r="AV260" s="1031"/>
      <c r="AW260" s="1031"/>
      <c r="AX260" s="1031"/>
      <c r="AY260" s="1031"/>
      <c r="AZ260" s="1031"/>
      <c r="BA260" s="1031"/>
      <c r="BB260" s="1031"/>
      <c r="BC260" s="1031"/>
      <c r="BD260" s="1031"/>
      <c r="BE260" s="1031"/>
      <c r="BF260" s="1031"/>
      <c r="BG260" s="1039"/>
      <c r="BH260" s="1039"/>
      <c r="BI260" s="1176"/>
      <c r="BJ260" s="1120"/>
      <c r="BK260" s="1120"/>
      <c r="BL260" s="1120"/>
      <c r="BM260" s="1120"/>
      <c r="BN260" s="1120"/>
      <c r="BS260" s="1124"/>
      <c r="BT260" s="1118"/>
    </row>
    <row r="261" spans="1:72" hidden="1">
      <c r="A261" s="1028"/>
      <c r="B261" s="1130"/>
      <c r="C261" s="1176" t="s">
        <v>3025</v>
      </c>
      <c r="D261" s="1120" t="s">
        <v>3087</v>
      </c>
      <c r="E261" s="1118" t="s">
        <v>59</v>
      </c>
      <c r="F261" s="1031">
        <f t="shared" si="83"/>
        <v>0.05</v>
      </c>
      <c r="G261" s="1031"/>
      <c r="H261" s="1029">
        <f t="shared" si="85"/>
        <v>0.05</v>
      </c>
      <c r="I261" s="1029">
        <v>2030</v>
      </c>
      <c r="J261" s="1031">
        <v>0.01</v>
      </c>
      <c r="K261" s="1031"/>
      <c r="L261" s="1031"/>
      <c r="M261" s="1031">
        <v>0.01</v>
      </c>
      <c r="N261" s="1031">
        <v>0.01</v>
      </c>
      <c r="O261" s="1031"/>
      <c r="P261" s="1031"/>
      <c r="Q261" s="1031"/>
      <c r="R261" s="1031"/>
      <c r="S261" s="1031">
        <v>0.02</v>
      </c>
      <c r="T261" s="1031"/>
      <c r="U261" s="1031"/>
      <c r="V261" s="1031"/>
      <c r="W261" s="1031"/>
      <c r="X261" s="1031"/>
      <c r="Y261" s="1031"/>
      <c r="Z261" s="1031"/>
      <c r="AA261" s="1031"/>
      <c r="AB261" s="1031"/>
      <c r="AC261" s="1031"/>
      <c r="AD261" s="1031"/>
      <c r="AE261" s="1031"/>
      <c r="AF261" s="1031"/>
      <c r="AG261" s="1031"/>
      <c r="AH261" s="1031"/>
      <c r="AI261" s="1031"/>
      <c r="AJ261" s="1031"/>
      <c r="AK261" s="1031"/>
      <c r="AL261" s="1031"/>
      <c r="AM261" s="1031"/>
      <c r="AN261" s="1031"/>
      <c r="AO261" s="1031"/>
      <c r="AP261" s="1031"/>
      <c r="AQ261" s="1031"/>
      <c r="AR261" s="1031"/>
      <c r="AS261" s="1031"/>
      <c r="AT261" s="1031"/>
      <c r="AU261" s="1031"/>
      <c r="AV261" s="1031"/>
      <c r="AW261" s="1031"/>
      <c r="AX261" s="1031"/>
      <c r="AY261" s="1031"/>
      <c r="AZ261" s="1031"/>
      <c r="BA261" s="1031"/>
      <c r="BB261" s="1031"/>
      <c r="BC261" s="1031"/>
      <c r="BD261" s="1031"/>
      <c r="BE261" s="1031"/>
      <c r="BF261" s="1031"/>
      <c r="BG261" s="1039"/>
      <c r="BH261" s="1039"/>
      <c r="BI261" s="1176"/>
      <c r="BJ261" s="1120"/>
      <c r="BK261" s="1120"/>
      <c r="BL261" s="1120"/>
      <c r="BM261" s="1120"/>
      <c r="BN261" s="1120"/>
      <c r="BS261" s="1124"/>
      <c r="BT261" s="1118"/>
    </row>
    <row r="262" spans="1:72" hidden="1">
      <c r="A262" s="1028"/>
      <c r="B262" s="1130"/>
      <c r="C262" s="1176" t="s">
        <v>3023</v>
      </c>
      <c r="D262" s="1120" t="s">
        <v>3087</v>
      </c>
      <c r="E262" s="1118" t="s">
        <v>59</v>
      </c>
      <c r="F262" s="1031">
        <f t="shared" si="83"/>
        <v>0.05</v>
      </c>
      <c r="G262" s="1031"/>
      <c r="H262" s="1029">
        <f t="shared" si="85"/>
        <v>0.05</v>
      </c>
      <c r="I262" s="1029">
        <v>2030</v>
      </c>
      <c r="J262" s="1031">
        <v>0.01</v>
      </c>
      <c r="K262" s="1031"/>
      <c r="L262" s="1031"/>
      <c r="M262" s="1031">
        <v>0.01</v>
      </c>
      <c r="N262" s="1031">
        <v>0.01</v>
      </c>
      <c r="O262" s="1031"/>
      <c r="P262" s="1031"/>
      <c r="Q262" s="1031"/>
      <c r="R262" s="1031"/>
      <c r="S262" s="1031">
        <v>0.02</v>
      </c>
      <c r="T262" s="1031"/>
      <c r="U262" s="1031"/>
      <c r="V262" s="1031"/>
      <c r="W262" s="1031"/>
      <c r="X262" s="1031"/>
      <c r="Y262" s="1031"/>
      <c r="Z262" s="1031"/>
      <c r="AA262" s="1031"/>
      <c r="AB262" s="1031"/>
      <c r="AC262" s="1031"/>
      <c r="AD262" s="1031"/>
      <c r="AE262" s="1031"/>
      <c r="AF262" s="1031"/>
      <c r="AG262" s="1031"/>
      <c r="AH262" s="1031"/>
      <c r="AI262" s="1031"/>
      <c r="AJ262" s="1031"/>
      <c r="AK262" s="1031"/>
      <c r="AL262" s="1031"/>
      <c r="AM262" s="1031"/>
      <c r="AN262" s="1031"/>
      <c r="AO262" s="1031"/>
      <c r="AP262" s="1031"/>
      <c r="AQ262" s="1031"/>
      <c r="AR262" s="1031"/>
      <c r="AS262" s="1031"/>
      <c r="AT262" s="1031"/>
      <c r="AU262" s="1031"/>
      <c r="AV262" s="1031"/>
      <c r="AW262" s="1031"/>
      <c r="AX262" s="1031"/>
      <c r="AY262" s="1031"/>
      <c r="AZ262" s="1031"/>
      <c r="BA262" s="1031"/>
      <c r="BB262" s="1031"/>
      <c r="BC262" s="1031"/>
      <c r="BD262" s="1031"/>
      <c r="BE262" s="1031"/>
      <c r="BF262" s="1031"/>
      <c r="BG262" s="1039"/>
      <c r="BH262" s="1039"/>
      <c r="BI262" s="1176"/>
      <c r="BJ262" s="1120"/>
      <c r="BK262" s="1120"/>
      <c r="BL262" s="1120"/>
      <c r="BM262" s="1120"/>
      <c r="BN262" s="1120"/>
      <c r="BS262" s="1124"/>
      <c r="BT262" s="1118"/>
    </row>
    <row r="263" spans="1:72" hidden="1">
      <c r="A263" s="1028"/>
      <c r="B263" s="1130"/>
      <c r="C263" s="1176" t="s">
        <v>3013</v>
      </c>
      <c r="D263" s="1120" t="s">
        <v>3087</v>
      </c>
      <c r="E263" s="1118" t="s">
        <v>59</v>
      </c>
      <c r="F263" s="1031">
        <f t="shared" si="83"/>
        <v>0.05</v>
      </c>
      <c r="G263" s="1031"/>
      <c r="H263" s="1029">
        <f t="shared" si="85"/>
        <v>0.05</v>
      </c>
      <c r="I263" s="1029">
        <v>2030</v>
      </c>
      <c r="J263" s="1031">
        <v>0.01</v>
      </c>
      <c r="K263" s="1031"/>
      <c r="L263" s="1031"/>
      <c r="M263" s="1031">
        <v>0.01</v>
      </c>
      <c r="N263" s="1031">
        <v>0.01</v>
      </c>
      <c r="O263" s="1031"/>
      <c r="P263" s="1031"/>
      <c r="Q263" s="1031"/>
      <c r="R263" s="1031"/>
      <c r="S263" s="1031">
        <v>0.02</v>
      </c>
      <c r="T263" s="1031"/>
      <c r="U263" s="1031"/>
      <c r="V263" s="1031"/>
      <c r="W263" s="1031"/>
      <c r="X263" s="1031"/>
      <c r="Y263" s="1031"/>
      <c r="Z263" s="1031"/>
      <c r="AA263" s="1031"/>
      <c r="AB263" s="1031"/>
      <c r="AC263" s="1031"/>
      <c r="AD263" s="1031"/>
      <c r="AE263" s="1031"/>
      <c r="AF263" s="1031"/>
      <c r="AG263" s="1031"/>
      <c r="AH263" s="1031"/>
      <c r="AI263" s="1031"/>
      <c r="AJ263" s="1031"/>
      <c r="AK263" s="1031"/>
      <c r="AL263" s="1031"/>
      <c r="AM263" s="1031"/>
      <c r="AN263" s="1031"/>
      <c r="AO263" s="1031"/>
      <c r="AP263" s="1031"/>
      <c r="AQ263" s="1031"/>
      <c r="AR263" s="1031"/>
      <c r="AS263" s="1031"/>
      <c r="AT263" s="1031"/>
      <c r="AU263" s="1031"/>
      <c r="AV263" s="1031"/>
      <c r="AW263" s="1031"/>
      <c r="AX263" s="1031"/>
      <c r="AY263" s="1031"/>
      <c r="AZ263" s="1031"/>
      <c r="BA263" s="1031"/>
      <c r="BB263" s="1031"/>
      <c r="BC263" s="1031"/>
      <c r="BD263" s="1031"/>
      <c r="BE263" s="1031"/>
      <c r="BF263" s="1031"/>
      <c r="BG263" s="1039"/>
      <c r="BH263" s="1039"/>
      <c r="BI263" s="1176"/>
      <c r="BJ263" s="1120"/>
      <c r="BK263" s="1120"/>
      <c r="BL263" s="1120"/>
      <c r="BM263" s="1120"/>
      <c r="BN263" s="1120"/>
      <c r="BS263" s="1124"/>
      <c r="BT263" s="1118"/>
    </row>
    <row r="264" spans="1:72" hidden="1">
      <c r="A264" s="1028"/>
      <c r="B264" s="1130"/>
      <c r="C264" s="1176" t="s">
        <v>3011</v>
      </c>
      <c r="D264" s="1120" t="s">
        <v>3087</v>
      </c>
      <c r="E264" s="1118" t="s">
        <v>59</v>
      </c>
      <c r="F264" s="1031">
        <f t="shared" si="83"/>
        <v>0.05</v>
      </c>
      <c r="G264" s="1031"/>
      <c r="H264" s="1029">
        <f t="shared" si="85"/>
        <v>0.05</v>
      </c>
      <c r="I264" s="1029">
        <v>2030</v>
      </c>
      <c r="J264" s="1031">
        <v>0.01</v>
      </c>
      <c r="K264" s="1031"/>
      <c r="L264" s="1031"/>
      <c r="M264" s="1031">
        <v>0.01</v>
      </c>
      <c r="N264" s="1031">
        <v>0.01</v>
      </c>
      <c r="O264" s="1031"/>
      <c r="P264" s="1031"/>
      <c r="Q264" s="1031"/>
      <c r="R264" s="1031"/>
      <c r="S264" s="1031">
        <v>0.02</v>
      </c>
      <c r="T264" s="1031"/>
      <c r="U264" s="1031"/>
      <c r="V264" s="1031"/>
      <c r="W264" s="1031"/>
      <c r="X264" s="1031"/>
      <c r="Y264" s="1031"/>
      <c r="Z264" s="1031"/>
      <c r="AA264" s="1031"/>
      <c r="AB264" s="1031"/>
      <c r="AC264" s="1031"/>
      <c r="AD264" s="1031"/>
      <c r="AE264" s="1031"/>
      <c r="AF264" s="1031"/>
      <c r="AG264" s="1031"/>
      <c r="AH264" s="1031"/>
      <c r="AI264" s="1031"/>
      <c r="AJ264" s="1031"/>
      <c r="AK264" s="1031"/>
      <c r="AL264" s="1031"/>
      <c r="AM264" s="1031"/>
      <c r="AN264" s="1031"/>
      <c r="AO264" s="1031"/>
      <c r="AP264" s="1031"/>
      <c r="AQ264" s="1031"/>
      <c r="AR264" s="1031"/>
      <c r="AS264" s="1031"/>
      <c r="AT264" s="1031"/>
      <c r="AU264" s="1031"/>
      <c r="AV264" s="1031"/>
      <c r="AW264" s="1031"/>
      <c r="AX264" s="1031"/>
      <c r="AY264" s="1031"/>
      <c r="AZ264" s="1031"/>
      <c r="BA264" s="1031"/>
      <c r="BB264" s="1031"/>
      <c r="BC264" s="1031"/>
      <c r="BD264" s="1031"/>
      <c r="BE264" s="1031"/>
      <c r="BF264" s="1031"/>
      <c r="BG264" s="1039"/>
      <c r="BH264" s="1039"/>
      <c r="BI264" s="1176"/>
      <c r="BJ264" s="1120"/>
      <c r="BK264" s="1120"/>
      <c r="BL264" s="1120"/>
      <c r="BM264" s="1120"/>
      <c r="BN264" s="1120"/>
      <c r="BS264" s="1124"/>
      <c r="BT264" s="1118"/>
    </row>
    <row r="265" spans="1:72" hidden="1">
      <c r="A265" s="1028"/>
      <c r="B265" s="1130"/>
      <c r="C265" s="1176" t="s">
        <v>3016</v>
      </c>
      <c r="D265" s="1120" t="s">
        <v>3087</v>
      </c>
      <c r="E265" s="1118" t="s">
        <v>59</v>
      </c>
      <c r="F265" s="1031">
        <f t="shared" si="83"/>
        <v>0.03</v>
      </c>
      <c r="G265" s="1031"/>
      <c r="H265" s="1029">
        <f t="shared" si="85"/>
        <v>0.03</v>
      </c>
      <c r="I265" s="1029">
        <v>2030</v>
      </c>
      <c r="J265" s="1031">
        <v>0.01</v>
      </c>
      <c r="K265" s="1031"/>
      <c r="L265" s="1031"/>
      <c r="M265" s="1031">
        <v>0.01</v>
      </c>
      <c r="N265" s="1031">
        <v>0.01</v>
      </c>
      <c r="O265" s="1031"/>
      <c r="P265" s="1031"/>
      <c r="Q265" s="1031"/>
      <c r="R265" s="1031"/>
      <c r="S265" s="1031"/>
      <c r="T265" s="1031"/>
      <c r="U265" s="1031"/>
      <c r="V265" s="1031"/>
      <c r="W265" s="1031"/>
      <c r="X265" s="1031"/>
      <c r="Y265" s="1031"/>
      <c r="Z265" s="1031"/>
      <c r="AA265" s="1031"/>
      <c r="AB265" s="1031"/>
      <c r="AC265" s="1031"/>
      <c r="AD265" s="1031"/>
      <c r="AE265" s="1031"/>
      <c r="AF265" s="1031"/>
      <c r="AG265" s="1031"/>
      <c r="AH265" s="1031"/>
      <c r="AI265" s="1031"/>
      <c r="AJ265" s="1031"/>
      <c r="AK265" s="1031"/>
      <c r="AL265" s="1031"/>
      <c r="AM265" s="1031"/>
      <c r="AN265" s="1031"/>
      <c r="AO265" s="1031"/>
      <c r="AP265" s="1031"/>
      <c r="AQ265" s="1031"/>
      <c r="AR265" s="1031"/>
      <c r="AS265" s="1031"/>
      <c r="AT265" s="1031"/>
      <c r="AU265" s="1031"/>
      <c r="AV265" s="1031"/>
      <c r="AW265" s="1031"/>
      <c r="AX265" s="1031"/>
      <c r="AY265" s="1031"/>
      <c r="AZ265" s="1031"/>
      <c r="BA265" s="1031"/>
      <c r="BB265" s="1031"/>
      <c r="BC265" s="1031"/>
      <c r="BD265" s="1031"/>
      <c r="BE265" s="1031"/>
      <c r="BF265" s="1031"/>
      <c r="BG265" s="1039"/>
      <c r="BH265" s="1039"/>
      <c r="BI265" s="1176"/>
      <c r="BJ265" s="1120"/>
      <c r="BK265" s="1120"/>
      <c r="BL265" s="1120"/>
      <c r="BM265" s="1120"/>
      <c r="BN265" s="1120"/>
      <c r="BS265" s="1124"/>
      <c r="BT265" s="1118"/>
    </row>
    <row r="266" spans="1:72" hidden="1">
      <c r="A266" s="1028"/>
      <c r="B266" s="1130"/>
      <c r="C266" s="1176" t="s">
        <v>3113</v>
      </c>
      <c r="D266" s="1120" t="s">
        <v>3087</v>
      </c>
      <c r="E266" s="1118" t="s">
        <v>59</v>
      </c>
      <c r="F266" s="1031">
        <f t="shared" si="83"/>
        <v>0.03</v>
      </c>
      <c r="G266" s="1031"/>
      <c r="H266" s="1029">
        <f t="shared" si="85"/>
        <v>0.03</v>
      </c>
      <c r="I266" s="1029">
        <v>2030</v>
      </c>
      <c r="J266" s="1031">
        <v>0.01</v>
      </c>
      <c r="K266" s="1031"/>
      <c r="L266" s="1031"/>
      <c r="M266" s="1031">
        <v>0.01</v>
      </c>
      <c r="N266" s="1031">
        <v>0.01</v>
      </c>
      <c r="O266" s="1031"/>
      <c r="P266" s="1031"/>
      <c r="Q266" s="1031"/>
      <c r="R266" s="1031"/>
      <c r="S266" s="1031"/>
      <c r="T266" s="1031"/>
      <c r="U266" s="1031"/>
      <c r="V266" s="1031"/>
      <c r="W266" s="1031"/>
      <c r="X266" s="1031"/>
      <c r="Y266" s="1031"/>
      <c r="Z266" s="1031"/>
      <c r="AA266" s="1031"/>
      <c r="AB266" s="1031"/>
      <c r="AC266" s="1031"/>
      <c r="AD266" s="1031"/>
      <c r="AE266" s="1031"/>
      <c r="AF266" s="1031"/>
      <c r="AG266" s="1031"/>
      <c r="AH266" s="1031"/>
      <c r="AI266" s="1031"/>
      <c r="AJ266" s="1031"/>
      <c r="AK266" s="1031"/>
      <c r="AL266" s="1031"/>
      <c r="AM266" s="1031"/>
      <c r="AN266" s="1031"/>
      <c r="AO266" s="1031"/>
      <c r="AP266" s="1031"/>
      <c r="AQ266" s="1031"/>
      <c r="AR266" s="1031"/>
      <c r="AS266" s="1031"/>
      <c r="AT266" s="1031"/>
      <c r="AU266" s="1031"/>
      <c r="AV266" s="1031"/>
      <c r="AW266" s="1031"/>
      <c r="AX266" s="1031"/>
      <c r="AY266" s="1031"/>
      <c r="AZ266" s="1031"/>
      <c r="BA266" s="1031"/>
      <c r="BB266" s="1031"/>
      <c r="BC266" s="1031"/>
      <c r="BD266" s="1031"/>
      <c r="BE266" s="1031"/>
      <c r="BF266" s="1031"/>
      <c r="BG266" s="1039"/>
      <c r="BH266" s="1039"/>
      <c r="BI266" s="1176"/>
      <c r="BJ266" s="1120"/>
      <c r="BK266" s="1120"/>
      <c r="BL266" s="1120"/>
      <c r="BM266" s="1120"/>
      <c r="BN266" s="1120"/>
      <c r="BS266" s="1124"/>
      <c r="BT266" s="1118"/>
    </row>
    <row r="267" spans="1:72" hidden="1">
      <c r="A267" s="1028"/>
      <c r="B267" s="1130"/>
      <c r="C267" s="1176" t="s">
        <v>3026</v>
      </c>
      <c r="D267" s="1120" t="s">
        <v>3087</v>
      </c>
      <c r="E267" s="1118" t="s">
        <v>59</v>
      </c>
      <c r="F267" s="1031">
        <f t="shared" si="83"/>
        <v>0.03</v>
      </c>
      <c r="G267" s="1031"/>
      <c r="H267" s="1029">
        <f t="shared" si="85"/>
        <v>0.03</v>
      </c>
      <c r="I267" s="1029">
        <v>2030</v>
      </c>
      <c r="J267" s="1031">
        <v>0.01</v>
      </c>
      <c r="K267" s="1031"/>
      <c r="L267" s="1031"/>
      <c r="M267" s="1031">
        <v>0.01</v>
      </c>
      <c r="N267" s="1031">
        <v>0.01</v>
      </c>
      <c r="O267" s="1031"/>
      <c r="P267" s="1031"/>
      <c r="Q267" s="1031"/>
      <c r="R267" s="1031"/>
      <c r="S267" s="1031"/>
      <c r="T267" s="1031"/>
      <c r="U267" s="1031"/>
      <c r="V267" s="1031"/>
      <c r="W267" s="1031"/>
      <c r="X267" s="1031"/>
      <c r="Y267" s="1031"/>
      <c r="Z267" s="1031"/>
      <c r="AA267" s="1031"/>
      <c r="AB267" s="1031"/>
      <c r="AC267" s="1031"/>
      <c r="AD267" s="1031"/>
      <c r="AE267" s="1031"/>
      <c r="AF267" s="1031"/>
      <c r="AG267" s="1031"/>
      <c r="AH267" s="1031"/>
      <c r="AI267" s="1031"/>
      <c r="AJ267" s="1031"/>
      <c r="AK267" s="1031"/>
      <c r="AL267" s="1031"/>
      <c r="AM267" s="1031"/>
      <c r="AN267" s="1031"/>
      <c r="AO267" s="1031"/>
      <c r="AP267" s="1031"/>
      <c r="AQ267" s="1031"/>
      <c r="AR267" s="1031"/>
      <c r="AS267" s="1031"/>
      <c r="AT267" s="1031"/>
      <c r="AU267" s="1031"/>
      <c r="AV267" s="1031"/>
      <c r="AW267" s="1031"/>
      <c r="AX267" s="1031"/>
      <c r="AY267" s="1031"/>
      <c r="AZ267" s="1031"/>
      <c r="BA267" s="1031"/>
      <c r="BB267" s="1031"/>
      <c r="BC267" s="1031"/>
      <c r="BD267" s="1031"/>
      <c r="BE267" s="1031"/>
      <c r="BF267" s="1031"/>
      <c r="BG267" s="1039"/>
      <c r="BH267" s="1039"/>
      <c r="BI267" s="1176"/>
      <c r="BJ267" s="1120"/>
      <c r="BK267" s="1120"/>
      <c r="BL267" s="1120"/>
      <c r="BM267" s="1120"/>
      <c r="BN267" s="1120"/>
      <c r="BS267" s="1124"/>
      <c r="BT267" s="1118"/>
    </row>
    <row r="268" spans="1:72" hidden="1">
      <c r="A268" s="1028"/>
      <c r="B268" s="1130"/>
      <c r="C268" s="1176" t="s">
        <v>3020</v>
      </c>
      <c r="D268" s="1120" t="s">
        <v>3087</v>
      </c>
      <c r="E268" s="1118" t="s">
        <v>59</v>
      </c>
      <c r="F268" s="1031">
        <f t="shared" si="83"/>
        <v>0.04</v>
      </c>
      <c r="G268" s="1031"/>
      <c r="H268" s="1029">
        <f t="shared" si="85"/>
        <v>0.04</v>
      </c>
      <c r="I268" s="1029">
        <v>2030</v>
      </c>
      <c r="J268" s="1031">
        <v>0.01</v>
      </c>
      <c r="K268" s="1031"/>
      <c r="L268" s="1031"/>
      <c r="M268" s="1031">
        <v>0.01</v>
      </c>
      <c r="N268" s="1031">
        <v>0.01</v>
      </c>
      <c r="O268" s="1031"/>
      <c r="P268" s="1031"/>
      <c r="Q268" s="1031"/>
      <c r="R268" s="1031"/>
      <c r="S268" s="1031"/>
      <c r="T268" s="1031"/>
      <c r="U268" s="1031">
        <v>0.01</v>
      </c>
      <c r="V268" s="1031"/>
      <c r="W268" s="1031"/>
      <c r="X268" s="1031"/>
      <c r="Y268" s="1031"/>
      <c r="Z268" s="1031"/>
      <c r="AA268" s="1031"/>
      <c r="AB268" s="1031"/>
      <c r="AC268" s="1031"/>
      <c r="AD268" s="1031"/>
      <c r="AE268" s="1031"/>
      <c r="AF268" s="1031"/>
      <c r="AG268" s="1031"/>
      <c r="AH268" s="1031"/>
      <c r="AI268" s="1031"/>
      <c r="AJ268" s="1031"/>
      <c r="AK268" s="1031"/>
      <c r="AL268" s="1031"/>
      <c r="AM268" s="1031"/>
      <c r="AN268" s="1031"/>
      <c r="AO268" s="1031"/>
      <c r="AP268" s="1031"/>
      <c r="AQ268" s="1031"/>
      <c r="AR268" s="1031"/>
      <c r="AS268" s="1031"/>
      <c r="AT268" s="1031"/>
      <c r="AU268" s="1031"/>
      <c r="AV268" s="1031"/>
      <c r="AW268" s="1031"/>
      <c r="AX268" s="1031"/>
      <c r="AY268" s="1031"/>
      <c r="AZ268" s="1031"/>
      <c r="BA268" s="1031"/>
      <c r="BB268" s="1031"/>
      <c r="BC268" s="1031"/>
      <c r="BD268" s="1031"/>
      <c r="BE268" s="1031"/>
      <c r="BF268" s="1031"/>
      <c r="BG268" s="1039"/>
      <c r="BH268" s="1039"/>
      <c r="BI268" s="1176"/>
      <c r="BJ268" s="1120"/>
      <c r="BK268" s="1120"/>
      <c r="BL268" s="1120"/>
      <c r="BM268" s="1120"/>
      <c r="BN268" s="1120"/>
      <c r="BS268" s="1124"/>
      <c r="BT268" s="1118"/>
    </row>
    <row r="269" spans="1:72" hidden="1">
      <c r="A269" s="1028"/>
      <c r="B269" s="1130"/>
      <c r="C269" s="1176" t="s">
        <v>3019</v>
      </c>
      <c r="D269" s="1120" t="s">
        <v>3087</v>
      </c>
      <c r="E269" s="1118" t="s">
        <v>59</v>
      </c>
      <c r="F269" s="1031">
        <f t="shared" si="83"/>
        <v>0.04</v>
      </c>
      <c r="G269" s="1031"/>
      <c r="H269" s="1029">
        <f t="shared" si="85"/>
        <v>0.04</v>
      </c>
      <c r="I269" s="1029">
        <v>2030</v>
      </c>
      <c r="J269" s="1031">
        <v>0.01</v>
      </c>
      <c r="K269" s="1031"/>
      <c r="L269" s="1031"/>
      <c r="M269" s="1031">
        <v>0.01</v>
      </c>
      <c r="N269" s="1031">
        <v>0.01</v>
      </c>
      <c r="O269" s="1031"/>
      <c r="P269" s="1031"/>
      <c r="Q269" s="1031"/>
      <c r="R269" s="1031"/>
      <c r="S269" s="1031"/>
      <c r="T269" s="1031"/>
      <c r="U269" s="1031">
        <v>0.01</v>
      </c>
      <c r="V269" s="1031"/>
      <c r="W269" s="1031"/>
      <c r="X269" s="1031"/>
      <c r="Y269" s="1031"/>
      <c r="Z269" s="1031"/>
      <c r="AA269" s="1031"/>
      <c r="AB269" s="1031"/>
      <c r="AC269" s="1031"/>
      <c r="AD269" s="1031"/>
      <c r="AE269" s="1031"/>
      <c r="AF269" s="1031"/>
      <c r="AG269" s="1031"/>
      <c r="AH269" s="1031"/>
      <c r="AI269" s="1031"/>
      <c r="AJ269" s="1031"/>
      <c r="AK269" s="1031"/>
      <c r="AL269" s="1031"/>
      <c r="AM269" s="1031"/>
      <c r="AN269" s="1031"/>
      <c r="AO269" s="1031"/>
      <c r="AP269" s="1031"/>
      <c r="AQ269" s="1031"/>
      <c r="AR269" s="1031"/>
      <c r="AS269" s="1031"/>
      <c r="AT269" s="1031"/>
      <c r="AU269" s="1031"/>
      <c r="AV269" s="1031"/>
      <c r="AW269" s="1031"/>
      <c r="AX269" s="1031"/>
      <c r="AY269" s="1031"/>
      <c r="AZ269" s="1031"/>
      <c r="BA269" s="1031"/>
      <c r="BB269" s="1031"/>
      <c r="BC269" s="1031"/>
      <c r="BD269" s="1031"/>
      <c r="BE269" s="1031"/>
      <c r="BF269" s="1031"/>
      <c r="BG269" s="1039"/>
      <c r="BH269" s="1039"/>
      <c r="BI269" s="1176"/>
      <c r="BJ269" s="1120"/>
      <c r="BK269" s="1120"/>
      <c r="BL269" s="1120"/>
      <c r="BM269" s="1120"/>
      <c r="BN269" s="1120"/>
      <c r="BS269" s="1124"/>
      <c r="BT269" s="1118"/>
    </row>
    <row r="270" spans="1:72" hidden="1">
      <c r="A270" s="1028"/>
      <c r="B270" s="1130"/>
      <c r="C270" s="1176" t="s">
        <v>3018</v>
      </c>
      <c r="D270" s="1120" t="s">
        <v>3087</v>
      </c>
      <c r="E270" s="1118" t="s">
        <v>59</v>
      </c>
      <c r="F270" s="1031">
        <f t="shared" si="83"/>
        <v>0.11</v>
      </c>
      <c r="G270" s="1031"/>
      <c r="H270" s="1029">
        <f t="shared" si="85"/>
        <v>0.11</v>
      </c>
      <c r="I270" s="1029">
        <v>2030</v>
      </c>
      <c r="J270" s="1031"/>
      <c r="K270" s="1031"/>
      <c r="L270" s="1031"/>
      <c r="M270" s="1031">
        <v>0.01</v>
      </c>
      <c r="N270" s="1031"/>
      <c r="O270" s="1031"/>
      <c r="P270" s="1031"/>
      <c r="Q270" s="1031"/>
      <c r="R270" s="1031"/>
      <c r="S270" s="1031"/>
      <c r="T270" s="1031"/>
      <c r="U270" s="1031">
        <v>0.1</v>
      </c>
      <c r="V270" s="1031"/>
      <c r="W270" s="1031"/>
      <c r="X270" s="1031"/>
      <c r="Y270" s="1031"/>
      <c r="Z270" s="1031"/>
      <c r="AA270" s="1031"/>
      <c r="AB270" s="1031"/>
      <c r="AC270" s="1031"/>
      <c r="AD270" s="1031"/>
      <c r="AE270" s="1031"/>
      <c r="AF270" s="1031"/>
      <c r="AG270" s="1031"/>
      <c r="AH270" s="1031"/>
      <c r="AI270" s="1031"/>
      <c r="AJ270" s="1031"/>
      <c r="AK270" s="1031"/>
      <c r="AL270" s="1031"/>
      <c r="AM270" s="1031"/>
      <c r="AN270" s="1031"/>
      <c r="AO270" s="1031"/>
      <c r="AP270" s="1031"/>
      <c r="AQ270" s="1031"/>
      <c r="AR270" s="1031"/>
      <c r="AS270" s="1031"/>
      <c r="AT270" s="1031"/>
      <c r="AU270" s="1031"/>
      <c r="AV270" s="1031"/>
      <c r="AW270" s="1031"/>
      <c r="AX270" s="1031"/>
      <c r="AY270" s="1031"/>
      <c r="AZ270" s="1031"/>
      <c r="BA270" s="1031"/>
      <c r="BB270" s="1031"/>
      <c r="BC270" s="1031"/>
      <c r="BD270" s="1031"/>
      <c r="BE270" s="1031"/>
      <c r="BF270" s="1031"/>
      <c r="BG270" s="1039"/>
      <c r="BH270" s="1039"/>
      <c r="BI270" s="1176"/>
      <c r="BJ270" s="1120"/>
      <c r="BK270" s="1120"/>
      <c r="BL270" s="1120"/>
      <c r="BM270" s="1120"/>
      <c r="BN270" s="1120"/>
      <c r="BS270" s="1124"/>
      <c r="BT270" s="1118"/>
    </row>
    <row r="271" spans="1:72" hidden="1">
      <c r="A271" s="1028"/>
      <c r="B271" s="1130"/>
      <c r="C271" s="1176" t="s">
        <v>3017</v>
      </c>
      <c r="D271" s="1120" t="s">
        <v>3087</v>
      </c>
      <c r="E271" s="1118" t="s">
        <v>59</v>
      </c>
      <c r="F271" s="1031">
        <f t="shared" si="83"/>
        <v>0.01</v>
      </c>
      <c r="G271" s="1031"/>
      <c r="H271" s="1029">
        <f t="shared" si="85"/>
        <v>0.01</v>
      </c>
      <c r="I271" s="1029">
        <v>2030</v>
      </c>
      <c r="J271" s="1031"/>
      <c r="K271" s="1031"/>
      <c r="L271" s="1031"/>
      <c r="M271" s="1031">
        <v>0.01</v>
      </c>
      <c r="N271" s="1031"/>
      <c r="O271" s="1031"/>
      <c r="P271" s="1031"/>
      <c r="Q271" s="1031"/>
      <c r="R271" s="1031"/>
      <c r="S271" s="1031"/>
      <c r="T271" s="1031"/>
      <c r="U271" s="1031"/>
      <c r="V271" s="1031"/>
      <c r="W271" s="1031"/>
      <c r="X271" s="1031"/>
      <c r="Y271" s="1031"/>
      <c r="Z271" s="1031"/>
      <c r="AA271" s="1031"/>
      <c r="AB271" s="1031"/>
      <c r="AC271" s="1031"/>
      <c r="AD271" s="1031"/>
      <c r="AE271" s="1031"/>
      <c r="AF271" s="1031"/>
      <c r="AG271" s="1031"/>
      <c r="AH271" s="1031"/>
      <c r="AI271" s="1031"/>
      <c r="AJ271" s="1031"/>
      <c r="AK271" s="1031"/>
      <c r="AL271" s="1031"/>
      <c r="AM271" s="1031"/>
      <c r="AN271" s="1031"/>
      <c r="AO271" s="1031"/>
      <c r="AP271" s="1031"/>
      <c r="AQ271" s="1031"/>
      <c r="AR271" s="1031"/>
      <c r="AS271" s="1031"/>
      <c r="AT271" s="1031"/>
      <c r="AU271" s="1031"/>
      <c r="AV271" s="1031"/>
      <c r="AW271" s="1031"/>
      <c r="AX271" s="1031"/>
      <c r="AY271" s="1031"/>
      <c r="AZ271" s="1031"/>
      <c r="BA271" s="1031"/>
      <c r="BB271" s="1031"/>
      <c r="BC271" s="1031"/>
      <c r="BD271" s="1031"/>
      <c r="BE271" s="1031"/>
      <c r="BF271" s="1031"/>
      <c r="BG271" s="1039"/>
      <c r="BH271" s="1039"/>
      <c r="BI271" s="1176"/>
      <c r="BJ271" s="1120"/>
      <c r="BK271" s="1120"/>
      <c r="BL271" s="1120"/>
      <c r="BM271" s="1120"/>
      <c r="BN271" s="1120"/>
      <c r="BS271" s="1124"/>
      <c r="BT271" s="1118"/>
    </row>
    <row r="272" spans="1:72" hidden="1">
      <c r="A272" s="1028"/>
      <c r="B272" s="1130"/>
      <c r="C272" s="1176" t="s">
        <v>3187</v>
      </c>
      <c r="D272" s="1120" t="s">
        <v>3087</v>
      </c>
      <c r="E272" s="1118" t="s">
        <v>59</v>
      </c>
      <c r="F272" s="1031">
        <f t="shared" si="83"/>
        <v>0.03</v>
      </c>
      <c r="G272" s="1031"/>
      <c r="H272" s="1029">
        <f t="shared" si="85"/>
        <v>0.03</v>
      </c>
      <c r="I272" s="1029">
        <v>2030</v>
      </c>
      <c r="J272" s="1031"/>
      <c r="K272" s="1031"/>
      <c r="L272" s="1031"/>
      <c r="M272" s="1031">
        <v>0.01</v>
      </c>
      <c r="N272" s="1031"/>
      <c r="O272" s="1031"/>
      <c r="P272" s="1031"/>
      <c r="Q272" s="1031"/>
      <c r="R272" s="1031"/>
      <c r="S272" s="1031"/>
      <c r="T272" s="1031"/>
      <c r="U272" s="1031">
        <v>0.02</v>
      </c>
      <c r="V272" s="1031"/>
      <c r="W272" s="1031"/>
      <c r="X272" s="1031"/>
      <c r="Y272" s="1031"/>
      <c r="Z272" s="1031"/>
      <c r="AA272" s="1031"/>
      <c r="AB272" s="1031"/>
      <c r="AC272" s="1031"/>
      <c r="AD272" s="1031"/>
      <c r="AE272" s="1031"/>
      <c r="AF272" s="1031"/>
      <c r="AG272" s="1031"/>
      <c r="AH272" s="1031"/>
      <c r="AI272" s="1031"/>
      <c r="AJ272" s="1031"/>
      <c r="AK272" s="1031"/>
      <c r="AL272" s="1031"/>
      <c r="AM272" s="1031"/>
      <c r="AN272" s="1031"/>
      <c r="AO272" s="1031"/>
      <c r="AP272" s="1031"/>
      <c r="AQ272" s="1031"/>
      <c r="AR272" s="1031"/>
      <c r="AS272" s="1031"/>
      <c r="AT272" s="1031"/>
      <c r="AU272" s="1031"/>
      <c r="AV272" s="1031"/>
      <c r="AW272" s="1031"/>
      <c r="AX272" s="1031"/>
      <c r="AY272" s="1031"/>
      <c r="AZ272" s="1031"/>
      <c r="BA272" s="1031"/>
      <c r="BB272" s="1031"/>
      <c r="BC272" s="1031"/>
      <c r="BD272" s="1031"/>
      <c r="BE272" s="1031"/>
      <c r="BF272" s="1031"/>
      <c r="BG272" s="1039"/>
      <c r="BH272" s="1039"/>
      <c r="BI272" s="1176"/>
      <c r="BJ272" s="1120"/>
      <c r="BK272" s="1120"/>
      <c r="BL272" s="1120"/>
      <c r="BM272" s="1120"/>
      <c r="BN272" s="1120"/>
      <c r="BS272" s="1124"/>
      <c r="BT272" s="1118"/>
    </row>
    <row r="273" spans="1:72" hidden="1">
      <c r="A273" s="1028"/>
      <c r="B273" s="1130"/>
      <c r="C273" s="1176" t="s">
        <v>3027</v>
      </c>
      <c r="D273" s="1120" t="s">
        <v>3087</v>
      </c>
      <c r="E273" s="1118" t="s">
        <v>59</v>
      </c>
      <c r="F273" s="1031">
        <f t="shared" si="83"/>
        <v>0.03</v>
      </c>
      <c r="G273" s="1031"/>
      <c r="H273" s="1029">
        <f t="shared" si="85"/>
        <v>0.03</v>
      </c>
      <c r="I273" s="1029">
        <v>2030</v>
      </c>
      <c r="J273" s="1031"/>
      <c r="K273" s="1031"/>
      <c r="L273" s="1031"/>
      <c r="M273" s="1031">
        <v>0.01</v>
      </c>
      <c r="N273" s="1031"/>
      <c r="O273" s="1031"/>
      <c r="P273" s="1031"/>
      <c r="Q273" s="1031"/>
      <c r="R273" s="1031"/>
      <c r="S273" s="1031"/>
      <c r="T273" s="1031"/>
      <c r="U273" s="1031">
        <v>0.02</v>
      </c>
      <c r="V273" s="1031"/>
      <c r="W273" s="1031"/>
      <c r="X273" s="1031"/>
      <c r="Y273" s="1031"/>
      <c r="Z273" s="1031"/>
      <c r="AA273" s="1031"/>
      <c r="AB273" s="1031"/>
      <c r="AC273" s="1031"/>
      <c r="AD273" s="1031"/>
      <c r="AE273" s="1031"/>
      <c r="AF273" s="1031"/>
      <c r="AG273" s="1031"/>
      <c r="AH273" s="1031"/>
      <c r="AI273" s="1031"/>
      <c r="AJ273" s="1031"/>
      <c r="AK273" s="1031"/>
      <c r="AL273" s="1031"/>
      <c r="AM273" s="1031"/>
      <c r="AN273" s="1031"/>
      <c r="AO273" s="1031"/>
      <c r="AP273" s="1031"/>
      <c r="AQ273" s="1031"/>
      <c r="AR273" s="1031"/>
      <c r="AS273" s="1031"/>
      <c r="AT273" s="1031"/>
      <c r="AU273" s="1031"/>
      <c r="AV273" s="1031"/>
      <c r="AW273" s="1031"/>
      <c r="AX273" s="1031"/>
      <c r="AY273" s="1031"/>
      <c r="AZ273" s="1031"/>
      <c r="BA273" s="1031"/>
      <c r="BB273" s="1031"/>
      <c r="BC273" s="1031"/>
      <c r="BD273" s="1031"/>
      <c r="BE273" s="1031"/>
      <c r="BF273" s="1031"/>
      <c r="BG273" s="1039"/>
      <c r="BH273" s="1039"/>
      <c r="BI273" s="1176"/>
      <c r="BJ273" s="1120"/>
      <c r="BK273" s="1120"/>
      <c r="BL273" s="1120"/>
      <c r="BM273" s="1120"/>
      <c r="BN273" s="1120"/>
      <c r="BS273" s="1124"/>
      <c r="BT273" s="1118"/>
    </row>
    <row r="274" spans="1:72" hidden="1">
      <c r="A274" s="1028"/>
      <c r="B274" s="1130"/>
      <c r="C274" s="1176" t="s">
        <v>3014</v>
      </c>
      <c r="D274" s="1120" t="s">
        <v>3087</v>
      </c>
      <c r="E274" s="1118" t="s">
        <v>59</v>
      </c>
      <c r="F274" s="1031">
        <f t="shared" si="83"/>
        <v>0.03</v>
      </c>
      <c r="G274" s="1031"/>
      <c r="H274" s="1029">
        <f t="shared" si="85"/>
        <v>0.03</v>
      </c>
      <c r="I274" s="1029">
        <v>2030</v>
      </c>
      <c r="J274" s="1031"/>
      <c r="K274" s="1031"/>
      <c r="L274" s="1031"/>
      <c r="M274" s="1031">
        <v>0.01</v>
      </c>
      <c r="N274" s="1031"/>
      <c r="O274" s="1031"/>
      <c r="P274" s="1031"/>
      <c r="Q274" s="1031"/>
      <c r="R274" s="1031"/>
      <c r="S274" s="1031"/>
      <c r="T274" s="1031"/>
      <c r="U274" s="1031">
        <v>0.02</v>
      </c>
      <c r="V274" s="1031"/>
      <c r="W274" s="1031"/>
      <c r="X274" s="1031"/>
      <c r="Y274" s="1031"/>
      <c r="Z274" s="1031"/>
      <c r="AA274" s="1031"/>
      <c r="AB274" s="1031"/>
      <c r="AC274" s="1031"/>
      <c r="AD274" s="1031"/>
      <c r="AE274" s="1031"/>
      <c r="AF274" s="1031"/>
      <c r="AG274" s="1031"/>
      <c r="AH274" s="1031"/>
      <c r="AI274" s="1031"/>
      <c r="AJ274" s="1031"/>
      <c r="AK274" s="1031"/>
      <c r="AL274" s="1031"/>
      <c r="AM274" s="1031"/>
      <c r="AN274" s="1031"/>
      <c r="AO274" s="1031"/>
      <c r="AP274" s="1031"/>
      <c r="AQ274" s="1031"/>
      <c r="AR274" s="1031"/>
      <c r="AS274" s="1031"/>
      <c r="AT274" s="1031"/>
      <c r="AU274" s="1031"/>
      <c r="AV274" s="1031"/>
      <c r="AW274" s="1031"/>
      <c r="AX274" s="1031"/>
      <c r="AY274" s="1031"/>
      <c r="AZ274" s="1031"/>
      <c r="BA274" s="1031"/>
      <c r="BB274" s="1031"/>
      <c r="BC274" s="1031"/>
      <c r="BD274" s="1031"/>
      <c r="BE274" s="1031"/>
      <c r="BF274" s="1031"/>
      <c r="BG274" s="1039"/>
      <c r="BH274" s="1039"/>
      <c r="BI274" s="1176"/>
      <c r="BJ274" s="1120"/>
      <c r="BK274" s="1120"/>
      <c r="BL274" s="1120"/>
      <c r="BM274" s="1120"/>
      <c r="BN274" s="1120"/>
      <c r="BS274" s="1124"/>
      <c r="BT274" s="1118"/>
    </row>
    <row r="275" spans="1:72" hidden="1">
      <c r="A275" s="1028"/>
      <c r="B275" s="1130"/>
      <c r="C275" s="1176" t="s">
        <v>3015</v>
      </c>
      <c r="D275" s="1120" t="s">
        <v>3087</v>
      </c>
      <c r="E275" s="1118" t="s">
        <v>59</v>
      </c>
      <c r="F275" s="1031">
        <f t="shared" si="83"/>
        <v>0.03</v>
      </c>
      <c r="G275" s="1031"/>
      <c r="H275" s="1029">
        <f t="shared" si="85"/>
        <v>0.03</v>
      </c>
      <c r="I275" s="1029">
        <v>2030</v>
      </c>
      <c r="J275" s="1031"/>
      <c r="K275" s="1031"/>
      <c r="L275" s="1031"/>
      <c r="M275" s="1031">
        <v>0.01</v>
      </c>
      <c r="N275" s="1031"/>
      <c r="O275" s="1031"/>
      <c r="P275" s="1031"/>
      <c r="Q275" s="1031"/>
      <c r="R275" s="1031"/>
      <c r="S275" s="1031"/>
      <c r="T275" s="1031"/>
      <c r="U275" s="1031">
        <v>0.02</v>
      </c>
      <c r="V275" s="1031"/>
      <c r="W275" s="1031"/>
      <c r="X275" s="1031"/>
      <c r="Y275" s="1031"/>
      <c r="Z275" s="1031"/>
      <c r="AA275" s="1031"/>
      <c r="AB275" s="1031"/>
      <c r="AC275" s="1031"/>
      <c r="AD275" s="1031"/>
      <c r="AE275" s="1031"/>
      <c r="AF275" s="1031"/>
      <c r="AG275" s="1031"/>
      <c r="AH275" s="1031"/>
      <c r="AI275" s="1031"/>
      <c r="AJ275" s="1031"/>
      <c r="AK275" s="1031"/>
      <c r="AL275" s="1031"/>
      <c r="AM275" s="1031"/>
      <c r="AN275" s="1031"/>
      <c r="AO275" s="1031"/>
      <c r="AP275" s="1031"/>
      <c r="AQ275" s="1031"/>
      <c r="AR275" s="1031"/>
      <c r="AS275" s="1031"/>
      <c r="AT275" s="1031"/>
      <c r="AU275" s="1031"/>
      <c r="AV275" s="1031"/>
      <c r="AW275" s="1031"/>
      <c r="AX275" s="1031"/>
      <c r="AY275" s="1031"/>
      <c r="AZ275" s="1031"/>
      <c r="BA275" s="1031"/>
      <c r="BB275" s="1031"/>
      <c r="BC275" s="1031"/>
      <c r="BD275" s="1031"/>
      <c r="BE275" s="1031"/>
      <c r="BF275" s="1031"/>
      <c r="BG275" s="1039"/>
      <c r="BH275" s="1039"/>
      <c r="BI275" s="1176"/>
      <c r="BJ275" s="1120"/>
      <c r="BK275" s="1120"/>
      <c r="BL275" s="1120"/>
      <c r="BM275" s="1120"/>
      <c r="BN275" s="1120"/>
      <c r="BS275" s="1124"/>
      <c r="BT275" s="1118"/>
    </row>
    <row r="276" spans="1:72">
      <c r="A276" s="1023" t="s">
        <v>3505</v>
      </c>
      <c r="B276" s="1207" t="s">
        <v>108</v>
      </c>
      <c r="C276" s="1127"/>
      <c r="D276" s="1127"/>
      <c r="E276" s="1118"/>
      <c r="F276" s="1026">
        <f t="shared" si="83"/>
        <v>4.03</v>
      </c>
      <c r="G276" s="1026">
        <f>SUM(G277:G283)</f>
        <v>0</v>
      </c>
      <c r="H276" s="1026">
        <f>SUM(H277:H283)</f>
        <v>4.03</v>
      </c>
      <c r="I276" s="1029"/>
      <c r="J276" s="1026">
        <f>SUM(J277:J283)</f>
        <v>1.2500000000000002</v>
      </c>
      <c r="K276" s="1026">
        <f t="shared" ref="K276:BH276" si="86">SUM(K277:K283)</f>
        <v>0.26</v>
      </c>
      <c r="L276" s="1026">
        <f t="shared" si="86"/>
        <v>0</v>
      </c>
      <c r="M276" s="1026">
        <f t="shared" si="86"/>
        <v>0.89000000000000012</v>
      </c>
      <c r="N276" s="1026">
        <f t="shared" si="86"/>
        <v>0.46</v>
      </c>
      <c r="O276" s="1026">
        <f t="shared" si="86"/>
        <v>0</v>
      </c>
      <c r="P276" s="1026">
        <f t="shared" si="86"/>
        <v>0</v>
      </c>
      <c r="Q276" s="1026">
        <f t="shared" si="86"/>
        <v>0</v>
      </c>
      <c r="R276" s="1026">
        <f t="shared" si="86"/>
        <v>0</v>
      </c>
      <c r="S276" s="1026">
        <f t="shared" si="86"/>
        <v>0</v>
      </c>
      <c r="T276" s="1026">
        <f t="shared" si="86"/>
        <v>0</v>
      </c>
      <c r="U276" s="1026">
        <f t="shared" si="86"/>
        <v>0.1</v>
      </c>
      <c r="V276" s="1026">
        <f t="shared" si="86"/>
        <v>0</v>
      </c>
      <c r="W276" s="1026">
        <f t="shared" si="86"/>
        <v>0</v>
      </c>
      <c r="X276" s="1026">
        <f t="shared" si="86"/>
        <v>0</v>
      </c>
      <c r="Y276" s="1026">
        <f t="shared" si="86"/>
        <v>0</v>
      </c>
      <c r="Z276" s="1026">
        <f t="shared" si="86"/>
        <v>0</v>
      </c>
      <c r="AA276" s="1026">
        <f t="shared" si="86"/>
        <v>0.04</v>
      </c>
      <c r="AB276" s="1026">
        <f t="shared" si="86"/>
        <v>0</v>
      </c>
      <c r="AC276" s="1026">
        <f t="shared" si="86"/>
        <v>0</v>
      </c>
      <c r="AD276" s="1026">
        <f t="shared" si="86"/>
        <v>0</v>
      </c>
      <c r="AE276" s="1026">
        <f t="shared" si="86"/>
        <v>0</v>
      </c>
      <c r="AF276" s="1026">
        <f t="shared" si="86"/>
        <v>0</v>
      </c>
      <c r="AG276" s="1026">
        <f t="shared" si="86"/>
        <v>0</v>
      </c>
      <c r="AH276" s="1026">
        <f t="shared" si="86"/>
        <v>0</v>
      </c>
      <c r="AI276" s="1026">
        <f t="shared" si="86"/>
        <v>0</v>
      </c>
      <c r="AJ276" s="1026">
        <f t="shared" si="86"/>
        <v>0</v>
      </c>
      <c r="AK276" s="1026">
        <f t="shared" si="86"/>
        <v>0</v>
      </c>
      <c r="AL276" s="1026">
        <f t="shared" si="86"/>
        <v>0</v>
      </c>
      <c r="AM276" s="1026">
        <f t="shared" si="86"/>
        <v>0</v>
      </c>
      <c r="AN276" s="1026">
        <f t="shared" si="86"/>
        <v>0</v>
      </c>
      <c r="AO276" s="1026">
        <f t="shared" si="86"/>
        <v>0</v>
      </c>
      <c r="AP276" s="1026">
        <f t="shared" si="86"/>
        <v>0</v>
      </c>
      <c r="AQ276" s="1026">
        <f t="shared" si="86"/>
        <v>0</v>
      </c>
      <c r="AR276" s="1026">
        <f t="shared" si="86"/>
        <v>0</v>
      </c>
      <c r="AS276" s="1026">
        <f t="shared" si="86"/>
        <v>0</v>
      </c>
      <c r="AT276" s="1026">
        <f t="shared" si="86"/>
        <v>0</v>
      </c>
      <c r="AU276" s="1026">
        <f t="shared" si="86"/>
        <v>0</v>
      </c>
      <c r="AV276" s="1026">
        <f t="shared" si="86"/>
        <v>0</v>
      </c>
      <c r="AW276" s="1026">
        <f t="shared" si="86"/>
        <v>0</v>
      </c>
      <c r="AX276" s="1026">
        <f t="shared" si="86"/>
        <v>0</v>
      </c>
      <c r="AY276" s="1026">
        <f t="shared" si="86"/>
        <v>0</v>
      </c>
      <c r="AZ276" s="1026">
        <f t="shared" si="86"/>
        <v>0.03</v>
      </c>
      <c r="BA276" s="1026">
        <f t="shared" si="86"/>
        <v>0</v>
      </c>
      <c r="BB276" s="1026">
        <f t="shared" si="86"/>
        <v>0</v>
      </c>
      <c r="BC276" s="1026">
        <f t="shared" si="86"/>
        <v>0</v>
      </c>
      <c r="BD276" s="1026">
        <f t="shared" si="86"/>
        <v>0</v>
      </c>
      <c r="BE276" s="1026">
        <f t="shared" si="86"/>
        <v>0</v>
      </c>
      <c r="BF276" s="1026">
        <f t="shared" si="86"/>
        <v>1</v>
      </c>
      <c r="BG276" s="1027">
        <f t="shared" si="86"/>
        <v>0</v>
      </c>
      <c r="BH276" s="1027">
        <f t="shared" si="86"/>
        <v>0</v>
      </c>
      <c r="BI276" s="1127"/>
      <c r="BJ276" s="1120"/>
      <c r="BK276" s="1120"/>
      <c r="BL276" s="1120"/>
      <c r="BM276" s="1120"/>
      <c r="BN276" s="1120"/>
      <c r="BS276" s="1124"/>
      <c r="BT276" s="1118"/>
    </row>
    <row r="277" spans="1:72" ht="70.5" customHeight="1">
      <c r="A277" s="1028">
        <f>A257+1</f>
        <v>88</v>
      </c>
      <c r="B277" s="1215" t="s">
        <v>3506</v>
      </c>
      <c r="C277" s="1127" t="s">
        <v>3156</v>
      </c>
      <c r="D277" s="1120" t="s">
        <v>3087</v>
      </c>
      <c r="E277" s="1118" t="s">
        <v>57</v>
      </c>
      <c r="F277" s="1031">
        <f t="shared" si="83"/>
        <v>7.0000000000000007E-2</v>
      </c>
      <c r="G277" s="1031"/>
      <c r="H277" s="1029">
        <f t="shared" ref="H277:H283" si="87">SUM(J277:BF277)</f>
        <v>7.0000000000000007E-2</v>
      </c>
      <c r="I277" s="1029">
        <v>2030</v>
      </c>
      <c r="J277" s="1031"/>
      <c r="K277" s="1031"/>
      <c r="L277" s="1031"/>
      <c r="M277" s="1031"/>
      <c r="N277" s="1031"/>
      <c r="O277" s="1031"/>
      <c r="P277" s="1031"/>
      <c r="Q277" s="1031"/>
      <c r="R277" s="1031"/>
      <c r="S277" s="1031"/>
      <c r="T277" s="1031"/>
      <c r="U277" s="1031"/>
      <c r="V277" s="1031"/>
      <c r="W277" s="1031"/>
      <c r="X277" s="1031"/>
      <c r="Y277" s="1031"/>
      <c r="Z277" s="1031"/>
      <c r="AA277" s="1031">
        <v>0.04</v>
      </c>
      <c r="AB277" s="1031"/>
      <c r="AC277" s="1031"/>
      <c r="AD277" s="1031"/>
      <c r="AE277" s="1031"/>
      <c r="AF277" s="1031"/>
      <c r="AG277" s="1031"/>
      <c r="AH277" s="1031"/>
      <c r="AI277" s="1031"/>
      <c r="AJ277" s="1031"/>
      <c r="AK277" s="1031"/>
      <c r="AL277" s="1031"/>
      <c r="AM277" s="1031"/>
      <c r="AN277" s="1031"/>
      <c r="AO277" s="1031"/>
      <c r="AP277" s="1031"/>
      <c r="AQ277" s="1031"/>
      <c r="AR277" s="1031"/>
      <c r="AS277" s="1031"/>
      <c r="AT277" s="1031"/>
      <c r="AU277" s="1031"/>
      <c r="AV277" s="1031"/>
      <c r="AW277" s="1031"/>
      <c r="AX277" s="1031"/>
      <c r="AY277" s="1031"/>
      <c r="AZ277" s="1031">
        <v>0.03</v>
      </c>
      <c r="BA277" s="1031"/>
      <c r="BB277" s="1031"/>
      <c r="BC277" s="1031"/>
      <c r="BD277" s="1031"/>
      <c r="BE277" s="1031"/>
      <c r="BF277" s="1031"/>
      <c r="BG277" s="1031"/>
      <c r="BH277" s="1031"/>
      <c r="BI277" s="1049" t="s">
        <v>3507</v>
      </c>
      <c r="BJ277" s="1120" t="s">
        <v>3508</v>
      </c>
      <c r="BK277" s="1120" t="s">
        <v>3509</v>
      </c>
      <c r="BL277" s="1120" t="s">
        <v>1923</v>
      </c>
      <c r="BM277" s="1120" t="s">
        <v>3091</v>
      </c>
      <c r="BN277" s="1120" t="s">
        <v>291</v>
      </c>
      <c r="BP277" s="1121">
        <v>1</v>
      </c>
      <c r="BS277" s="1124"/>
      <c r="BT277" s="1118"/>
    </row>
    <row r="278" spans="1:72" ht="83.25" customHeight="1">
      <c r="A278" s="1028">
        <f>+A277+1</f>
        <v>89</v>
      </c>
      <c r="B278" s="1391" t="s">
        <v>3510</v>
      </c>
      <c r="C278" s="1127" t="s">
        <v>3156</v>
      </c>
      <c r="D278" s="1120" t="s">
        <v>3087</v>
      </c>
      <c r="E278" s="1118" t="s">
        <v>57</v>
      </c>
      <c r="F278" s="1031">
        <f t="shared" si="83"/>
        <v>1</v>
      </c>
      <c r="G278" s="1031"/>
      <c r="H278" s="1029">
        <f t="shared" si="87"/>
        <v>1</v>
      </c>
      <c r="I278" s="1029">
        <v>2030</v>
      </c>
      <c r="J278" s="1031"/>
      <c r="K278" s="1031"/>
      <c r="L278" s="1031"/>
      <c r="M278" s="1031"/>
      <c r="N278" s="1031"/>
      <c r="O278" s="1031"/>
      <c r="P278" s="1031"/>
      <c r="Q278" s="1031"/>
      <c r="R278" s="1031"/>
      <c r="S278" s="1031"/>
      <c r="T278" s="1031"/>
      <c r="U278" s="1031"/>
      <c r="V278" s="1031"/>
      <c r="W278" s="1031"/>
      <c r="X278" s="1031"/>
      <c r="Y278" s="1031"/>
      <c r="Z278" s="1031"/>
      <c r="AA278" s="1031"/>
      <c r="AB278" s="1031"/>
      <c r="AC278" s="1031"/>
      <c r="AD278" s="1031"/>
      <c r="AE278" s="1031"/>
      <c r="AF278" s="1031"/>
      <c r="AG278" s="1031"/>
      <c r="AH278" s="1031"/>
      <c r="AI278" s="1031"/>
      <c r="AJ278" s="1031"/>
      <c r="AK278" s="1031"/>
      <c r="AL278" s="1031"/>
      <c r="AM278" s="1031"/>
      <c r="AN278" s="1031"/>
      <c r="AO278" s="1031"/>
      <c r="AP278" s="1031"/>
      <c r="AQ278" s="1031"/>
      <c r="AR278" s="1031"/>
      <c r="AS278" s="1031"/>
      <c r="AT278" s="1031"/>
      <c r="AU278" s="1031"/>
      <c r="AV278" s="1031"/>
      <c r="AW278" s="1031"/>
      <c r="AX278" s="1031"/>
      <c r="AY278" s="1031"/>
      <c r="AZ278" s="1031"/>
      <c r="BA278" s="1031"/>
      <c r="BB278" s="1031"/>
      <c r="BC278" s="1031"/>
      <c r="BD278" s="1031"/>
      <c r="BE278" s="1031"/>
      <c r="BF278" s="1031">
        <v>1</v>
      </c>
      <c r="BG278" s="1031"/>
      <c r="BH278" s="1031"/>
      <c r="BI278" s="1049" t="s">
        <v>3511</v>
      </c>
      <c r="BJ278" s="1120" t="s">
        <v>3512</v>
      </c>
      <c r="BK278" s="1120" t="s">
        <v>3513</v>
      </c>
      <c r="BL278" s="1120" t="s">
        <v>1917</v>
      </c>
      <c r="BM278" s="1120" t="s">
        <v>3091</v>
      </c>
      <c r="BN278" s="1120" t="s">
        <v>291</v>
      </c>
      <c r="BP278" s="1121">
        <v>1</v>
      </c>
      <c r="BS278" s="1124"/>
      <c r="BT278" s="1118"/>
    </row>
    <row r="279" spans="1:72" ht="97.5" customHeight="1">
      <c r="A279" s="1028">
        <f>+A278+1</f>
        <v>90</v>
      </c>
      <c r="B279" s="1215" t="s">
        <v>3514</v>
      </c>
      <c r="C279" s="1127" t="s">
        <v>3156</v>
      </c>
      <c r="D279" s="1120" t="s">
        <v>3087</v>
      </c>
      <c r="E279" s="1118" t="s">
        <v>57</v>
      </c>
      <c r="F279" s="1031">
        <f t="shared" si="83"/>
        <v>0.24</v>
      </c>
      <c r="G279" s="1031"/>
      <c r="H279" s="1029">
        <f t="shared" si="87"/>
        <v>0.24</v>
      </c>
      <c r="I279" s="1029">
        <v>2030</v>
      </c>
      <c r="J279" s="1031">
        <f>0.09-0.04</f>
        <v>4.9999999999999996E-2</v>
      </c>
      <c r="K279" s="1031">
        <f>0.1-0.05</f>
        <v>0.05</v>
      </c>
      <c r="L279" s="1031"/>
      <c r="M279" s="1031">
        <f>0.06-0.01</f>
        <v>4.9999999999999996E-2</v>
      </c>
      <c r="N279" s="1031">
        <v>0.03</v>
      </c>
      <c r="O279" s="1031"/>
      <c r="P279" s="1031"/>
      <c r="Q279" s="1031"/>
      <c r="R279" s="1031"/>
      <c r="S279" s="1031"/>
      <c r="T279" s="1031"/>
      <c r="U279" s="1031">
        <v>0.06</v>
      </c>
      <c r="V279" s="1031"/>
      <c r="W279" s="1031"/>
      <c r="X279" s="1031"/>
      <c r="Y279" s="1031"/>
      <c r="Z279" s="1031"/>
      <c r="AA279" s="1031"/>
      <c r="AB279" s="1031"/>
      <c r="AC279" s="1031"/>
      <c r="AD279" s="1031"/>
      <c r="AE279" s="1031"/>
      <c r="AF279" s="1031"/>
      <c r="AG279" s="1031"/>
      <c r="AH279" s="1031"/>
      <c r="AI279" s="1031"/>
      <c r="AJ279" s="1031"/>
      <c r="AK279" s="1031"/>
      <c r="AL279" s="1031"/>
      <c r="AM279" s="1031"/>
      <c r="AN279" s="1031"/>
      <c r="AO279" s="1031"/>
      <c r="AP279" s="1031"/>
      <c r="AQ279" s="1031"/>
      <c r="AR279" s="1031"/>
      <c r="AS279" s="1031"/>
      <c r="AT279" s="1031"/>
      <c r="AU279" s="1031"/>
      <c r="AV279" s="1031"/>
      <c r="AW279" s="1031"/>
      <c r="AX279" s="1031"/>
      <c r="AY279" s="1031"/>
      <c r="AZ279" s="1031"/>
      <c r="BA279" s="1031"/>
      <c r="BB279" s="1031"/>
      <c r="BC279" s="1031"/>
      <c r="BD279" s="1031"/>
      <c r="BE279" s="1031"/>
      <c r="BF279" s="1031"/>
      <c r="BG279" s="1031"/>
      <c r="BH279" s="1031"/>
      <c r="BI279" s="1127" t="s">
        <v>3156</v>
      </c>
      <c r="BJ279" s="1120" t="s">
        <v>3515</v>
      </c>
      <c r="BK279" s="1120" t="s">
        <v>3466</v>
      </c>
      <c r="BL279" s="1120" t="s">
        <v>1917</v>
      </c>
      <c r="BM279" s="1120" t="s">
        <v>3516</v>
      </c>
      <c r="BN279" s="1120" t="s">
        <v>291</v>
      </c>
      <c r="BP279" s="1121">
        <v>1</v>
      </c>
      <c r="BS279" s="1124" t="s">
        <v>3517</v>
      </c>
      <c r="BT279" s="1118"/>
    </row>
    <row r="280" spans="1:72" ht="315" customHeight="1">
      <c r="A280" s="1028">
        <f>A279</f>
        <v>90</v>
      </c>
      <c r="B280" s="1215" t="s">
        <v>3514</v>
      </c>
      <c r="C280" s="1127" t="s">
        <v>3156</v>
      </c>
      <c r="D280" s="1120" t="s">
        <v>3087</v>
      </c>
      <c r="E280" s="1118" t="s">
        <v>57</v>
      </c>
      <c r="F280" s="1031">
        <f t="shared" si="83"/>
        <v>0.93</v>
      </c>
      <c r="G280" s="1031"/>
      <c r="H280" s="1029">
        <f t="shared" si="87"/>
        <v>0.93</v>
      </c>
      <c r="I280" s="1029">
        <v>2030</v>
      </c>
      <c r="J280" s="1031">
        <v>0.32</v>
      </c>
      <c r="K280" s="1031">
        <v>0.01</v>
      </c>
      <c r="L280" s="1031"/>
      <c r="M280" s="1031">
        <v>0.32</v>
      </c>
      <c r="N280" s="1031">
        <f>0.46-0.02-0.2</f>
        <v>0.24</v>
      </c>
      <c r="O280" s="1031"/>
      <c r="P280" s="1031"/>
      <c r="Q280" s="1031"/>
      <c r="R280" s="1031"/>
      <c r="S280" s="1031"/>
      <c r="T280" s="1031"/>
      <c r="U280" s="1031">
        <v>0.04</v>
      </c>
      <c r="V280" s="1031"/>
      <c r="W280" s="1031"/>
      <c r="X280" s="1031"/>
      <c r="Y280" s="1031"/>
      <c r="Z280" s="1031"/>
      <c r="AA280" s="1031"/>
      <c r="AB280" s="1031"/>
      <c r="AC280" s="1031"/>
      <c r="AD280" s="1031"/>
      <c r="AE280" s="1031"/>
      <c r="AF280" s="1031"/>
      <c r="AG280" s="1031"/>
      <c r="AH280" s="1031"/>
      <c r="AI280" s="1031"/>
      <c r="AJ280" s="1031"/>
      <c r="AK280" s="1031"/>
      <c r="AL280" s="1031"/>
      <c r="AM280" s="1031"/>
      <c r="AN280" s="1031"/>
      <c r="AO280" s="1031"/>
      <c r="AP280" s="1031"/>
      <c r="AQ280" s="1031"/>
      <c r="AR280" s="1031"/>
      <c r="AS280" s="1031"/>
      <c r="AT280" s="1031"/>
      <c r="AU280" s="1031"/>
      <c r="AV280" s="1031"/>
      <c r="AW280" s="1031"/>
      <c r="AX280" s="1031"/>
      <c r="AY280" s="1031"/>
      <c r="AZ280" s="1031"/>
      <c r="BA280" s="1031"/>
      <c r="BB280" s="1031"/>
      <c r="BC280" s="1031"/>
      <c r="BD280" s="1031"/>
      <c r="BE280" s="1031"/>
      <c r="BF280" s="1031"/>
      <c r="BG280" s="1031"/>
      <c r="BH280" s="1031"/>
      <c r="BI280" s="1127" t="s">
        <v>3156</v>
      </c>
      <c r="BJ280" s="1120" t="s">
        <v>3518</v>
      </c>
      <c r="BK280" s="1120" t="s">
        <v>3466</v>
      </c>
      <c r="BL280" s="1120" t="s">
        <v>1917</v>
      </c>
      <c r="BM280" s="1120" t="s">
        <v>3091</v>
      </c>
      <c r="BN280" s="1120" t="s">
        <v>291</v>
      </c>
      <c r="BS280" s="1124"/>
      <c r="BT280" s="1118"/>
    </row>
    <row r="281" spans="1:72" ht="303" customHeight="1">
      <c r="A281" s="1028">
        <f>A279</f>
        <v>90</v>
      </c>
      <c r="B281" s="1215" t="s">
        <v>3514</v>
      </c>
      <c r="C281" s="1127" t="s">
        <v>3156</v>
      </c>
      <c r="D281" s="1120" t="s">
        <v>3087</v>
      </c>
      <c r="E281" s="1118" t="s">
        <v>57</v>
      </c>
      <c r="F281" s="1031">
        <f t="shared" si="83"/>
        <v>1.44</v>
      </c>
      <c r="G281" s="1031"/>
      <c r="H281" s="1029">
        <f t="shared" si="87"/>
        <v>1.44</v>
      </c>
      <c r="I281" s="1029">
        <v>2030</v>
      </c>
      <c r="J281" s="1031">
        <f>0.97-0.2</f>
        <v>0.77</v>
      </c>
      <c r="K281" s="1031">
        <v>0.14000000000000001</v>
      </c>
      <c r="L281" s="1031"/>
      <c r="M281" s="1031">
        <f>0.85-0.15-0.3</f>
        <v>0.39999999999999997</v>
      </c>
      <c r="N281" s="1031">
        <v>0.13</v>
      </c>
      <c r="O281" s="1031"/>
      <c r="P281" s="1031"/>
      <c r="Q281" s="1031"/>
      <c r="R281" s="1031"/>
      <c r="S281" s="1031"/>
      <c r="T281" s="1031"/>
      <c r="U281" s="1031"/>
      <c r="V281" s="1031"/>
      <c r="W281" s="1031"/>
      <c r="X281" s="1031"/>
      <c r="Y281" s="1031"/>
      <c r="Z281" s="1031"/>
      <c r="AA281" s="1031"/>
      <c r="AB281" s="1031"/>
      <c r="AC281" s="1031"/>
      <c r="AD281" s="1031"/>
      <c r="AE281" s="1031"/>
      <c r="AF281" s="1031"/>
      <c r="AG281" s="1031"/>
      <c r="AH281" s="1031"/>
      <c r="AI281" s="1031"/>
      <c r="AJ281" s="1031"/>
      <c r="AK281" s="1031"/>
      <c r="AL281" s="1031"/>
      <c r="AM281" s="1031"/>
      <c r="AN281" s="1031"/>
      <c r="AO281" s="1031"/>
      <c r="AP281" s="1031"/>
      <c r="AQ281" s="1031"/>
      <c r="AR281" s="1031"/>
      <c r="AS281" s="1031"/>
      <c r="AT281" s="1031"/>
      <c r="AU281" s="1031"/>
      <c r="AV281" s="1031"/>
      <c r="AW281" s="1031"/>
      <c r="AX281" s="1031"/>
      <c r="AY281" s="1031"/>
      <c r="AZ281" s="1031"/>
      <c r="BA281" s="1031"/>
      <c r="BB281" s="1031"/>
      <c r="BC281" s="1031"/>
      <c r="BD281" s="1031"/>
      <c r="BE281" s="1031"/>
      <c r="BF281" s="1031"/>
      <c r="BG281" s="1031"/>
      <c r="BH281" s="1031"/>
      <c r="BI281" s="1127" t="s">
        <v>3156</v>
      </c>
      <c r="BJ281" s="1120" t="s">
        <v>3519</v>
      </c>
      <c r="BK281" s="1120" t="s">
        <v>3466</v>
      </c>
      <c r="BL281" s="1120" t="s">
        <v>1917</v>
      </c>
      <c r="BM281" s="1120" t="s">
        <v>3091</v>
      </c>
      <c r="BN281" s="1120" t="s">
        <v>291</v>
      </c>
      <c r="BS281" s="1124"/>
      <c r="BT281" s="1118"/>
    </row>
    <row r="282" spans="1:72" ht="42.6" customHeight="1">
      <c r="A282" s="1028">
        <f>A281+1</f>
        <v>91</v>
      </c>
      <c r="B282" s="1215" t="s">
        <v>3514</v>
      </c>
      <c r="C282" s="1127" t="s">
        <v>3156</v>
      </c>
      <c r="D282" s="1120" t="s">
        <v>3087</v>
      </c>
      <c r="E282" s="1118" t="s">
        <v>57</v>
      </c>
      <c r="F282" s="1031">
        <f t="shared" si="83"/>
        <v>0.22</v>
      </c>
      <c r="G282" s="1031"/>
      <c r="H282" s="1029">
        <f t="shared" si="87"/>
        <v>0.22</v>
      </c>
      <c r="I282" s="1029">
        <v>2030</v>
      </c>
      <c r="J282" s="1031">
        <v>0.05</v>
      </c>
      <c r="K282" s="1031">
        <v>0.06</v>
      </c>
      <c r="L282" s="1031"/>
      <c r="M282" s="1031">
        <v>0.05</v>
      </c>
      <c r="N282" s="1031">
        <v>0.06</v>
      </c>
      <c r="O282" s="1031"/>
      <c r="P282" s="1031"/>
      <c r="Q282" s="1031"/>
      <c r="R282" s="1031"/>
      <c r="S282" s="1031"/>
      <c r="T282" s="1031"/>
      <c r="U282" s="1031"/>
      <c r="V282" s="1031"/>
      <c r="W282" s="1031"/>
      <c r="X282" s="1031"/>
      <c r="Y282" s="1031"/>
      <c r="Z282" s="1031"/>
      <c r="AA282" s="1031"/>
      <c r="AB282" s="1031"/>
      <c r="AC282" s="1031"/>
      <c r="AD282" s="1031"/>
      <c r="AE282" s="1031"/>
      <c r="AF282" s="1031"/>
      <c r="AG282" s="1031"/>
      <c r="AH282" s="1031"/>
      <c r="AI282" s="1031"/>
      <c r="AJ282" s="1031"/>
      <c r="AK282" s="1031"/>
      <c r="AL282" s="1031"/>
      <c r="AM282" s="1031"/>
      <c r="AN282" s="1031"/>
      <c r="AO282" s="1031"/>
      <c r="AP282" s="1031"/>
      <c r="AQ282" s="1031"/>
      <c r="AR282" s="1031"/>
      <c r="AS282" s="1031"/>
      <c r="AT282" s="1031"/>
      <c r="AU282" s="1031"/>
      <c r="AV282" s="1031"/>
      <c r="AW282" s="1031"/>
      <c r="AX282" s="1031"/>
      <c r="AY282" s="1031"/>
      <c r="AZ282" s="1031"/>
      <c r="BA282" s="1031"/>
      <c r="BB282" s="1031"/>
      <c r="BC282" s="1031"/>
      <c r="BD282" s="1031"/>
      <c r="BE282" s="1031"/>
      <c r="BF282" s="1031"/>
      <c r="BG282" s="1031"/>
      <c r="BH282" s="1031"/>
      <c r="BI282" s="1127"/>
      <c r="BJ282" s="1120"/>
      <c r="BK282" s="1120" t="s">
        <v>3466</v>
      </c>
      <c r="BL282" s="1120"/>
      <c r="BM282" s="1120"/>
      <c r="BN282" s="1120" t="s">
        <v>298</v>
      </c>
      <c r="BP282" s="1121">
        <v>1</v>
      </c>
      <c r="BS282" s="1124"/>
      <c r="BT282" s="1118"/>
    </row>
    <row r="283" spans="1:72" s="1126" customFormat="1" ht="45" customHeight="1">
      <c r="A283" s="1028">
        <f>A282+1</f>
        <v>92</v>
      </c>
      <c r="B283" s="1215" t="s">
        <v>108</v>
      </c>
      <c r="C283" s="1127" t="s">
        <v>3156</v>
      </c>
      <c r="D283" s="1120" t="s">
        <v>3087</v>
      </c>
      <c r="E283" s="1118" t="s">
        <v>57</v>
      </c>
      <c r="F283" s="1031">
        <f t="shared" si="83"/>
        <v>0.13</v>
      </c>
      <c r="G283" s="1031"/>
      <c r="H283" s="1029">
        <f t="shared" si="87"/>
        <v>0.13</v>
      </c>
      <c r="I283" s="1029">
        <v>2030</v>
      </c>
      <c r="J283" s="1031">
        <v>0.06</v>
      </c>
      <c r="K283" s="1031"/>
      <c r="L283" s="1031"/>
      <c r="M283" s="1031">
        <v>7.0000000000000007E-2</v>
      </c>
      <c r="N283" s="1031"/>
      <c r="O283" s="1031"/>
      <c r="P283" s="1031"/>
      <c r="Q283" s="1031"/>
      <c r="R283" s="1031"/>
      <c r="S283" s="1031"/>
      <c r="T283" s="1031"/>
      <c r="U283" s="1031"/>
      <c r="V283" s="1031"/>
      <c r="W283" s="1031"/>
      <c r="X283" s="1031"/>
      <c r="Y283" s="1031"/>
      <c r="Z283" s="1031"/>
      <c r="AA283" s="1031"/>
      <c r="AB283" s="1031"/>
      <c r="AC283" s="1031"/>
      <c r="AD283" s="1031"/>
      <c r="AE283" s="1031"/>
      <c r="AF283" s="1031"/>
      <c r="AG283" s="1031"/>
      <c r="AH283" s="1031"/>
      <c r="AI283" s="1031"/>
      <c r="AJ283" s="1031"/>
      <c r="AK283" s="1031"/>
      <c r="AL283" s="1031"/>
      <c r="AM283" s="1031"/>
      <c r="AN283" s="1031"/>
      <c r="AO283" s="1031"/>
      <c r="AP283" s="1031"/>
      <c r="AQ283" s="1031"/>
      <c r="AR283" s="1031"/>
      <c r="AS283" s="1031"/>
      <c r="AT283" s="1031"/>
      <c r="AU283" s="1031"/>
      <c r="AV283" s="1031"/>
      <c r="AW283" s="1031"/>
      <c r="AX283" s="1031"/>
      <c r="AY283" s="1031"/>
      <c r="AZ283" s="1031"/>
      <c r="BA283" s="1031"/>
      <c r="BB283" s="1031"/>
      <c r="BC283" s="1031"/>
      <c r="BD283" s="1031"/>
      <c r="BE283" s="1031"/>
      <c r="BF283" s="1031"/>
      <c r="BG283" s="1031"/>
      <c r="BH283" s="1031"/>
      <c r="BI283" s="1127" t="s">
        <v>3520</v>
      </c>
      <c r="BJ283" s="1120" t="s">
        <v>3521</v>
      </c>
      <c r="BK283" s="1120" t="s">
        <v>3466</v>
      </c>
      <c r="BL283" s="1120" t="s">
        <v>1917</v>
      </c>
      <c r="BM283" s="1120" t="s">
        <v>3091</v>
      </c>
      <c r="BN283" s="1120" t="s">
        <v>291</v>
      </c>
      <c r="BO283" s="1121"/>
      <c r="BP283" s="1122">
        <v>1</v>
      </c>
      <c r="BQ283" s="1123"/>
      <c r="BR283" s="1123"/>
      <c r="BS283" s="1124"/>
      <c r="BT283" s="1125"/>
    </row>
    <row r="284" spans="1:72" s="1177" customFormat="1" ht="19.5" customHeight="1">
      <c r="A284" s="1023" t="s">
        <v>551</v>
      </c>
      <c r="B284" s="1392" t="s">
        <v>89</v>
      </c>
      <c r="C284" s="1222"/>
      <c r="D284" s="1222"/>
      <c r="E284" s="1125"/>
      <c r="F284" s="1069">
        <f>G284+H284</f>
        <v>11.81</v>
      </c>
      <c r="G284" s="1069">
        <f>SUM(G285:G287)</f>
        <v>0</v>
      </c>
      <c r="H284" s="1069">
        <f>SUM(H285:H287)</f>
        <v>11.81</v>
      </c>
      <c r="I284" s="1029"/>
      <c r="J284" s="1069">
        <f t="shared" ref="J284:BH284" si="88">SUM(J285:J287)</f>
        <v>0</v>
      </c>
      <c r="K284" s="1069">
        <f t="shared" si="88"/>
        <v>0</v>
      </c>
      <c r="L284" s="1069">
        <f t="shared" si="88"/>
        <v>0</v>
      </c>
      <c r="M284" s="1069">
        <f t="shared" si="88"/>
        <v>4.01</v>
      </c>
      <c r="N284" s="1069">
        <f t="shared" si="88"/>
        <v>0</v>
      </c>
      <c r="O284" s="1069">
        <f t="shared" si="88"/>
        <v>0</v>
      </c>
      <c r="P284" s="1069">
        <f t="shared" si="88"/>
        <v>0</v>
      </c>
      <c r="Q284" s="1069">
        <f t="shared" si="88"/>
        <v>0</v>
      </c>
      <c r="R284" s="1069">
        <f t="shared" si="88"/>
        <v>0</v>
      </c>
      <c r="S284" s="1069">
        <f t="shared" si="88"/>
        <v>7.8</v>
      </c>
      <c r="T284" s="1069">
        <f t="shared" si="88"/>
        <v>0</v>
      </c>
      <c r="U284" s="1069">
        <f t="shared" si="88"/>
        <v>0</v>
      </c>
      <c r="V284" s="1069">
        <f t="shared" si="88"/>
        <v>0</v>
      </c>
      <c r="W284" s="1069">
        <f t="shared" si="88"/>
        <v>0</v>
      </c>
      <c r="X284" s="1069">
        <f t="shared" si="88"/>
        <v>0</v>
      </c>
      <c r="Y284" s="1069">
        <f t="shared" si="88"/>
        <v>0</v>
      </c>
      <c r="Z284" s="1069">
        <f t="shared" si="88"/>
        <v>0</v>
      </c>
      <c r="AA284" s="1069">
        <f t="shared" si="88"/>
        <v>0</v>
      </c>
      <c r="AB284" s="1069">
        <f t="shared" si="88"/>
        <v>0</v>
      </c>
      <c r="AC284" s="1069">
        <f t="shared" si="88"/>
        <v>0</v>
      </c>
      <c r="AD284" s="1069">
        <f t="shared" si="88"/>
        <v>0</v>
      </c>
      <c r="AE284" s="1069">
        <f t="shared" si="88"/>
        <v>0</v>
      </c>
      <c r="AF284" s="1069">
        <f t="shared" si="88"/>
        <v>0</v>
      </c>
      <c r="AG284" s="1069">
        <f t="shared" si="88"/>
        <v>0</v>
      </c>
      <c r="AH284" s="1069">
        <f t="shared" si="88"/>
        <v>0</v>
      </c>
      <c r="AI284" s="1069">
        <f t="shared" si="88"/>
        <v>0</v>
      </c>
      <c r="AJ284" s="1069">
        <f t="shared" si="88"/>
        <v>0</v>
      </c>
      <c r="AK284" s="1069">
        <f t="shared" si="88"/>
        <v>0</v>
      </c>
      <c r="AL284" s="1069">
        <f t="shared" si="88"/>
        <v>0</v>
      </c>
      <c r="AM284" s="1069">
        <f t="shared" si="88"/>
        <v>0</v>
      </c>
      <c r="AN284" s="1069">
        <f t="shared" si="88"/>
        <v>0</v>
      </c>
      <c r="AO284" s="1069">
        <f t="shared" si="88"/>
        <v>0</v>
      </c>
      <c r="AP284" s="1069">
        <f t="shared" si="88"/>
        <v>0</v>
      </c>
      <c r="AQ284" s="1069">
        <f t="shared" si="88"/>
        <v>0</v>
      </c>
      <c r="AR284" s="1069">
        <f t="shared" si="88"/>
        <v>0</v>
      </c>
      <c r="AS284" s="1069">
        <f t="shared" si="88"/>
        <v>0</v>
      </c>
      <c r="AT284" s="1069">
        <f t="shared" si="88"/>
        <v>0</v>
      </c>
      <c r="AU284" s="1069">
        <f t="shared" si="88"/>
        <v>0</v>
      </c>
      <c r="AV284" s="1069">
        <f t="shared" si="88"/>
        <v>0</v>
      </c>
      <c r="AW284" s="1069">
        <f t="shared" si="88"/>
        <v>0</v>
      </c>
      <c r="AX284" s="1069">
        <f t="shared" si="88"/>
        <v>0</v>
      </c>
      <c r="AY284" s="1069">
        <f t="shared" si="88"/>
        <v>0</v>
      </c>
      <c r="AZ284" s="1069">
        <f t="shared" si="88"/>
        <v>0</v>
      </c>
      <c r="BA284" s="1069">
        <f t="shared" si="88"/>
        <v>0</v>
      </c>
      <c r="BB284" s="1069">
        <f t="shared" si="88"/>
        <v>0</v>
      </c>
      <c r="BC284" s="1069">
        <f t="shared" si="88"/>
        <v>0</v>
      </c>
      <c r="BD284" s="1069">
        <f t="shared" si="88"/>
        <v>0</v>
      </c>
      <c r="BE284" s="1069">
        <f t="shared" si="88"/>
        <v>0</v>
      </c>
      <c r="BF284" s="1069">
        <f t="shared" si="88"/>
        <v>0</v>
      </c>
      <c r="BG284" s="1107">
        <f t="shared" si="88"/>
        <v>0</v>
      </c>
      <c r="BH284" s="1107">
        <f t="shared" si="88"/>
        <v>0</v>
      </c>
      <c r="BI284" s="1222"/>
      <c r="BJ284" s="1208"/>
      <c r="BK284" s="1208"/>
      <c r="BL284" s="1208"/>
      <c r="BM284" s="1208"/>
      <c r="BN284" s="1208"/>
      <c r="BO284" s="1122"/>
      <c r="BP284" s="1121"/>
      <c r="BQ284" s="1179"/>
      <c r="BR284" s="1179"/>
      <c r="BS284" s="1210"/>
      <c r="BT284" s="1221"/>
    </row>
    <row r="285" spans="1:72" s="1177" customFormat="1" ht="100.5" customHeight="1">
      <c r="A285" s="1028">
        <f>A283+1</f>
        <v>93</v>
      </c>
      <c r="B285" s="1117" t="s">
        <v>3522</v>
      </c>
      <c r="C285" s="1032" t="s">
        <v>3187</v>
      </c>
      <c r="D285" s="1120" t="s">
        <v>3087</v>
      </c>
      <c r="E285" s="1032" t="s">
        <v>20</v>
      </c>
      <c r="F285" s="1029">
        <f t="shared" si="83"/>
        <v>7.2</v>
      </c>
      <c r="G285" s="1029"/>
      <c r="H285" s="1029">
        <f>SUM(J285:BF285)</f>
        <v>7.2</v>
      </c>
      <c r="I285" s="1029">
        <v>2030</v>
      </c>
      <c r="J285" s="1029"/>
      <c r="K285" s="1029"/>
      <c r="L285" s="1029"/>
      <c r="M285" s="1029"/>
      <c r="N285" s="1029"/>
      <c r="O285" s="1029"/>
      <c r="P285" s="1029"/>
      <c r="Q285" s="1029"/>
      <c r="R285" s="1029"/>
      <c r="S285" s="1029">
        <v>7.2</v>
      </c>
      <c r="T285" s="1029"/>
      <c r="U285" s="1029"/>
      <c r="V285" s="1029"/>
      <c r="W285" s="1029"/>
      <c r="X285" s="1029"/>
      <c r="Y285" s="1029"/>
      <c r="Z285" s="1029"/>
      <c r="AA285" s="1029"/>
      <c r="AB285" s="1029"/>
      <c r="AC285" s="1029"/>
      <c r="AD285" s="1029"/>
      <c r="AE285" s="1029"/>
      <c r="AF285" s="1029"/>
      <c r="AG285" s="1029"/>
      <c r="AH285" s="1029"/>
      <c r="AI285" s="1029"/>
      <c r="AJ285" s="1029"/>
      <c r="AK285" s="1029"/>
      <c r="AL285" s="1029"/>
      <c r="AM285" s="1029"/>
      <c r="AN285" s="1029"/>
      <c r="AO285" s="1029"/>
      <c r="AP285" s="1029"/>
      <c r="AQ285" s="1029"/>
      <c r="AR285" s="1029"/>
      <c r="AS285" s="1029"/>
      <c r="AT285" s="1029"/>
      <c r="AU285" s="1029"/>
      <c r="AV285" s="1029"/>
      <c r="AW285" s="1029"/>
      <c r="AX285" s="1029"/>
      <c r="AY285" s="1029"/>
      <c r="AZ285" s="1029"/>
      <c r="BA285" s="1029"/>
      <c r="BB285" s="1029"/>
      <c r="BC285" s="1029"/>
      <c r="BD285" s="1029"/>
      <c r="BE285" s="1029"/>
      <c r="BF285" s="1029"/>
      <c r="BG285" s="1029"/>
      <c r="BH285" s="1029"/>
      <c r="BI285" s="1032" t="s">
        <v>3187</v>
      </c>
      <c r="BJ285" s="1120"/>
      <c r="BK285" s="1120" t="s">
        <v>3523</v>
      </c>
      <c r="BL285" s="1120" t="s">
        <v>1917</v>
      </c>
      <c r="BM285" s="1120" t="s">
        <v>3524</v>
      </c>
      <c r="BN285" s="1120" t="s">
        <v>291</v>
      </c>
      <c r="BO285" s="1121"/>
      <c r="BP285" s="1121">
        <v>1</v>
      </c>
      <c r="BQ285" s="1179"/>
      <c r="BR285" s="1179"/>
      <c r="BS285" s="1124" t="s">
        <v>3525</v>
      </c>
      <c r="BT285" s="1215" t="s">
        <v>3526</v>
      </c>
    </row>
    <row r="286" spans="1:72" s="1177" customFormat="1" ht="36" customHeight="1">
      <c r="A286" s="1028">
        <f>A285+1</f>
        <v>94</v>
      </c>
      <c r="B286" s="1130" t="s">
        <v>3527</v>
      </c>
      <c r="C286" s="1032" t="s">
        <v>3011</v>
      </c>
      <c r="D286" s="1120" t="s">
        <v>3087</v>
      </c>
      <c r="E286" s="1045" t="s">
        <v>20</v>
      </c>
      <c r="F286" s="1029">
        <f t="shared" si="83"/>
        <v>4.01</v>
      </c>
      <c r="G286" s="1031"/>
      <c r="H286" s="1029">
        <f>SUM(J286:BF286)</f>
        <v>4.01</v>
      </c>
      <c r="I286" s="1029">
        <v>2030</v>
      </c>
      <c r="J286" s="1029"/>
      <c r="K286" s="1029"/>
      <c r="L286" s="1029"/>
      <c r="M286" s="1029">
        <v>4.01</v>
      </c>
      <c r="N286" s="1031"/>
      <c r="O286" s="1029"/>
      <c r="P286" s="1029"/>
      <c r="Q286" s="1029"/>
      <c r="R286" s="1029"/>
      <c r="S286" s="1029"/>
      <c r="T286" s="1029"/>
      <c r="U286" s="1029"/>
      <c r="V286" s="1029"/>
      <c r="W286" s="1029"/>
      <c r="X286" s="1029"/>
      <c r="Y286" s="1029"/>
      <c r="Z286" s="1029"/>
      <c r="AA286" s="1029"/>
      <c r="AB286" s="1029"/>
      <c r="AC286" s="1029"/>
      <c r="AD286" s="1029"/>
      <c r="AE286" s="1029"/>
      <c r="AF286" s="1029"/>
      <c r="AG286" s="1029"/>
      <c r="AH286" s="1029"/>
      <c r="AI286" s="1029"/>
      <c r="AJ286" s="1029"/>
      <c r="AK286" s="1029"/>
      <c r="AL286" s="1029"/>
      <c r="AM286" s="1029"/>
      <c r="AN286" s="1029"/>
      <c r="AO286" s="1029"/>
      <c r="AP286" s="1029"/>
      <c r="AQ286" s="1029"/>
      <c r="AR286" s="1029"/>
      <c r="AS286" s="1029"/>
      <c r="AT286" s="1029"/>
      <c r="AU286" s="1029"/>
      <c r="AV286" s="1029"/>
      <c r="AW286" s="1029"/>
      <c r="AX286" s="1029"/>
      <c r="AY286" s="1029"/>
      <c r="AZ286" s="1029"/>
      <c r="BA286" s="1029"/>
      <c r="BB286" s="1029"/>
      <c r="BC286" s="1029"/>
      <c r="BD286" s="1029"/>
      <c r="BE286" s="1029"/>
      <c r="BF286" s="1029"/>
      <c r="BG286" s="1029"/>
      <c r="BH286" s="1029"/>
      <c r="BI286" s="1032" t="s">
        <v>3528</v>
      </c>
      <c r="BJ286" s="1120" t="s">
        <v>3529</v>
      </c>
      <c r="BK286" s="1120" t="s">
        <v>3466</v>
      </c>
      <c r="BL286" s="1120" t="s">
        <v>1923</v>
      </c>
      <c r="BM286" s="1120" t="s">
        <v>3530</v>
      </c>
      <c r="BN286" s="1120" t="s">
        <v>291</v>
      </c>
      <c r="BO286" s="1121"/>
      <c r="BP286" s="1121">
        <v>1</v>
      </c>
      <c r="BQ286" s="1179"/>
      <c r="BR286" s="1179"/>
      <c r="BS286" s="1124"/>
      <c r="BT286" s="1221"/>
    </row>
    <row r="287" spans="1:72" s="1354" customFormat="1" ht="41.1" customHeight="1">
      <c r="A287" s="1028">
        <f t="shared" ref="A287" si="89">+A286+1</f>
        <v>95</v>
      </c>
      <c r="B287" s="1130" t="s">
        <v>3531</v>
      </c>
      <c r="C287" s="1032" t="s">
        <v>3016</v>
      </c>
      <c r="D287" s="1120" t="s">
        <v>3087</v>
      </c>
      <c r="E287" s="1032" t="s">
        <v>20</v>
      </c>
      <c r="F287" s="1029">
        <f t="shared" si="83"/>
        <v>0.6</v>
      </c>
      <c r="G287" s="1029"/>
      <c r="H287" s="1029">
        <f>SUM(J287:BB287)</f>
        <v>0.6</v>
      </c>
      <c r="I287" s="1029">
        <v>2030</v>
      </c>
      <c r="J287" s="1029"/>
      <c r="K287" s="1029"/>
      <c r="L287" s="1029"/>
      <c r="M287" s="1029"/>
      <c r="N287" s="1031"/>
      <c r="O287" s="1029"/>
      <c r="P287" s="1029"/>
      <c r="Q287" s="1029"/>
      <c r="R287" s="1029"/>
      <c r="S287" s="1029">
        <v>0.6</v>
      </c>
      <c r="T287" s="1029"/>
      <c r="U287" s="1029"/>
      <c r="V287" s="1029"/>
      <c r="W287" s="1029"/>
      <c r="X287" s="1029"/>
      <c r="Y287" s="1029"/>
      <c r="Z287" s="1029"/>
      <c r="AA287" s="1029"/>
      <c r="AB287" s="1029"/>
      <c r="AC287" s="1029"/>
      <c r="AD287" s="1029"/>
      <c r="AE287" s="1029"/>
      <c r="AF287" s="1029"/>
      <c r="AG287" s="1029"/>
      <c r="AH287" s="1029"/>
      <c r="AI287" s="1029"/>
      <c r="AJ287" s="1029"/>
      <c r="AK287" s="1029"/>
      <c r="AL287" s="1029"/>
      <c r="AM287" s="1029"/>
      <c r="AN287" s="1029"/>
      <c r="AO287" s="1029"/>
      <c r="AP287" s="1029"/>
      <c r="AQ287" s="1029"/>
      <c r="AR287" s="1029"/>
      <c r="AS287" s="1029"/>
      <c r="AT287" s="1029"/>
      <c r="AU287" s="1029"/>
      <c r="AV287" s="1029"/>
      <c r="AW287" s="1029"/>
      <c r="AX287" s="1029"/>
      <c r="AY287" s="1029"/>
      <c r="AZ287" s="1029"/>
      <c r="BA287" s="1029"/>
      <c r="BB287" s="1029"/>
      <c r="BC287" s="1029"/>
      <c r="BD287" s="1029"/>
      <c r="BE287" s="1029"/>
      <c r="BF287" s="1029"/>
      <c r="BG287" s="1029"/>
      <c r="BH287" s="1029"/>
      <c r="BI287" s="1032" t="s">
        <v>3532</v>
      </c>
      <c r="BJ287" s="1120" t="s">
        <v>3533</v>
      </c>
      <c r="BK287" s="1120" t="s">
        <v>3466</v>
      </c>
      <c r="BL287" s="1171" t="s">
        <v>1917</v>
      </c>
      <c r="BM287" s="1120" t="s">
        <v>3285</v>
      </c>
      <c r="BN287" s="1120" t="s">
        <v>291</v>
      </c>
      <c r="BO287" s="1393"/>
      <c r="BP287" s="1394">
        <v>1</v>
      </c>
      <c r="BQ287" s="1395"/>
      <c r="BR287" s="1232"/>
      <c r="BS287" s="1124"/>
      <c r="BT287" s="1269"/>
    </row>
    <row r="288" spans="1:72" s="1141" customFormat="1" ht="13.5">
      <c r="A288" s="1030" t="s">
        <v>560</v>
      </c>
      <c r="B288" s="1207" t="s">
        <v>95</v>
      </c>
      <c r="C288" s="1068"/>
      <c r="D288" s="1208"/>
      <c r="E288" s="1068"/>
      <c r="F288" s="1026">
        <f>G288+H288</f>
        <v>0.1</v>
      </c>
      <c r="G288" s="1026"/>
      <c r="H288" s="1026">
        <f>H289</f>
        <v>0.1</v>
      </c>
      <c r="I288" s="1026"/>
      <c r="J288" s="1026">
        <f t="shared" ref="J288:BH288" si="90">J289</f>
        <v>0</v>
      </c>
      <c r="K288" s="1026">
        <f t="shared" si="90"/>
        <v>0</v>
      </c>
      <c r="L288" s="1026">
        <f t="shared" si="90"/>
        <v>0</v>
      </c>
      <c r="M288" s="1026">
        <f t="shared" si="90"/>
        <v>0</v>
      </c>
      <c r="N288" s="1026">
        <f t="shared" si="90"/>
        <v>0</v>
      </c>
      <c r="O288" s="1026">
        <f t="shared" si="90"/>
        <v>0</v>
      </c>
      <c r="P288" s="1026">
        <f t="shared" si="90"/>
        <v>0</v>
      </c>
      <c r="Q288" s="1026">
        <f t="shared" si="90"/>
        <v>0</v>
      </c>
      <c r="R288" s="1026">
        <f t="shared" si="90"/>
        <v>0</v>
      </c>
      <c r="S288" s="1026">
        <f t="shared" si="90"/>
        <v>0</v>
      </c>
      <c r="T288" s="1026">
        <f t="shared" si="90"/>
        <v>0</v>
      </c>
      <c r="U288" s="1026">
        <f t="shared" si="90"/>
        <v>0</v>
      </c>
      <c r="V288" s="1026">
        <f t="shared" si="90"/>
        <v>0</v>
      </c>
      <c r="W288" s="1026">
        <f t="shared" si="90"/>
        <v>0</v>
      </c>
      <c r="X288" s="1026">
        <f t="shared" si="90"/>
        <v>0</v>
      </c>
      <c r="Y288" s="1026">
        <f t="shared" si="90"/>
        <v>0</v>
      </c>
      <c r="Z288" s="1026">
        <f t="shared" si="90"/>
        <v>0</v>
      </c>
      <c r="AA288" s="1026">
        <f t="shared" si="90"/>
        <v>0</v>
      </c>
      <c r="AB288" s="1026">
        <f t="shared" si="90"/>
        <v>0</v>
      </c>
      <c r="AC288" s="1026">
        <f t="shared" si="90"/>
        <v>0</v>
      </c>
      <c r="AD288" s="1026">
        <f t="shared" si="90"/>
        <v>0</v>
      </c>
      <c r="AE288" s="1026">
        <f t="shared" si="90"/>
        <v>0</v>
      </c>
      <c r="AF288" s="1026">
        <f t="shared" si="90"/>
        <v>0</v>
      </c>
      <c r="AG288" s="1026">
        <f t="shared" si="90"/>
        <v>0</v>
      </c>
      <c r="AH288" s="1026">
        <f t="shared" si="90"/>
        <v>0</v>
      </c>
      <c r="AI288" s="1026">
        <f t="shared" si="90"/>
        <v>0</v>
      </c>
      <c r="AJ288" s="1026">
        <f t="shared" si="90"/>
        <v>0</v>
      </c>
      <c r="AK288" s="1026">
        <f t="shared" si="90"/>
        <v>0</v>
      </c>
      <c r="AL288" s="1026">
        <f t="shared" si="90"/>
        <v>0</v>
      </c>
      <c r="AM288" s="1026">
        <f t="shared" si="90"/>
        <v>0</v>
      </c>
      <c r="AN288" s="1026">
        <f t="shared" si="90"/>
        <v>0</v>
      </c>
      <c r="AO288" s="1026">
        <f t="shared" si="90"/>
        <v>0</v>
      </c>
      <c r="AP288" s="1026">
        <f t="shared" si="90"/>
        <v>0</v>
      </c>
      <c r="AQ288" s="1026">
        <f t="shared" si="90"/>
        <v>0</v>
      </c>
      <c r="AR288" s="1026">
        <f t="shared" si="90"/>
        <v>0</v>
      </c>
      <c r="AS288" s="1026">
        <f t="shared" si="90"/>
        <v>0</v>
      </c>
      <c r="AT288" s="1026">
        <f t="shared" si="90"/>
        <v>0</v>
      </c>
      <c r="AU288" s="1026">
        <f t="shared" si="90"/>
        <v>0</v>
      </c>
      <c r="AV288" s="1026">
        <f t="shared" si="90"/>
        <v>0</v>
      </c>
      <c r="AW288" s="1026">
        <f t="shared" si="90"/>
        <v>0</v>
      </c>
      <c r="AX288" s="1026">
        <f t="shared" si="90"/>
        <v>0</v>
      </c>
      <c r="AY288" s="1026">
        <f t="shared" si="90"/>
        <v>0</v>
      </c>
      <c r="AZ288" s="1026">
        <f t="shared" si="90"/>
        <v>0</v>
      </c>
      <c r="BA288" s="1026">
        <f t="shared" si="90"/>
        <v>0</v>
      </c>
      <c r="BB288" s="1026">
        <f t="shared" si="90"/>
        <v>0</v>
      </c>
      <c r="BC288" s="1026">
        <f t="shared" si="90"/>
        <v>0</v>
      </c>
      <c r="BD288" s="1026">
        <f t="shared" si="90"/>
        <v>0</v>
      </c>
      <c r="BE288" s="1026">
        <f t="shared" si="90"/>
        <v>0</v>
      </c>
      <c r="BF288" s="1026">
        <f t="shared" si="90"/>
        <v>0.1</v>
      </c>
      <c r="BG288" s="1026">
        <f t="shared" si="90"/>
        <v>0</v>
      </c>
      <c r="BH288" s="1026">
        <f t="shared" si="90"/>
        <v>0</v>
      </c>
      <c r="BI288" s="1068"/>
      <c r="BJ288" s="1208"/>
      <c r="BK288" s="1208"/>
      <c r="BL288" s="1396"/>
      <c r="BM288" s="1208"/>
      <c r="BN288" s="1208"/>
      <c r="BO288" s="1122"/>
      <c r="BP288" s="1397"/>
      <c r="BQ288" s="1398"/>
      <c r="BR288" s="1123"/>
      <c r="BS288" s="1210"/>
      <c r="BT288" s="1269"/>
    </row>
    <row r="289" spans="1:72" s="1354" customFormat="1" ht="78.599999999999994" customHeight="1">
      <c r="A289" s="1028">
        <f>A287+1</f>
        <v>96</v>
      </c>
      <c r="B289" s="1247" t="s">
        <v>3534</v>
      </c>
      <c r="C289" s="1120" t="s">
        <v>3013</v>
      </c>
      <c r="D289" s="1120" t="s">
        <v>3087</v>
      </c>
      <c r="E289" s="1120" t="s">
        <v>24</v>
      </c>
      <c r="F289" s="1372">
        <f>SUM(G289:H289)</f>
        <v>0.1</v>
      </c>
      <c r="G289" s="1372"/>
      <c r="H289" s="1372">
        <f t="shared" ref="H289" si="91">SUM(J289:BH289)</f>
        <v>0.1</v>
      </c>
      <c r="I289" s="1108">
        <v>2030</v>
      </c>
      <c r="J289" s="1029"/>
      <c r="K289" s="1029"/>
      <c r="L289" s="1029"/>
      <c r="M289" s="1029"/>
      <c r="N289" s="1031"/>
      <c r="O289" s="1029"/>
      <c r="P289" s="1029"/>
      <c r="Q289" s="1029"/>
      <c r="R289" s="1029"/>
      <c r="S289" s="1029"/>
      <c r="T289" s="1029"/>
      <c r="U289" s="1029"/>
      <c r="V289" s="1029"/>
      <c r="W289" s="1029"/>
      <c r="X289" s="1029"/>
      <c r="Y289" s="1029"/>
      <c r="Z289" s="1029"/>
      <c r="AA289" s="1029"/>
      <c r="AB289" s="1029"/>
      <c r="AC289" s="1029"/>
      <c r="AD289" s="1029"/>
      <c r="AE289" s="1029"/>
      <c r="AF289" s="1029"/>
      <c r="AG289" s="1029"/>
      <c r="AH289" s="1029"/>
      <c r="AI289" s="1029"/>
      <c r="AJ289" s="1029"/>
      <c r="AK289" s="1029"/>
      <c r="AL289" s="1029"/>
      <c r="AM289" s="1029"/>
      <c r="AN289" s="1029"/>
      <c r="AO289" s="1029"/>
      <c r="AP289" s="1029"/>
      <c r="AQ289" s="1029"/>
      <c r="AR289" s="1029"/>
      <c r="AS289" s="1029"/>
      <c r="AT289" s="1029"/>
      <c r="AU289" s="1029"/>
      <c r="AV289" s="1029"/>
      <c r="AW289" s="1029"/>
      <c r="AX289" s="1029"/>
      <c r="AY289" s="1029"/>
      <c r="AZ289" s="1029"/>
      <c r="BA289" s="1029"/>
      <c r="BB289" s="1029"/>
      <c r="BC289" s="1029"/>
      <c r="BD289" s="1029"/>
      <c r="BE289" s="1029"/>
      <c r="BF289" s="1029">
        <v>0.1</v>
      </c>
      <c r="BG289" s="1029"/>
      <c r="BH289" s="1029"/>
      <c r="BI289" s="1032" t="s">
        <v>3452</v>
      </c>
      <c r="BJ289" s="1248" t="s">
        <v>3535</v>
      </c>
      <c r="BK289" s="1120" t="s">
        <v>3536</v>
      </c>
      <c r="BL289" s="1171"/>
      <c r="BM289" s="1120"/>
      <c r="BN289" s="1120" t="s">
        <v>298</v>
      </c>
      <c r="BO289" s="1121"/>
      <c r="BP289" s="1399">
        <v>1</v>
      </c>
      <c r="BQ289" s="1400"/>
      <c r="BR289" s="1179"/>
      <c r="BS289" s="1124"/>
      <c r="BT289" s="1269"/>
    </row>
    <row r="290" spans="1:72" s="1354" customFormat="1" ht="23.45" customHeight="1">
      <c r="A290" s="1023" t="s">
        <v>581</v>
      </c>
      <c r="B290" s="1207" t="s">
        <v>63</v>
      </c>
      <c r="C290" s="1068"/>
      <c r="D290" s="1068"/>
      <c r="E290" s="1401"/>
      <c r="F290" s="1026">
        <f>SUM(F291:F296)</f>
        <v>1818.78</v>
      </c>
      <c r="G290" s="1026">
        <f>SUM(G291:G296)</f>
        <v>1818.78</v>
      </c>
      <c r="H290" s="1026">
        <f>SUM(H291:H296)</f>
        <v>0</v>
      </c>
      <c r="I290" s="1026"/>
      <c r="J290" s="1069"/>
      <c r="K290" s="1069"/>
      <c r="L290" s="1069"/>
      <c r="M290" s="1069"/>
      <c r="N290" s="1069"/>
      <c r="O290" s="1026"/>
      <c r="P290" s="1026"/>
      <c r="Q290" s="1026"/>
      <c r="R290" s="1026"/>
      <c r="S290" s="1069"/>
      <c r="T290" s="1069"/>
      <c r="U290" s="1026"/>
      <c r="V290" s="1026"/>
      <c r="W290" s="1026"/>
      <c r="X290" s="1026"/>
      <c r="Y290" s="1026"/>
      <c r="Z290" s="1026"/>
      <c r="AA290" s="1026"/>
      <c r="AB290" s="1026"/>
      <c r="AC290" s="1026"/>
      <c r="AD290" s="1026"/>
      <c r="AE290" s="1026"/>
      <c r="AF290" s="1026"/>
      <c r="AG290" s="1026"/>
      <c r="AH290" s="1026"/>
      <c r="AI290" s="1026"/>
      <c r="AJ290" s="1026"/>
      <c r="AK290" s="1026"/>
      <c r="AL290" s="1026"/>
      <c r="AM290" s="1026"/>
      <c r="AN290" s="1026"/>
      <c r="AO290" s="1026"/>
      <c r="AP290" s="1026"/>
      <c r="AQ290" s="1026"/>
      <c r="AR290" s="1026"/>
      <c r="AS290" s="1026"/>
      <c r="AT290" s="1026"/>
      <c r="AU290" s="1026"/>
      <c r="AV290" s="1026"/>
      <c r="AW290" s="1026"/>
      <c r="AX290" s="1026"/>
      <c r="AY290" s="1026"/>
      <c r="AZ290" s="1026"/>
      <c r="BA290" s="1026"/>
      <c r="BB290" s="1026"/>
      <c r="BC290" s="1026"/>
      <c r="BD290" s="1026"/>
      <c r="BE290" s="1026"/>
      <c r="BF290" s="1026"/>
      <c r="BG290" s="1026"/>
      <c r="BH290" s="1026"/>
      <c r="BI290" s="1068"/>
      <c r="BJ290" s="1208"/>
      <c r="BK290" s="1208"/>
      <c r="BL290" s="1208"/>
      <c r="BM290" s="1208"/>
      <c r="BN290" s="1208"/>
      <c r="BO290" s="1122"/>
      <c r="BP290" s="1342"/>
      <c r="BQ290" s="1375"/>
      <c r="BR290" s="1375"/>
      <c r="BS290" s="1210"/>
      <c r="BT290" s="1269"/>
    </row>
    <row r="291" spans="1:72" ht="25.5">
      <c r="A291" s="1028">
        <f>A289+1</f>
        <v>97</v>
      </c>
      <c r="B291" s="1117" t="s">
        <v>3537</v>
      </c>
      <c r="C291" s="1127"/>
      <c r="D291" s="1127"/>
      <c r="E291" s="1118" t="s">
        <v>18</v>
      </c>
      <c r="F291" s="1031">
        <f t="shared" si="83"/>
        <v>30</v>
      </c>
      <c r="G291" s="1031">
        <v>30</v>
      </c>
      <c r="H291" s="1026">
        <f>SUM(J291:BF291)</f>
        <v>0</v>
      </c>
      <c r="I291" s="1026"/>
      <c r="J291" s="1031"/>
      <c r="K291" s="1031"/>
      <c r="L291" s="1031"/>
      <c r="M291" s="1031"/>
      <c r="N291" s="1031"/>
      <c r="O291" s="1031"/>
      <c r="P291" s="1031"/>
      <c r="Q291" s="1031"/>
      <c r="R291" s="1031"/>
      <c r="S291" s="1031"/>
      <c r="T291" s="1031"/>
      <c r="U291" s="1031"/>
      <c r="V291" s="1031"/>
      <c r="W291" s="1031"/>
      <c r="X291" s="1031"/>
      <c r="Y291" s="1031"/>
      <c r="Z291" s="1031"/>
      <c r="AA291" s="1031"/>
      <c r="AB291" s="1031"/>
      <c r="AC291" s="1031"/>
      <c r="AD291" s="1031"/>
      <c r="AE291" s="1031"/>
      <c r="AF291" s="1031"/>
      <c r="AG291" s="1031"/>
      <c r="AH291" s="1031"/>
      <c r="AI291" s="1031"/>
      <c r="AJ291" s="1031"/>
      <c r="AK291" s="1031"/>
      <c r="AL291" s="1031"/>
      <c r="AM291" s="1031"/>
      <c r="AN291" s="1031"/>
      <c r="AO291" s="1031"/>
      <c r="AP291" s="1031"/>
      <c r="AQ291" s="1031"/>
      <c r="AR291" s="1031"/>
      <c r="AS291" s="1031"/>
      <c r="AT291" s="1031"/>
      <c r="AU291" s="1031"/>
      <c r="AV291" s="1031"/>
      <c r="AW291" s="1031"/>
      <c r="AX291" s="1031"/>
      <c r="AY291" s="1031"/>
      <c r="AZ291" s="1031"/>
      <c r="BA291" s="1031"/>
      <c r="BB291" s="1031"/>
      <c r="BC291" s="1031"/>
      <c r="BD291" s="1031"/>
      <c r="BE291" s="1031"/>
      <c r="BF291" s="1031"/>
      <c r="BG291" s="1031"/>
      <c r="BH291" s="1031"/>
      <c r="BI291" s="1127" t="s">
        <v>3538</v>
      </c>
      <c r="BJ291" s="1120"/>
      <c r="BK291" s="1120" t="s">
        <v>3539</v>
      </c>
      <c r="BL291" s="1120" t="s">
        <v>1917</v>
      </c>
      <c r="BM291" s="1120" t="s">
        <v>3425</v>
      </c>
      <c r="BN291" s="1120" t="s">
        <v>291</v>
      </c>
      <c r="BP291" s="1121">
        <v>1</v>
      </c>
      <c r="BS291" s="1124"/>
      <c r="BT291" s="1118"/>
    </row>
    <row r="292" spans="1:72" ht="98.45" customHeight="1">
      <c r="A292" s="1028">
        <f>+A291+1</f>
        <v>98</v>
      </c>
      <c r="B292" s="1117" t="s">
        <v>3522</v>
      </c>
      <c r="C292" s="1083"/>
      <c r="D292" s="1083"/>
      <c r="E292" s="1083" t="s">
        <v>18</v>
      </c>
      <c r="F292" s="1029">
        <f t="shared" si="83"/>
        <v>781.8</v>
      </c>
      <c r="G292" s="1029">
        <f>789-7.2</f>
        <v>781.8</v>
      </c>
      <c r="H292" s="1026">
        <f>SUM(J292:BF292)</f>
        <v>0</v>
      </c>
      <c r="I292" s="1026"/>
      <c r="J292" s="1029"/>
      <c r="K292" s="1029"/>
      <c r="L292" s="1029"/>
      <c r="M292" s="1029"/>
      <c r="N292" s="1029"/>
      <c r="O292" s="1029"/>
      <c r="P292" s="1029"/>
      <c r="Q292" s="1029"/>
      <c r="R292" s="1029"/>
      <c r="S292" s="1031"/>
      <c r="T292" s="1029"/>
      <c r="U292" s="1029"/>
      <c r="V292" s="1029"/>
      <c r="W292" s="1029"/>
      <c r="X292" s="1029"/>
      <c r="Y292" s="1029"/>
      <c r="Z292" s="1029"/>
      <c r="AA292" s="1029"/>
      <c r="AB292" s="1029"/>
      <c r="AC292" s="1029"/>
      <c r="AD292" s="1029"/>
      <c r="AE292" s="1029"/>
      <c r="AF292" s="1029"/>
      <c r="AG292" s="1029"/>
      <c r="AH292" s="1029"/>
      <c r="AI292" s="1029"/>
      <c r="AJ292" s="1029"/>
      <c r="AK292" s="1029"/>
      <c r="AL292" s="1029"/>
      <c r="AM292" s="1029"/>
      <c r="AN292" s="1029"/>
      <c r="AO292" s="1029"/>
      <c r="AP292" s="1029"/>
      <c r="AQ292" s="1029"/>
      <c r="AR292" s="1029"/>
      <c r="AS292" s="1029"/>
      <c r="AT292" s="1029"/>
      <c r="AU292" s="1029"/>
      <c r="AV292" s="1029"/>
      <c r="AW292" s="1029"/>
      <c r="AX292" s="1029"/>
      <c r="AY292" s="1029"/>
      <c r="AZ292" s="1029"/>
      <c r="BA292" s="1029"/>
      <c r="BB292" s="1029"/>
      <c r="BC292" s="1029"/>
      <c r="BD292" s="1029"/>
      <c r="BE292" s="1029"/>
      <c r="BF292" s="1029"/>
      <c r="BG292" s="1029"/>
      <c r="BH292" s="1029"/>
      <c r="BI292" s="1083" t="s">
        <v>3540</v>
      </c>
      <c r="BJ292" s="1120" t="s">
        <v>3541</v>
      </c>
      <c r="BK292" s="1120" t="s">
        <v>3523</v>
      </c>
      <c r="BL292" s="1120" t="s">
        <v>1923</v>
      </c>
      <c r="BM292" s="1120" t="s">
        <v>3091</v>
      </c>
      <c r="BN292" s="1120" t="s">
        <v>291</v>
      </c>
      <c r="BP292" s="1121">
        <v>1</v>
      </c>
      <c r="BS292" s="1124" t="s">
        <v>3525</v>
      </c>
      <c r="BT292" s="1118"/>
    </row>
    <row r="293" spans="1:72" s="1177" customFormat="1" ht="96.75" customHeight="1">
      <c r="A293" s="1028">
        <f>+A292+1</f>
        <v>99</v>
      </c>
      <c r="B293" s="1172" t="s">
        <v>3542</v>
      </c>
      <c r="C293" s="1083"/>
      <c r="D293" s="1083"/>
      <c r="E293" s="1083" t="s">
        <v>18</v>
      </c>
      <c r="F293" s="1029">
        <f t="shared" si="83"/>
        <v>123.9</v>
      </c>
      <c r="G293" s="1031">
        <v>123.9</v>
      </c>
      <c r="H293" s="1026">
        <f>SUM(J293:BF293)</f>
        <v>0</v>
      </c>
      <c r="I293" s="1026"/>
      <c r="J293" s="1029"/>
      <c r="K293" s="1029"/>
      <c r="L293" s="1029"/>
      <c r="M293" s="1029"/>
      <c r="N293" s="1029"/>
      <c r="O293" s="1029"/>
      <c r="P293" s="1029"/>
      <c r="Q293" s="1029"/>
      <c r="R293" s="1029"/>
      <c r="S293" s="1031"/>
      <c r="T293" s="1029"/>
      <c r="U293" s="1029"/>
      <c r="V293" s="1029"/>
      <c r="W293" s="1029"/>
      <c r="X293" s="1029"/>
      <c r="Y293" s="1029"/>
      <c r="Z293" s="1029"/>
      <c r="AA293" s="1029"/>
      <c r="AB293" s="1029"/>
      <c r="AC293" s="1029"/>
      <c r="AD293" s="1029"/>
      <c r="AE293" s="1029"/>
      <c r="AF293" s="1029"/>
      <c r="AG293" s="1029"/>
      <c r="AH293" s="1029"/>
      <c r="AI293" s="1029"/>
      <c r="AJ293" s="1029"/>
      <c r="AK293" s="1029"/>
      <c r="AL293" s="1029"/>
      <c r="AM293" s="1029"/>
      <c r="AN293" s="1029"/>
      <c r="AO293" s="1029"/>
      <c r="AP293" s="1029"/>
      <c r="AQ293" s="1029"/>
      <c r="AR293" s="1029"/>
      <c r="AS293" s="1029"/>
      <c r="AT293" s="1029"/>
      <c r="AU293" s="1029"/>
      <c r="AV293" s="1029"/>
      <c r="AW293" s="1029"/>
      <c r="AX293" s="1029"/>
      <c r="AY293" s="1029"/>
      <c r="AZ293" s="1029"/>
      <c r="BA293" s="1029"/>
      <c r="BB293" s="1029"/>
      <c r="BC293" s="1029"/>
      <c r="BD293" s="1029"/>
      <c r="BE293" s="1029"/>
      <c r="BF293" s="1029"/>
      <c r="BG293" s="1029"/>
      <c r="BH293" s="1029"/>
      <c r="BI293" s="1083" t="s">
        <v>3543</v>
      </c>
      <c r="BJ293" s="1120"/>
      <c r="BK293" s="1120" t="s">
        <v>3544</v>
      </c>
      <c r="BL293" s="1220" t="s">
        <v>1923</v>
      </c>
      <c r="BM293" s="1120" t="s">
        <v>3091</v>
      </c>
      <c r="BN293" s="1120" t="s">
        <v>291</v>
      </c>
      <c r="BO293" s="1121"/>
      <c r="BP293" s="1121">
        <v>1</v>
      </c>
      <c r="BQ293" s="1179"/>
      <c r="BR293" s="1179"/>
      <c r="BS293" s="1124"/>
      <c r="BT293" s="1221"/>
    </row>
    <row r="294" spans="1:72" s="1126" customFormat="1" ht="74.25" customHeight="1">
      <c r="A294" s="1028">
        <f>+A293+1</f>
        <v>100</v>
      </c>
      <c r="B294" s="1130" t="s">
        <v>3545</v>
      </c>
      <c r="C294" s="1032"/>
      <c r="D294" s="1032"/>
      <c r="E294" s="1045" t="s">
        <v>18</v>
      </c>
      <c r="F294" s="1029">
        <f t="shared" si="83"/>
        <v>228.08</v>
      </c>
      <c r="G294" s="1031">
        <v>228.08</v>
      </c>
      <c r="H294" s="1029">
        <f>SUM(J294:BF294)</f>
        <v>0</v>
      </c>
      <c r="I294" s="1029"/>
      <c r="J294" s="1029"/>
      <c r="K294" s="1029"/>
      <c r="L294" s="1029"/>
      <c r="M294" s="1029"/>
      <c r="N294" s="1031"/>
      <c r="O294" s="1029"/>
      <c r="P294" s="1029"/>
      <c r="Q294" s="1029"/>
      <c r="R294" s="1029"/>
      <c r="S294" s="1029"/>
      <c r="T294" s="1029"/>
      <c r="U294" s="1029"/>
      <c r="V294" s="1029"/>
      <c r="W294" s="1029"/>
      <c r="X294" s="1029"/>
      <c r="Y294" s="1029"/>
      <c r="Z294" s="1029"/>
      <c r="AA294" s="1029"/>
      <c r="AB294" s="1029"/>
      <c r="AC294" s="1029"/>
      <c r="AD294" s="1029"/>
      <c r="AE294" s="1029"/>
      <c r="AF294" s="1029"/>
      <c r="AG294" s="1029"/>
      <c r="AH294" s="1029"/>
      <c r="AI294" s="1029"/>
      <c r="AJ294" s="1029"/>
      <c r="AK294" s="1029"/>
      <c r="AL294" s="1029"/>
      <c r="AM294" s="1029"/>
      <c r="AN294" s="1029"/>
      <c r="AO294" s="1029"/>
      <c r="AP294" s="1029"/>
      <c r="AQ294" s="1029"/>
      <c r="AR294" s="1029"/>
      <c r="AS294" s="1029"/>
      <c r="AT294" s="1029"/>
      <c r="AU294" s="1029"/>
      <c r="AV294" s="1029"/>
      <c r="AW294" s="1029"/>
      <c r="AX294" s="1029"/>
      <c r="AY294" s="1029"/>
      <c r="AZ294" s="1029"/>
      <c r="BA294" s="1029"/>
      <c r="BB294" s="1029"/>
      <c r="BC294" s="1029"/>
      <c r="BD294" s="1029"/>
      <c r="BE294" s="1029"/>
      <c r="BF294" s="1029"/>
      <c r="BG294" s="1029"/>
      <c r="BH294" s="1029"/>
      <c r="BI294" s="1032" t="s">
        <v>3014</v>
      </c>
      <c r="BJ294" s="1120"/>
      <c r="BK294" s="1220" t="s">
        <v>3546</v>
      </c>
      <c r="BL294" s="1220" t="s">
        <v>1923</v>
      </c>
      <c r="BM294" s="1120" t="s">
        <v>3091</v>
      </c>
      <c r="BN294" s="1120" t="s">
        <v>291</v>
      </c>
      <c r="BO294" s="1121"/>
      <c r="BP294" s="1122">
        <v>1</v>
      </c>
      <c r="BQ294" s="1123"/>
      <c r="BR294" s="1123"/>
      <c r="BS294" s="1124"/>
      <c r="BT294" s="1125"/>
    </row>
    <row r="295" spans="1:72" s="1126" customFormat="1" ht="99.95" customHeight="1">
      <c r="A295" s="1028">
        <f>+A294+1</f>
        <v>101</v>
      </c>
      <c r="B295" s="1325" t="s">
        <v>3547</v>
      </c>
      <c r="C295" s="1331"/>
      <c r="D295" s="1331"/>
      <c r="E295" s="1083" t="s">
        <v>18</v>
      </c>
      <c r="F295" s="1029">
        <f t="shared" si="83"/>
        <v>510</v>
      </c>
      <c r="G295" s="1029">
        <v>510</v>
      </c>
      <c r="H295" s="1029">
        <f>SUM(J295:BB295)</f>
        <v>0</v>
      </c>
      <c r="I295" s="1029"/>
      <c r="J295" s="1029"/>
      <c r="K295" s="1029"/>
      <c r="L295" s="1029"/>
      <c r="M295" s="1029"/>
      <c r="N295" s="1029"/>
      <c r="O295" s="1029"/>
      <c r="P295" s="1029"/>
      <c r="Q295" s="1029"/>
      <c r="R295" s="1029"/>
      <c r="S295" s="1029"/>
      <c r="T295" s="1029"/>
      <c r="U295" s="1029"/>
      <c r="V295" s="1029"/>
      <c r="W295" s="1029"/>
      <c r="X295" s="1029"/>
      <c r="Y295" s="1029"/>
      <c r="Z295" s="1029"/>
      <c r="AA295" s="1029"/>
      <c r="AB295" s="1029"/>
      <c r="AC295" s="1029"/>
      <c r="AD295" s="1029"/>
      <c r="AE295" s="1029"/>
      <c r="AF295" s="1029"/>
      <c r="AG295" s="1029"/>
      <c r="AH295" s="1029"/>
      <c r="AI295" s="1029"/>
      <c r="AJ295" s="1029"/>
      <c r="AK295" s="1029"/>
      <c r="AL295" s="1029"/>
      <c r="AM295" s="1029"/>
      <c r="AN295" s="1029"/>
      <c r="AO295" s="1029"/>
      <c r="AP295" s="1029"/>
      <c r="AQ295" s="1029"/>
      <c r="AR295" s="1029"/>
      <c r="AS295" s="1029"/>
      <c r="AT295" s="1029"/>
      <c r="AU295" s="1029"/>
      <c r="AV295" s="1029"/>
      <c r="AW295" s="1029"/>
      <c r="AX295" s="1029"/>
      <c r="AY295" s="1029"/>
      <c r="AZ295" s="1029"/>
      <c r="BA295" s="1029"/>
      <c r="BB295" s="1029"/>
      <c r="BC295" s="1029"/>
      <c r="BD295" s="1029"/>
      <c r="BE295" s="1029"/>
      <c r="BF295" s="1029"/>
      <c r="BG295" s="1029"/>
      <c r="BH295" s="1029"/>
      <c r="BI295" s="1331" t="s">
        <v>3548</v>
      </c>
      <c r="BJ295" s="1091" t="s">
        <v>3549</v>
      </c>
      <c r="BK295" s="1120" t="s">
        <v>3550</v>
      </c>
      <c r="BL295" s="1120" t="s">
        <v>1923</v>
      </c>
      <c r="BM295" s="1120" t="s">
        <v>3091</v>
      </c>
      <c r="BN295" s="1120" t="s">
        <v>291</v>
      </c>
      <c r="BO295" s="1121"/>
      <c r="BP295" s="1122">
        <v>1</v>
      </c>
      <c r="BQ295" s="1123"/>
      <c r="BR295" s="1123"/>
      <c r="BS295" s="1124"/>
      <c r="BT295" s="1125"/>
    </row>
    <row r="296" spans="1:72" s="1126" customFormat="1" ht="76.5" customHeight="1">
      <c r="A296" s="1028">
        <f>+A295+1</f>
        <v>102</v>
      </c>
      <c r="B296" s="1325" t="s">
        <v>3551</v>
      </c>
      <c r="C296" s="1331"/>
      <c r="D296" s="1331"/>
      <c r="E296" s="1083" t="s">
        <v>18</v>
      </c>
      <c r="F296" s="1029">
        <f t="shared" si="83"/>
        <v>145</v>
      </c>
      <c r="G296" s="1029">
        <v>145</v>
      </c>
      <c r="H296" s="1029">
        <f>SUM(J296:BB296)</f>
        <v>0</v>
      </c>
      <c r="I296" s="1029"/>
      <c r="J296" s="1029"/>
      <c r="K296" s="1029"/>
      <c r="L296" s="1029"/>
      <c r="M296" s="1029"/>
      <c r="N296" s="1029"/>
      <c r="O296" s="1029"/>
      <c r="P296" s="1029"/>
      <c r="Q296" s="1029"/>
      <c r="R296" s="1029"/>
      <c r="S296" s="1029"/>
      <c r="T296" s="1029"/>
      <c r="U296" s="1029"/>
      <c r="V296" s="1029"/>
      <c r="W296" s="1029"/>
      <c r="X296" s="1029"/>
      <c r="Y296" s="1029"/>
      <c r="Z296" s="1029"/>
      <c r="AA296" s="1029"/>
      <c r="AB296" s="1029"/>
      <c r="AC296" s="1029"/>
      <c r="AD296" s="1029"/>
      <c r="AE296" s="1029"/>
      <c r="AF296" s="1029"/>
      <c r="AG296" s="1029"/>
      <c r="AH296" s="1029"/>
      <c r="AI296" s="1029"/>
      <c r="AJ296" s="1029"/>
      <c r="AK296" s="1029"/>
      <c r="AL296" s="1029"/>
      <c r="AM296" s="1029"/>
      <c r="AN296" s="1029"/>
      <c r="AO296" s="1029"/>
      <c r="AP296" s="1029"/>
      <c r="AQ296" s="1029"/>
      <c r="AR296" s="1029"/>
      <c r="AS296" s="1029"/>
      <c r="AT296" s="1029"/>
      <c r="AU296" s="1029"/>
      <c r="AV296" s="1029"/>
      <c r="AW296" s="1029"/>
      <c r="AX296" s="1029"/>
      <c r="AY296" s="1029"/>
      <c r="AZ296" s="1029"/>
      <c r="BA296" s="1029"/>
      <c r="BB296" s="1029"/>
      <c r="BC296" s="1029"/>
      <c r="BD296" s="1029"/>
      <c r="BE296" s="1029"/>
      <c r="BF296" s="1029"/>
      <c r="BG296" s="1029"/>
      <c r="BH296" s="1029"/>
      <c r="BI296" s="1331" t="s">
        <v>3552</v>
      </c>
      <c r="BJ296" s="1091" t="s">
        <v>3553</v>
      </c>
      <c r="BK296" s="1120" t="s">
        <v>3554</v>
      </c>
      <c r="BL296" s="1120" t="s">
        <v>1917</v>
      </c>
      <c r="BM296" s="1120" t="s">
        <v>3425</v>
      </c>
      <c r="BN296" s="1120" t="s">
        <v>291</v>
      </c>
      <c r="BO296" s="1121"/>
      <c r="BP296" s="1122">
        <v>1</v>
      </c>
      <c r="BQ296" s="1123"/>
      <c r="BR296" s="1123"/>
      <c r="BS296" s="1124"/>
      <c r="BT296" s="1125"/>
    </row>
    <row r="297" spans="1:72" s="1126" customFormat="1" ht="18" customHeight="1">
      <c r="A297" s="1030" t="s">
        <v>1300</v>
      </c>
      <c r="B297" s="1402" t="s">
        <v>3555</v>
      </c>
      <c r="C297" s="1403"/>
      <c r="D297" s="1403"/>
      <c r="E297" s="1109"/>
      <c r="F297" s="1026">
        <f>G297</f>
        <v>1.9</v>
      </c>
      <c r="G297" s="1026">
        <f t="shared" ref="G297:BH297" si="92">G298+G304+G306</f>
        <v>1.9</v>
      </c>
      <c r="H297" s="1026">
        <f t="shared" si="92"/>
        <v>0</v>
      </c>
      <c r="I297" s="1026">
        <f t="shared" si="92"/>
        <v>0</v>
      </c>
      <c r="J297" s="1026">
        <f t="shared" si="92"/>
        <v>0</v>
      </c>
      <c r="K297" s="1026">
        <f t="shared" si="92"/>
        <v>0</v>
      </c>
      <c r="L297" s="1026">
        <f t="shared" si="92"/>
        <v>0</v>
      </c>
      <c r="M297" s="1026">
        <f t="shared" si="92"/>
        <v>0</v>
      </c>
      <c r="N297" s="1026">
        <f t="shared" si="92"/>
        <v>0</v>
      </c>
      <c r="O297" s="1026">
        <f t="shared" si="92"/>
        <v>0</v>
      </c>
      <c r="P297" s="1026">
        <f t="shared" si="92"/>
        <v>0</v>
      </c>
      <c r="Q297" s="1026">
        <f t="shared" si="92"/>
        <v>0</v>
      </c>
      <c r="R297" s="1026">
        <f t="shared" si="92"/>
        <v>0</v>
      </c>
      <c r="S297" s="1026">
        <f t="shared" si="92"/>
        <v>0</v>
      </c>
      <c r="T297" s="1026">
        <f t="shared" si="92"/>
        <v>0</v>
      </c>
      <c r="U297" s="1026">
        <f t="shared" si="92"/>
        <v>0</v>
      </c>
      <c r="V297" s="1026">
        <f t="shared" si="92"/>
        <v>0</v>
      </c>
      <c r="W297" s="1026">
        <f t="shared" si="92"/>
        <v>0</v>
      </c>
      <c r="X297" s="1026">
        <f t="shared" si="92"/>
        <v>0</v>
      </c>
      <c r="Y297" s="1026">
        <f t="shared" si="92"/>
        <v>0</v>
      </c>
      <c r="Z297" s="1026">
        <f t="shared" si="92"/>
        <v>0</v>
      </c>
      <c r="AA297" s="1026">
        <f t="shared" si="92"/>
        <v>0</v>
      </c>
      <c r="AB297" s="1026">
        <f t="shared" si="92"/>
        <v>0</v>
      </c>
      <c r="AC297" s="1026">
        <f t="shared" si="92"/>
        <v>0</v>
      </c>
      <c r="AD297" s="1026">
        <f t="shared" si="92"/>
        <v>0</v>
      </c>
      <c r="AE297" s="1026">
        <f t="shared" si="92"/>
        <v>0</v>
      </c>
      <c r="AF297" s="1026">
        <f t="shared" si="92"/>
        <v>0</v>
      </c>
      <c r="AG297" s="1026">
        <f t="shared" si="92"/>
        <v>0</v>
      </c>
      <c r="AH297" s="1026">
        <f t="shared" si="92"/>
        <v>0</v>
      </c>
      <c r="AI297" s="1026">
        <f t="shared" si="92"/>
        <v>0</v>
      </c>
      <c r="AJ297" s="1026">
        <f t="shared" si="92"/>
        <v>0</v>
      </c>
      <c r="AK297" s="1026">
        <f t="shared" si="92"/>
        <v>0</v>
      </c>
      <c r="AL297" s="1026">
        <f t="shared" si="92"/>
        <v>0</v>
      </c>
      <c r="AM297" s="1026">
        <f t="shared" si="92"/>
        <v>0</v>
      </c>
      <c r="AN297" s="1026">
        <f t="shared" si="92"/>
        <v>0</v>
      </c>
      <c r="AO297" s="1026">
        <f t="shared" si="92"/>
        <v>0</v>
      </c>
      <c r="AP297" s="1026">
        <f t="shared" si="92"/>
        <v>0</v>
      </c>
      <c r="AQ297" s="1026">
        <f t="shared" si="92"/>
        <v>0</v>
      </c>
      <c r="AR297" s="1026">
        <f t="shared" si="92"/>
        <v>0</v>
      </c>
      <c r="AS297" s="1026">
        <f t="shared" si="92"/>
        <v>0</v>
      </c>
      <c r="AT297" s="1026">
        <f t="shared" si="92"/>
        <v>0</v>
      </c>
      <c r="AU297" s="1026">
        <f t="shared" si="92"/>
        <v>0</v>
      </c>
      <c r="AV297" s="1026">
        <f t="shared" si="92"/>
        <v>0</v>
      </c>
      <c r="AW297" s="1026">
        <f t="shared" si="92"/>
        <v>0</v>
      </c>
      <c r="AX297" s="1026">
        <f t="shared" si="92"/>
        <v>0</v>
      </c>
      <c r="AY297" s="1026">
        <f t="shared" si="92"/>
        <v>0</v>
      </c>
      <c r="AZ297" s="1026">
        <f t="shared" si="92"/>
        <v>0</v>
      </c>
      <c r="BA297" s="1026">
        <f t="shared" si="92"/>
        <v>0</v>
      </c>
      <c r="BB297" s="1026">
        <f t="shared" si="92"/>
        <v>0</v>
      </c>
      <c r="BC297" s="1026">
        <f t="shared" si="92"/>
        <v>0</v>
      </c>
      <c r="BD297" s="1026">
        <f t="shared" si="92"/>
        <v>0</v>
      </c>
      <c r="BE297" s="1026">
        <f t="shared" si="92"/>
        <v>0</v>
      </c>
      <c r="BF297" s="1026">
        <f t="shared" si="92"/>
        <v>0</v>
      </c>
      <c r="BG297" s="1027">
        <f t="shared" si="92"/>
        <v>0</v>
      </c>
      <c r="BH297" s="1027">
        <f t="shared" si="92"/>
        <v>0</v>
      </c>
      <c r="BI297" s="1403"/>
      <c r="BJ297" s="1110"/>
      <c r="BK297" s="1208"/>
      <c r="BL297" s="1208"/>
      <c r="BM297" s="1208"/>
      <c r="BN297" s="1208"/>
      <c r="BO297" s="1122"/>
      <c r="BP297" s="1122"/>
      <c r="BQ297" s="1123"/>
      <c r="BR297" s="1123"/>
      <c r="BS297" s="1210"/>
      <c r="BT297" s="1125"/>
    </row>
    <row r="298" spans="1:72" s="1126" customFormat="1" ht="18" customHeight="1">
      <c r="A298" s="1030" t="s">
        <v>78</v>
      </c>
      <c r="B298" s="1213" t="s">
        <v>66</v>
      </c>
      <c r="C298" s="1193"/>
      <c r="D298" s="1193"/>
      <c r="E298" s="1193"/>
      <c r="F298" s="1026">
        <f>G298</f>
        <v>0.76999999999999991</v>
      </c>
      <c r="G298" s="1026">
        <f>SUM(G299:G303)</f>
        <v>0.76999999999999991</v>
      </c>
      <c r="H298" s="1026">
        <f>SUM(H299:H303)</f>
        <v>0</v>
      </c>
      <c r="I298" s="1026"/>
      <c r="J298" s="1026">
        <f>SUM(J299:J303)</f>
        <v>0</v>
      </c>
      <c r="K298" s="1026">
        <f>SUM(K299:K303)</f>
        <v>0</v>
      </c>
      <c r="L298" s="1026"/>
      <c r="M298" s="1026">
        <f>SUM(M299:M303)</f>
        <v>0</v>
      </c>
      <c r="N298" s="1026">
        <f>SUM(N299:N303)</f>
        <v>0</v>
      </c>
      <c r="O298" s="1026">
        <f>SUM(O299:O303)</f>
        <v>0</v>
      </c>
      <c r="P298" s="1026"/>
      <c r="Q298" s="1026"/>
      <c r="R298" s="1026"/>
      <c r="S298" s="1026">
        <f>SUM(S299:S303)</f>
        <v>0</v>
      </c>
      <c r="T298" s="1026">
        <f>SUM(T299:T303)</f>
        <v>0</v>
      </c>
      <c r="U298" s="1026">
        <f>SUM(U299:U303)</f>
        <v>0</v>
      </c>
      <c r="V298" s="1026"/>
      <c r="W298" s="1026">
        <f>SUM(W299:W303)</f>
        <v>0</v>
      </c>
      <c r="X298" s="1026"/>
      <c r="Y298" s="1026"/>
      <c r="Z298" s="1026"/>
      <c r="AA298" s="1026">
        <f t="shared" ref="AA298:AJ298" si="93">SUM(AA299:AA303)</f>
        <v>0</v>
      </c>
      <c r="AB298" s="1026">
        <f t="shared" si="93"/>
        <v>0</v>
      </c>
      <c r="AC298" s="1026">
        <f t="shared" si="93"/>
        <v>0</v>
      </c>
      <c r="AD298" s="1026">
        <f t="shared" si="93"/>
        <v>0</v>
      </c>
      <c r="AE298" s="1026">
        <f t="shared" si="93"/>
        <v>0</v>
      </c>
      <c r="AF298" s="1026">
        <f t="shared" si="93"/>
        <v>0</v>
      </c>
      <c r="AG298" s="1026">
        <f t="shared" si="93"/>
        <v>0</v>
      </c>
      <c r="AH298" s="1026">
        <f t="shared" si="93"/>
        <v>0</v>
      </c>
      <c r="AI298" s="1026">
        <f t="shared" si="93"/>
        <v>0</v>
      </c>
      <c r="AJ298" s="1026">
        <f t="shared" si="93"/>
        <v>0</v>
      </c>
      <c r="AK298" s="1026"/>
      <c r="AL298" s="1026"/>
      <c r="AM298" s="1026"/>
      <c r="AN298" s="1026"/>
      <c r="AO298" s="1026"/>
      <c r="AP298" s="1026"/>
      <c r="AQ298" s="1026">
        <f>SUM(AQ299:AQ303)</f>
        <v>0</v>
      </c>
      <c r="AR298" s="1026"/>
      <c r="AS298" s="1026"/>
      <c r="AT298" s="1026">
        <f>SUM(AT299:AT303)</f>
        <v>0</v>
      </c>
      <c r="AU298" s="1026"/>
      <c r="AV298" s="1026"/>
      <c r="AW298" s="1026">
        <f>SUM(AW299:AW303)</f>
        <v>0</v>
      </c>
      <c r="AX298" s="1026">
        <f>SUM(AX299:AX303)</f>
        <v>0</v>
      </c>
      <c r="AY298" s="1026">
        <f>SUM(AY299:AY303)</f>
        <v>0</v>
      </c>
      <c r="AZ298" s="1026">
        <f>SUM(AZ299:AZ303)</f>
        <v>0</v>
      </c>
      <c r="BA298" s="1026"/>
      <c r="BB298" s="1026">
        <f>SUM(BB299:BB303)</f>
        <v>0</v>
      </c>
      <c r="BC298" s="1026">
        <f>SUM(BC299:BC303)</f>
        <v>0</v>
      </c>
      <c r="BD298" s="1026"/>
      <c r="BE298" s="1026"/>
      <c r="BF298" s="1026">
        <f>SUM(BF299:BF303)</f>
        <v>0</v>
      </c>
      <c r="BG298" s="1027"/>
      <c r="BH298" s="1027"/>
      <c r="BI298" s="1193"/>
      <c r="BJ298" s="1217"/>
      <c r="BK298" s="1208"/>
      <c r="BL298" s="1208"/>
      <c r="BM298" s="1208"/>
      <c r="BN298" s="1208"/>
      <c r="BO298" s="1122"/>
      <c r="BP298" s="1122"/>
      <c r="BQ298" s="1123"/>
      <c r="BR298" s="1123"/>
      <c r="BS298" s="1210"/>
      <c r="BT298" s="1125"/>
    </row>
    <row r="299" spans="1:72" s="1126" customFormat="1" ht="33" customHeight="1">
      <c r="A299" s="1028">
        <f>A296+1</f>
        <v>103</v>
      </c>
      <c r="B299" s="1215" t="s">
        <v>3556</v>
      </c>
      <c r="C299" s="1216"/>
      <c r="D299" s="1216"/>
      <c r="E299" s="1118" t="s">
        <v>28</v>
      </c>
      <c r="F299" s="1029">
        <f t="shared" ref="F299:F303" si="94">G299</f>
        <v>0.25</v>
      </c>
      <c r="G299" s="1029">
        <v>0.25</v>
      </c>
      <c r="H299" s="1029">
        <f t="shared" ref="H299:H303" si="95">SUM(J299:BF299)</f>
        <v>0</v>
      </c>
      <c r="I299" s="1029"/>
      <c r="J299" s="1029"/>
      <c r="K299" s="1029"/>
      <c r="L299" s="1029"/>
      <c r="M299" s="1029"/>
      <c r="N299" s="1029"/>
      <c r="O299" s="1029"/>
      <c r="P299" s="1029"/>
      <c r="Q299" s="1029"/>
      <c r="R299" s="1029"/>
      <c r="S299" s="1029"/>
      <c r="T299" s="1029"/>
      <c r="U299" s="1029"/>
      <c r="V299" s="1029"/>
      <c r="W299" s="1029"/>
      <c r="X299" s="1029"/>
      <c r="Y299" s="1029"/>
      <c r="Z299" s="1029"/>
      <c r="AA299" s="1029"/>
      <c r="AB299" s="1029"/>
      <c r="AC299" s="1029"/>
      <c r="AD299" s="1029"/>
      <c r="AE299" s="1029"/>
      <c r="AF299" s="1029"/>
      <c r="AG299" s="1029"/>
      <c r="AH299" s="1029"/>
      <c r="AI299" s="1029"/>
      <c r="AJ299" s="1029"/>
      <c r="AK299" s="1029"/>
      <c r="AL299" s="1029"/>
      <c r="AM299" s="1029"/>
      <c r="AN299" s="1029"/>
      <c r="AO299" s="1029"/>
      <c r="AP299" s="1029"/>
      <c r="AQ299" s="1029"/>
      <c r="AR299" s="1029"/>
      <c r="AS299" s="1029"/>
      <c r="AT299" s="1029"/>
      <c r="AU299" s="1029"/>
      <c r="AV299" s="1029"/>
      <c r="AW299" s="1029"/>
      <c r="AX299" s="1029"/>
      <c r="AY299" s="1029"/>
      <c r="AZ299" s="1029"/>
      <c r="BA299" s="1029"/>
      <c r="BB299" s="1029"/>
      <c r="BC299" s="1029"/>
      <c r="BD299" s="1029"/>
      <c r="BE299" s="1029"/>
      <c r="BF299" s="1029"/>
      <c r="BG299" s="1029"/>
      <c r="BH299" s="1029"/>
      <c r="BI299" s="1216" t="s">
        <v>3557</v>
      </c>
      <c r="BJ299" s="1120" t="s">
        <v>3558</v>
      </c>
      <c r="BK299" s="1606" t="s">
        <v>3559</v>
      </c>
      <c r="BL299" s="1120" t="s">
        <v>1923</v>
      </c>
      <c r="BM299" s="1120" t="s">
        <v>3560</v>
      </c>
      <c r="BN299" s="1120" t="s">
        <v>291</v>
      </c>
      <c r="BO299" s="1121"/>
      <c r="BP299" s="1122">
        <v>1</v>
      </c>
      <c r="BQ299" s="1123"/>
      <c r="BR299" s="1123"/>
      <c r="BS299" s="1124"/>
      <c r="BT299" s="1125"/>
    </row>
    <row r="300" spans="1:72" s="1126" customFormat="1" ht="33" customHeight="1">
      <c r="A300" s="1028">
        <f>A299+1</f>
        <v>104</v>
      </c>
      <c r="B300" s="1130" t="s">
        <v>3561</v>
      </c>
      <c r="C300" s="1032"/>
      <c r="D300" s="1032"/>
      <c r="E300" s="1118" t="s">
        <v>28</v>
      </c>
      <c r="F300" s="1029">
        <f t="shared" si="94"/>
        <v>0.12000000000000001</v>
      </c>
      <c r="G300" s="1029">
        <v>0.12000000000000001</v>
      </c>
      <c r="H300" s="1029">
        <f t="shared" si="95"/>
        <v>0</v>
      </c>
      <c r="I300" s="1029"/>
      <c r="J300" s="1029"/>
      <c r="K300" s="1029"/>
      <c r="L300" s="1029"/>
      <c r="M300" s="1029"/>
      <c r="N300" s="1029"/>
      <c r="O300" s="1029"/>
      <c r="P300" s="1029"/>
      <c r="Q300" s="1029"/>
      <c r="R300" s="1029"/>
      <c r="S300" s="1029"/>
      <c r="T300" s="1029"/>
      <c r="U300" s="1029"/>
      <c r="V300" s="1029"/>
      <c r="W300" s="1029"/>
      <c r="X300" s="1029"/>
      <c r="Y300" s="1029"/>
      <c r="Z300" s="1029"/>
      <c r="AA300" s="1029"/>
      <c r="AB300" s="1029"/>
      <c r="AC300" s="1029"/>
      <c r="AD300" s="1029"/>
      <c r="AE300" s="1029"/>
      <c r="AF300" s="1029"/>
      <c r="AG300" s="1029"/>
      <c r="AH300" s="1029"/>
      <c r="AI300" s="1029"/>
      <c r="AJ300" s="1029"/>
      <c r="AK300" s="1029"/>
      <c r="AL300" s="1029"/>
      <c r="AM300" s="1029"/>
      <c r="AN300" s="1029"/>
      <c r="AO300" s="1029"/>
      <c r="AP300" s="1029"/>
      <c r="AQ300" s="1029"/>
      <c r="AR300" s="1029"/>
      <c r="AS300" s="1029"/>
      <c r="AT300" s="1029"/>
      <c r="AU300" s="1029"/>
      <c r="AV300" s="1029"/>
      <c r="AW300" s="1029"/>
      <c r="AX300" s="1029"/>
      <c r="AY300" s="1029"/>
      <c r="AZ300" s="1029"/>
      <c r="BA300" s="1029"/>
      <c r="BB300" s="1029"/>
      <c r="BC300" s="1029"/>
      <c r="BD300" s="1029"/>
      <c r="BE300" s="1029"/>
      <c r="BF300" s="1029"/>
      <c r="BG300" s="1029"/>
      <c r="BH300" s="1029"/>
      <c r="BI300" s="1032" t="s">
        <v>3562</v>
      </c>
      <c r="BJ300" s="1120" t="s">
        <v>3563</v>
      </c>
      <c r="BK300" s="1609"/>
      <c r="BL300" s="1220" t="s">
        <v>1923</v>
      </c>
      <c r="BM300" s="1120" t="s">
        <v>3091</v>
      </c>
      <c r="BN300" s="1120" t="s">
        <v>291</v>
      </c>
      <c r="BO300" s="1121"/>
      <c r="BP300" s="1122">
        <v>1</v>
      </c>
      <c r="BQ300" s="1123"/>
      <c r="BR300" s="1123"/>
      <c r="BS300" s="1124"/>
      <c r="BT300" s="1125"/>
    </row>
    <row r="301" spans="1:72" s="1126" customFormat="1" ht="33" customHeight="1">
      <c r="A301" s="1028">
        <f>A300+1</f>
        <v>105</v>
      </c>
      <c r="B301" s="1130" t="s">
        <v>3564</v>
      </c>
      <c r="C301" s="1032"/>
      <c r="D301" s="1032"/>
      <c r="E301" s="1118" t="s">
        <v>28</v>
      </c>
      <c r="F301" s="1029">
        <f t="shared" si="94"/>
        <v>0.12</v>
      </c>
      <c r="G301" s="1029">
        <v>0.12</v>
      </c>
      <c r="H301" s="1029">
        <f t="shared" si="95"/>
        <v>0</v>
      </c>
      <c r="I301" s="1029"/>
      <c r="J301" s="1029"/>
      <c r="K301" s="1029"/>
      <c r="L301" s="1029"/>
      <c r="M301" s="1029"/>
      <c r="N301" s="1029"/>
      <c r="O301" s="1029"/>
      <c r="P301" s="1029"/>
      <c r="Q301" s="1029"/>
      <c r="R301" s="1029"/>
      <c r="S301" s="1029"/>
      <c r="T301" s="1029"/>
      <c r="U301" s="1029"/>
      <c r="V301" s="1029"/>
      <c r="W301" s="1029"/>
      <c r="X301" s="1029"/>
      <c r="Y301" s="1029"/>
      <c r="Z301" s="1029"/>
      <c r="AA301" s="1029"/>
      <c r="AB301" s="1029"/>
      <c r="AC301" s="1029"/>
      <c r="AD301" s="1029"/>
      <c r="AE301" s="1029"/>
      <c r="AF301" s="1029"/>
      <c r="AG301" s="1029"/>
      <c r="AH301" s="1029"/>
      <c r="AI301" s="1029"/>
      <c r="AJ301" s="1029"/>
      <c r="AK301" s="1029"/>
      <c r="AL301" s="1029"/>
      <c r="AM301" s="1029"/>
      <c r="AN301" s="1029"/>
      <c r="AO301" s="1029"/>
      <c r="AP301" s="1029"/>
      <c r="AQ301" s="1029"/>
      <c r="AR301" s="1029"/>
      <c r="AS301" s="1029"/>
      <c r="AT301" s="1029"/>
      <c r="AU301" s="1029"/>
      <c r="AV301" s="1029"/>
      <c r="AW301" s="1029"/>
      <c r="AX301" s="1029"/>
      <c r="AY301" s="1029"/>
      <c r="AZ301" s="1029"/>
      <c r="BA301" s="1029"/>
      <c r="BB301" s="1029"/>
      <c r="BC301" s="1029"/>
      <c r="BD301" s="1029"/>
      <c r="BE301" s="1029"/>
      <c r="BF301" s="1029"/>
      <c r="BG301" s="1029"/>
      <c r="BH301" s="1029"/>
      <c r="BI301" s="1032" t="s">
        <v>3565</v>
      </c>
      <c r="BJ301" s="1032" t="s">
        <v>3566</v>
      </c>
      <c r="BK301" s="1609"/>
      <c r="BL301" s="1120" t="s">
        <v>1917</v>
      </c>
      <c r="BM301" s="1120" t="s">
        <v>3567</v>
      </c>
      <c r="BN301" s="1120" t="s">
        <v>291</v>
      </c>
      <c r="BO301" s="1121"/>
      <c r="BP301" s="1122">
        <v>1</v>
      </c>
      <c r="BQ301" s="1123"/>
      <c r="BR301" s="1123"/>
      <c r="BS301" s="1124" t="s">
        <v>3568</v>
      </c>
      <c r="BT301" s="1125"/>
    </row>
    <row r="302" spans="1:72" s="1126" customFormat="1" ht="37.5" customHeight="1">
      <c r="A302" s="1028">
        <f>A301+1</f>
        <v>106</v>
      </c>
      <c r="B302" s="1130" t="s">
        <v>3569</v>
      </c>
      <c r="C302" s="1032"/>
      <c r="D302" s="1032"/>
      <c r="E302" s="1120" t="s">
        <v>28</v>
      </c>
      <c r="F302" s="1029">
        <f t="shared" si="94"/>
        <v>0.19</v>
      </c>
      <c r="G302" s="1031">
        <v>0.19</v>
      </c>
      <c r="H302" s="1029">
        <f t="shared" si="95"/>
        <v>0</v>
      </c>
      <c r="I302" s="1029"/>
      <c r="J302" s="1029"/>
      <c r="K302" s="1029"/>
      <c r="L302" s="1029"/>
      <c r="M302" s="1029"/>
      <c r="N302" s="1031"/>
      <c r="O302" s="1029"/>
      <c r="P302" s="1029"/>
      <c r="Q302" s="1029"/>
      <c r="R302" s="1029"/>
      <c r="S302" s="1029"/>
      <c r="T302" s="1029"/>
      <c r="U302" s="1029"/>
      <c r="V302" s="1029"/>
      <c r="W302" s="1029"/>
      <c r="X302" s="1029"/>
      <c r="Y302" s="1029"/>
      <c r="Z302" s="1029"/>
      <c r="AA302" s="1029"/>
      <c r="AB302" s="1029"/>
      <c r="AC302" s="1029"/>
      <c r="AD302" s="1029"/>
      <c r="AE302" s="1029"/>
      <c r="AF302" s="1029"/>
      <c r="AG302" s="1029"/>
      <c r="AH302" s="1029"/>
      <c r="AI302" s="1029"/>
      <c r="AJ302" s="1029"/>
      <c r="AK302" s="1029"/>
      <c r="AL302" s="1029"/>
      <c r="AM302" s="1029"/>
      <c r="AN302" s="1029"/>
      <c r="AO302" s="1029"/>
      <c r="AP302" s="1029"/>
      <c r="AQ302" s="1029"/>
      <c r="AR302" s="1029"/>
      <c r="AS302" s="1029"/>
      <c r="AT302" s="1029"/>
      <c r="AU302" s="1029"/>
      <c r="AV302" s="1029"/>
      <c r="AW302" s="1029"/>
      <c r="AX302" s="1029"/>
      <c r="AY302" s="1029"/>
      <c r="AZ302" s="1029"/>
      <c r="BA302" s="1029"/>
      <c r="BB302" s="1029"/>
      <c r="BC302" s="1029"/>
      <c r="BD302" s="1029"/>
      <c r="BE302" s="1029"/>
      <c r="BF302" s="1029"/>
      <c r="BG302" s="1029"/>
      <c r="BH302" s="1029"/>
      <c r="BI302" s="1032" t="s">
        <v>3570</v>
      </c>
      <c r="BJ302" s="1120" t="s">
        <v>3571</v>
      </c>
      <c r="BK302" s="1609"/>
      <c r="BL302" s="1120" t="s">
        <v>1923</v>
      </c>
      <c r="BM302" s="1120" t="s">
        <v>3091</v>
      </c>
      <c r="BN302" s="1120" t="s">
        <v>291</v>
      </c>
      <c r="BO302" s="1121"/>
      <c r="BP302" s="1122">
        <v>1</v>
      </c>
      <c r="BQ302" s="1123"/>
      <c r="BR302" s="1123"/>
      <c r="BS302" s="1124"/>
      <c r="BT302" s="1125"/>
    </row>
    <row r="303" spans="1:72" s="1126" customFormat="1" ht="30.6" customHeight="1">
      <c r="A303" s="1028">
        <f>A302+1</f>
        <v>107</v>
      </c>
      <c r="B303" s="1130" t="s">
        <v>3572</v>
      </c>
      <c r="C303" s="1032"/>
      <c r="D303" s="1032"/>
      <c r="E303" s="1120" t="s">
        <v>28</v>
      </c>
      <c r="F303" s="1029">
        <f t="shared" si="94"/>
        <v>0.09</v>
      </c>
      <c r="G303" s="1031">
        <v>0.09</v>
      </c>
      <c r="H303" s="1029">
        <f t="shared" si="95"/>
        <v>0</v>
      </c>
      <c r="I303" s="1029"/>
      <c r="J303" s="1029"/>
      <c r="K303" s="1029"/>
      <c r="L303" s="1029"/>
      <c r="M303" s="1029"/>
      <c r="N303" s="1031"/>
      <c r="O303" s="1029"/>
      <c r="P303" s="1029"/>
      <c r="Q303" s="1029"/>
      <c r="R303" s="1029"/>
      <c r="S303" s="1029"/>
      <c r="T303" s="1029"/>
      <c r="U303" s="1029"/>
      <c r="V303" s="1029"/>
      <c r="W303" s="1029"/>
      <c r="X303" s="1029"/>
      <c r="Y303" s="1029"/>
      <c r="Z303" s="1029"/>
      <c r="AA303" s="1029"/>
      <c r="AB303" s="1029"/>
      <c r="AC303" s="1029"/>
      <c r="AD303" s="1029"/>
      <c r="AE303" s="1029"/>
      <c r="AF303" s="1029"/>
      <c r="AG303" s="1029"/>
      <c r="AH303" s="1029"/>
      <c r="AI303" s="1029"/>
      <c r="AJ303" s="1029"/>
      <c r="AK303" s="1029"/>
      <c r="AL303" s="1029"/>
      <c r="AM303" s="1029"/>
      <c r="AN303" s="1029"/>
      <c r="AO303" s="1029"/>
      <c r="AP303" s="1029"/>
      <c r="AQ303" s="1029"/>
      <c r="AR303" s="1029"/>
      <c r="AS303" s="1029"/>
      <c r="AT303" s="1029"/>
      <c r="AU303" s="1029"/>
      <c r="AV303" s="1029"/>
      <c r="AW303" s="1029"/>
      <c r="AX303" s="1029"/>
      <c r="AY303" s="1029"/>
      <c r="AZ303" s="1029"/>
      <c r="BA303" s="1029"/>
      <c r="BB303" s="1029"/>
      <c r="BC303" s="1029"/>
      <c r="BD303" s="1029"/>
      <c r="BE303" s="1029"/>
      <c r="BF303" s="1029"/>
      <c r="BG303" s="1029"/>
      <c r="BH303" s="1029"/>
      <c r="BI303" s="1032" t="s">
        <v>3443</v>
      </c>
      <c r="BJ303" s="1404" t="s">
        <v>3573</v>
      </c>
      <c r="BK303" s="1607"/>
      <c r="BL303" s="1120" t="s">
        <v>1923</v>
      </c>
      <c r="BM303" s="1120" t="s">
        <v>3091</v>
      </c>
      <c r="BN303" s="1120" t="s">
        <v>291</v>
      </c>
      <c r="BO303" s="1121"/>
      <c r="BP303" s="1122">
        <v>1</v>
      </c>
      <c r="BQ303" s="1123"/>
      <c r="BR303" s="1123"/>
      <c r="BS303" s="1124"/>
      <c r="BT303" s="1125" t="s">
        <v>3574</v>
      </c>
    </row>
    <row r="304" spans="1:72" s="1126" customFormat="1" ht="21.6" customHeight="1">
      <c r="A304" s="1023" t="s">
        <v>79</v>
      </c>
      <c r="B304" s="1207" t="s">
        <v>131</v>
      </c>
      <c r="C304" s="1127"/>
      <c r="D304" s="1127"/>
      <c r="E304" s="1118"/>
      <c r="F304" s="1026">
        <f>G304+H304</f>
        <v>0.3</v>
      </c>
      <c r="G304" s="1026">
        <f>G305</f>
        <v>0.3</v>
      </c>
      <c r="H304" s="1026">
        <f>SUM(H305:H305)</f>
        <v>0</v>
      </c>
      <c r="I304" s="1026"/>
      <c r="J304" s="1026">
        <f>SUM(J305:J305)</f>
        <v>0</v>
      </c>
      <c r="K304" s="1026">
        <f t="shared" ref="K304:BF304" si="96">SUM(K305:K305)</f>
        <v>0</v>
      </c>
      <c r="L304" s="1026"/>
      <c r="M304" s="1026">
        <f t="shared" si="96"/>
        <v>0</v>
      </c>
      <c r="N304" s="1026">
        <f t="shared" si="96"/>
        <v>0</v>
      </c>
      <c r="O304" s="1026">
        <f t="shared" si="96"/>
        <v>0</v>
      </c>
      <c r="P304" s="1026"/>
      <c r="Q304" s="1026"/>
      <c r="R304" s="1026"/>
      <c r="S304" s="1026">
        <f t="shared" si="96"/>
        <v>0</v>
      </c>
      <c r="T304" s="1026">
        <f t="shared" si="96"/>
        <v>0</v>
      </c>
      <c r="U304" s="1026">
        <f t="shared" si="96"/>
        <v>0</v>
      </c>
      <c r="V304" s="1026"/>
      <c r="W304" s="1026">
        <f t="shared" si="96"/>
        <v>0</v>
      </c>
      <c r="X304" s="1026"/>
      <c r="Y304" s="1026"/>
      <c r="Z304" s="1026"/>
      <c r="AA304" s="1026">
        <f t="shared" si="96"/>
        <v>0</v>
      </c>
      <c r="AB304" s="1026">
        <f t="shared" si="96"/>
        <v>0</v>
      </c>
      <c r="AC304" s="1026">
        <f t="shared" si="96"/>
        <v>0</v>
      </c>
      <c r="AD304" s="1026">
        <f t="shared" si="96"/>
        <v>0</v>
      </c>
      <c r="AE304" s="1026">
        <f t="shared" si="96"/>
        <v>0</v>
      </c>
      <c r="AF304" s="1026">
        <f t="shared" si="96"/>
        <v>0</v>
      </c>
      <c r="AG304" s="1026">
        <f t="shared" si="96"/>
        <v>0</v>
      </c>
      <c r="AH304" s="1026">
        <f t="shared" si="96"/>
        <v>0</v>
      </c>
      <c r="AI304" s="1026">
        <f t="shared" si="96"/>
        <v>0</v>
      </c>
      <c r="AJ304" s="1026">
        <f t="shared" si="96"/>
        <v>0</v>
      </c>
      <c r="AK304" s="1026"/>
      <c r="AL304" s="1026"/>
      <c r="AM304" s="1026"/>
      <c r="AN304" s="1026"/>
      <c r="AO304" s="1026"/>
      <c r="AP304" s="1026"/>
      <c r="AQ304" s="1026">
        <f t="shared" si="96"/>
        <v>0</v>
      </c>
      <c r="AR304" s="1026"/>
      <c r="AS304" s="1026"/>
      <c r="AT304" s="1026">
        <f t="shared" si="96"/>
        <v>0</v>
      </c>
      <c r="AU304" s="1026"/>
      <c r="AV304" s="1026"/>
      <c r="AW304" s="1026">
        <f t="shared" si="96"/>
        <v>0</v>
      </c>
      <c r="AX304" s="1026">
        <f t="shared" si="96"/>
        <v>0</v>
      </c>
      <c r="AY304" s="1026">
        <f t="shared" si="96"/>
        <v>0</v>
      </c>
      <c r="AZ304" s="1026">
        <f t="shared" si="96"/>
        <v>0</v>
      </c>
      <c r="BA304" s="1026"/>
      <c r="BB304" s="1026">
        <f t="shared" si="96"/>
        <v>0</v>
      </c>
      <c r="BC304" s="1026">
        <f t="shared" si="96"/>
        <v>0</v>
      </c>
      <c r="BD304" s="1026"/>
      <c r="BE304" s="1026"/>
      <c r="BF304" s="1026">
        <f t="shared" si="96"/>
        <v>0</v>
      </c>
      <c r="BG304" s="1027"/>
      <c r="BH304" s="1027"/>
      <c r="BI304" s="1127"/>
      <c r="BJ304" s="1120"/>
      <c r="BK304" s="1120"/>
      <c r="BL304" s="1120"/>
      <c r="BM304" s="1120"/>
      <c r="BN304" s="1120"/>
      <c r="BO304" s="1121"/>
      <c r="BP304" s="1122"/>
      <c r="BQ304" s="1123"/>
      <c r="BR304" s="1123"/>
      <c r="BS304" s="1124"/>
      <c r="BT304" s="1125"/>
    </row>
    <row r="305" spans="1:72" s="1126" customFormat="1" ht="38.25">
      <c r="A305" s="1028">
        <f>A303+1</f>
        <v>108</v>
      </c>
      <c r="B305" s="1111" t="s">
        <v>3575</v>
      </c>
      <c r="C305" s="1127"/>
      <c r="D305" s="1127"/>
      <c r="E305" s="1118" t="s">
        <v>51</v>
      </c>
      <c r="F305" s="1031">
        <f>G305</f>
        <v>0.3</v>
      </c>
      <c r="G305" s="1031">
        <v>0.3</v>
      </c>
      <c r="H305" s="1029">
        <f>SUM(J305:BF305)</f>
        <v>0</v>
      </c>
      <c r="I305" s="1029"/>
      <c r="J305" s="1031"/>
      <c r="K305" s="1031"/>
      <c r="L305" s="1031"/>
      <c r="M305" s="1031"/>
      <c r="N305" s="1031"/>
      <c r="O305" s="1031"/>
      <c r="P305" s="1031"/>
      <c r="Q305" s="1031"/>
      <c r="R305" s="1031"/>
      <c r="S305" s="1031"/>
      <c r="T305" s="1031"/>
      <c r="U305" s="1031"/>
      <c r="V305" s="1031"/>
      <c r="W305" s="1031"/>
      <c r="X305" s="1031"/>
      <c r="Y305" s="1031"/>
      <c r="Z305" s="1031"/>
      <c r="AA305" s="1031"/>
      <c r="AB305" s="1031"/>
      <c r="AC305" s="1031"/>
      <c r="AD305" s="1031"/>
      <c r="AE305" s="1031"/>
      <c r="AF305" s="1031"/>
      <c r="AG305" s="1031"/>
      <c r="AH305" s="1031"/>
      <c r="AI305" s="1031"/>
      <c r="AJ305" s="1031"/>
      <c r="AK305" s="1031"/>
      <c r="AL305" s="1031"/>
      <c r="AM305" s="1031"/>
      <c r="AN305" s="1031"/>
      <c r="AO305" s="1031"/>
      <c r="AP305" s="1031"/>
      <c r="AQ305" s="1031"/>
      <c r="AR305" s="1031"/>
      <c r="AS305" s="1031"/>
      <c r="AT305" s="1031"/>
      <c r="AU305" s="1031"/>
      <c r="AV305" s="1031"/>
      <c r="AW305" s="1031"/>
      <c r="AX305" s="1031"/>
      <c r="AY305" s="1031"/>
      <c r="AZ305" s="1031"/>
      <c r="BA305" s="1031"/>
      <c r="BB305" s="1031"/>
      <c r="BC305" s="1031"/>
      <c r="BD305" s="1031"/>
      <c r="BE305" s="1031"/>
      <c r="BF305" s="1031"/>
      <c r="BG305" s="1031"/>
      <c r="BH305" s="1031"/>
      <c r="BI305" s="1127" t="s">
        <v>3576</v>
      </c>
      <c r="BJ305" s="1120" t="s">
        <v>3577</v>
      </c>
      <c r="BK305" s="1120" t="s">
        <v>3304</v>
      </c>
      <c r="BL305" s="1120" t="s">
        <v>1917</v>
      </c>
      <c r="BM305" s="1120" t="s">
        <v>3578</v>
      </c>
      <c r="BN305" s="1120" t="s">
        <v>291</v>
      </c>
      <c r="BO305" s="1121"/>
      <c r="BP305" s="1122">
        <v>1</v>
      </c>
      <c r="BQ305" s="1123"/>
      <c r="BR305" s="1123"/>
      <c r="BS305" s="1124"/>
      <c r="BT305" s="1125"/>
    </row>
    <row r="306" spans="1:72" s="1126" customFormat="1" ht="19.5" customHeight="1">
      <c r="A306" s="1023" t="s">
        <v>362</v>
      </c>
      <c r="B306" s="1207" t="s">
        <v>220</v>
      </c>
      <c r="C306" s="1024"/>
      <c r="D306" s="1024"/>
      <c r="E306" s="1024"/>
      <c r="F306" s="1026">
        <f t="shared" ref="F306:AJ306" si="97">SUM(F307:F309)</f>
        <v>0.83000000000000007</v>
      </c>
      <c r="G306" s="1026">
        <f>SUM(G307:G309)</f>
        <v>0.83000000000000007</v>
      </c>
      <c r="H306" s="1026">
        <f t="shared" si="97"/>
        <v>0</v>
      </c>
      <c r="I306" s="1026"/>
      <c r="J306" s="1026">
        <f t="shared" si="97"/>
        <v>0</v>
      </c>
      <c r="K306" s="1026">
        <f t="shared" si="97"/>
        <v>0</v>
      </c>
      <c r="L306" s="1026"/>
      <c r="M306" s="1026">
        <f t="shared" si="97"/>
        <v>0</v>
      </c>
      <c r="N306" s="1026">
        <f t="shared" si="97"/>
        <v>0</v>
      </c>
      <c r="O306" s="1026">
        <f t="shared" si="97"/>
        <v>0</v>
      </c>
      <c r="P306" s="1026"/>
      <c r="Q306" s="1026"/>
      <c r="R306" s="1026"/>
      <c r="S306" s="1026">
        <f t="shared" si="97"/>
        <v>0</v>
      </c>
      <c r="T306" s="1026">
        <f t="shared" si="97"/>
        <v>0</v>
      </c>
      <c r="U306" s="1026">
        <f t="shared" si="97"/>
        <v>0</v>
      </c>
      <c r="V306" s="1026"/>
      <c r="W306" s="1026">
        <f t="shared" si="97"/>
        <v>0</v>
      </c>
      <c r="X306" s="1026"/>
      <c r="Y306" s="1026"/>
      <c r="Z306" s="1026"/>
      <c r="AA306" s="1026">
        <f t="shared" si="97"/>
        <v>0</v>
      </c>
      <c r="AB306" s="1026">
        <f t="shared" si="97"/>
        <v>0</v>
      </c>
      <c r="AC306" s="1026">
        <f t="shared" si="97"/>
        <v>0</v>
      </c>
      <c r="AD306" s="1026">
        <f t="shared" si="97"/>
        <v>0</v>
      </c>
      <c r="AE306" s="1026">
        <f t="shared" si="97"/>
        <v>0</v>
      </c>
      <c r="AF306" s="1026">
        <f t="shared" si="97"/>
        <v>0</v>
      </c>
      <c r="AG306" s="1026">
        <f t="shared" si="97"/>
        <v>0</v>
      </c>
      <c r="AH306" s="1026">
        <f t="shared" si="97"/>
        <v>0</v>
      </c>
      <c r="AI306" s="1026">
        <f t="shared" si="97"/>
        <v>0</v>
      </c>
      <c r="AJ306" s="1026">
        <f t="shared" si="97"/>
        <v>0</v>
      </c>
      <c r="AK306" s="1026"/>
      <c r="AL306" s="1026"/>
      <c r="AM306" s="1026"/>
      <c r="AN306" s="1026"/>
      <c r="AO306" s="1026"/>
      <c r="AP306" s="1026"/>
      <c r="AQ306" s="1026">
        <f t="shared" ref="AQ306:BF306" si="98">SUM(AQ307:AQ309)</f>
        <v>0</v>
      </c>
      <c r="AR306" s="1026"/>
      <c r="AS306" s="1026"/>
      <c r="AT306" s="1026">
        <f t="shared" si="98"/>
        <v>0</v>
      </c>
      <c r="AU306" s="1026"/>
      <c r="AV306" s="1026"/>
      <c r="AW306" s="1026">
        <f t="shared" si="98"/>
        <v>0</v>
      </c>
      <c r="AX306" s="1026">
        <f t="shared" si="98"/>
        <v>0</v>
      </c>
      <c r="AY306" s="1026">
        <f t="shared" si="98"/>
        <v>0</v>
      </c>
      <c r="AZ306" s="1026">
        <f t="shared" si="98"/>
        <v>0</v>
      </c>
      <c r="BA306" s="1026"/>
      <c r="BB306" s="1026">
        <f t="shared" si="98"/>
        <v>0</v>
      </c>
      <c r="BC306" s="1026">
        <f t="shared" si="98"/>
        <v>0</v>
      </c>
      <c r="BD306" s="1026"/>
      <c r="BE306" s="1026"/>
      <c r="BF306" s="1026">
        <f t="shared" si="98"/>
        <v>0</v>
      </c>
      <c r="BG306" s="1027"/>
      <c r="BH306" s="1027"/>
      <c r="BI306" s="1024"/>
      <c r="BJ306" s="1208"/>
      <c r="BK306" s="1209"/>
      <c r="BL306" s="1209"/>
      <c r="BM306" s="1208"/>
      <c r="BN306" s="1208"/>
      <c r="BO306" s="1122"/>
      <c r="BP306" s="1122"/>
      <c r="BQ306" s="1123"/>
      <c r="BR306" s="1123"/>
      <c r="BS306" s="1210"/>
      <c r="BT306" s="1125"/>
    </row>
    <row r="307" spans="1:72" s="1126" customFormat="1" ht="25.5">
      <c r="A307" s="1028">
        <f>A305+1</f>
        <v>109</v>
      </c>
      <c r="B307" s="1215" t="s">
        <v>3579</v>
      </c>
      <c r="C307" s="1032"/>
      <c r="D307" s="1032"/>
      <c r="E307" s="1083" t="s">
        <v>50</v>
      </c>
      <c r="F307" s="1029">
        <f>G307+H307</f>
        <v>0.26</v>
      </c>
      <c r="G307" s="1029">
        <v>0.26</v>
      </c>
      <c r="H307" s="1029">
        <f>SUM(J307:BF307)</f>
        <v>0</v>
      </c>
      <c r="I307" s="1029"/>
      <c r="J307" s="1029"/>
      <c r="K307" s="1029"/>
      <c r="L307" s="1029"/>
      <c r="M307" s="1029"/>
      <c r="N307" s="1029"/>
      <c r="O307" s="1029"/>
      <c r="P307" s="1029"/>
      <c r="Q307" s="1029"/>
      <c r="R307" s="1029"/>
      <c r="S307" s="1029"/>
      <c r="T307" s="1029"/>
      <c r="U307" s="1029"/>
      <c r="V307" s="1029"/>
      <c r="W307" s="1029"/>
      <c r="X307" s="1029"/>
      <c r="Y307" s="1029"/>
      <c r="Z307" s="1029"/>
      <c r="AA307" s="1029"/>
      <c r="AB307" s="1029"/>
      <c r="AC307" s="1029"/>
      <c r="AD307" s="1029"/>
      <c r="AE307" s="1029"/>
      <c r="AF307" s="1029"/>
      <c r="AG307" s="1029"/>
      <c r="AH307" s="1029"/>
      <c r="AI307" s="1029"/>
      <c r="AJ307" s="1029"/>
      <c r="AK307" s="1029"/>
      <c r="AL307" s="1029"/>
      <c r="AM307" s="1029"/>
      <c r="AN307" s="1029"/>
      <c r="AO307" s="1029"/>
      <c r="AP307" s="1029"/>
      <c r="AQ307" s="1029"/>
      <c r="AR307" s="1029"/>
      <c r="AS307" s="1029"/>
      <c r="AT307" s="1029"/>
      <c r="AU307" s="1029"/>
      <c r="AV307" s="1029"/>
      <c r="AW307" s="1029"/>
      <c r="AX307" s="1029"/>
      <c r="AY307" s="1029"/>
      <c r="AZ307" s="1029"/>
      <c r="BA307" s="1029"/>
      <c r="BB307" s="1029"/>
      <c r="BC307" s="1029"/>
      <c r="BD307" s="1029"/>
      <c r="BE307" s="1029"/>
      <c r="BF307" s="1029"/>
      <c r="BG307" s="1029"/>
      <c r="BH307" s="1029"/>
      <c r="BI307" s="1032" t="s">
        <v>3580</v>
      </c>
      <c r="BJ307" s="1120" t="s">
        <v>3581</v>
      </c>
      <c r="BK307" s="1120" t="s">
        <v>3582</v>
      </c>
      <c r="BL307" s="1120" t="s">
        <v>1923</v>
      </c>
      <c r="BM307" s="1120" t="s">
        <v>3091</v>
      </c>
      <c r="BN307" s="1120" t="s">
        <v>291</v>
      </c>
      <c r="BO307" s="1121"/>
      <c r="BP307" s="1122">
        <v>1</v>
      </c>
      <c r="BQ307" s="1123"/>
      <c r="BR307" s="1123"/>
      <c r="BS307" s="1124"/>
      <c r="BT307" s="1125"/>
    </row>
    <row r="308" spans="1:72" s="1126" customFormat="1" ht="99.75" customHeight="1">
      <c r="A308" s="1028">
        <f>A307+1</f>
        <v>110</v>
      </c>
      <c r="B308" s="1304" t="s">
        <v>3583</v>
      </c>
      <c r="C308" s="1032"/>
      <c r="D308" s="1032"/>
      <c r="E308" s="1083" t="s">
        <v>50</v>
      </c>
      <c r="F308" s="1029">
        <f t="shared" ref="F308:F309" si="99">G308+H308</f>
        <v>0.3</v>
      </c>
      <c r="G308" s="1029">
        <v>0.3</v>
      </c>
      <c r="H308" s="1029">
        <f>SUM(J308:BF308)</f>
        <v>0</v>
      </c>
      <c r="I308" s="1029"/>
      <c r="J308" s="1029"/>
      <c r="K308" s="1029"/>
      <c r="L308" s="1029"/>
      <c r="M308" s="1029"/>
      <c r="N308" s="1029"/>
      <c r="O308" s="1029"/>
      <c r="P308" s="1029"/>
      <c r="Q308" s="1029"/>
      <c r="R308" s="1029"/>
      <c r="S308" s="1029"/>
      <c r="T308" s="1029"/>
      <c r="U308" s="1322"/>
      <c r="V308" s="1322"/>
      <c r="W308" s="1029"/>
      <c r="X308" s="1029"/>
      <c r="Y308" s="1029"/>
      <c r="Z308" s="1029"/>
      <c r="AA308" s="1029"/>
      <c r="AB308" s="1029"/>
      <c r="AC308" s="1029"/>
      <c r="AD308" s="1029"/>
      <c r="AE308" s="1029"/>
      <c r="AF308" s="1029"/>
      <c r="AG308" s="1029"/>
      <c r="AH308" s="1029"/>
      <c r="AI308" s="1029"/>
      <c r="AJ308" s="1029"/>
      <c r="AK308" s="1029"/>
      <c r="AL308" s="1029"/>
      <c r="AM308" s="1029"/>
      <c r="AN308" s="1029"/>
      <c r="AO308" s="1029"/>
      <c r="AP308" s="1029"/>
      <c r="AQ308" s="1029"/>
      <c r="AR308" s="1029"/>
      <c r="AS308" s="1029"/>
      <c r="AT308" s="1029"/>
      <c r="AU308" s="1029"/>
      <c r="AV308" s="1029"/>
      <c r="AW308" s="1029"/>
      <c r="AX308" s="1322"/>
      <c r="AY308" s="1029"/>
      <c r="AZ308" s="1029"/>
      <c r="BA308" s="1029"/>
      <c r="BB308" s="1029"/>
      <c r="BC308" s="1029"/>
      <c r="BD308" s="1029"/>
      <c r="BE308" s="1029"/>
      <c r="BF308" s="1029"/>
      <c r="BG308" s="1029"/>
      <c r="BH308" s="1029"/>
      <c r="BI308" s="1032" t="s">
        <v>3014</v>
      </c>
      <c r="BJ308" s="1404" t="s">
        <v>3584</v>
      </c>
      <c r="BK308" s="1120" t="s">
        <v>3238</v>
      </c>
      <c r="BL308" s="1220" t="s">
        <v>1923</v>
      </c>
      <c r="BM308" s="1120" t="s">
        <v>3091</v>
      </c>
      <c r="BN308" s="1120" t="s">
        <v>291</v>
      </c>
      <c r="BO308" s="1121"/>
      <c r="BP308" s="1122">
        <v>1</v>
      </c>
      <c r="BQ308" s="1123"/>
      <c r="BR308" s="1123"/>
      <c r="BS308" s="1124"/>
      <c r="BT308" s="1125"/>
    </row>
    <row r="309" spans="1:72" s="1126" customFormat="1" ht="89.25" customHeight="1">
      <c r="A309" s="1028">
        <f>A308+1</f>
        <v>111</v>
      </c>
      <c r="B309" s="1130" t="s">
        <v>3585</v>
      </c>
      <c r="C309" s="1120"/>
      <c r="D309" s="1120"/>
      <c r="E309" s="1118" t="s">
        <v>50</v>
      </c>
      <c r="F309" s="1029">
        <f t="shared" si="99"/>
        <v>0.27</v>
      </c>
      <c r="G309" s="1031">
        <v>0.27</v>
      </c>
      <c r="H309" s="1029">
        <f>SUM(J309:BF309)</f>
        <v>0</v>
      </c>
      <c r="I309" s="1029"/>
      <c r="J309" s="1031"/>
      <c r="K309" s="1031"/>
      <c r="L309" s="1031"/>
      <c r="M309" s="1031"/>
      <c r="N309" s="1031"/>
      <c r="O309" s="1031"/>
      <c r="P309" s="1031"/>
      <c r="Q309" s="1031"/>
      <c r="R309" s="1031"/>
      <c r="S309" s="1031"/>
      <c r="T309" s="1031"/>
      <c r="U309" s="1031"/>
      <c r="V309" s="1031"/>
      <c r="W309" s="1031"/>
      <c r="X309" s="1031"/>
      <c r="Y309" s="1031"/>
      <c r="Z309" s="1031"/>
      <c r="AA309" s="1031"/>
      <c r="AB309" s="1031"/>
      <c r="AC309" s="1031"/>
      <c r="AD309" s="1031"/>
      <c r="AE309" s="1031"/>
      <c r="AF309" s="1031"/>
      <c r="AG309" s="1031"/>
      <c r="AH309" s="1031"/>
      <c r="AI309" s="1031"/>
      <c r="AJ309" s="1031"/>
      <c r="AK309" s="1031"/>
      <c r="AL309" s="1031"/>
      <c r="AM309" s="1031"/>
      <c r="AN309" s="1031"/>
      <c r="AO309" s="1031"/>
      <c r="AP309" s="1031"/>
      <c r="AQ309" s="1031"/>
      <c r="AR309" s="1031"/>
      <c r="AS309" s="1031"/>
      <c r="AT309" s="1031"/>
      <c r="AU309" s="1031"/>
      <c r="AV309" s="1031"/>
      <c r="AW309" s="1031"/>
      <c r="AX309" s="1031"/>
      <c r="AY309" s="1031"/>
      <c r="AZ309" s="1031"/>
      <c r="BA309" s="1031"/>
      <c r="BB309" s="1031"/>
      <c r="BC309" s="1031"/>
      <c r="BD309" s="1031"/>
      <c r="BE309" s="1031"/>
      <c r="BF309" s="1031"/>
      <c r="BG309" s="1031"/>
      <c r="BH309" s="1031"/>
      <c r="BI309" s="1120" t="s">
        <v>3586</v>
      </c>
      <c r="BJ309" s="1120" t="s">
        <v>3587</v>
      </c>
      <c r="BK309" s="1120" t="s">
        <v>3203</v>
      </c>
      <c r="BL309" s="1120" t="s">
        <v>1923</v>
      </c>
      <c r="BM309" s="1120" t="s">
        <v>3091</v>
      </c>
      <c r="BN309" s="1120" t="s">
        <v>291</v>
      </c>
      <c r="BO309" s="1121"/>
      <c r="BP309" s="1122">
        <v>1</v>
      </c>
      <c r="BQ309" s="1246" t="s">
        <v>3185</v>
      </c>
      <c r="BR309" s="1232" t="s">
        <v>3588</v>
      </c>
      <c r="BS309" s="1124"/>
      <c r="BT309" s="1120" t="s">
        <v>3589</v>
      </c>
    </row>
    <row r="310" spans="1:72" s="1126" customFormat="1">
      <c r="A310" s="1030" t="s">
        <v>1326</v>
      </c>
      <c r="B310" s="1402" t="s">
        <v>3590</v>
      </c>
      <c r="C310" s="1403"/>
      <c r="D310" s="1403"/>
      <c r="E310" s="1109"/>
      <c r="F310" s="1026">
        <f>F313+F315+F410+F425+F448+F456+F460+F471+F311</f>
        <v>423.53000000000003</v>
      </c>
      <c r="G310" s="1026">
        <f>G313+G315+G410+G425+G448+G456+G460+G471+G311</f>
        <v>426.28</v>
      </c>
      <c r="H310" s="1026">
        <f>H313+H315+H410+H425+H448+H456+H460+H471</f>
        <v>0</v>
      </c>
      <c r="I310" s="1026"/>
      <c r="J310" s="1026">
        <f>J313+J315+J410+J425+J448+J456+J460+J471</f>
        <v>0</v>
      </c>
      <c r="K310" s="1026">
        <f>K313+K315+K410+K425+K448+K456+K460+K471</f>
        <v>0</v>
      </c>
      <c r="L310" s="1026"/>
      <c r="M310" s="1026">
        <f>M313+M315+M410+M425+M448+M456+M460+M471</f>
        <v>0</v>
      </c>
      <c r="N310" s="1026">
        <f>N313+N315+N410+N425+N448+N456+N460+N471</f>
        <v>0</v>
      </c>
      <c r="O310" s="1026">
        <f>O313+O315+O410+O425+O448+O456+O460+O471</f>
        <v>0</v>
      </c>
      <c r="P310" s="1026"/>
      <c r="Q310" s="1026"/>
      <c r="R310" s="1026"/>
      <c r="S310" s="1026">
        <f>S313+S315+S410+S425+S448+S456+S460+S471</f>
        <v>0</v>
      </c>
      <c r="T310" s="1026">
        <f>T313+T315+T410+T425+T448+T456+T460+T471</f>
        <v>0</v>
      </c>
      <c r="U310" s="1026">
        <f>U313+U315+U410+U425+U448+U456+U460+U471</f>
        <v>0</v>
      </c>
      <c r="V310" s="1026"/>
      <c r="W310" s="1026">
        <f>W313+W315+W410+W425+W448+W456+W460+W471</f>
        <v>0</v>
      </c>
      <c r="X310" s="1026"/>
      <c r="Y310" s="1026"/>
      <c r="Z310" s="1026"/>
      <c r="AA310" s="1026">
        <f t="shared" ref="AA310:AK310" si="100">AA313+AA315+AA410+AA425+AA448+AA456+AA460+AA471</f>
        <v>0</v>
      </c>
      <c r="AB310" s="1026">
        <f t="shared" si="100"/>
        <v>0</v>
      </c>
      <c r="AC310" s="1026">
        <f t="shared" si="100"/>
        <v>0</v>
      </c>
      <c r="AD310" s="1026">
        <f t="shared" si="100"/>
        <v>0</v>
      </c>
      <c r="AE310" s="1026">
        <f t="shared" si="100"/>
        <v>0</v>
      </c>
      <c r="AF310" s="1026">
        <f t="shared" si="100"/>
        <v>0</v>
      </c>
      <c r="AG310" s="1026">
        <f t="shared" si="100"/>
        <v>0</v>
      </c>
      <c r="AH310" s="1026">
        <f t="shared" si="100"/>
        <v>0</v>
      </c>
      <c r="AI310" s="1026">
        <f t="shared" si="100"/>
        <v>0</v>
      </c>
      <c r="AJ310" s="1026">
        <f t="shared" si="100"/>
        <v>0</v>
      </c>
      <c r="AK310" s="1026">
        <f t="shared" si="100"/>
        <v>0</v>
      </c>
      <c r="AL310" s="1026"/>
      <c r="AM310" s="1026"/>
      <c r="AN310" s="1026"/>
      <c r="AO310" s="1026"/>
      <c r="AP310" s="1026"/>
      <c r="AQ310" s="1026">
        <f>AQ313+AQ315+AQ410+AQ425+AQ448+AQ456+AQ460+AQ471</f>
        <v>0</v>
      </c>
      <c r="AR310" s="1026"/>
      <c r="AS310" s="1026"/>
      <c r="AT310" s="1026">
        <f>AT313+AT315+AT410+AT425+AT448+AT456+AT460+AT471</f>
        <v>0</v>
      </c>
      <c r="AU310" s="1026"/>
      <c r="AV310" s="1026"/>
      <c r="AW310" s="1026">
        <f>AW313+AW315+AW410+AW425+AW448+AW456+AW460+AW471</f>
        <v>0</v>
      </c>
      <c r="AX310" s="1026">
        <f>AX313+AX315+AX410+AX425+AX448+AX456+AX460+AX471</f>
        <v>0</v>
      </c>
      <c r="AY310" s="1026">
        <f>AY313+AY315+AY410+AY425+AY448+AY456+AY460+AY471</f>
        <v>0</v>
      </c>
      <c r="AZ310" s="1026">
        <f>AZ313+AZ315+AZ410+AZ425+AZ448+AZ456+AZ460+AZ471</f>
        <v>0</v>
      </c>
      <c r="BA310" s="1026"/>
      <c r="BB310" s="1026">
        <f>BB313+BB315+BB410+BB425+BB448+BB456+BB460+BB471</f>
        <v>0</v>
      </c>
      <c r="BC310" s="1026">
        <f>BC313+BC315+BC410+BC425+BC448+BC456+BC460+BC471</f>
        <v>0</v>
      </c>
      <c r="BD310" s="1026"/>
      <c r="BE310" s="1026"/>
      <c r="BF310" s="1026">
        <f>BF313+BF315+BF410+BF425+BF448+BF456+BF460+BF471</f>
        <v>0</v>
      </c>
      <c r="BG310" s="1027"/>
      <c r="BH310" s="1027"/>
      <c r="BI310" s="1403"/>
      <c r="BJ310" s="1110"/>
      <c r="BK310" s="1208"/>
      <c r="BL310" s="1208"/>
      <c r="BM310" s="1208"/>
      <c r="BN310" s="1208"/>
      <c r="BO310" s="1122"/>
      <c r="BP310" s="1122"/>
      <c r="BQ310" s="1123"/>
      <c r="BR310" s="1123"/>
      <c r="BS310" s="1210"/>
      <c r="BT310" s="1125"/>
    </row>
    <row r="311" spans="1:72" s="1126" customFormat="1">
      <c r="A311" s="1030" t="s">
        <v>78</v>
      </c>
      <c r="B311" s="1402" t="s">
        <v>66</v>
      </c>
      <c r="C311" s="1403"/>
      <c r="D311" s="1403"/>
      <c r="E311" s="1109"/>
      <c r="F311" s="1026">
        <f>F312</f>
        <v>0.12</v>
      </c>
      <c r="G311" s="1026">
        <f>G312</f>
        <v>0.12</v>
      </c>
      <c r="H311" s="1026"/>
      <c r="I311" s="1026"/>
      <c r="J311" s="1026"/>
      <c r="K311" s="1026"/>
      <c r="L311" s="1026"/>
      <c r="M311" s="1026"/>
      <c r="N311" s="1026"/>
      <c r="O311" s="1026"/>
      <c r="P311" s="1026"/>
      <c r="Q311" s="1026"/>
      <c r="R311" s="1026"/>
      <c r="S311" s="1026"/>
      <c r="T311" s="1026"/>
      <c r="U311" s="1026"/>
      <c r="V311" s="1026"/>
      <c r="W311" s="1026"/>
      <c r="X311" s="1026"/>
      <c r="Y311" s="1026"/>
      <c r="Z311" s="1026"/>
      <c r="AA311" s="1026"/>
      <c r="AB311" s="1026"/>
      <c r="AC311" s="1026"/>
      <c r="AD311" s="1026"/>
      <c r="AE311" s="1026"/>
      <c r="AF311" s="1026"/>
      <c r="AG311" s="1026"/>
      <c r="AH311" s="1026"/>
      <c r="AI311" s="1026"/>
      <c r="AJ311" s="1026"/>
      <c r="AK311" s="1026"/>
      <c r="AL311" s="1026"/>
      <c r="AM311" s="1026"/>
      <c r="AN311" s="1026"/>
      <c r="AO311" s="1026"/>
      <c r="AP311" s="1026"/>
      <c r="AQ311" s="1026"/>
      <c r="AR311" s="1026"/>
      <c r="AS311" s="1026"/>
      <c r="AT311" s="1026"/>
      <c r="AU311" s="1026"/>
      <c r="AV311" s="1026"/>
      <c r="AW311" s="1026"/>
      <c r="AX311" s="1026"/>
      <c r="AY311" s="1026"/>
      <c r="AZ311" s="1026"/>
      <c r="BA311" s="1026"/>
      <c r="BB311" s="1026"/>
      <c r="BC311" s="1026"/>
      <c r="BD311" s="1026"/>
      <c r="BE311" s="1026"/>
      <c r="BF311" s="1026"/>
      <c r="BG311" s="1027"/>
      <c r="BH311" s="1027"/>
      <c r="BI311" s="1403"/>
      <c r="BJ311" s="1110"/>
      <c r="BK311" s="1208"/>
      <c r="BL311" s="1208"/>
      <c r="BM311" s="1208"/>
      <c r="BN311" s="1208"/>
      <c r="BO311" s="1122"/>
      <c r="BP311" s="1122"/>
      <c r="BQ311" s="1123"/>
      <c r="BR311" s="1123"/>
      <c r="BS311" s="1210"/>
      <c r="BT311" s="1125"/>
    </row>
    <row r="312" spans="1:72" s="1126" customFormat="1" ht="63.75">
      <c r="A312" s="1028">
        <f>A309+1</f>
        <v>112</v>
      </c>
      <c r="B312" s="1117" t="s">
        <v>3591</v>
      </c>
      <c r="C312" s="1032"/>
      <c r="D312" s="1032"/>
      <c r="E312" s="1118" t="s">
        <v>28</v>
      </c>
      <c r="F312" s="1029">
        <f>G312</f>
        <v>0.12</v>
      </c>
      <c r="G312" s="1029">
        <v>0.12</v>
      </c>
      <c r="H312" s="1029">
        <f>SUM(J312:BF312)</f>
        <v>0</v>
      </c>
      <c r="I312" s="1029"/>
      <c r="J312" s="1029"/>
      <c r="K312" s="1029"/>
      <c r="L312" s="1029"/>
      <c r="M312" s="1029"/>
      <c r="N312" s="1029"/>
      <c r="O312" s="1029"/>
      <c r="P312" s="1029"/>
      <c r="Q312" s="1029"/>
      <c r="R312" s="1029"/>
      <c r="S312" s="1029"/>
      <c r="T312" s="1029"/>
      <c r="U312" s="1029"/>
      <c r="V312" s="1029"/>
      <c r="W312" s="1029"/>
      <c r="X312" s="1029"/>
      <c r="Y312" s="1029"/>
      <c r="Z312" s="1029"/>
      <c r="AA312" s="1029"/>
      <c r="AB312" s="1029"/>
      <c r="AC312" s="1029"/>
      <c r="AD312" s="1029"/>
      <c r="AE312" s="1029"/>
      <c r="AF312" s="1029"/>
      <c r="AG312" s="1029"/>
      <c r="AH312" s="1029"/>
      <c r="AI312" s="1029"/>
      <c r="AJ312" s="1029"/>
      <c r="AK312" s="1029"/>
      <c r="AL312" s="1029"/>
      <c r="AM312" s="1029"/>
      <c r="AN312" s="1029"/>
      <c r="AO312" s="1029"/>
      <c r="AP312" s="1029"/>
      <c r="AQ312" s="1029"/>
      <c r="AR312" s="1029"/>
      <c r="AS312" s="1029"/>
      <c r="AT312" s="1029"/>
      <c r="AU312" s="1029"/>
      <c r="AV312" s="1029"/>
      <c r="AW312" s="1029"/>
      <c r="AX312" s="1029"/>
      <c r="AY312" s="1029"/>
      <c r="AZ312" s="1029"/>
      <c r="BA312" s="1029"/>
      <c r="BB312" s="1029"/>
      <c r="BC312" s="1029"/>
      <c r="BD312" s="1029"/>
      <c r="BE312" s="1029"/>
      <c r="BF312" s="1029"/>
      <c r="BG312" s="1029"/>
      <c r="BH312" s="1029"/>
      <c r="BI312" s="1032" t="s">
        <v>3592</v>
      </c>
      <c r="BJ312" s="1119" t="s">
        <v>3593</v>
      </c>
      <c r="BK312" s="1120" t="s">
        <v>3559</v>
      </c>
      <c r="BL312" s="1120" t="s">
        <v>1923</v>
      </c>
      <c r="BM312" s="1120" t="s">
        <v>3091</v>
      </c>
      <c r="BN312" s="1120" t="s">
        <v>291</v>
      </c>
      <c r="BO312" s="1121"/>
      <c r="BP312" s="1122">
        <v>1</v>
      </c>
      <c r="BQ312" s="1123"/>
      <c r="BR312" s="1123"/>
      <c r="BS312" s="1124"/>
      <c r="BT312" s="1125"/>
    </row>
    <row r="313" spans="1:72" s="1126" customFormat="1">
      <c r="A313" s="1023" t="s">
        <v>79</v>
      </c>
      <c r="B313" s="1207" t="s">
        <v>106</v>
      </c>
      <c r="C313" s="1222"/>
      <c r="D313" s="1222"/>
      <c r="E313" s="1125"/>
      <c r="F313" s="1026">
        <f>G313+H313</f>
        <v>7.98</v>
      </c>
      <c r="G313" s="1026">
        <f>G314</f>
        <v>7.98</v>
      </c>
      <c r="H313" s="1026"/>
      <c r="I313" s="1026"/>
      <c r="J313" s="1029"/>
      <c r="K313" s="1029"/>
      <c r="L313" s="1029"/>
      <c r="M313" s="1029"/>
      <c r="N313" s="1029"/>
      <c r="O313" s="1029"/>
      <c r="P313" s="1029"/>
      <c r="Q313" s="1029"/>
      <c r="R313" s="1029"/>
      <c r="S313" s="1029"/>
      <c r="T313" s="1029"/>
      <c r="U313" s="1029"/>
      <c r="V313" s="1029"/>
      <c r="W313" s="1029"/>
      <c r="X313" s="1029"/>
      <c r="Y313" s="1029"/>
      <c r="Z313" s="1029"/>
      <c r="AA313" s="1029"/>
      <c r="AB313" s="1029"/>
      <c r="AC313" s="1029"/>
      <c r="AD313" s="1029"/>
      <c r="AE313" s="1029"/>
      <c r="AF313" s="1029"/>
      <c r="AG313" s="1029"/>
      <c r="AH313" s="1029"/>
      <c r="AI313" s="1029"/>
      <c r="AJ313" s="1029"/>
      <c r="AK313" s="1029"/>
      <c r="AL313" s="1029"/>
      <c r="AM313" s="1029"/>
      <c r="AN313" s="1029"/>
      <c r="AO313" s="1029"/>
      <c r="AP313" s="1029"/>
      <c r="AQ313" s="1029"/>
      <c r="AR313" s="1029"/>
      <c r="AS313" s="1029"/>
      <c r="AT313" s="1029"/>
      <c r="AU313" s="1029"/>
      <c r="AV313" s="1029"/>
      <c r="AW313" s="1029"/>
      <c r="AX313" s="1029"/>
      <c r="AY313" s="1029"/>
      <c r="AZ313" s="1029"/>
      <c r="BA313" s="1029"/>
      <c r="BB313" s="1029"/>
      <c r="BC313" s="1029"/>
      <c r="BD313" s="1029"/>
      <c r="BE313" s="1029"/>
      <c r="BF313" s="1029"/>
      <c r="BG313" s="1029"/>
      <c r="BH313" s="1029"/>
      <c r="BI313" s="1222"/>
      <c r="BJ313" s="1208"/>
      <c r="BK313" s="1208"/>
      <c r="BL313" s="1208"/>
      <c r="BM313" s="1208"/>
      <c r="BN313" s="1208"/>
      <c r="BO313" s="1122"/>
      <c r="BP313" s="1122"/>
      <c r="BQ313" s="1123"/>
      <c r="BR313" s="1123"/>
      <c r="BS313" s="1210"/>
      <c r="BT313" s="1125"/>
    </row>
    <row r="314" spans="1:72" s="1126" customFormat="1" ht="93" customHeight="1">
      <c r="A314" s="1028">
        <f>A312+1</f>
        <v>113</v>
      </c>
      <c r="B314" s="1130" t="s">
        <v>3594</v>
      </c>
      <c r="C314" s="1127"/>
      <c r="D314" s="1127"/>
      <c r="E314" s="1118" t="s">
        <v>35</v>
      </c>
      <c r="F314" s="1031">
        <f>G314+H314</f>
        <v>7.98</v>
      </c>
      <c r="G314" s="1031">
        <v>7.98</v>
      </c>
      <c r="H314" s="1026"/>
      <c r="I314" s="1026"/>
      <c r="J314" s="1029"/>
      <c r="K314" s="1029"/>
      <c r="L314" s="1029"/>
      <c r="M314" s="1029"/>
      <c r="N314" s="1029"/>
      <c r="O314" s="1029"/>
      <c r="P314" s="1029"/>
      <c r="Q314" s="1029"/>
      <c r="R314" s="1029"/>
      <c r="S314" s="1029"/>
      <c r="T314" s="1029"/>
      <c r="U314" s="1029"/>
      <c r="V314" s="1029"/>
      <c r="W314" s="1029"/>
      <c r="X314" s="1029"/>
      <c r="Y314" s="1029"/>
      <c r="Z314" s="1029"/>
      <c r="AA314" s="1029"/>
      <c r="AB314" s="1029"/>
      <c r="AC314" s="1029"/>
      <c r="AD314" s="1029"/>
      <c r="AE314" s="1029"/>
      <c r="AF314" s="1029"/>
      <c r="AG314" s="1029"/>
      <c r="AH314" s="1029"/>
      <c r="AI314" s="1029"/>
      <c r="AJ314" s="1029"/>
      <c r="AK314" s="1029"/>
      <c r="AL314" s="1029"/>
      <c r="AM314" s="1029"/>
      <c r="AN314" s="1029"/>
      <c r="AO314" s="1029"/>
      <c r="AP314" s="1029"/>
      <c r="AQ314" s="1029"/>
      <c r="AR314" s="1029"/>
      <c r="AS314" s="1029"/>
      <c r="AT314" s="1029"/>
      <c r="AU314" s="1029"/>
      <c r="AV314" s="1029"/>
      <c r="AW314" s="1029"/>
      <c r="AX314" s="1029"/>
      <c r="AY314" s="1029"/>
      <c r="AZ314" s="1029"/>
      <c r="BA314" s="1029"/>
      <c r="BB314" s="1029"/>
      <c r="BC314" s="1029"/>
      <c r="BD314" s="1029"/>
      <c r="BE314" s="1029"/>
      <c r="BF314" s="1029"/>
      <c r="BG314" s="1029"/>
      <c r="BH314" s="1029"/>
      <c r="BI314" s="1127" t="s">
        <v>3595</v>
      </c>
      <c r="BJ314" s="1120" t="s">
        <v>3596</v>
      </c>
      <c r="BK314" s="1120" t="s">
        <v>3597</v>
      </c>
      <c r="BL314" s="1120" t="s">
        <v>1923</v>
      </c>
      <c r="BM314" s="1120" t="s">
        <v>3091</v>
      </c>
      <c r="BN314" s="1120" t="s">
        <v>291</v>
      </c>
      <c r="BO314" s="1121"/>
      <c r="BP314" s="1122">
        <v>1</v>
      </c>
      <c r="BQ314" s="1123"/>
      <c r="BR314" s="1123"/>
      <c r="BS314" s="1124"/>
      <c r="BT314" s="1125"/>
    </row>
    <row r="315" spans="1:72" s="1126" customFormat="1">
      <c r="A315" s="1023" t="s">
        <v>362</v>
      </c>
      <c r="B315" s="1405" t="s">
        <v>127</v>
      </c>
      <c r="C315" s="1024"/>
      <c r="D315" s="1024"/>
      <c r="E315" s="1125"/>
      <c r="F315" s="1026">
        <f>F316+F319+F333+F332+F334+F336+F337+F338+F341+F342+F343+F344+F345+F346+F349+F354+F355+F364+F365+F366+F370+F381+F380+F379+F375+F374+F382+F383+F384+F389+F390+F391+F399</f>
        <v>5.9699999999999989</v>
      </c>
      <c r="G315" s="1026">
        <f>SUM(G316:G405)</f>
        <v>8.7199999999999935</v>
      </c>
      <c r="H315" s="1026"/>
      <c r="I315" s="1026"/>
      <c r="J315" s="1029"/>
      <c r="K315" s="1029"/>
      <c r="L315" s="1029"/>
      <c r="M315" s="1029"/>
      <c r="N315" s="1029"/>
      <c r="O315" s="1029"/>
      <c r="P315" s="1029"/>
      <c r="Q315" s="1029"/>
      <c r="R315" s="1029"/>
      <c r="S315" s="1029"/>
      <c r="T315" s="1029"/>
      <c r="U315" s="1029"/>
      <c r="V315" s="1029"/>
      <c r="W315" s="1029"/>
      <c r="X315" s="1029"/>
      <c r="Y315" s="1029"/>
      <c r="Z315" s="1029"/>
      <c r="AA315" s="1029"/>
      <c r="AB315" s="1029"/>
      <c r="AC315" s="1029"/>
      <c r="AD315" s="1029"/>
      <c r="AE315" s="1029"/>
      <c r="AF315" s="1029"/>
      <c r="AG315" s="1029"/>
      <c r="AH315" s="1029"/>
      <c r="AI315" s="1029"/>
      <c r="AJ315" s="1029"/>
      <c r="AK315" s="1029"/>
      <c r="AL315" s="1029"/>
      <c r="AM315" s="1029"/>
      <c r="AN315" s="1029"/>
      <c r="AO315" s="1029"/>
      <c r="AP315" s="1029"/>
      <c r="AQ315" s="1029"/>
      <c r="AR315" s="1029"/>
      <c r="AS315" s="1029"/>
      <c r="AT315" s="1029"/>
      <c r="AU315" s="1029"/>
      <c r="AV315" s="1029"/>
      <c r="AW315" s="1029"/>
      <c r="AX315" s="1029"/>
      <c r="AY315" s="1029"/>
      <c r="AZ315" s="1029"/>
      <c r="BA315" s="1029"/>
      <c r="BB315" s="1029"/>
      <c r="BC315" s="1029"/>
      <c r="BD315" s="1029"/>
      <c r="BE315" s="1029"/>
      <c r="BF315" s="1029"/>
      <c r="BG315" s="1029"/>
      <c r="BH315" s="1029"/>
      <c r="BI315" s="1024"/>
      <c r="BJ315" s="1208"/>
      <c r="BK315" s="1208"/>
      <c r="BL315" s="1208"/>
      <c r="BM315" s="1208"/>
      <c r="BN315" s="1208"/>
      <c r="BO315" s="1122"/>
      <c r="BP315" s="1122"/>
      <c r="BQ315" s="1123"/>
      <c r="BR315" s="1123"/>
      <c r="BS315" s="1210"/>
      <c r="BT315" s="1125"/>
    </row>
    <row r="316" spans="1:72" s="1126" customFormat="1" ht="46.15" customHeight="1">
      <c r="A316" s="1028">
        <f>A314+1</f>
        <v>114</v>
      </c>
      <c r="B316" s="1130" t="s">
        <v>3598</v>
      </c>
      <c r="C316" s="1127"/>
      <c r="D316" s="1127"/>
      <c r="E316" s="1118"/>
      <c r="F316" s="1031">
        <f>F317+F318</f>
        <v>0.15</v>
      </c>
      <c r="G316" s="1031">
        <f>G317+G318</f>
        <v>0.15</v>
      </c>
      <c r="H316" s="1029"/>
      <c r="I316" s="1029"/>
      <c r="J316" s="1029"/>
      <c r="K316" s="1029"/>
      <c r="L316" s="1029"/>
      <c r="M316" s="1029"/>
      <c r="N316" s="1029"/>
      <c r="O316" s="1029"/>
      <c r="P316" s="1029"/>
      <c r="Q316" s="1029"/>
      <c r="R316" s="1029"/>
      <c r="S316" s="1029"/>
      <c r="T316" s="1029"/>
      <c r="U316" s="1029"/>
      <c r="V316" s="1029"/>
      <c r="W316" s="1029"/>
      <c r="X316" s="1029"/>
      <c r="Y316" s="1029"/>
      <c r="Z316" s="1029"/>
      <c r="AA316" s="1029"/>
      <c r="AB316" s="1029"/>
      <c r="AC316" s="1029"/>
      <c r="AD316" s="1029"/>
      <c r="AE316" s="1029"/>
      <c r="AF316" s="1029"/>
      <c r="AG316" s="1029"/>
      <c r="AH316" s="1029"/>
      <c r="AI316" s="1029"/>
      <c r="AJ316" s="1029"/>
      <c r="AK316" s="1029"/>
      <c r="AL316" s="1029"/>
      <c r="AM316" s="1029"/>
      <c r="AN316" s="1029"/>
      <c r="AO316" s="1029"/>
      <c r="AP316" s="1029"/>
      <c r="AQ316" s="1029"/>
      <c r="AR316" s="1029"/>
      <c r="AS316" s="1029"/>
      <c r="AT316" s="1029"/>
      <c r="AU316" s="1029"/>
      <c r="AV316" s="1029"/>
      <c r="AW316" s="1029"/>
      <c r="AX316" s="1029"/>
      <c r="AY316" s="1029"/>
      <c r="AZ316" s="1029"/>
      <c r="BA316" s="1029"/>
      <c r="BB316" s="1029"/>
      <c r="BC316" s="1029"/>
      <c r="BD316" s="1029"/>
      <c r="BE316" s="1029"/>
      <c r="BF316" s="1029"/>
      <c r="BG316" s="1029"/>
      <c r="BH316" s="1029"/>
      <c r="BI316" s="1131" t="str">
        <f>BI317&amp;"; "&amp;BI318&amp;""</f>
        <v>Thôn Tân Tiến, xã Tân Hòa; Thôn Hợp Thành, xã Tân Hòa</v>
      </c>
      <c r="BJ316" s="1131" t="str">
        <f>BJ317&amp;"; "&amp;BJ318&amp;""</f>
        <v>Tờ 33 thửa 128; BĐĐC Tờ 47 thửa 68; BDLN 1 thửa 131</v>
      </c>
      <c r="BK316" s="1120" t="s">
        <v>3304</v>
      </c>
      <c r="BL316" s="1120" t="s">
        <v>1923</v>
      </c>
      <c r="BM316" s="1120" t="s">
        <v>3091</v>
      </c>
      <c r="BN316" s="1120" t="s">
        <v>291</v>
      </c>
      <c r="BO316" s="1121"/>
      <c r="BP316" s="1122">
        <v>1</v>
      </c>
      <c r="BQ316" s="1123"/>
      <c r="BR316" s="1123"/>
      <c r="BS316" s="1124"/>
      <c r="BT316" s="1125"/>
    </row>
    <row r="317" spans="1:72" s="1141" customFormat="1" ht="32.450000000000003" hidden="1" customHeight="1">
      <c r="A317" s="1132"/>
      <c r="B317" s="1133" t="s">
        <v>3599</v>
      </c>
      <c r="C317" s="1134"/>
      <c r="D317" s="1134"/>
      <c r="E317" s="1135" t="s">
        <v>48</v>
      </c>
      <c r="F317" s="1063">
        <f>G317+H317</f>
        <v>0.06</v>
      </c>
      <c r="G317" s="1062">
        <v>0.06</v>
      </c>
      <c r="H317" s="1062"/>
      <c r="I317" s="1062"/>
      <c r="J317" s="1062"/>
      <c r="K317" s="1062"/>
      <c r="L317" s="1062"/>
      <c r="M317" s="1062"/>
      <c r="N317" s="1062"/>
      <c r="O317" s="1062"/>
      <c r="P317" s="1062"/>
      <c r="Q317" s="1062"/>
      <c r="R317" s="1062"/>
      <c r="S317" s="1062"/>
      <c r="T317" s="1062"/>
      <c r="U317" s="1062"/>
      <c r="V317" s="1062"/>
      <c r="W317" s="1062"/>
      <c r="X317" s="1062"/>
      <c r="Y317" s="1062"/>
      <c r="Z317" s="1062"/>
      <c r="AA317" s="1062"/>
      <c r="AB317" s="1062"/>
      <c r="AC317" s="1062"/>
      <c r="AD317" s="1062"/>
      <c r="AE317" s="1062"/>
      <c r="AF317" s="1062"/>
      <c r="AG317" s="1062"/>
      <c r="AH317" s="1062"/>
      <c r="AI317" s="1062"/>
      <c r="AJ317" s="1062"/>
      <c r="AK317" s="1062"/>
      <c r="AL317" s="1062"/>
      <c r="AM317" s="1062"/>
      <c r="AN317" s="1062"/>
      <c r="AO317" s="1062"/>
      <c r="AP317" s="1062"/>
      <c r="AQ317" s="1062"/>
      <c r="AR317" s="1062"/>
      <c r="AS317" s="1062"/>
      <c r="AT317" s="1062"/>
      <c r="AU317" s="1062"/>
      <c r="AV317" s="1062"/>
      <c r="AW317" s="1062"/>
      <c r="AX317" s="1062"/>
      <c r="AY317" s="1062"/>
      <c r="AZ317" s="1062"/>
      <c r="BA317" s="1062"/>
      <c r="BB317" s="1062"/>
      <c r="BC317" s="1062"/>
      <c r="BD317" s="1062"/>
      <c r="BE317" s="1062"/>
      <c r="BF317" s="1062"/>
      <c r="BG317" s="1062"/>
      <c r="BH317" s="1062"/>
      <c r="BI317" s="1134" t="s">
        <v>3443</v>
      </c>
      <c r="BJ317" s="1134" t="s">
        <v>3600</v>
      </c>
      <c r="BK317" s="1134" t="s">
        <v>3304</v>
      </c>
      <c r="BL317" s="1134" t="s">
        <v>1923</v>
      </c>
      <c r="BM317" s="1134" t="s">
        <v>3091</v>
      </c>
      <c r="BN317" s="1134" t="s">
        <v>291</v>
      </c>
      <c r="BO317" s="1136"/>
      <c r="BP317" s="1137"/>
      <c r="BQ317" s="1138"/>
      <c r="BR317" s="1138"/>
      <c r="BS317" s="1139"/>
      <c r="BT317" s="1140"/>
    </row>
    <row r="318" spans="1:72" s="1141" customFormat="1" ht="32.450000000000003" hidden="1" customHeight="1">
      <c r="A318" s="1132"/>
      <c r="B318" s="1133" t="s">
        <v>3601</v>
      </c>
      <c r="C318" s="1142"/>
      <c r="D318" s="1142"/>
      <c r="E318" s="1135" t="s">
        <v>48</v>
      </c>
      <c r="F318" s="1063">
        <f>G318+H318</f>
        <v>0.09</v>
      </c>
      <c r="G318" s="1062">
        <v>0.09</v>
      </c>
      <c r="H318" s="1062"/>
      <c r="I318" s="1062"/>
      <c r="J318" s="1062"/>
      <c r="K318" s="1062"/>
      <c r="L318" s="1062"/>
      <c r="M318" s="1062"/>
      <c r="N318" s="1062"/>
      <c r="O318" s="1062"/>
      <c r="P318" s="1062"/>
      <c r="Q318" s="1062"/>
      <c r="R318" s="1062"/>
      <c r="S318" s="1062"/>
      <c r="T318" s="1062"/>
      <c r="U318" s="1062"/>
      <c r="V318" s="1062"/>
      <c r="W318" s="1062"/>
      <c r="X318" s="1062"/>
      <c r="Y318" s="1062"/>
      <c r="Z318" s="1062"/>
      <c r="AA318" s="1062"/>
      <c r="AB318" s="1062"/>
      <c r="AC318" s="1062"/>
      <c r="AD318" s="1062"/>
      <c r="AE318" s="1062"/>
      <c r="AF318" s="1062"/>
      <c r="AG318" s="1062"/>
      <c r="AH318" s="1062"/>
      <c r="AI318" s="1062"/>
      <c r="AJ318" s="1062"/>
      <c r="AK318" s="1062"/>
      <c r="AL318" s="1062"/>
      <c r="AM318" s="1062"/>
      <c r="AN318" s="1062"/>
      <c r="AO318" s="1062"/>
      <c r="AP318" s="1062"/>
      <c r="AQ318" s="1062"/>
      <c r="AR318" s="1062"/>
      <c r="AS318" s="1062"/>
      <c r="AT318" s="1062"/>
      <c r="AU318" s="1062"/>
      <c r="AV318" s="1062"/>
      <c r="AW318" s="1062"/>
      <c r="AX318" s="1062"/>
      <c r="AY318" s="1062"/>
      <c r="AZ318" s="1062"/>
      <c r="BA318" s="1062"/>
      <c r="BB318" s="1062"/>
      <c r="BC318" s="1062"/>
      <c r="BD318" s="1062"/>
      <c r="BE318" s="1062"/>
      <c r="BF318" s="1062"/>
      <c r="BG318" s="1062"/>
      <c r="BH318" s="1062"/>
      <c r="BI318" s="1142" t="s">
        <v>3602</v>
      </c>
      <c r="BJ318" s="1142" t="s">
        <v>3603</v>
      </c>
      <c r="BK318" s="1134" t="s">
        <v>3304</v>
      </c>
      <c r="BL318" s="1134" t="s">
        <v>1923</v>
      </c>
      <c r="BM318" s="1134" t="s">
        <v>3091</v>
      </c>
      <c r="BN318" s="1134" t="s">
        <v>291</v>
      </c>
      <c r="BO318" s="1136"/>
      <c r="BP318" s="1137"/>
      <c r="BQ318" s="1138"/>
      <c r="BR318" s="1138"/>
      <c r="BS318" s="1139"/>
      <c r="BT318" s="1140"/>
    </row>
    <row r="319" spans="1:72" s="1152" customFormat="1" ht="82.5" customHeight="1">
      <c r="A319" s="1143">
        <f>A316+1</f>
        <v>115</v>
      </c>
      <c r="B319" s="1144" t="s">
        <v>3604</v>
      </c>
      <c r="C319" s="1145"/>
      <c r="D319" s="1145"/>
      <c r="E319" s="1146"/>
      <c r="F319" s="1057">
        <f>SUM(F320:F331)</f>
        <v>0.29000000000000004</v>
      </c>
      <c r="G319" s="1057">
        <f>SUM(G320:G331)</f>
        <v>0.29000000000000004</v>
      </c>
      <c r="H319" s="1056"/>
      <c r="I319" s="1056"/>
      <c r="J319" s="1056"/>
      <c r="K319" s="1056"/>
      <c r="L319" s="1056"/>
      <c r="M319" s="1056"/>
      <c r="N319" s="1056"/>
      <c r="O319" s="1056"/>
      <c r="P319" s="1056"/>
      <c r="Q319" s="1056"/>
      <c r="R319" s="1056"/>
      <c r="S319" s="1056"/>
      <c r="T319" s="1056"/>
      <c r="U319" s="1056"/>
      <c r="V319" s="1056"/>
      <c r="W319" s="1056"/>
      <c r="X319" s="1056"/>
      <c r="Y319" s="1056"/>
      <c r="Z319" s="1056"/>
      <c r="AA319" s="1056"/>
      <c r="AB319" s="1056"/>
      <c r="AC319" s="1056"/>
      <c r="AD319" s="1056"/>
      <c r="AE319" s="1056"/>
      <c r="AF319" s="1056"/>
      <c r="AG319" s="1056"/>
      <c r="AH319" s="1056"/>
      <c r="AI319" s="1056"/>
      <c r="AJ319" s="1056"/>
      <c r="AK319" s="1056"/>
      <c r="AL319" s="1056"/>
      <c r="AM319" s="1056"/>
      <c r="AN319" s="1056"/>
      <c r="AO319" s="1056"/>
      <c r="AP319" s="1056"/>
      <c r="AQ319" s="1056"/>
      <c r="AR319" s="1056"/>
      <c r="AS319" s="1056"/>
      <c r="AT319" s="1056"/>
      <c r="AU319" s="1056"/>
      <c r="AV319" s="1056"/>
      <c r="AW319" s="1056"/>
      <c r="AX319" s="1056"/>
      <c r="AY319" s="1056"/>
      <c r="AZ319" s="1056"/>
      <c r="BA319" s="1056"/>
      <c r="BB319" s="1056"/>
      <c r="BC319" s="1056"/>
      <c r="BD319" s="1056"/>
      <c r="BE319" s="1056"/>
      <c r="BF319" s="1056"/>
      <c r="BG319" s="1056"/>
      <c r="BH319" s="1056"/>
      <c r="BI319" s="1131" t="s">
        <v>3605</v>
      </c>
      <c r="BJ319" s="1131" t="str">
        <f>BJ320&amp;"; "&amp;BJ321&amp;"; "&amp;BJ322&amp;"; "&amp;BJ323&amp;"; "&amp;BJ324&amp;", "&amp;BJ325&amp;"; "&amp;BJ326&amp;"; "&amp;BJ327&amp;"; "&amp;BJ328&amp;";"&amp;BJ329&amp;"; "&amp;BJ330&amp;"; "&amp;BJ331&amp;""</f>
        <v>Tờ 105 thửa 140; BĐĐC tờ 13, thửa 89; BĐĐC tờ 13, thửa 108; BĐĐC tờ 16, thửa 94; BĐĐC tờ 30, thửa 122, BĐĐC tờ 81, thửa 168, 64, 65; Tờ 96 thửa 115, 116; BĐĐC tờ 85, thửa 82; BĐLN 06 thửa 278;Tờ 74 thửa 189, 190; Tờ 83 thửa 37, 65; BĐĐC tờ 46 thửa 31</v>
      </c>
      <c r="BK319" s="1131" t="s">
        <v>3304</v>
      </c>
      <c r="BL319" s="1131" t="s">
        <v>1923</v>
      </c>
      <c r="BM319" s="1131" t="s">
        <v>3091</v>
      </c>
      <c r="BN319" s="1131" t="s">
        <v>291</v>
      </c>
      <c r="BO319" s="1147"/>
      <c r="BP319" s="1148">
        <v>1</v>
      </c>
      <c r="BQ319" s="1149"/>
      <c r="BR319" s="1149"/>
      <c r="BS319" s="1150"/>
      <c r="BT319" s="1151"/>
    </row>
    <row r="320" spans="1:72" s="1141" customFormat="1" ht="41.45" hidden="1" customHeight="1">
      <c r="A320" s="1132"/>
      <c r="B320" s="1406" t="s">
        <v>3606</v>
      </c>
      <c r="C320" s="1065"/>
      <c r="D320" s="1065"/>
      <c r="E320" s="1135" t="s">
        <v>48</v>
      </c>
      <c r="F320" s="1063">
        <f t="shared" ref="F320:F425" si="101">G320+H320</f>
        <v>0.03</v>
      </c>
      <c r="G320" s="1062">
        <v>0.03</v>
      </c>
      <c r="H320" s="1062"/>
      <c r="I320" s="1062"/>
      <c r="J320" s="1062"/>
      <c r="K320" s="1062"/>
      <c r="L320" s="1062"/>
      <c r="M320" s="1062"/>
      <c r="N320" s="1062"/>
      <c r="O320" s="1062"/>
      <c r="P320" s="1062"/>
      <c r="Q320" s="1062"/>
      <c r="R320" s="1062"/>
      <c r="S320" s="1062"/>
      <c r="T320" s="1062"/>
      <c r="U320" s="1062"/>
      <c r="V320" s="1062"/>
      <c r="W320" s="1062"/>
      <c r="X320" s="1062"/>
      <c r="Y320" s="1062"/>
      <c r="Z320" s="1062"/>
      <c r="AA320" s="1062"/>
      <c r="AB320" s="1062"/>
      <c r="AC320" s="1062"/>
      <c r="AD320" s="1062"/>
      <c r="AE320" s="1062"/>
      <c r="AF320" s="1062"/>
      <c r="AG320" s="1062"/>
      <c r="AH320" s="1062"/>
      <c r="AI320" s="1062"/>
      <c r="AJ320" s="1062"/>
      <c r="AK320" s="1062"/>
      <c r="AL320" s="1062"/>
      <c r="AM320" s="1062"/>
      <c r="AN320" s="1062"/>
      <c r="AO320" s="1062"/>
      <c r="AP320" s="1062"/>
      <c r="AQ320" s="1062"/>
      <c r="AR320" s="1062"/>
      <c r="AS320" s="1062"/>
      <c r="AT320" s="1062"/>
      <c r="AU320" s="1062"/>
      <c r="AV320" s="1062"/>
      <c r="AW320" s="1062"/>
      <c r="AX320" s="1062"/>
      <c r="AY320" s="1062"/>
      <c r="AZ320" s="1062"/>
      <c r="BA320" s="1062"/>
      <c r="BB320" s="1062"/>
      <c r="BC320" s="1062"/>
      <c r="BD320" s="1062"/>
      <c r="BE320" s="1062"/>
      <c r="BF320" s="1062"/>
      <c r="BG320" s="1062"/>
      <c r="BH320" s="1062"/>
      <c r="BI320" s="1065" t="s">
        <v>3607</v>
      </c>
      <c r="BJ320" s="1134" t="s">
        <v>3608</v>
      </c>
      <c r="BK320" s="1134" t="s">
        <v>3304</v>
      </c>
      <c r="BL320" s="1134" t="s">
        <v>1923</v>
      </c>
      <c r="BM320" s="1134" t="s">
        <v>3091</v>
      </c>
      <c r="BN320" s="1134" t="s">
        <v>291</v>
      </c>
      <c r="BO320" s="1136"/>
      <c r="BP320" s="1137"/>
      <c r="BQ320" s="1138"/>
      <c r="BR320" s="1138"/>
      <c r="BS320" s="1139"/>
      <c r="BT320" s="1140"/>
    </row>
    <row r="321" spans="1:72" s="1141" customFormat="1" ht="27" hidden="1" customHeight="1">
      <c r="A321" s="1132"/>
      <c r="B321" s="1406" t="s">
        <v>3609</v>
      </c>
      <c r="C321" s="1065"/>
      <c r="D321" s="1065"/>
      <c r="E321" s="1135" t="s">
        <v>48</v>
      </c>
      <c r="F321" s="1063">
        <f t="shared" si="101"/>
        <v>0.04</v>
      </c>
      <c r="G321" s="1062">
        <v>0.04</v>
      </c>
      <c r="H321" s="1062"/>
      <c r="I321" s="1062"/>
      <c r="J321" s="1062"/>
      <c r="K321" s="1062"/>
      <c r="L321" s="1062"/>
      <c r="M321" s="1062"/>
      <c r="N321" s="1062"/>
      <c r="O321" s="1062"/>
      <c r="P321" s="1062"/>
      <c r="Q321" s="1062"/>
      <c r="R321" s="1062"/>
      <c r="S321" s="1062"/>
      <c r="T321" s="1062"/>
      <c r="U321" s="1062"/>
      <c r="V321" s="1062"/>
      <c r="W321" s="1062"/>
      <c r="X321" s="1062"/>
      <c r="Y321" s="1062"/>
      <c r="Z321" s="1062"/>
      <c r="AA321" s="1062"/>
      <c r="AB321" s="1062"/>
      <c r="AC321" s="1062"/>
      <c r="AD321" s="1062"/>
      <c r="AE321" s="1062"/>
      <c r="AF321" s="1062"/>
      <c r="AG321" s="1062"/>
      <c r="AH321" s="1062"/>
      <c r="AI321" s="1062"/>
      <c r="AJ321" s="1062"/>
      <c r="AK321" s="1062"/>
      <c r="AL321" s="1062"/>
      <c r="AM321" s="1062"/>
      <c r="AN321" s="1062"/>
      <c r="AO321" s="1062"/>
      <c r="AP321" s="1062"/>
      <c r="AQ321" s="1062"/>
      <c r="AR321" s="1062"/>
      <c r="AS321" s="1062"/>
      <c r="AT321" s="1062"/>
      <c r="AU321" s="1062"/>
      <c r="AV321" s="1062"/>
      <c r="AW321" s="1062"/>
      <c r="AX321" s="1062"/>
      <c r="AY321" s="1062"/>
      <c r="AZ321" s="1062"/>
      <c r="BA321" s="1062"/>
      <c r="BB321" s="1062"/>
      <c r="BC321" s="1062"/>
      <c r="BD321" s="1062"/>
      <c r="BE321" s="1062"/>
      <c r="BF321" s="1062"/>
      <c r="BG321" s="1062"/>
      <c r="BH321" s="1062"/>
      <c r="BI321" s="1065" t="s">
        <v>3610</v>
      </c>
      <c r="BJ321" s="1407" t="s">
        <v>3611</v>
      </c>
      <c r="BK321" s="1134" t="s">
        <v>3304</v>
      </c>
      <c r="BL321" s="1134" t="s">
        <v>1923</v>
      </c>
      <c r="BM321" s="1134" t="s">
        <v>3612</v>
      </c>
      <c r="BN321" s="1134" t="s">
        <v>291</v>
      </c>
      <c r="BO321" s="1136"/>
      <c r="BP321" s="1137"/>
      <c r="BQ321" s="1138"/>
      <c r="BR321" s="1138"/>
      <c r="BS321" s="1139"/>
      <c r="BT321" s="1140"/>
    </row>
    <row r="322" spans="1:72" s="1141" customFormat="1" ht="27" hidden="1" customHeight="1">
      <c r="A322" s="1132"/>
      <c r="B322" s="1406" t="s">
        <v>3613</v>
      </c>
      <c r="C322" s="1065"/>
      <c r="D322" s="1065"/>
      <c r="E322" s="1135" t="s">
        <v>48</v>
      </c>
      <c r="F322" s="1063">
        <f t="shared" si="101"/>
        <v>0.02</v>
      </c>
      <c r="G322" s="1062">
        <v>0.02</v>
      </c>
      <c r="H322" s="1062"/>
      <c r="I322" s="1062"/>
      <c r="J322" s="1062"/>
      <c r="K322" s="1062"/>
      <c r="L322" s="1062"/>
      <c r="M322" s="1062"/>
      <c r="N322" s="1062"/>
      <c r="O322" s="1062"/>
      <c r="P322" s="1062"/>
      <c r="Q322" s="1062"/>
      <c r="R322" s="1062"/>
      <c r="S322" s="1062"/>
      <c r="T322" s="1062"/>
      <c r="U322" s="1062"/>
      <c r="V322" s="1062"/>
      <c r="W322" s="1062"/>
      <c r="X322" s="1062"/>
      <c r="Y322" s="1062"/>
      <c r="Z322" s="1062"/>
      <c r="AA322" s="1062"/>
      <c r="AB322" s="1062"/>
      <c r="AC322" s="1062"/>
      <c r="AD322" s="1062"/>
      <c r="AE322" s="1062"/>
      <c r="AF322" s="1062"/>
      <c r="AG322" s="1062"/>
      <c r="AH322" s="1062"/>
      <c r="AI322" s="1062"/>
      <c r="AJ322" s="1062"/>
      <c r="AK322" s="1062"/>
      <c r="AL322" s="1062"/>
      <c r="AM322" s="1062"/>
      <c r="AN322" s="1062"/>
      <c r="AO322" s="1062"/>
      <c r="AP322" s="1062"/>
      <c r="AQ322" s="1062"/>
      <c r="AR322" s="1062"/>
      <c r="AS322" s="1062"/>
      <c r="AT322" s="1062"/>
      <c r="AU322" s="1062"/>
      <c r="AV322" s="1062"/>
      <c r="AW322" s="1062"/>
      <c r="AX322" s="1062"/>
      <c r="AY322" s="1062"/>
      <c r="AZ322" s="1062"/>
      <c r="BA322" s="1062"/>
      <c r="BB322" s="1062"/>
      <c r="BC322" s="1062"/>
      <c r="BD322" s="1062"/>
      <c r="BE322" s="1062"/>
      <c r="BF322" s="1062"/>
      <c r="BG322" s="1062"/>
      <c r="BH322" s="1062"/>
      <c r="BI322" s="1065" t="s">
        <v>3614</v>
      </c>
      <c r="BJ322" s="1407" t="s">
        <v>3615</v>
      </c>
      <c r="BK322" s="1134" t="s">
        <v>3304</v>
      </c>
      <c r="BL322" s="1134" t="s">
        <v>1923</v>
      </c>
      <c r="BM322" s="1134" t="s">
        <v>3091</v>
      </c>
      <c r="BN322" s="1134" t="s">
        <v>291</v>
      </c>
      <c r="BO322" s="1136"/>
      <c r="BP322" s="1137"/>
      <c r="BQ322" s="1138"/>
      <c r="BR322" s="1138"/>
      <c r="BS322" s="1139"/>
      <c r="BT322" s="1140"/>
    </row>
    <row r="323" spans="1:72" s="1141" customFormat="1" ht="27" hidden="1" customHeight="1">
      <c r="A323" s="1132"/>
      <c r="B323" s="1406" t="s">
        <v>3616</v>
      </c>
      <c r="C323" s="1065"/>
      <c r="D323" s="1065"/>
      <c r="E323" s="1135" t="s">
        <v>48</v>
      </c>
      <c r="F323" s="1063">
        <f t="shared" si="101"/>
        <v>0.02</v>
      </c>
      <c r="G323" s="1062">
        <v>0.02</v>
      </c>
      <c r="H323" s="1062"/>
      <c r="I323" s="1062"/>
      <c r="J323" s="1062"/>
      <c r="K323" s="1062"/>
      <c r="L323" s="1062"/>
      <c r="M323" s="1062"/>
      <c r="N323" s="1062"/>
      <c r="O323" s="1062"/>
      <c r="P323" s="1062"/>
      <c r="Q323" s="1062"/>
      <c r="R323" s="1062"/>
      <c r="S323" s="1062"/>
      <c r="T323" s="1062"/>
      <c r="U323" s="1062"/>
      <c r="V323" s="1062"/>
      <c r="W323" s="1062"/>
      <c r="X323" s="1062"/>
      <c r="Y323" s="1062"/>
      <c r="Z323" s="1062"/>
      <c r="AA323" s="1062"/>
      <c r="AB323" s="1062"/>
      <c r="AC323" s="1062"/>
      <c r="AD323" s="1062"/>
      <c r="AE323" s="1062"/>
      <c r="AF323" s="1062"/>
      <c r="AG323" s="1062"/>
      <c r="AH323" s="1062"/>
      <c r="AI323" s="1062"/>
      <c r="AJ323" s="1062"/>
      <c r="AK323" s="1062"/>
      <c r="AL323" s="1062"/>
      <c r="AM323" s="1062"/>
      <c r="AN323" s="1062"/>
      <c r="AO323" s="1062"/>
      <c r="AP323" s="1062"/>
      <c r="AQ323" s="1062"/>
      <c r="AR323" s="1062"/>
      <c r="AS323" s="1062"/>
      <c r="AT323" s="1062"/>
      <c r="AU323" s="1062"/>
      <c r="AV323" s="1062"/>
      <c r="AW323" s="1062"/>
      <c r="AX323" s="1062"/>
      <c r="AY323" s="1062"/>
      <c r="AZ323" s="1062"/>
      <c r="BA323" s="1062"/>
      <c r="BB323" s="1062"/>
      <c r="BC323" s="1062"/>
      <c r="BD323" s="1062"/>
      <c r="BE323" s="1062"/>
      <c r="BF323" s="1062"/>
      <c r="BG323" s="1062"/>
      <c r="BH323" s="1062"/>
      <c r="BI323" s="1065" t="s">
        <v>3617</v>
      </c>
      <c r="BJ323" s="1407" t="s">
        <v>3618</v>
      </c>
      <c r="BK323" s="1134" t="s">
        <v>3304</v>
      </c>
      <c r="BL323" s="1134" t="s">
        <v>1923</v>
      </c>
      <c r="BM323" s="1134" t="s">
        <v>3091</v>
      </c>
      <c r="BN323" s="1134" t="s">
        <v>291</v>
      </c>
      <c r="BO323" s="1136"/>
      <c r="BP323" s="1137"/>
      <c r="BQ323" s="1138"/>
      <c r="BR323" s="1138"/>
      <c r="BS323" s="1139"/>
      <c r="BT323" s="1140"/>
    </row>
    <row r="324" spans="1:72" s="1141" customFormat="1" ht="27" hidden="1" customHeight="1">
      <c r="A324" s="1132"/>
      <c r="B324" s="1302" t="s">
        <v>3619</v>
      </c>
      <c r="C324" s="1065"/>
      <c r="D324" s="1065"/>
      <c r="E324" s="1135" t="s">
        <v>48</v>
      </c>
      <c r="F324" s="1063">
        <f t="shared" si="101"/>
        <v>0.02</v>
      </c>
      <c r="G324" s="1062">
        <v>0.02</v>
      </c>
      <c r="H324" s="1062"/>
      <c r="I324" s="1062"/>
      <c r="J324" s="1062"/>
      <c r="K324" s="1062"/>
      <c r="L324" s="1062"/>
      <c r="M324" s="1062"/>
      <c r="N324" s="1062"/>
      <c r="O324" s="1062"/>
      <c r="P324" s="1062"/>
      <c r="Q324" s="1062"/>
      <c r="R324" s="1062"/>
      <c r="S324" s="1062"/>
      <c r="T324" s="1062"/>
      <c r="U324" s="1062"/>
      <c r="V324" s="1062"/>
      <c r="W324" s="1062"/>
      <c r="X324" s="1062"/>
      <c r="Y324" s="1062"/>
      <c r="Z324" s="1062"/>
      <c r="AA324" s="1062"/>
      <c r="AB324" s="1062"/>
      <c r="AC324" s="1062"/>
      <c r="AD324" s="1062"/>
      <c r="AE324" s="1062"/>
      <c r="AF324" s="1062"/>
      <c r="AG324" s="1062"/>
      <c r="AH324" s="1062"/>
      <c r="AI324" s="1062"/>
      <c r="AJ324" s="1062"/>
      <c r="AK324" s="1062"/>
      <c r="AL324" s="1062"/>
      <c r="AM324" s="1062"/>
      <c r="AN324" s="1062"/>
      <c r="AO324" s="1062"/>
      <c r="AP324" s="1062"/>
      <c r="AQ324" s="1062"/>
      <c r="AR324" s="1062"/>
      <c r="AS324" s="1062"/>
      <c r="AT324" s="1062"/>
      <c r="AU324" s="1062"/>
      <c r="AV324" s="1062"/>
      <c r="AW324" s="1062"/>
      <c r="AX324" s="1062"/>
      <c r="AY324" s="1062"/>
      <c r="AZ324" s="1062"/>
      <c r="BA324" s="1062"/>
      <c r="BB324" s="1062"/>
      <c r="BC324" s="1062"/>
      <c r="BD324" s="1062"/>
      <c r="BE324" s="1062"/>
      <c r="BF324" s="1062"/>
      <c r="BG324" s="1062"/>
      <c r="BH324" s="1062"/>
      <c r="BI324" s="1065" t="s">
        <v>3620</v>
      </c>
      <c r="BJ324" s="1407" t="s">
        <v>3621</v>
      </c>
      <c r="BK324" s="1134" t="s">
        <v>3304</v>
      </c>
      <c r="BL324" s="1134" t="s">
        <v>1923</v>
      </c>
      <c r="BM324" s="1134" t="s">
        <v>3091</v>
      </c>
      <c r="BN324" s="1134" t="s">
        <v>291</v>
      </c>
      <c r="BO324" s="1136"/>
      <c r="BP324" s="1137"/>
      <c r="BQ324" s="1138"/>
      <c r="BR324" s="1138"/>
      <c r="BS324" s="1139"/>
      <c r="BT324" s="1140"/>
    </row>
    <row r="325" spans="1:72" s="1141" customFormat="1" ht="27" hidden="1" customHeight="1">
      <c r="A325" s="1132"/>
      <c r="B325" s="1302" t="s">
        <v>3622</v>
      </c>
      <c r="C325" s="1065"/>
      <c r="D325" s="1065"/>
      <c r="E325" s="1135" t="s">
        <v>48</v>
      </c>
      <c r="F325" s="1063">
        <f t="shared" si="101"/>
        <v>0.01</v>
      </c>
      <c r="G325" s="1062">
        <v>0.01</v>
      </c>
      <c r="H325" s="1062"/>
      <c r="I325" s="1062"/>
      <c r="J325" s="1062"/>
      <c r="K325" s="1062"/>
      <c r="L325" s="1062"/>
      <c r="M325" s="1062"/>
      <c r="N325" s="1062"/>
      <c r="O325" s="1062"/>
      <c r="P325" s="1062"/>
      <c r="Q325" s="1062"/>
      <c r="R325" s="1062"/>
      <c r="S325" s="1062"/>
      <c r="T325" s="1062"/>
      <c r="U325" s="1062"/>
      <c r="V325" s="1062"/>
      <c r="W325" s="1062"/>
      <c r="X325" s="1062"/>
      <c r="Y325" s="1062"/>
      <c r="Z325" s="1062"/>
      <c r="AA325" s="1062"/>
      <c r="AB325" s="1062"/>
      <c r="AC325" s="1062"/>
      <c r="AD325" s="1062"/>
      <c r="AE325" s="1062"/>
      <c r="AF325" s="1062"/>
      <c r="AG325" s="1062"/>
      <c r="AH325" s="1062"/>
      <c r="AI325" s="1062"/>
      <c r="AJ325" s="1062"/>
      <c r="AK325" s="1062"/>
      <c r="AL325" s="1062"/>
      <c r="AM325" s="1062"/>
      <c r="AN325" s="1062"/>
      <c r="AO325" s="1062"/>
      <c r="AP325" s="1062"/>
      <c r="AQ325" s="1062"/>
      <c r="AR325" s="1062"/>
      <c r="AS325" s="1062"/>
      <c r="AT325" s="1062"/>
      <c r="AU325" s="1062"/>
      <c r="AV325" s="1062"/>
      <c r="AW325" s="1062"/>
      <c r="AX325" s="1062"/>
      <c r="AY325" s="1062"/>
      <c r="AZ325" s="1062"/>
      <c r="BA325" s="1062"/>
      <c r="BB325" s="1062"/>
      <c r="BC325" s="1062"/>
      <c r="BD325" s="1062"/>
      <c r="BE325" s="1062"/>
      <c r="BF325" s="1062"/>
      <c r="BG325" s="1062"/>
      <c r="BH325" s="1062"/>
      <c r="BI325" s="1065" t="s">
        <v>3623</v>
      </c>
      <c r="BJ325" s="1407" t="s">
        <v>3624</v>
      </c>
      <c r="BK325" s="1134" t="s">
        <v>3304</v>
      </c>
      <c r="BL325" s="1134" t="s">
        <v>1923</v>
      </c>
      <c r="BM325" s="1134" t="s">
        <v>3091</v>
      </c>
      <c r="BN325" s="1134" t="s">
        <v>291</v>
      </c>
      <c r="BO325" s="1136"/>
      <c r="BP325" s="1137"/>
      <c r="BQ325" s="1138"/>
      <c r="BR325" s="1138"/>
      <c r="BS325" s="1139"/>
      <c r="BT325" s="1140"/>
    </row>
    <row r="326" spans="1:72" s="1141" customFormat="1" ht="27" hidden="1" customHeight="1">
      <c r="A326" s="1132"/>
      <c r="B326" s="1302" t="s">
        <v>3625</v>
      </c>
      <c r="C326" s="1065"/>
      <c r="D326" s="1065"/>
      <c r="E326" s="1135" t="s">
        <v>48</v>
      </c>
      <c r="F326" s="1063">
        <f t="shared" si="101"/>
        <v>0.03</v>
      </c>
      <c r="G326" s="1062">
        <v>0.03</v>
      </c>
      <c r="H326" s="1062"/>
      <c r="I326" s="1062"/>
      <c r="J326" s="1062"/>
      <c r="K326" s="1062"/>
      <c r="L326" s="1062"/>
      <c r="M326" s="1062"/>
      <c r="N326" s="1062"/>
      <c r="O326" s="1062"/>
      <c r="P326" s="1062"/>
      <c r="Q326" s="1062"/>
      <c r="R326" s="1062"/>
      <c r="S326" s="1062"/>
      <c r="T326" s="1062"/>
      <c r="U326" s="1062"/>
      <c r="V326" s="1062"/>
      <c r="W326" s="1062"/>
      <c r="X326" s="1062"/>
      <c r="Y326" s="1062"/>
      <c r="Z326" s="1062"/>
      <c r="AA326" s="1062"/>
      <c r="AB326" s="1062"/>
      <c r="AC326" s="1062"/>
      <c r="AD326" s="1062"/>
      <c r="AE326" s="1062"/>
      <c r="AF326" s="1062"/>
      <c r="AG326" s="1062"/>
      <c r="AH326" s="1062"/>
      <c r="AI326" s="1062"/>
      <c r="AJ326" s="1062"/>
      <c r="AK326" s="1062"/>
      <c r="AL326" s="1062"/>
      <c r="AM326" s="1062"/>
      <c r="AN326" s="1062"/>
      <c r="AO326" s="1062"/>
      <c r="AP326" s="1062"/>
      <c r="AQ326" s="1062"/>
      <c r="AR326" s="1062"/>
      <c r="AS326" s="1062"/>
      <c r="AT326" s="1062"/>
      <c r="AU326" s="1062"/>
      <c r="AV326" s="1062"/>
      <c r="AW326" s="1062"/>
      <c r="AX326" s="1062"/>
      <c r="AY326" s="1062"/>
      <c r="AZ326" s="1062"/>
      <c r="BA326" s="1062"/>
      <c r="BB326" s="1062"/>
      <c r="BC326" s="1062"/>
      <c r="BD326" s="1062"/>
      <c r="BE326" s="1062"/>
      <c r="BF326" s="1062"/>
      <c r="BG326" s="1062"/>
      <c r="BH326" s="1062"/>
      <c r="BI326" s="1065" t="s">
        <v>3626</v>
      </c>
      <c r="BJ326" s="1134" t="s">
        <v>3627</v>
      </c>
      <c r="BK326" s="1134" t="s">
        <v>3304</v>
      </c>
      <c r="BL326" s="1134" t="s">
        <v>1923</v>
      </c>
      <c r="BM326" s="1134" t="s">
        <v>3091</v>
      </c>
      <c r="BN326" s="1134" t="s">
        <v>291</v>
      </c>
      <c r="BO326" s="1136"/>
      <c r="BP326" s="1137"/>
      <c r="BQ326" s="1138"/>
      <c r="BR326" s="1138"/>
      <c r="BS326" s="1139"/>
      <c r="BT326" s="1140"/>
    </row>
    <row r="327" spans="1:72" s="1141" customFormat="1" ht="27" hidden="1" customHeight="1">
      <c r="A327" s="1132"/>
      <c r="B327" s="1302" t="s">
        <v>3628</v>
      </c>
      <c r="C327" s="1065"/>
      <c r="D327" s="1065"/>
      <c r="E327" s="1135" t="s">
        <v>48</v>
      </c>
      <c r="F327" s="1063">
        <f t="shared" si="101"/>
        <v>0.01</v>
      </c>
      <c r="G327" s="1062">
        <v>0.01</v>
      </c>
      <c r="H327" s="1062"/>
      <c r="I327" s="1062"/>
      <c r="J327" s="1062"/>
      <c r="K327" s="1062"/>
      <c r="L327" s="1062"/>
      <c r="M327" s="1062"/>
      <c r="N327" s="1062"/>
      <c r="O327" s="1062"/>
      <c r="P327" s="1062"/>
      <c r="Q327" s="1062"/>
      <c r="R327" s="1062"/>
      <c r="S327" s="1062"/>
      <c r="T327" s="1062"/>
      <c r="U327" s="1062"/>
      <c r="V327" s="1062"/>
      <c r="W327" s="1062"/>
      <c r="X327" s="1062"/>
      <c r="Y327" s="1062"/>
      <c r="Z327" s="1062"/>
      <c r="AA327" s="1062"/>
      <c r="AB327" s="1062"/>
      <c r="AC327" s="1062"/>
      <c r="AD327" s="1062"/>
      <c r="AE327" s="1062"/>
      <c r="AF327" s="1062"/>
      <c r="AG327" s="1062"/>
      <c r="AH327" s="1062"/>
      <c r="AI327" s="1062"/>
      <c r="AJ327" s="1062"/>
      <c r="AK327" s="1062"/>
      <c r="AL327" s="1062"/>
      <c r="AM327" s="1062"/>
      <c r="AN327" s="1062"/>
      <c r="AO327" s="1062"/>
      <c r="AP327" s="1062"/>
      <c r="AQ327" s="1062"/>
      <c r="AR327" s="1062"/>
      <c r="AS327" s="1062"/>
      <c r="AT327" s="1062"/>
      <c r="AU327" s="1062"/>
      <c r="AV327" s="1062"/>
      <c r="AW327" s="1062"/>
      <c r="AX327" s="1062"/>
      <c r="AY327" s="1062"/>
      <c r="AZ327" s="1062"/>
      <c r="BA327" s="1062"/>
      <c r="BB327" s="1062"/>
      <c r="BC327" s="1062"/>
      <c r="BD327" s="1062"/>
      <c r="BE327" s="1062"/>
      <c r="BF327" s="1062"/>
      <c r="BG327" s="1062"/>
      <c r="BH327" s="1062"/>
      <c r="BI327" s="1065" t="s">
        <v>3629</v>
      </c>
      <c r="BJ327" s="1407" t="s">
        <v>3630</v>
      </c>
      <c r="BK327" s="1134" t="s">
        <v>3304</v>
      </c>
      <c r="BL327" s="1134" t="s">
        <v>1923</v>
      </c>
      <c r="BM327" s="1134" t="s">
        <v>3091</v>
      </c>
      <c r="BN327" s="1134" t="s">
        <v>291</v>
      </c>
      <c r="BO327" s="1136"/>
      <c r="BP327" s="1137"/>
      <c r="BQ327" s="1138"/>
      <c r="BR327" s="1138"/>
      <c r="BS327" s="1139"/>
      <c r="BT327" s="1140"/>
    </row>
    <row r="328" spans="1:72" s="1141" customFormat="1" ht="27" hidden="1" customHeight="1">
      <c r="A328" s="1132"/>
      <c r="B328" s="1302" t="s">
        <v>3631</v>
      </c>
      <c r="C328" s="1065"/>
      <c r="D328" s="1065"/>
      <c r="E328" s="1135" t="s">
        <v>48</v>
      </c>
      <c r="F328" s="1063">
        <f t="shared" si="101"/>
        <v>0.01</v>
      </c>
      <c r="G328" s="1062">
        <v>0.01</v>
      </c>
      <c r="H328" s="1062"/>
      <c r="I328" s="1062"/>
      <c r="J328" s="1062"/>
      <c r="K328" s="1062"/>
      <c r="L328" s="1062"/>
      <c r="M328" s="1062"/>
      <c r="N328" s="1062"/>
      <c r="O328" s="1062"/>
      <c r="P328" s="1062"/>
      <c r="Q328" s="1062"/>
      <c r="R328" s="1062"/>
      <c r="S328" s="1062"/>
      <c r="T328" s="1062"/>
      <c r="U328" s="1062"/>
      <c r="V328" s="1062"/>
      <c r="W328" s="1062"/>
      <c r="X328" s="1062"/>
      <c r="Y328" s="1062"/>
      <c r="Z328" s="1062"/>
      <c r="AA328" s="1062"/>
      <c r="AB328" s="1062"/>
      <c r="AC328" s="1062"/>
      <c r="AD328" s="1062"/>
      <c r="AE328" s="1062"/>
      <c r="AF328" s="1062"/>
      <c r="AG328" s="1062"/>
      <c r="AH328" s="1062"/>
      <c r="AI328" s="1062"/>
      <c r="AJ328" s="1062"/>
      <c r="AK328" s="1062"/>
      <c r="AL328" s="1062"/>
      <c r="AM328" s="1062"/>
      <c r="AN328" s="1062"/>
      <c r="AO328" s="1062"/>
      <c r="AP328" s="1062"/>
      <c r="AQ328" s="1062"/>
      <c r="AR328" s="1062"/>
      <c r="AS328" s="1062"/>
      <c r="AT328" s="1062"/>
      <c r="AU328" s="1062"/>
      <c r="AV328" s="1062"/>
      <c r="AW328" s="1062"/>
      <c r="AX328" s="1062"/>
      <c r="AY328" s="1062"/>
      <c r="AZ328" s="1062"/>
      <c r="BA328" s="1062"/>
      <c r="BB328" s="1062"/>
      <c r="BC328" s="1062"/>
      <c r="BD328" s="1062"/>
      <c r="BE328" s="1062"/>
      <c r="BF328" s="1062"/>
      <c r="BG328" s="1062"/>
      <c r="BH328" s="1062"/>
      <c r="BI328" s="1065" t="s">
        <v>3632</v>
      </c>
      <c r="BJ328" s="1407" t="s">
        <v>3633</v>
      </c>
      <c r="BK328" s="1134" t="s">
        <v>3304</v>
      </c>
      <c r="BL328" s="1134" t="s">
        <v>1923</v>
      </c>
      <c r="BM328" s="1134" t="s">
        <v>3091</v>
      </c>
      <c r="BN328" s="1134" t="s">
        <v>291</v>
      </c>
      <c r="BO328" s="1136"/>
      <c r="BP328" s="1137"/>
      <c r="BQ328" s="1138"/>
      <c r="BR328" s="1138"/>
      <c r="BS328" s="1139"/>
      <c r="BT328" s="1140"/>
    </row>
    <row r="329" spans="1:72" s="1141" customFormat="1" ht="27" hidden="1" customHeight="1">
      <c r="A329" s="1132"/>
      <c r="B329" s="1302" t="s">
        <v>3634</v>
      </c>
      <c r="C329" s="1065"/>
      <c r="D329" s="1065"/>
      <c r="E329" s="1135" t="s">
        <v>48</v>
      </c>
      <c r="F329" s="1063">
        <f t="shared" si="101"/>
        <v>0.02</v>
      </c>
      <c r="G329" s="1062">
        <v>0.02</v>
      </c>
      <c r="H329" s="1062"/>
      <c r="I329" s="1062"/>
      <c r="J329" s="1062"/>
      <c r="K329" s="1062"/>
      <c r="L329" s="1062"/>
      <c r="M329" s="1062"/>
      <c r="N329" s="1062"/>
      <c r="O329" s="1062"/>
      <c r="P329" s="1062"/>
      <c r="Q329" s="1062"/>
      <c r="R329" s="1062"/>
      <c r="S329" s="1062"/>
      <c r="T329" s="1062"/>
      <c r="U329" s="1062"/>
      <c r="V329" s="1062"/>
      <c r="W329" s="1062"/>
      <c r="X329" s="1062"/>
      <c r="Y329" s="1062"/>
      <c r="Z329" s="1062"/>
      <c r="AA329" s="1062"/>
      <c r="AB329" s="1062"/>
      <c r="AC329" s="1062"/>
      <c r="AD329" s="1062"/>
      <c r="AE329" s="1062"/>
      <c r="AF329" s="1062"/>
      <c r="AG329" s="1062"/>
      <c r="AH329" s="1062"/>
      <c r="AI329" s="1062"/>
      <c r="AJ329" s="1062"/>
      <c r="AK329" s="1062"/>
      <c r="AL329" s="1062"/>
      <c r="AM329" s="1062"/>
      <c r="AN329" s="1062"/>
      <c r="AO329" s="1062"/>
      <c r="AP329" s="1062"/>
      <c r="AQ329" s="1062"/>
      <c r="AR329" s="1062"/>
      <c r="AS329" s="1062"/>
      <c r="AT329" s="1062"/>
      <c r="AU329" s="1062"/>
      <c r="AV329" s="1062"/>
      <c r="AW329" s="1062"/>
      <c r="AX329" s="1062"/>
      <c r="AY329" s="1062"/>
      <c r="AZ329" s="1062"/>
      <c r="BA329" s="1062"/>
      <c r="BB329" s="1062"/>
      <c r="BC329" s="1062"/>
      <c r="BD329" s="1062"/>
      <c r="BE329" s="1062"/>
      <c r="BF329" s="1062"/>
      <c r="BG329" s="1062"/>
      <c r="BH329" s="1062"/>
      <c r="BI329" s="1065" t="s">
        <v>3635</v>
      </c>
      <c r="BJ329" s="1407" t="s">
        <v>3636</v>
      </c>
      <c r="BK329" s="1134" t="s">
        <v>3304</v>
      </c>
      <c r="BL329" s="1134" t="s">
        <v>1923</v>
      </c>
      <c r="BM329" s="1134" t="s">
        <v>3091</v>
      </c>
      <c r="BN329" s="1134" t="s">
        <v>291</v>
      </c>
      <c r="BO329" s="1136"/>
      <c r="BP329" s="1137"/>
      <c r="BQ329" s="1138"/>
      <c r="BR329" s="1138"/>
      <c r="BS329" s="1139"/>
      <c r="BT329" s="1140"/>
    </row>
    <row r="330" spans="1:72" s="1141" customFormat="1" ht="33.6" hidden="1" customHeight="1">
      <c r="A330" s="1132"/>
      <c r="B330" s="1302" t="s">
        <v>3634</v>
      </c>
      <c r="C330" s="1065"/>
      <c r="D330" s="1065"/>
      <c r="E330" s="1135" t="s">
        <v>48</v>
      </c>
      <c r="F330" s="1063">
        <f t="shared" si="101"/>
        <v>0.05</v>
      </c>
      <c r="G330" s="1062">
        <v>0.05</v>
      </c>
      <c r="H330" s="1062"/>
      <c r="I330" s="1062"/>
      <c r="J330" s="1062"/>
      <c r="K330" s="1062"/>
      <c r="L330" s="1062"/>
      <c r="M330" s="1062"/>
      <c r="N330" s="1062"/>
      <c r="O330" s="1062"/>
      <c r="P330" s="1062"/>
      <c r="Q330" s="1062"/>
      <c r="R330" s="1062"/>
      <c r="S330" s="1062"/>
      <c r="T330" s="1062"/>
      <c r="U330" s="1062"/>
      <c r="V330" s="1062"/>
      <c r="W330" s="1062"/>
      <c r="X330" s="1062"/>
      <c r="Y330" s="1062"/>
      <c r="Z330" s="1062"/>
      <c r="AA330" s="1062"/>
      <c r="AB330" s="1062"/>
      <c r="AC330" s="1062"/>
      <c r="AD330" s="1062"/>
      <c r="AE330" s="1062"/>
      <c r="AF330" s="1062"/>
      <c r="AG330" s="1062"/>
      <c r="AH330" s="1062"/>
      <c r="AI330" s="1062"/>
      <c r="AJ330" s="1062"/>
      <c r="AK330" s="1062"/>
      <c r="AL330" s="1062"/>
      <c r="AM330" s="1062"/>
      <c r="AN330" s="1062"/>
      <c r="AO330" s="1062"/>
      <c r="AP330" s="1062"/>
      <c r="AQ330" s="1062"/>
      <c r="AR330" s="1062"/>
      <c r="AS330" s="1062"/>
      <c r="AT330" s="1062"/>
      <c r="AU330" s="1062"/>
      <c r="AV330" s="1062"/>
      <c r="AW330" s="1062"/>
      <c r="AX330" s="1062"/>
      <c r="AY330" s="1062"/>
      <c r="AZ330" s="1062"/>
      <c r="BA330" s="1062"/>
      <c r="BB330" s="1062"/>
      <c r="BC330" s="1062"/>
      <c r="BD330" s="1062"/>
      <c r="BE330" s="1062"/>
      <c r="BF330" s="1062"/>
      <c r="BG330" s="1062"/>
      <c r="BH330" s="1062"/>
      <c r="BI330" s="1065" t="s">
        <v>3635</v>
      </c>
      <c r="BJ330" s="1134" t="s">
        <v>3637</v>
      </c>
      <c r="BK330" s="1134" t="s">
        <v>3304</v>
      </c>
      <c r="BL330" s="1134" t="s">
        <v>1923</v>
      </c>
      <c r="BM330" s="1134" t="s">
        <v>3638</v>
      </c>
      <c r="BN330" s="1134" t="s">
        <v>291</v>
      </c>
      <c r="BO330" s="1136"/>
      <c r="BP330" s="1137"/>
      <c r="BQ330" s="1138"/>
      <c r="BR330" s="1138"/>
      <c r="BS330" s="1139"/>
      <c r="BT330" s="1140"/>
    </row>
    <row r="331" spans="1:72" s="1141" customFormat="1" ht="25.5" hidden="1">
      <c r="A331" s="1132"/>
      <c r="B331" s="1302" t="s">
        <v>3639</v>
      </c>
      <c r="C331" s="1065"/>
      <c r="D331" s="1065"/>
      <c r="E331" s="1135" t="s">
        <v>48</v>
      </c>
      <c r="F331" s="1063">
        <f t="shared" si="101"/>
        <v>0.03</v>
      </c>
      <c r="G331" s="1062">
        <v>0.03</v>
      </c>
      <c r="H331" s="1062"/>
      <c r="I331" s="1062"/>
      <c r="J331" s="1062"/>
      <c r="K331" s="1062"/>
      <c r="L331" s="1062"/>
      <c r="M331" s="1062"/>
      <c r="N331" s="1062"/>
      <c r="O331" s="1062"/>
      <c r="P331" s="1062"/>
      <c r="Q331" s="1062"/>
      <c r="R331" s="1062"/>
      <c r="S331" s="1062"/>
      <c r="T331" s="1062"/>
      <c r="U331" s="1062"/>
      <c r="V331" s="1062"/>
      <c r="W331" s="1062"/>
      <c r="X331" s="1062"/>
      <c r="Y331" s="1062"/>
      <c r="Z331" s="1062"/>
      <c r="AA331" s="1062"/>
      <c r="AB331" s="1062"/>
      <c r="AC331" s="1062"/>
      <c r="AD331" s="1062"/>
      <c r="AE331" s="1062"/>
      <c r="AF331" s="1062"/>
      <c r="AG331" s="1062"/>
      <c r="AH331" s="1062"/>
      <c r="AI331" s="1062"/>
      <c r="AJ331" s="1062"/>
      <c r="AK331" s="1062"/>
      <c r="AL331" s="1062"/>
      <c r="AM331" s="1062"/>
      <c r="AN331" s="1062"/>
      <c r="AO331" s="1062"/>
      <c r="AP331" s="1062"/>
      <c r="AQ331" s="1062"/>
      <c r="AR331" s="1062"/>
      <c r="AS331" s="1062"/>
      <c r="AT331" s="1062"/>
      <c r="AU331" s="1062"/>
      <c r="AV331" s="1062"/>
      <c r="AW331" s="1062"/>
      <c r="AX331" s="1062"/>
      <c r="AY331" s="1062"/>
      <c r="AZ331" s="1062"/>
      <c r="BA331" s="1062"/>
      <c r="BB331" s="1062"/>
      <c r="BC331" s="1062"/>
      <c r="BD331" s="1062"/>
      <c r="BE331" s="1062"/>
      <c r="BF331" s="1062"/>
      <c r="BG331" s="1062"/>
      <c r="BH331" s="1062"/>
      <c r="BI331" s="1065" t="s">
        <v>3640</v>
      </c>
      <c r="BJ331" s="1407" t="s">
        <v>3641</v>
      </c>
      <c r="BK331" s="1134" t="s">
        <v>3304</v>
      </c>
      <c r="BL331" s="1134" t="s">
        <v>1923</v>
      </c>
      <c r="BM331" s="1134" t="s">
        <v>3091</v>
      </c>
      <c r="BN331" s="1134" t="s">
        <v>291</v>
      </c>
      <c r="BO331" s="1136"/>
      <c r="BP331" s="1137"/>
      <c r="BQ331" s="1138"/>
      <c r="BR331" s="1138"/>
      <c r="BS331" s="1139"/>
      <c r="BT331" s="1140"/>
    </row>
    <row r="332" spans="1:72" s="1126" customFormat="1" ht="37.5" customHeight="1">
      <c r="A332" s="1099">
        <f>A319+1</f>
        <v>116</v>
      </c>
      <c r="B332" s="1175" t="s">
        <v>3642</v>
      </c>
      <c r="C332" s="1083"/>
      <c r="D332" s="1083"/>
      <c r="E332" s="1174" t="s">
        <v>48</v>
      </c>
      <c r="F332" s="1031">
        <f t="shared" si="101"/>
        <v>0.05</v>
      </c>
      <c r="G332" s="1029">
        <v>0.05</v>
      </c>
      <c r="H332" s="1026"/>
      <c r="I332" s="1026"/>
      <c r="J332" s="1029"/>
      <c r="K332" s="1029"/>
      <c r="L332" s="1029"/>
      <c r="M332" s="1029"/>
      <c r="N332" s="1029"/>
      <c r="O332" s="1029"/>
      <c r="P332" s="1029"/>
      <c r="Q332" s="1029"/>
      <c r="R332" s="1029"/>
      <c r="S332" s="1029"/>
      <c r="T332" s="1029"/>
      <c r="U332" s="1029"/>
      <c r="V332" s="1029"/>
      <c r="W332" s="1029"/>
      <c r="X332" s="1029"/>
      <c r="Y332" s="1029"/>
      <c r="Z332" s="1029"/>
      <c r="AA332" s="1029"/>
      <c r="AB332" s="1029"/>
      <c r="AC332" s="1029"/>
      <c r="AD332" s="1029"/>
      <c r="AE332" s="1029"/>
      <c r="AF332" s="1029"/>
      <c r="AG332" s="1029"/>
      <c r="AH332" s="1029"/>
      <c r="AI332" s="1029"/>
      <c r="AJ332" s="1029"/>
      <c r="AK332" s="1029"/>
      <c r="AL332" s="1029"/>
      <c r="AM332" s="1029"/>
      <c r="AN332" s="1029"/>
      <c r="AO332" s="1029"/>
      <c r="AP332" s="1029"/>
      <c r="AQ332" s="1029"/>
      <c r="AR332" s="1029"/>
      <c r="AS332" s="1029"/>
      <c r="AT332" s="1029"/>
      <c r="AU332" s="1029"/>
      <c r="AV332" s="1029"/>
      <c r="AW332" s="1029"/>
      <c r="AX332" s="1029"/>
      <c r="AY332" s="1029"/>
      <c r="AZ332" s="1029"/>
      <c r="BA332" s="1029"/>
      <c r="BB332" s="1029"/>
      <c r="BC332" s="1029"/>
      <c r="BD332" s="1029"/>
      <c r="BE332" s="1029"/>
      <c r="BF332" s="1029"/>
      <c r="BG332" s="1029"/>
      <c r="BH332" s="1029"/>
      <c r="BI332" s="1120" t="s">
        <v>3643</v>
      </c>
      <c r="BJ332" s="1120" t="s">
        <v>3644</v>
      </c>
      <c r="BK332" s="1120" t="s">
        <v>3304</v>
      </c>
      <c r="BL332" s="1171"/>
      <c r="BM332" s="1120"/>
      <c r="BN332" s="1120" t="s">
        <v>298</v>
      </c>
      <c r="BO332" s="1121"/>
      <c r="BP332" s="1122">
        <v>1</v>
      </c>
      <c r="BQ332" s="1123"/>
      <c r="BR332" s="1123"/>
      <c r="BS332" s="1124"/>
      <c r="BT332" s="1125"/>
    </row>
    <row r="333" spans="1:72" s="1126" customFormat="1" ht="71.45" customHeight="1">
      <c r="A333" s="1099">
        <f>A332+1</f>
        <v>117</v>
      </c>
      <c r="B333" s="1215" t="s">
        <v>3645</v>
      </c>
      <c r="C333" s="1032"/>
      <c r="D333" s="1032"/>
      <c r="E333" s="1118" t="s">
        <v>48</v>
      </c>
      <c r="F333" s="1031">
        <f>G333+H333</f>
        <v>0.1</v>
      </c>
      <c r="G333" s="1029">
        <v>0.1</v>
      </c>
      <c r="H333" s="1029"/>
      <c r="I333" s="1029"/>
      <c r="J333" s="1029"/>
      <c r="K333" s="1029"/>
      <c r="L333" s="1029"/>
      <c r="M333" s="1029"/>
      <c r="N333" s="1029"/>
      <c r="O333" s="1029"/>
      <c r="P333" s="1029"/>
      <c r="Q333" s="1029"/>
      <c r="R333" s="1029"/>
      <c r="S333" s="1029"/>
      <c r="T333" s="1029"/>
      <c r="U333" s="1029"/>
      <c r="V333" s="1029"/>
      <c r="W333" s="1029"/>
      <c r="X333" s="1029"/>
      <c r="Y333" s="1029"/>
      <c r="Z333" s="1029"/>
      <c r="AA333" s="1029"/>
      <c r="AB333" s="1029"/>
      <c r="AC333" s="1029"/>
      <c r="AD333" s="1029"/>
      <c r="AE333" s="1029"/>
      <c r="AF333" s="1029"/>
      <c r="AG333" s="1029"/>
      <c r="AH333" s="1029"/>
      <c r="AI333" s="1029"/>
      <c r="AJ333" s="1029"/>
      <c r="AK333" s="1029"/>
      <c r="AL333" s="1029"/>
      <c r="AM333" s="1029"/>
      <c r="AN333" s="1029"/>
      <c r="AO333" s="1029"/>
      <c r="AP333" s="1029"/>
      <c r="AQ333" s="1029"/>
      <c r="AR333" s="1029"/>
      <c r="AS333" s="1029"/>
      <c r="AT333" s="1029"/>
      <c r="AU333" s="1029"/>
      <c r="AV333" s="1029"/>
      <c r="AW333" s="1029"/>
      <c r="AX333" s="1029"/>
      <c r="AY333" s="1029"/>
      <c r="AZ333" s="1029"/>
      <c r="BA333" s="1029"/>
      <c r="BB333" s="1029"/>
      <c r="BC333" s="1029"/>
      <c r="BD333" s="1029"/>
      <c r="BE333" s="1029"/>
      <c r="BF333" s="1029"/>
      <c r="BG333" s="1029"/>
      <c r="BH333" s="1029"/>
      <c r="BI333" s="1032" t="s">
        <v>3565</v>
      </c>
      <c r="BJ333" s="1379" t="s">
        <v>3566</v>
      </c>
      <c r="BK333" s="1120" t="s">
        <v>3646</v>
      </c>
      <c r="BL333" s="1379" t="s">
        <v>1923</v>
      </c>
      <c r="BM333" s="1120" t="s">
        <v>3091</v>
      </c>
      <c r="BN333" s="1120" t="s">
        <v>291</v>
      </c>
      <c r="BO333" s="1121"/>
      <c r="BP333" s="1122">
        <v>1</v>
      </c>
      <c r="BQ333" s="1123"/>
      <c r="BR333" s="1123"/>
      <c r="BS333" s="1124"/>
      <c r="BT333" s="1125"/>
    </row>
    <row r="334" spans="1:72" s="1126" customFormat="1" ht="60.6" customHeight="1">
      <c r="A334" s="1099">
        <f>A333+1</f>
        <v>118</v>
      </c>
      <c r="B334" s="1130" t="s">
        <v>3647</v>
      </c>
      <c r="C334" s="1127"/>
      <c r="D334" s="1127"/>
      <c r="E334" s="1118" t="s">
        <v>48</v>
      </c>
      <c r="F334" s="1031">
        <f>G334+H334</f>
        <v>0.4</v>
      </c>
      <c r="G334" s="1031">
        <f>0.34+G335</f>
        <v>0.4</v>
      </c>
      <c r="H334" s="1029"/>
      <c r="I334" s="1029"/>
      <c r="J334" s="1029"/>
      <c r="K334" s="1029"/>
      <c r="L334" s="1029"/>
      <c r="M334" s="1029"/>
      <c r="N334" s="1029"/>
      <c r="O334" s="1029"/>
      <c r="P334" s="1029"/>
      <c r="Q334" s="1029"/>
      <c r="R334" s="1029"/>
      <c r="S334" s="1029"/>
      <c r="T334" s="1029"/>
      <c r="U334" s="1029"/>
      <c r="V334" s="1029"/>
      <c r="W334" s="1029"/>
      <c r="X334" s="1029"/>
      <c r="Y334" s="1029"/>
      <c r="Z334" s="1029"/>
      <c r="AA334" s="1029"/>
      <c r="AB334" s="1029"/>
      <c r="AC334" s="1029"/>
      <c r="AD334" s="1029"/>
      <c r="AE334" s="1029"/>
      <c r="AF334" s="1029"/>
      <c r="AG334" s="1029"/>
      <c r="AH334" s="1029"/>
      <c r="AI334" s="1029"/>
      <c r="AJ334" s="1029"/>
      <c r="AK334" s="1029"/>
      <c r="AL334" s="1029"/>
      <c r="AM334" s="1029"/>
      <c r="AN334" s="1029"/>
      <c r="AO334" s="1029"/>
      <c r="AP334" s="1029"/>
      <c r="AQ334" s="1029"/>
      <c r="AR334" s="1029"/>
      <c r="AS334" s="1029"/>
      <c r="AT334" s="1029"/>
      <c r="AU334" s="1029"/>
      <c r="AV334" s="1029"/>
      <c r="AW334" s="1029"/>
      <c r="AX334" s="1029"/>
      <c r="AY334" s="1029"/>
      <c r="AZ334" s="1029"/>
      <c r="BA334" s="1029"/>
      <c r="BB334" s="1029"/>
      <c r="BC334" s="1029"/>
      <c r="BD334" s="1029"/>
      <c r="BE334" s="1029"/>
      <c r="BF334" s="1029"/>
      <c r="BG334" s="1029"/>
      <c r="BH334" s="1029"/>
      <c r="BI334" s="1127" t="s">
        <v>3648</v>
      </c>
      <c r="BJ334" s="1120" t="s">
        <v>3649</v>
      </c>
      <c r="BK334" s="1120" t="s">
        <v>3304</v>
      </c>
      <c r="BL334" s="1379" t="s">
        <v>1923</v>
      </c>
      <c r="BM334" s="1120" t="s">
        <v>3091</v>
      </c>
      <c r="BN334" s="1120" t="s">
        <v>291</v>
      </c>
      <c r="BO334" s="1121"/>
      <c r="BP334" s="1122">
        <v>1</v>
      </c>
      <c r="BQ334" s="1123"/>
      <c r="BR334" s="1123"/>
      <c r="BS334" s="1124"/>
      <c r="BT334" s="1125"/>
    </row>
    <row r="335" spans="1:72" s="1141" customFormat="1" ht="25.5" hidden="1">
      <c r="A335" s="1132"/>
      <c r="B335" s="1133" t="s">
        <v>3650</v>
      </c>
      <c r="C335" s="1163"/>
      <c r="D335" s="1163"/>
      <c r="E335" s="1135" t="s">
        <v>48</v>
      </c>
      <c r="F335" s="1063">
        <f>G335+H335</f>
        <v>0.06</v>
      </c>
      <c r="G335" s="1063">
        <v>0.06</v>
      </c>
      <c r="H335" s="1062"/>
      <c r="I335" s="1062"/>
      <c r="J335" s="1062"/>
      <c r="K335" s="1062"/>
      <c r="L335" s="1062"/>
      <c r="M335" s="1062"/>
      <c r="N335" s="1062"/>
      <c r="O335" s="1062"/>
      <c r="P335" s="1062"/>
      <c r="Q335" s="1062"/>
      <c r="R335" s="1062"/>
      <c r="S335" s="1062"/>
      <c r="T335" s="1062"/>
      <c r="U335" s="1062"/>
      <c r="V335" s="1062"/>
      <c r="W335" s="1062"/>
      <c r="X335" s="1062"/>
      <c r="Y335" s="1062"/>
      <c r="Z335" s="1062"/>
      <c r="AA335" s="1062"/>
      <c r="AB335" s="1062"/>
      <c r="AC335" s="1062"/>
      <c r="AD335" s="1062"/>
      <c r="AE335" s="1062"/>
      <c r="AF335" s="1062"/>
      <c r="AG335" s="1062"/>
      <c r="AH335" s="1062"/>
      <c r="AI335" s="1062"/>
      <c r="AJ335" s="1062"/>
      <c r="AK335" s="1062"/>
      <c r="AL335" s="1062"/>
      <c r="AM335" s="1062"/>
      <c r="AN335" s="1062"/>
      <c r="AO335" s="1062"/>
      <c r="AP335" s="1062"/>
      <c r="AQ335" s="1062"/>
      <c r="AR335" s="1062"/>
      <c r="AS335" s="1062"/>
      <c r="AT335" s="1062"/>
      <c r="AU335" s="1062"/>
      <c r="AV335" s="1062"/>
      <c r="AW335" s="1062"/>
      <c r="AX335" s="1062"/>
      <c r="AY335" s="1062"/>
      <c r="AZ335" s="1062"/>
      <c r="BA335" s="1062"/>
      <c r="BB335" s="1062"/>
      <c r="BC335" s="1062"/>
      <c r="BD335" s="1062"/>
      <c r="BE335" s="1062"/>
      <c r="BF335" s="1062"/>
      <c r="BG335" s="1062"/>
      <c r="BH335" s="1062"/>
      <c r="BI335" s="1163" t="s">
        <v>3651</v>
      </c>
      <c r="BJ335" s="1135" t="s">
        <v>3652</v>
      </c>
      <c r="BK335" s="1134" t="s">
        <v>3304</v>
      </c>
      <c r="BL335" s="1408" t="s">
        <v>1923</v>
      </c>
      <c r="BM335" s="1134" t="s">
        <v>3091</v>
      </c>
      <c r="BN335" s="1134" t="s">
        <v>291</v>
      </c>
      <c r="BO335" s="1136"/>
      <c r="BP335" s="1137"/>
      <c r="BQ335" s="1138"/>
      <c r="BR335" s="1138"/>
      <c r="BS335" s="1139"/>
      <c r="BT335" s="1140"/>
    </row>
    <row r="336" spans="1:72" s="1126" customFormat="1" ht="32.1" customHeight="1">
      <c r="A336" s="1099">
        <f>A334+1</f>
        <v>119</v>
      </c>
      <c r="B336" s="1130" t="s">
        <v>3653</v>
      </c>
      <c r="C336" s="1127"/>
      <c r="D336" s="1127"/>
      <c r="E336" s="1118" t="s">
        <v>48</v>
      </c>
      <c r="F336" s="1031">
        <f>G336+H336</f>
        <v>0.11</v>
      </c>
      <c r="G336" s="1031">
        <v>0.11</v>
      </c>
      <c r="H336" s="1029"/>
      <c r="I336" s="1029"/>
      <c r="J336" s="1029"/>
      <c r="K336" s="1029"/>
      <c r="L336" s="1029"/>
      <c r="M336" s="1029"/>
      <c r="N336" s="1029"/>
      <c r="O336" s="1029"/>
      <c r="P336" s="1029"/>
      <c r="Q336" s="1029"/>
      <c r="R336" s="1029"/>
      <c r="S336" s="1029"/>
      <c r="T336" s="1029"/>
      <c r="U336" s="1029"/>
      <c r="V336" s="1029"/>
      <c r="W336" s="1029"/>
      <c r="X336" s="1029"/>
      <c r="Y336" s="1029"/>
      <c r="Z336" s="1029"/>
      <c r="AA336" s="1029"/>
      <c r="AB336" s="1029"/>
      <c r="AC336" s="1029"/>
      <c r="AD336" s="1029"/>
      <c r="AE336" s="1029"/>
      <c r="AF336" s="1029"/>
      <c r="AG336" s="1029"/>
      <c r="AH336" s="1029"/>
      <c r="AI336" s="1029"/>
      <c r="AJ336" s="1029"/>
      <c r="AK336" s="1029"/>
      <c r="AL336" s="1029"/>
      <c r="AM336" s="1029"/>
      <c r="AN336" s="1029"/>
      <c r="AO336" s="1029"/>
      <c r="AP336" s="1029"/>
      <c r="AQ336" s="1029"/>
      <c r="AR336" s="1029"/>
      <c r="AS336" s="1029"/>
      <c r="AT336" s="1029"/>
      <c r="AU336" s="1029"/>
      <c r="AV336" s="1029"/>
      <c r="AW336" s="1029"/>
      <c r="AX336" s="1029"/>
      <c r="AY336" s="1029"/>
      <c r="AZ336" s="1029"/>
      <c r="BA336" s="1029"/>
      <c r="BB336" s="1029"/>
      <c r="BC336" s="1029"/>
      <c r="BD336" s="1029"/>
      <c r="BE336" s="1029"/>
      <c r="BF336" s="1029"/>
      <c r="BG336" s="1029"/>
      <c r="BH336" s="1029"/>
      <c r="BI336" s="1120" t="s">
        <v>3643</v>
      </c>
      <c r="BJ336" s="1032" t="s">
        <v>3654</v>
      </c>
      <c r="BK336" s="1120" t="s">
        <v>3655</v>
      </c>
      <c r="BL336" s="1379"/>
      <c r="BM336" s="1120"/>
      <c r="BN336" s="1120" t="s">
        <v>298</v>
      </c>
      <c r="BO336" s="1121"/>
      <c r="BP336" s="1122">
        <v>1</v>
      </c>
      <c r="BQ336" s="1123"/>
      <c r="BR336" s="1123"/>
      <c r="BS336" s="1124"/>
      <c r="BT336" s="1125"/>
    </row>
    <row r="337" spans="1:72" s="1126" customFormat="1" ht="86.45" customHeight="1">
      <c r="A337" s="1099">
        <f t="shared" ref="A337:A383" si="102">A336+1</f>
        <v>120</v>
      </c>
      <c r="B337" s="1215" t="s">
        <v>3656</v>
      </c>
      <c r="C337" s="1032"/>
      <c r="D337" s="1032"/>
      <c r="E337" s="1118" t="s">
        <v>48</v>
      </c>
      <c r="F337" s="1031">
        <f t="shared" si="101"/>
        <v>0.21000000000000002</v>
      </c>
      <c r="G337" s="1029">
        <v>0.21000000000000002</v>
      </c>
      <c r="H337" s="1029"/>
      <c r="I337" s="1029"/>
      <c r="J337" s="1029"/>
      <c r="K337" s="1029"/>
      <c r="L337" s="1029"/>
      <c r="M337" s="1029"/>
      <c r="N337" s="1029"/>
      <c r="O337" s="1029"/>
      <c r="P337" s="1029"/>
      <c r="Q337" s="1029"/>
      <c r="R337" s="1029"/>
      <c r="S337" s="1029"/>
      <c r="T337" s="1029"/>
      <c r="U337" s="1029"/>
      <c r="V337" s="1029"/>
      <c r="W337" s="1029"/>
      <c r="X337" s="1029"/>
      <c r="Y337" s="1029"/>
      <c r="Z337" s="1029"/>
      <c r="AA337" s="1029"/>
      <c r="AB337" s="1029"/>
      <c r="AC337" s="1029"/>
      <c r="AD337" s="1029"/>
      <c r="AE337" s="1029"/>
      <c r="AF337" s="1029"/>
      <c r="AG337" s="1029"/>
      <c r="AH337" s="1029"/>
      <c r="AI337" s="1029"/>
      <c r="AJ337" s="1029"/>
      <c r="AK337" s="1029"/>
      <c r="AL337" s="1029"/>
      <c r="AM337" s="1029"/>
      <c r="AN337" s="1029"/>
      <c r="AO337" s="1029"/>
      <c r="AP337" s="1029"/>
      <c r="AQ337" s="1029"/>
      <c r="AR337" s="1029"/>
      <c r="AS337" s="1029"/>
      <c r="AT337" s="1029"/>
      <c r="AU337" s="1029"/>
      <c r="AV337" s="1029"/>
      <c r="AW337" s="1029"/>
      <c r="AX337" s="1029"/>
      <c r="AY337" s="1029"/>
      <c r="AZ337" s="1029"/>
      <c r="BA337" s="1029"/>
      <c r="BB337" s="1029"/>
      <c r="BC337" s="1029"/>
      <c r="BD337" s="1029"/>
      <c r="BE337" s="1029"/>
      <c r="BF337" s="1029"/>
      <c r="BG337" s="1029"/>
      <c r="BH337" s="1029"/>
      <c r="BI337" s="1032" t="s">
        <v>3657</v>
      </c>
      <c r="BJ337" s="1379" t="s">
        <v>3658</v>
      </c>
      <c r="BK337" s="1120" t="s">
        <v>3321</v>
      </c>
      <c r="BL337" s="1120" t="s">
        <v>1923</v>
      </c>
      <c r="BM337" s="1120" t="s">
        <v>3091</v>
      </c>
      <c r="BN337" s="1120" t="s">
        <v>291</v>
      </c>
      <c r="BO337" s="1121"/>
      <c r="BP337" s="1122">
        <v>1</v>
      </c>
      <c r="BQ337" s="1123"/>
      <c r="BR337" s="1123"/>
      <c r="BS337" s="1124"/>
      <c r="BT337" s="1125"/>
    </row>
    <row r="338" spans="1:72" s="1126" customFormat="1" ht="63" customHeight="1">
      <c r="A338" s="1099">
        <f t="shared" si="102"/>
        <v>121</v>
      </c>
      <c r="B338" s="1070" t="s">
        <v>3659</v>
      </c>
      <c r="C338" s="1127"/>
      <c r="D338" s="1127"/>
      <c r="E338" s="1118" t="s">
        <v>48</v>
      </c>
      <c r="F338" s="1031">
        <f>G338+H338</f>
        <v>0.29000000000000004</v>
      </c>
      <c r="G338" s="1031">
        <f>0.19+G339+G340</f>
        <v>0.29000000000000004</v>
      </c>
      <c r="H338" s="1029"/>
      <c r="I338" s="1029"/>
      <c r="J338" s="1029"/>
      <c r="K338" s="1029"/>
      <c r="L338" s="1029"/>
      <c r="M338" s="1029"/>
      <c r="N338" s="1029"/>
      <c r="O338" s="1029"/>
      <c r="P338" s="1029"/>
      <c r="Q338" s="1029"/>
      <c r="R338" s="1029"/>
      <c r="S338" s="1029"/>
      <c r="T338" s="1029"/>
      <c r="U338" s="1029"/>
      <c r="V338" s="1029"/>
      <c r="W338" s="1029"/>
      <c r="X338" s="1029"/>
      <c r="Y338" s="1029"/>
      <c r="Z338" s="1029"/>
      <c r="AA338" s="1029"/>
      <c r="AB338" s="1029"/>
      <c r="AC338" s="1029"/>
      <c r="AD338" s="1029"/>
      <c r="AE338" s="1029"/>
      <c r="AF338" s="1029"/>
      <c r="AG338" s="1029"/>
      <c r="AH338" s="1029"/>
      <c r="AI338" s="1029"/>
      <c r="AJ338" s="1029"/>
      <c r="AK338" s="1029"/>
      <c r="AL338" s="1029"/>
      <c r="AM338" s="1029"/>
      <c r="AN338" s="1029"/>
      <c r="AO338" s="1029"/>
      <c r="AP338" s="1029"/>
      <c r="AQ338" s="1029"/>
      <c r="AR338" s="1029"/>
      <c r="AS338" s="1029"/>
      <c r="AT338" s="1029"/>
      <c r="AU338" s="1029"/>
      <c r="AV338" s="1029"/>
      <c r="AW338" s="1029"/>
      <c r="AX338" s="1029"/>
      <c r="AY338" s="1029"/>
      <c r="AZ338" s="1029"/>
      <c r="BA338" s="1029"/>
      <c r="BB338" s="1029"/>
      <c r="BC338" s="1029"/>
      <c r="BD338" s="1029"/>
      <c r="BE338" s="1029"/>
      <c r="BF338" s="1029"/>
      <c r="BG338" s="1029"/>
      <c r="BH338" s="1029"/>
      <c r="BI338" s="1127" t="s">
        <v>3660</v>
      </c>
      <c r="BJ338" s="1120" t="s">
        <v>3661</v>
      </c>
      <c r="BK338" s="1120" t="s">
        <v>3304</v>
      </c>
      <c r="BL338" s="1120" t="s">
        <v>1923</v>
      </c>
      <c r="BM338" s="1120" t="s">
        <v>3662</v>
      </c>
      <c r="BN338" s="1120" t="s">
        <v>291</v>
      </c>
      <c r="BO338" s="1121"/>
      <c r="BP338" s="1122">
        <v>1</v>
      </c>
      <c r="BQ338" s="1123"/>
      <c r="BR338" s="1123"/>
      <c r="BS338" s="1124" t="s">
        <v>3663</v>
      </c>
      <c r="BT338" s="1125"/>
    </row>
    <row r="339" spans="1:72" s="1141" customFormat="1" ht="30" hidden="1" customHeight="1">
      <c r="A339" s="1132"/>
      <c r="B339" s="1067" t="s">
        <v>3664</v>
      </c>
      <c r="C339" s="1163"/>
      <c r="D339" s="1163"/>
      <c r="E339" s="1135" t="s">
        <v>48</v>
      </c>
      <c r="F339" s="1063">
        <f t="shared" si="101"/>
        <v>7.0000000000000007E-2</v>
      </c>
      <c r="G339" s="1063">
        <v>7.0000000000000007E-2</v>
      </c>
      <c r="H339" s="1062"/>
      <c r="I339" s="1062"/>
      <c r="J339" s="1062"/>
      <c r="K339" s="1062"/>
      <c r="L339" s="1062"/>
      <c r="M339" s="1062"/>
      <c r="N339" s="1062"/>
      <c r="O339" s="1062"/>
      <c r="P339" s="1062"/>
      <c r="Q339" s="1062"/>
      <c r="R339" s="1062"/>
      <c r="S339" s="1062"/>
      <c r="T339" s="1062"/>
      <c r="U339" s="1062"/>
      <c r="V339" s="1062"/>
      <c r="W339" s="1062"/>
      <c r="X339" s="1062"/>
      <c r="Y339" s="1062"/>
      <c r="Z339" s="1062"/>
      <c r="AA339" s="1062"/>
      <c r="AB339" s="1062"/>
      <c r="AC339" s="1062"/>
      <c r="AD339" s="1062"/>
      <c r="AE339" s="1062"/>
      <c r="AF339" s="1062"/>
      <c r="AG339" s="1062"/>
      <c r="AH339" s="1062"/>
      <c r="AI339" s="1062"/>
      <c r="AJ339" s="1062"/>
      <c r="AK339" s="1062"/>
      <c r="AL339" s="1062"/>
      <c r="AM339" s="1062"/>
      <c r="AN339" s="1062"/>
      <c r="AO339" s="1062"/>
      <c r="AP339" s="1062"/>
      <c r="AQ339" s="1062"/>
      <c r="AR339" s="1062"/>
      <c r="AS339" s="1062"/>
      <c r="AT339" s="1062"/>
      <c r="AU339" s="1062"/>
      <c r="AV339" s="1062"/>
      <c r="AW339" s="1062"/>
      <c r="AX339" s="1062"/>
      <c r="AY339" s="1062"/>
      <c r="AZ339" s="1062"/>
      <c r="BA339" s="1062"/>
      <c r="BB339" s="1062"/>
      <c r="BC339" s="1062"/>
      <c r="BD339" s="1062"/>
      <c r="BE339" s="1062"/>
      <c r="BF339" s="1062"/>
      <c r="BG339" s="1062"/>
      <c r="BH339" s="1062"/>
      <c r="BI339" s="1163" t="s">
        <v>3665</v>
      </c>
      <c r="BJ339" s="1134" t="s">
        <v>3666</v>
      </c>
      <c r="BK339" s="1134" t="s">
        <v>3304</v>
      </c>
      <c r="BL339" s="1134" t="s">
        <v>1923</v>
      </c>
      <c r="BM339" s="1134" t="s">
        <v>3667</v>
      </c>
      <c r="BN339" s="1134" t="s">
        <v>3668</v>
      </c>
      <c r="BO339" s="1136"/>
      <c r="BP339" s="1137"/>
      <c r="BQ339" s="1138"/>
      <c r="BR339" s="1138"/>
      <c r="BS339" s="1139"/>
      <c r="BT339" s="1140"/>
    </row>
    <row r="340" spans="1:72" s="1141" customFormat="1" ht="34.5" hidden="1" customHeight="1">
      <c r="A340" s="1132"/>
      <c r="B340" s="1067" t="s">
        <v>3669</v>
      </c>
      <c r="C340" s="1163"/>
      <c r="D340" s="1163"/>
      <c r="E340" s="1135" t="s">
        <v>48</v>
      </c>
      <c r="F340" s="1063">
        <f t="shared" si="101"/>
        <v>0.03</v>
      </c>
      <c r="G340" s="1063">
        <v>0.03</v>
      </c>
      <c r="H340" s="1062"/>
      <c r="I340" s="1062"/>
      <c r="J340" s="1062"/>
      <c r="K340" s="1062"/>
      <c r="L340" s="1062"/>
      <c r="M340" s="1062"/>
      <c r="N340" s="1062"/>
      <c r="O340" s="1062"/>
      <c r="P340" s="1062"/>
      <c r="Q340" s="1062"/>
      <c r="R340" s="1062"/>
      <c r="S340" s="1062"/>
      <c r="T340" s="1062"/>
      <c r="U340" s="1062"/>
      <c r="V340" s="1062"/>
      <c r="W340" s="1062"/>
      <c r="X340" s="1062"/>
      <c r="Y340" s="1062"/>
      <c r="Z340" s="1062"/>
      <c r="AA340" s="1062"/>
      <c r="AB340" s="1062"/>
      <c r="AC340" s="1062"/>
      <c r="AD340" s="1062"/>
      <c r="AE340" s="1062"/>
      <c r="AF340" s="1062"/>
      <c r="AG340" s="1062"/>
      <c r="AH340" s="1062"/>
      <c r="AI340" s="1062"/>
      <c r="AJ340" s="1062"/>
      <c r="AK340" s="1062"/>
      <c r="AL340" s="1062"/>
      <c r="AM340" s="1062"/>
      <c r="AN340" s="1062"/>
      <c r="AO340" s="1062"/>
      <c r="AP340" s="1062"/>
      <c r="AQ340" s="1062"/>
      <c r="AR340" s="1062"/>
      <c r="AS340" s="1062"/>
      <c r="AT340" s="1062"/>
      <c r="AU340" s="1062"/>
      <c r="AV340" s="1062"/>
      <c r="AW340" s="1062"/>
      <c r="AX340" s="1062"/>
      <c r="AY340" s="1062"/>
      <c r="AZ340" s="1062"/>
      <c r="BA340" s="1062"/>
      <c r="BB340" s="1062"/>
      <c r="BC340" s="1062"/>
      <c r="BD340" s="1062"/>
      <c r="BE340" s="1062"/>
      <c r="BF340" s="1062"/>
      <c r="BG340" s="1062"/>
      <c r="BH340" s="1062"/>
      <c r="BI340" s="1163" t="s">
        <v>3670</v>
      </c>
      <c r="BJ340" s="1134" t="s">
        <v>3671</v>
      </c>
      <c r="BK340" s="1134" t="s">
        <v>3304</v>
      </c>
      <c r="BL340" s="1134" t="s">
        <v>1923</v>
      </c>
      <c r="BM340" s="1134" t="s">
        <v>3091</v>
      </c>
      <c r="BN340" s="1134" t="s">
        <v>291</v>
      </c>
      <c r="BO340" s="1136"/>
      <c r="BP340" s="1137"/>
      <c r="BQ340" s="1138"/>
      <c r="BR340" s="1138"/>
      <c r="BS340" s="1139"/>
      <c r="BT340" s="1140"/>
    </row>
    <row r="341" spans="1:72" s="1126" customFormat="1" ht="81.75" customHeight="1">
      <c r="A341" s="1099">
        <f>A338+1</f>
        <v>122</v>
      </c>
      <c r="B341" s="1215" t="s">
        <v>3672</v>
      </c>
      <c r="C341" s="1120"/>
      <c r="D341" s="1120"/>
      <c r="E341" s="1118" t="s">
        <v>48</v>
      </c>
      <c r="F341" s="1029">
        <f>G341+H341</f>
        <v>0.05</v>
      </c>
      <c r="G341" s="1031">
        <v>0.05</v>
      </c>
      <c r="H341" s="1029"/>
      <c r="I341" s="1029"/>
      <c r="J341" s="1029"/>
      <c r="K341" s="1029"/>
      <c r="L341" s="1029"/>
      <c r="M341" s="1029"/>
      <c r="N341" s="1029"/>
      <c r="O341" s="1029"/>
      <c r="P341" s="1029"/>
      <c r="Q341" s="1029"/>
      <c r="R341" s="1029"/>
      <c r="S341" s="1029"/>
      <c r="T341" s="1029"/>
      <c r="U341" s="1029"/>
      <c r="V341" s="1029"/>
      <c r="W341" s="1029"/>
      <c r="X341" s="1029"/>
      <c r="Y341" s="1029"/>
      <c r="Z341" s="1029"/>
      <c r="AA341" s="1029"/>
      <c r="AB341" s="1029"/>
      <c r="AC341" s="1029"/>
      <c r="AD341" s="1029"/>
      <c r="AE341" s="1029"/>
      <c r="AF341" s="1029"/>
      <c r="AG341" s="1029"/>
      <c r="AH341" s="1029"/>
      <c r="AI341" s="1029"/>
      <c r="AJ341" s="1029"/>
      <c r="AK341" s="1029"/>
      <c r="AL341" s="1029"/>
      <c r="AM341" s="1029"/>
      <c r="AN341" s="1029"/>
      <c r="AO341" s="1029"/>
      <c r="AP341" s="1029"/>
      <c r="AQ341" s="1029"/>
      <c r="AR341" s="1029"/>
      <c r="AS341" s="1029"/>
      <c r="AT341" s="1029"/>
      <c r="AU341" s="1029"/>
      <c r="AV341" s="1029"/>
      <c r="AW341" s="1029"/>
      <c r="AX341" s="1029"/>
      <c r="AY341" s="1029"/>
      <c r="AZ341" s="1029"/>
      <c r="BA341" s="1029"/>
      <c r="BB341" s="1029"/>
      <c r="BC341" s="1029"/>
      <c r="BD341" s="1029"/>
      <c r="BE341" s="1029"/>
      <c r="BF341" s="1029"/>
      <c r="BG341" s="1029"/>
      <c r="BH341" s="1029"/>
      <c r="BI341" s="1120" t="s">
        <v>3673</v>
      </c>
      <c r="BJ341" s="1120" t="s">
        <v>3674</v>
      </c>
      <c r="BK341" s="1120" t="s">
        <v>3203</v>
      </c>
      <c r="BL341" s="1120" t="s">
        <v>1923</v>
      </c>
      <c r="BM341" s="1120" t="s">
        <v>3091</v>
      </c>
      <c r="BN341" s="1120" t="s">
        <v>291</v>
      </c>
      <c r="BO341" s="1121"/>
      <c r="BP341" s="1122">
        <v>1</v>
      </c>
      <c r="BQ341" s="1123"/>
      <c r="BR341" s="1123"/>
      <c r="BS341" s="1124"/>
      <c r="BT341" s="1125"/>
    </row>
    <row r="342" spans="1:72" s="1126" customFormat="1" ht="72.75" customHeight="1">
      <c r="A342" s="1099">
        <f t="shared" si="102"/>
        <v>123</v>
      </c>
      <c r="B342" s="1130" t="s">
        <v>3675</v>
      </c>
      <c r="C342" s="1248"/>
      <c r="D342" s="1248"/>
      <c r="E342" s="1174" t="s">
        <v>48</v>
      </c>
      <c r="F342" s="1031">
        <f>G342+H342</f>
        <v>0.35</v>
      </c>
      <c r="G342" s="1029">
        <v>0.35</v>
      </c>
      <c r="H342" s="1029"/>
      <c r="I342" s="1029"/>
      <c r="J342" s="1029"/>
      <c r="K342" s="1029"/>
      <c r="L342" s="1029"/>
      <c r="M342" s="1029"/>
      <c r="N342" s="1029"/>
      <c r="O342" s="1029"/>
      <c r="P342" s="1029"/>
      <c r="Q342" s="1029"/>
      <c r="R342" s="1029"/>
      <c r="S342" s="1029"/>
      <c r="T342" s="1029"/>
      <c r="U342" s="1029"/>
      <c r="V342" s="1029"/>
      <c r="W342" s="1029"/>
      <c r="X342" s="1029"/>
      <c r="Y342" s="1029"/>
      <c r="Z342" s="1029"/>
      <c r="AA342" s="1029"/>
      <c r="AB342" s="1029"/>
      <c r="AC342" s="1029"/>
      <c r="AD342" s="1029"/>
      <c r="AE342" s="1029"/>
      <c r="AF342" s="1029"/>
      <c r="AG342" s="1029"/>
      <c r="AH342" s="1029"/>
      <c r="AI342" s="1029"/>
      <c r="AJ342" s="1029"/>
      <c r="AK342" s="1029"/>
      <c r="AL342" s="1029"/>
      <c r="AM342" s="1029"/>
      <c r="AN342" s="1029"/>
      <c r="AO342" s="1029"/>
      <c r="AP342" s="1029"/>
      <c r="AQ342" s="1029"/>
      <c r="AR342" s="1029"/>
      <c r="AS342" s="1029"/>
      <c r="AT342" s="1029"/>
      <c r="AU342" s="1029"/>
      <c r="AV342" s="1029"/>
      <c r="AW342" s="1029"/>
      <c r="AX342" s="1029"/>
      <c r="AY342" s="1029"/>
      <c r="AZ342" s="1029"/>
      <c r="BA342" s="1029"/>
      <c r="BB342" s="1029"/>
      <c r="BC342" s="1029"/>
      <c r="BD342" s="1029"/>
      <c r="BE342" s="1029"/>
      <c r="BF342" s="1029"/>
      <c r="BG342" s="1029"/>
      <c r="BH342" s="1029"/>
      <c r="BI342" s="1248" t="s">
        <v>3557</v>
      </c>
      <c r="BJ342" s="1032" t="s">
        <v>3676</v>
      </c>
      <c r="BK342" s="1120" t="s">
        <v>3677</v>
      </c>
      <c r="BL342" s="1120" t="s">
        <v>1923</v>
      </c>
      <c r="BM342" s="1120" t="s">
        <v>3091</v>
      </c>
      <c r="BN342" s="1120" t="s">
        <v>291</v>
      </c>
      <c r="BO342" s="1121"/>
      <c r="BP342" s="1122">
        <v>1</v>
      </c>
      <c r="BQ342" s="1123"/>
      <c r="BR342" s="1123"/>
      <c r="BS342" s="1124"/>
      <c r="BT342" s="1125"/>
    </row>
    <row r="343" spans="1:72" s="1126" customFormat="1" ht="50.25" customHeight="1">
      <c r="A343" s="1099">
        <f t="shared" si="102"/>
        <v>124</v>
      </c>
      <c r="B343" s="1166" t="s">
        <v>3678</v>
      </c>
      <c r="C343" s="1083"/>
      <c r="D343" s="1083"/>
      <c r="E343" s="1118" t="s">
        <v>48</v>
      </c>
      <c r="F343" s="1031">
        <f>G343+H343</f>
        <v>0.23</v>
      </c>
      <c r="G343" s="1029">
        <v>0.23</v>
      </c>
      <c r="H343" s="1029"/>
      <c r="I343" s="1029"/>
      <c r="J343" s="1029"/>
      <c r="K343" s="1029"/>
      <c r="L343" s="1029"/>
      <c r="M343" s="1029"/>
      <c r="N343" s="1029"/>
      <c r="O343" s="1029"/>
      <c r="P343" s="1029"/>
      <c r="Q343" s="1029"/>
      <c r="R343" s="1029"/>
      <c r="S343" s="1029"/>
      <c r="T343" s="1029"/>
      <c r="U343" s="1029"/>
      <c r="V343" s="1029"/>
      <c r="W343" s="1029"/>
      <c r="X343" s="1029"/>
      <c r="Y343" s="1029"/>
      <c r="Z343" s="1029"/>
      <c r="AA343" s="1029"/>
      <c r="AB343" s="1029"/>
      <c r="AC343" s="1029"/>
      <c r="AD343" s="1029"/>
      <c r="AE343" s="1029"/>
      <c r="AF343" s="1029"/>
      <c r="AG343" s="1029"/>
      <c r="AH343" s="1029"/>
      <c r="AI343" s="1029"/>
      <c r="AJ343" s="1029"/>
      <c r="AK343" s="1029"/>
      <c r="AL343" s="1029"/>
      <c r="AM343" s="1029"/>
      <c r="AN343" s="1029"/>
      <c r="AO343" s="1029"/>
      <c r="AP343" s="1029"/>
      <c r="AQ343" s="1029"/>
      <c r="AR343" s="1029"/>
      <c r="AS343" s="1029"/>
      <c r="AT343" s="1029"/>
      <c r="AU343" s="1029"/>
      <c r="AV343" s="1029"/>
      <c r="AW343" s="1029"/>
      <c r="AX343" s="1029"/>
      <c r="AY343" s="1029"/>
      <c r="AZ343" s="1029"/>
      <c r="BA343" s="1029"/>
      <c r="BB343" s="1029"/>
      <c r="BC343" s="1029"/>
      <c r="BD343" s="1029"/>
      <c r="BE343" s="1029"/>
      <c r="BF343" s="1029"/>
      <c r="BG343" s="1029"/>
      <c r="BH343" s="1029"/>
      <c r="BI343" s="1083" t="s">
        <v>3679</v>
      </c>
      <c r="BJ343" s="1120" t="s">
        <v>3680</v>
      </c>
      <c r="BK343" s="1120" t="s">
        <v>3304</v>
      </c>
      <c r="BL343" s="1120" t="s">
        <v>1923</v>
      </c>
      <c r="BM343" s="1120" t="s">
        <v>3091</v>
      </c>
      <c r="BN343" s="1120" t="s">
        <v>291</v>
      </c>
      <c r="BO343" s="1121"/>
      <c r="BP343" s="1122">
        <v>1</v>
      </c>
      <c r="BQ343" s="1123"/>
      <c r="BR343" s="1123"/>
      <c r="BS343" s="1124"/>
      <c r="BT343" s="1125"/>
    </row>
    <row r="344" spans="1:72" s="1126" customFormat="1" ht="30.75" customHeight="1">
      <c r="A344" s="1099">
        <f>A343+1</f>
        <v>125</v>
      </c>
      <c r="B344" s="1130" t="s">
        <v>3681</v>
      </c>
      <c r="C344" s="1248"/>
      <c r="D344" s="1248"/>
      <c r="E344" s="1409" t="s">
        <v>48</v>
      </c>
      <c r="F344" s="1031">
        <f t="shared" si="101"/>
        <v>0.05</v>
      </c>
      <c r="G344" s="1029">
        <v>0.05</v>
      </c>
      <c r="H344" s="1026"/>
      <c r="I344" s="1026"/>
      <c r="J344" s="1029"/>
      <c r="K344" s="1029"/>
      <c r="L344" s="1029"/>
      <c r="M344" s="1029"/>
      <c r="N344" s="1029"/>
      <c r="O344" s="1029"/>
      <c r="P344" s="1029"/>
      <c r="Q344" s="1029"/>
      <c r="R344" s="1029"/>
      <c r="S344" s="1029"/>
      <c r="T344" s="1029"/>
      <c r="U344" s="1029"/>
      <c r="V344" s="1029"/>
      <c r="W344" s="1029"/>
      <c r="X344" s="1029"/>
      <c r="Y344" s="1029"/>
      <c r="Z344" s="1029"/>
      <c r="AA344" s="1029"/>
      <c r="AB344" s="1029"/>
      <c r="AC344" s="1029"/>
      <c r="AD344" s="1029"/>
      <c r="AE344" s="1029"/>
      <c r="AF344" s="1029"/>
      <c r="AG344" s="1029"/>
      <c r="AH344" s="1029"/>
      <c r="AI344" s="1029"/>
      <c r="AJ344" s="1029"/>
      <c r="AK344" s="1029"/>
      <c r="AL344" s="1029"/>
      <c r="AM344" s="1029"/>
      <c r="AN344" s="1029"/>
      <c r="AO344" s="1029"/>
      <c r="AP344" s="1029"/>
      <c r="AQ344" s="1029"/>
      <c r="AR344" s="1029"/>
      <c r="AS344" s="1029"/>
      <c r="AT344" s="1029"/>
      <c r="AU344" s="1029"/>
      <c r="AV344" s="1029"/>
      <c r="AW344" s="1029"/>
      <c r="AX344" s="1029"/>
      <c r="AY344" s="1029"/>
      <c r="AZ344" s="1029"/>
      <c r="BA344" s="1029"/>
      <c r="BB344" s="1029"/>
      <c r="BC344" s="1029"/>
      <c r="BD344" s="1029"/>
      <c r="BE344" s="1029"/>
      <c r="BF344" s="1029"/>
      <c r="BG344" s="1029"/>
      <c r="BH344" s="1029"/>
      <c r="BI344" s="1248" t="s">
        <v>3682</v>
      </c>
      <c r="BJ344" s="1120" t="s">
        <v>3683</v>
      </c>
      <c r="BK344" s="1120" t="s">
        <v>3684</v>
      </c>
      <c r="BL344" s="1120" t="s">
        <v>1923</v>
      </c>
      <c r="BM344" s="1120" t="s">
        <v>3091</v>
      </c>
      <c r="BN344" s="1120" t="s">
        <v>291</v>
      </c>
      <c r="BO344" s="1121"/>
      <c r="BP344" s="1122">
        <v>1</v>
      </c>
      <c r="BQ344" s="1123"/>
      <c r="BR344" s="1123"/>
      <c r="BS344" s="1124"/>
      <c r="BT344" s="1125"/>
    </row>
    <row r="345" spans="1:72" s="1126" customFormat="1" ht="48.75" customHeight="1">
      <c r="A345" s="1099">
        <f>A344+1</f>
        <v>126</v>
      </c>
      <c r="B345" s="1070" t="s">
        <v>3685</v>
      </c>
      <c r="C345" s="1127"/>
      <c r="D345" s="1127"/>
      <c r="E345" s="1118" t="s">
        <v>48</v>
      </c>
      <c r="F345" s="1031">
        <f>G345+H345</f>
        <v>0.14000000000000001</v>
      </c>
      <c r="G345" s="1031">
        <f>0.04+G347+G348</f>
        <v>0.14000000000000001</v>
      </c>
      <c r="H345" s="1029"/>
      <c r="I345" s="1029"/>
      <c r="J345" s="1029"/>
      <c r="K345" s="1029"/>
      <c r="L345" s="1029"/>
      <c r="M345" s="1029"/>
      <c r="N345" s="1029"/>
      <c r="O345" s="1029"/>
      <c r="P345" s="1029"/>
      <c r="Q345" s="1029"/>
      <c r="R345" s="1029"/>
      <c r="S345" s="1029"/>
      <c r="T345" s="1029"/>
      <c r="U345" s="1029"/>
      <c r="V345" s="1029"/>
      <c r="W345" s="1029"/>
      <c r="X345" s="1029"/>
      <c r="Y345" s="1029"/>
      <c r="Z345" s="1029"/>
      <c r="AA345" s="1029"/>
      <c r="AB345" s="1029"/>
      <c r="AC345" s="1029"/>
      <c r="AD345" s="1029"/>
      <c r="AE345" s="1029"/>
      <c r="AF345" s="1029"/>
      <c r="AG345" s="1029"/>
      <c r="AH345" s="1029"/>
      <c r="AI345" s="1029"/>
      <c r="AJ345" s="1029"/>
      <c r="AK345" s="1029"/>
      <c r="AL345" s="1029"/>
      <c r="AM345" s="1029"/>
      <c r="AN345" s="1029"/>
      <c r="AO345" s="1029"/>
      <c r="AP345" s="1029"/>
      <c r="AQ345" s="1029"/>
      <c r="AR345" s="1029"/>
      <c r="AS345" s="1029"/>
      <c r="AT345" s="1029"/>
      <c r="AU345" s="1029"/>
      <c r="AV345" s="1029"/>
      <c r="AW345" s="1029"/>
      <c r="AX345" s="1029"/>
      <c r="AY345" s="1029"/>
      <c r="AZ345" s="1029"/>
      <c r="BA345" s="1029"/>
      <c r="BB345" s="1029"/>
      <c r="BC345" s="1029"/>
      <c r="BD345" s="1029"/>
      <c r="BE345" s="1029"/>
      <c r="BF345" s="1029"/>
      <c r="BG345" s="1029"/>
      <c r="BH345" s="1029"/>
      <c r="BI345" s="1127" t="s">
        <v>3686</v>
      </c>
      <c r="BJ345" s="1120" t="s">
        <v>3687</v>
      </c>
      <c r="BK345" s="1606" t="s">
        <v>3688</v>
      </c>
      <c r="BL345" s="1120" t="s">
        <v>1923</v>
      </c>
      <c r="BM345" s="1120" t="s">
        <v>3101</v>
      </c>
      <c r="BN345" s="1120" t="s">
        <v>298</v>
      </c>
      <c r="BO345" s="1121"/>
      <c r="BP345" s="1122">
        <v>1</v>
      </c>
      <c r="BQ345" s="1123"/>
      <c r="BR345" s="1123"/>
      <c r="BS345" s="1124"/>
      <c r="BT345" s="1125"/>
    </row>
    <row r="346" spans="1:72" s="1126" customFormat="1" ht="36.75" customHeight="1">
      <c r="A346" s="1099">
        <f>A345+1</f>
        <v>127</v>
      </c>
      <c r="B346" s="1070" t="s">
        <v>3689</v>
      </c>
      <c r="C346" s="1127"/>
      <c r="D346" s="1127"/>
      <c r="E346" s="1118"/>
      <c r="F346" s="1031">
        <f>SUM(F347:F348)</f>
        <v>0.1</v>
      </c>
      <c r="G346" s="1031">
        <f>SUM(G347:G348)</f>
        <v>0.1</v>
      </c>
      <c r="H346" s="1029"/>
      <c r="I346" s="1029"/>
      <c r="J346" s="1029"/>
      <c r="K346" s="1029"/>
      <c r="L346" s="1029"/>
      <c r="M346" s="1029"/>
      <c r="N346" s="1029"/>
      <c r="O346" s="1029"/>
      <c r="P346" s="1029"/>
      <c r="Q346" s="1029"/>
      <c r="R346" s="1029"/>
      <c r="S346" s="1029"/>
      <c r="T346" s="1029"/>
      <c r="U346" s="1029"/>
      <c r="V346" s="1029"/>
      <c r="W346" s="1029"/>
      <c r="X346" s="1029"/>
      <c r="Y346" s="1029"/>
      <c r="Z346" s="1029"/>
      <c r="AA346" s="1029"/>
      <c r="AB346" s="1029"/>
      <c r="AC346" s="1029"/>
      <c r="AD346" s="1029"/>
      <c r="AE346" s="1029"/>
      <c r="AF346" s="1029"/>
      <c r="AG346" s="1029"/>
      <c r="AH346" s="1029"/>
      <c r="AI346" s="1029"/>
      <c r="AJ346" s="1029"/>
      <c r="AK346" s="1029"/>
      <c r="AL346" s="1029"/>
      <c r="AM346" s="1029"/>
      <c r="AN346" s="1029"/>
      <c r="AO346" s="1029"/>
      <c r="AP346" s="1029"/>
      <c r="AQ346" s="1029"/>
      <c r="AR346" s="1029"/>
      <c r="AS346" s="1029"/>
      <c r="AT346" s="1029"/>
      <c r="AU346" s="1029"/>
      <c r="AV346" s="1029"/>
      <c r="AW346" s="1029"/>
      <c r="AX346" s="1029"/>
      <c r="AY346" s="1029"/>
      <c r="AZ346" s="1029"/>
      <c r="BA346" s="1029"/>
      <c r="BB346" s="1029"/>
      <c r="BC346" s="1029"/>
      <c r="BD346" s="1029"/>
      <c r="BE346" s="1029"/>
      <c r="BF346" s="1029"/>
      <c r="BG346" s="1029"/>
      <c r="BH346" s="1029"/>
      <c r="BI346" s="1127" t="s">
        <v>3690</v>
      </c>
      <c r="BJ346" s="1120" t="s">
        <v>3691</v>
      </c>
      <c r="BK346" s="1607"/>
      <c r="BL346" s="1120"/>
      <c r="BM346" s="1120"/>
      <c r="BN346" s="1131" t="s">
        <v>291</v>
      </c>
      <c r="BO346" s="1121"/>
      <c r="BP346" s="1121">
        <v>1</v>
      </c>
      <c r="BQ346" s="1123"/>
      <c r="BR346" s="1123"/>
      <c r="BS346" s="1124"/>
      <c r="BT346" s="1125"/>
    </row>
    <row r="347" spans="1:72" s="1141" customFormat="1" ht="129.6" hidden="1" customHeight="1">
      <c r="A347" s="1132"/>
      <c r="B347" s="1410" t="s">
        <v>3692</v>
      </c>
      <c r="C347" s="1134"/>
      <c r="D347" s="1134"/>
      <c r="E347" s="1135" t="s">
        <v>48</v>
      </c>
      <c r="F347" s="1062">
        <f t="shared" si="101"/>
        <v>0.05</v>
      </c>
      <c r="G347" s="1063">
        <v>0.05</v>
      </c>
      <c r="H347" s="1062"/>
      <c r="I347" s="1062"/>
      <c r="J347" s="1062"/>
      <c r="K347" s="1062"/>
      <c r="L347" s="1062"/>
      <c r="M347" s="1062"/>
      <c r="N347" s="1062"/>
      <c r="O347" s="1062"/>
      <c r="P347" s="1062"/>
      <c r="Q347" s="1062"/>
      <c r="R347" s="1062"/>
      <c r="S347" s="1062"/>
      <c r="T347" s="1062"/>
      <c r="U347" s="1062"/>
      <c r="V347" s="1062"/>
      <c r="W347" s="1062"/>
      <c r="X347" s="1062"/>
      <c r="Y347" s="1062"/>
      <c r="Z347" s="1062"/>
      <c r="AA347" s="1062"/>
      <c r="AB347" s="1062"/>
      <c r="AC347" s="1062"/>
      <c r="AD347" s="1062"/>
      <c r="AE347" s="1062"/>
      <c r="AF347" s="1062"/>
      <c r="AG347" s="1062"/>
      <c r="AH347" s="1062"/>
      <c r="AI347" s="1062"/>
      <c r="AJ347" s="1062"/>
      <c r="AK347" s="1062"/>
      <c r="AL347" s="1062"/>
      <c r="AM347" s="1062"/>
      <c r="AN347" s="1062"/>
      <c r="AO347" s="1062"/>
      <c r="AP347" s="1062"/>
      <c r="AQ347" s="1062"/>
      <c r="AR347" s="1062"/>
      <c r="AS347" s="1062"/>
      <c r="AT347" s="1062"/>
      <c r="AU347" s="1062"/>
      <c r="AV347" s="1062"/>
      <c r="AW347" s="1062"/>
      <c r="AX347" s="1062"/>
      <c r="AY347" s="1062"/>
      <c r="AZ347" s="1062"/>
      <c r="BA347" s="1062"/>
      <c r="BB347" s="1062"/>
      <c r="BC347" s="1062"/>
      <c r="BD347" s="1062"/>
      <c r="BE347" s="1062"/>
      <c r="BF347" s="1062"/>
      <c r="BG347" s="1062"/>
      <c r="BH347" s="1062"/>
      <c r="BI347" s="1134" t="s">
        <v>3693</v>
      </c>
      <c r="BJ347" s="1134" t="s">
        <v>3694</v>
      </c>
      <c r="BK347" s="1134" t="s">
        <v>3695</v>
      </c>
      <c r="BL347" s="1134" t="s">
        <v>1923</v>
      </c>
      <c r="BM347" s="1134" t="s">
        <v>3091</v>
      </c>
      <c r="BN347" s="1134" t="s">
        <v>291</v>
      </c>
      <c r="BO347" s="1136"/>
      <c r="BP347" s="1137"/>
      <c r="BQ347" s="1138"/>
      <c r="BR347" s="1138"/>
      <c r="BS347" s="1139" t="s">
        <v>3696</v>
      </c>
      <c r="BT347" s="1140"/>
    </row>
    <row r="348" spans="1:72" s="1165" customFormat="1" ht="48" hidden="1" customHeight="1">
      <c r="A348" s="1060"/>
      <c r="B348" s="1067" t="s">
        <v>3697</v>
      </c>
      <c r="C348" s="1163" t="s">
        <v>3026</v>
      </c>
      <c r="D348" s="1134" t="s">
        <v>3087</v>
      </c>
      <c r="E348" s="1135" t="s">
        <v>48</v>
      </c>
      <c r="F348" s="1063">
        <f>G348+H348</f>
        <v>0.05</v>
      </c>
      <c r="G348" s="1063">
        <v>0.05</v>
      </c>
      <c r="H348" s="1062"/>
      <c r="I348" s="1062"/>
      <c r="J348" s="1063"/>
      <c r="K348" s="1063"/>
      <c r="L348" s="1063"/>
      <c r="M348" s="1063"/>
      <c r="N348" s="1063"/>
      <c r="O348" s="1063"/>
      <c r="P348" s="1063"/>
      <c r="Q348" s="1063"/>
      <c r="R348" s="1063"/>
      <c r="S348" s="1063"/>
      <c r="T348" s="1063"/>
      <c r="U348" s="1063"/>
      <c r="V348" s="1063"/>
      <c r="W348" s="1063"/>
      <c r="X348" s="1063"/>
      <c r="Y348" s="1063"/>
      <c r="Z348" s="1063"/>
      <c r="AA348" s="1063"/>
      <c r="AB348" s="1063"/>
      <c r="AC348" s="1063"/>
      <c r="AD348" s="1063"/>
      <c r="AE348" s="1063"/>
      <c r="AF348" s="1063"/>
      <c r="AG348" s="1063"/>
      <c r="AH348" s="1063"/>
      <c r="AI348" s="1063"/>
      <c r="AJ348" s="1063"/>
      <c r="AK348" s="1063"/>
      <c r="AL348" s="1063"/>
      <c r="AM348" s="1063"/>
      <c r="AN348" s="1063"/>
      <c r="AO348" s="1063"/>
      <c r="AP348" s="1063"/>
      <c r="AQ348" s="1063"/>
      <c r="AR348" s="1063"/>
      <c r="AS348" s="1063"/>
      <c r="AT348" s="1063"/>
      <c r="AU348" s="1063"/>
      <c r="AV348" s="1063"/>
      <c r="AW348" s="1063"/>
      <c r="AX348" s="1063"/>
      <c r="AY348" s="1063"/>
      <c r="AZ348" s="1063"/>
      <c r="BA348" s="1063"/>
      <c r="BB348" s="1063"/>
      <c r="BC348" s="1063"/>
      <c r="BD348" s="1063"/>
      <c r="BE348" s="1063"/>
      <c r="BF348" s="1063"/>
      <c r="BG348" s="1063"/>
      <c r="BH348" s="1063"/>
      <c r="BI348" s="1163" t="s">
        <v>3698</v>
      </c>
      <c r="BJ348" s="1134" t="s">
        <v>3699</v>
      </c>
      <c r="BK348" s="1134" t="s">
        <v>3700</v>
      </c>
      <c r="BL348" s="1134" t="s">
        <v>1986</v>
      </c>
      <c r="BM348" s="1134" t="s">
        <v>3701</v>
      </c>
      <c r="BN348" s="1134" t="s">
        <v>291</v>
      </c>
      <c r="BO348" s="1136"/>
      <c r="BP348" s="1136"/>
      <c r="BQ348" s="1164"/>
      <c r="BR348" s="1164"/>
      <c r="BS348" s="1139"/>
      <c r="BT348" s="1135"/>
    </row>
    <row r="349" spans="1:72" s="1165" customFormat="1" ht="41.25" customHeight="1">
      <c r="A349" s="1054">
        <f>A346+1</f>
        <v>128</v>
      </c>
      <c r="B349" s="1162" t="s">
        <v>3702</v>
      </c>
      <c r="C349" s="1163"/>
      <c r="D349" s="1134"/>
      <c r="E349" s="1135"/>
      <c r="F349" s="1057">
        <f>SUM(F350:F353)</f>
        <v>0.15000000000000002</v>
      </c>
      <c r="G349" s="1057">
        <f>SUM(G350:G353)</f>
        <v>0.15000000000000002</v>
      </c>
      <c r="H349" s="1056"/>
      <c r="I349" s="1056"/>
      <c r="J349" s="1057"/>
      <c r="K349" s="1057"/>
      <c r="L349" s="1057"/>
      <c r="M349" s="1057"/>
      <c r="N349" s="1057"/>
      <c r="O349" s="1057"/>
      <c r="P349" s="1057"/>
      <c r="Q349" s="1057"/>
      <c r="R349" s="1057"/>
      <c r="S349" s="1057"/>
      <c r="T349" s="1057"/>
      <c r="U349" s="1057"/>
      <c r="V349" s="1057"/>
      <c r="W349" s="1057"/>
      <c r="X349" s="1057"/>
      <c r="Y349" s="1057"/>
      <c r="Z349" s="1057"/>
      <c r="AA349" s="1057"/>
      <c r="AB349" s="1057"/>
      <c r="AC349" s="1057"/>
      <c r="AD349" s="1057"/>
      <c r="AE349" s="1057"/>
      <c r="AF349" s="1057"/>
      <c r="AG349" s="1057"/>
      <c r="AH349" s="1057"/>
      <c r="AI349" s="1057"/>
      <c r="AJ349" s="1057"/>
      <c r="AK349" s="1057"/>
      <c r="AL349" s="1057"/>
      <c r="AM349" s="1057"/>
      <c r="AN349" s="1057"/>
      <c r="AO349" s="1057"/>
      <c r="AP349" s="1057"/>
      <c r="AQ349" s="1057"/>
      <c r="AR349" s="1057"/>
      <c r="AS349" s="1057"/>
      <c r="AT349" s="1057"/>
      <c r="AU349" s="1057"/>
      <c r="AV349" s="1057"/>
      <c r="AW349" s="1057"/>
      <c r="AX349" s="1057"/>
      <c r="AY349" s="1057"/>
      <c r="AZ349" s="1057"/>
      <c r="BA349" s="1057"/>
      <c r="BB349" s="1057"/>
      <c r="BC349" s="1057"/>
      <c r="BD349" s="1057"/>
      <c r="BE349" s="1057"/>
      <c r="BF349" s="1057"/>
      <c r="BG349" s="1057"/>
      <c r="BH349" s="1057"/>
      <c r="BI349" s="1145" t="s">
        <v>3703</v>
      </c>
      <c r="BJ349" s="1131" t="s">
        <v>3704</v>
      </c>
      <c r="BK349" s="1131" t="s">
        <v>3304</v>
      </c>
      <c r="BL349" s="1134"/>
      <c r="BM349" s="1134"/>
      <c r="BN349" s="1120" t="s">
        <v>291</v>
      </c>
      <c r="BO349" s="1136"/>
      <c r="BP349" s="1137">
        <v>1</v>
      </c>
      <c r="BQ349" s="1164"/>
      <c r="BR349" s="1164"/>
      <c r="BS349" s="1139"/>
      <c r="BT349" s="1135"/>
    </row>
    <row r="350" spans="1:72" s="1141" customFormat="1" ht="30.95" hidden="1" customHeight="1">
      <c r="A350" s="1132"/>
      <c r="B350" s="1411" t="s">
        <v>3705</v>
      </c>
      <c r="C350" s="1163"/>
      <c r="D350" s="1163"/>
      <c r="E350" s="1135" t="s">
        <v>48</v>
      </c>
      <c r="F350" s="1063">
        <f t="shared" si="101"/>
        <v>0.03</v>
      </c>
      <c r="G350" s="1063">
        <v>0.03</v>
      </c>
      <c r="H350" s="1062"/>
      <c r="I350" s="1062"/>
      <c r="J350" s="1062"/>
      <c r="K350" s="1062"/>
      <c r="L350" s="1062"/>
      <c r="M350" s="1062"/>
      <c r="N350" s="1062"/>
      <c r="O350" s="1062"/>
      <c r="P350" s="1062"/>
      <c r="Q350" s="1062"/>
      <c r="R350" s="1062"/>
      <c r="S350" s="1062"/>
      <c r="T350" s="1062"/>
      <c r="U350" s="1062"/>
      <c r="V350" s="1062"/>
      <c r="W350" s="1062"/>
      <c r="X350" s="1062"/>
      <c r="Y350" s="1062"/>
      <c r="Z350" s="1062"/>
      <c r="AA350" s="1062"/>
      <c r="AB350" s="1062"/>
      <c r="AC350" s="1062"/>
      <c r="AD350" s="1062"/>
      <c r="AE350" s="1062"/>
      <c r="AF350" s="1062"/>
      <c r="AG350" s="1062"/>
      <c r="AH350" s="1062"/>
      <c r="AI350" s="1062"/>
      <c r="AJ350" s="1062"/>
      <c r="AK350" s="1062"/>
      <c r="AL350" s="1062"/>
      <c r="AM350" s="1062"/>
      <c r="AN350" s="1062"/>
      <c r="AO350" s="1062"/>
      <c r="AP350" s="1062"/>
      <c r="AQ350" s="1062"/>
      <c r="AR350" s="1062"/>
      <c r="AS350" s="1062"/>
      <c r="AT350" s="1062"/>
      <c r="AU350" s="1062"/>
      <c r="AV350" s="1062"/>
      <c r="AW350" s="1062"/>
      <c r="AX350" s="1062"/>
      <c r="AY350" s="1062"/>
      <c r="AZ350" s="1062"/>
      <c r="BA350" s="1062"/>
      <c r="BB350" s="1062"/>
      <c r="BC350" s="1062"/>
      <c r="BD350" s="1062"/>
      <c r="BE350" s="1062"/>
      <c r="BF350" s="1062"/>
      <c r="BG350" s="1062"/>
      <c r="BH350" s="1062"/>
      <c r="BI350" s="1163" t="s">
        <v>3706</v>
      </c>
      <c r="BJ350" s="1412" t="s">
        <v>3707</v>
      </c>
      <c r="BK350" s="1134" t="s">
        <v>3304</v>
      </c>
      <c r="BL350" s="1134" t="s">
        <v>1923</v>
      </c>
      <c r="BM350" s="1134" t="s">
        <v>3091</v>
      </c>
      <c r="BN350" s="1134" t="s">
        <v>291</v>
      </c>
      <c r="BO350" s="1136"/>
      <c r="BP350" s="1137"/>
      <c r="BQ350" s="1138"/>
      <c r="BR350" s="1138"/>
      <c r="BS350" s="1139"/>
      <c r="BT350" s="1140"/>
    </row>
    <row r="351" spans="1:72" s="1141" customFormat="1" ht="30.95" hidden="1" customHeight="1">
      <c r="A351" s="1132"/>
      <c r="B351" s="1411" t="s">
        <v>3708</v>
      </c>
      <c r="C351" s="1163"/>
      <c r="D351" s="1163"/>
      <c r="E351" s="1135" t="s">
        <v>48</v>
      </c>
      <c r="F351" s="1063">
        <f t="shared" si="101"/>
        <v>0.03</v>
      </c>
      <c r="G351" s="1063">
        <v>0.03</v>
      </c>
      <c r="H351" s="1062"/>
      <c r="I351" s="1062"/>
      <c r="J351" s="1062"/>
      <c r="K351" s="1062"/>
      <c r="L351" s="1062"/>
      <c r="M351" s="1062"/>
      <c r="N351" s="1062"/>
      <c r="O351" s="1062"/>
      <c r="P351" s="1062"/>
      <c r="Q351" s="1062"/>
      <c r="R351" s="1062"/>
      <c r="S351" s="1062"/>
      <c r="T351" s="1062"/>
      <c r="U351" s="1062"/>
      <c r="V351" s="1062"/>
      <c r="W351" s="1062"/>
      <c r="X351" s="1062"/>
      <c r="Y351" s="1062"/>
      <c r="Z351" s="1062"/>
      <c r="AA351" s="1062"/>
      <c r="AB351" s="1062"/>
      <c r="AC351" s="1062"/>
      <c r="AD351" s="1062"/>
      <c r="AE351" s="1062"/>
      <c r="AF351" s="1062"/>
      <c r="AG351" s="1062"/>
      <c r="AH351" s="1062"/>
      <c r="AI351" s="1062"/>
      <c r="AJ351" s="1062"/>
      <c r="AK351" s="1062"/>
      <c r="AL351" s="1062"/>
      <c r="AM351" s="1062"/>
      <c r="AN351" s="1062"/>
      <c r="AO351" s="1062"/>
      <c r="AP351" s="1062"/>
      <c r="AQ351" s="1062"/>
      <c r="AR351" s="1062"/>
      <c r="AS351" s="1062"/>
      <c r="AT351" s="1062"/>
      <c r="AU351" s="1062"/>
      <c r="AV351" s="1062"/>
      <c r="AW351" s="1062"/>
      <c r="AX351" s="1062"/>
      <c r="AY351" s="1062"/>
      <c r="AZ351" s="1062"/>
      <c r="BA351" s="1062"/>
      <c r="BB351" s="1062"/>
      <c r="BC351" s="1062"/>
      <c r="BD351" s="1062"/>
      <c r="BE351" s="1062"/>
      <c r="BF351" s="1062"/>
      <c r="BG351" s="1062"/>
      <c r="BH351" s="1062"/>
      <c r="BI351" s="1163" t="s">
        <v>3709</v>
      </c>
      <c r="BJ351" s="1407" t="s">
        <v>3710</v>
      </c>
      <c r="BK351" s="1134" t="s">
        <v>3304</v>
      </c>
      <c r="BL351" s="1134" t="s">
        <v>1923</v>
      </c>
      <c r="BM351" s="1134" t="s">
        <v>3091</v>
      </c>
      <c r="BN351" s="1134" t="s">
        <v>291</v>
      </c>
      <c r="BO351" s="1136"/>
      <c r="BP351" s="1137"/>
      <c r="BQ351" s="1138"/>
      <c r="BR351" s="1138"/>
      <c r="BS351" s="1139"/>
      <c r="BT351" s="1140"/>
    </row>
    <row r="352" spans="1:72" s="1141" customFormat="1" ht="30.95" hidden="1" customHeight="1">
      <c r="A352" s="1132"/>
      <c r="B352" s="1411" t="s">
        <v>3711</v>
      </c>
      <c r="C352" s="1163"/>
      <c r="D352" s="1163"/>
      <c r="E352" s="1135" t="s">
        <v>48</v>
      </c>
      <c r="F352" s="1063">
        <f t="shared" si="101"/>
        <v>0.04</v>
      </c>
      <c r="G352" s="1063">
        <v>0.04</v>
      </c>
      <c r="H352" s="1062"/>
      <c r="I352" s="1062"/>
      <c r="J352" s="1062"/>
      <c r="K352" s="1062"/>
      <c r="L352" s="1062"/>
      <c r="M352" s="1062"/>
      <c r="N352" s="1062"/>
      <c r="O352" s="1062"/>
      <c r="P352" s="1062"/>
      <c r="Q352" s="1062"/>
      <c r="R352" s="1062"/>
      <c r="S352" s="1062"/>
      <c r="T352" s="1062"/>
      <c r="U352" s="1062"/>
      <c r="V352" s="1062"/>
      <c r="W352" s="1062"/>
      <c r="X352" s="1062"/>
      <c r="Y352" s="1062"/>
      <c r="Z352" s="1062"/>
      <c r="AA352" s="1062"/>
      <c r="AB352" s="1062"/>
      <c r="AC352" s="1062"/>
      <c r="AD352" s="1062"/>
      <c r="AE352" s="1062"/>
      <c r="AF352" s="1062"/>
      <c r="AG352" s="1062"/>
      <c r="AH352" s="1062"/>
      <c r="AI352" s="1062"/>
      <c r="AJ352" s="1062"/>
      <c r="AK352" s="1062"/>
      <c r="AL352" s="1062"/>
      <c r="AM352" s="1062"/>
      <c r="AN352" s="1062"/>
      <c r="AO352" s="1062"/>
      <c r="AP352" s="1062"/>
      <c r="AQ352" s="1062"/>
      <c r="AR352" s="1062"/>
      <c r="AS352" s="1062"/>
      <c r="AT352" s="1062"/>
      <c r="AU352" s="1062"/>
      <c r="AV352" s="1062"/>
      <c r="AW352" s="1062"/>
      <c r="AX352" s="1062"/>
      <c r="AY352" s="1062"/>
      <c r="AZ352" s="1062"/>
      <c r="BA352" s="1062"/>
      <c r="BB352" s="1062"/>
      <c r="BC352" s="1062"/>
      <c r="BD352" s="1062"/>
      <c r="BE352" s="1062"/>
      <c r="BF352" s="1062"/>
      <c r="BG352" s="1062"/>
      <c r="BH352" s="1062"/>
      <c r="BI352" s="1163" t="s">
        <v>3712</v>
      </c>
      <c r="BJ352" s="1134" t="s">
        <v>3713</v>
      </c>
      <c r="BK352" s="1134" t="s">
        <v>3304</v>
      </c>
      <c r="BL352" s="1134" t="s">
        <v>1923</v>
      </c>
      <c r="BM352" s="1134" t="s">
        <v>3091</v>
      </c>
      <c r="BN352" s="1134" t="s">
        <v>291</v>
      </c>
      <c r="BO352" s="1136"/>
      <c r="BP352" s="1137"/>
      <c r="BQ352" s="1138"/>
      <c r="BR352" s="1138"/>
      <c r="BS352" s="1139" t="s">
        <v>3714</v>
      </c>
      <c r="BT352" s="1140"/>
    </row>
    <row r="353" spans="1:72" s="1141" customFormat="1" ht="30.95" hidden="1" customHeight="1">
      <c r="A353" s="1132"/>
      <c r="B353" s="1411" t="s">
        <v>3715</v>
      </c>
      <c r="C353" s="1163"/>
      <c r="D353" s="1163"/>
      <c r="E353" s="1135" t="s">
        <v>48</v>
      </c>
      <c r="F353" s="1063">
        <f t="shared" si="101"/>
        <v>0.05</v>
      </c>
      <c r="G353" s="1063">
        <v>0.05</v>
      </c>
      <c r="H353" s="1062"/>
      <c r="I353" s="1062"/>
      <c r="J353" s="1062"/>
      <c r="K353" s="1062"/>
      <c r="L353" s="1062"/>
      <c r="M353" s="1062"/>
      <c r="N353" s="1062"/>
      <c r="O353" s="1062"/>
      <c r="P353" s="1062"/>
      <c r="Q353" s="1062"/>
      <c r="R353" s="1062"/>
      <c r="S353" s="1062"/>
      <c r="T353" s="1062"/>
      <c r="U353" s="1062"/>
      <c r="V353" s="1062"/>
      <c r="W353" s="1062"/>
      <c r="X353" s="1062"/>
      <c r="Y353" s="1062"/>
      <c r="Z353" s="1062"/>
      <c r="AA353" s="1062"/>
      <c r="AB353" s="1062"/>
      <c r="AC353" s="1062"/>
      <c r="AD353" s="1062"/>
      <c r="AE353" s="1062"/>
      <c r="AF353" s="1062"/>
      <c r="AG353" s="1062"/>
      <c r="AH353" s="1062"/>
      <c r="AI353" s="1062"/>
      <c r="AJ353" s="1062"/>
      <c r="AK353" s="1062"/>
      <c r="AL353" s="1062"/>
      <c r="AM353" s="1062"/>
      <c r="AN353" s="1062"/>
      <c r="AO353" s="1062"/>
      <c r="AP353" s="1062"/>
      <c r="AQ353" s="1062"/>
      <c r="AR353" s="1062"/>
      <c r="AS353" s="1062"/>
      <c r="AT353" s="1062"/>
      <c r="AU353" s="1062"/>
      <c r="AV353" s="1062"/>
      <c r="AW353" s="1062"/>
      <c r="AX353" s="1062"/>
      <c r="AY353" s="1062"/>
      <c r="AZ353" s="1062"/>
      <c r="BA353" s="1062"/>
      <c r="BB353" s="1062"/>
      <c r="BC353" s="1062"/>
      <c r="BD353" s="1062"/>
      <c r="BE353" s="1062"/>
      <c r="BF353" s="1062"/>
      <c r="BG353" s="1062"/>
      <c r="BH353" s="1062"/>
      <c r="BI353" s="1163" t="s">
        <v>3716</v>
      </c>
      <c r="BJ353" s="1153" t="s">
        <v>3717</v>
      </c>
      <c r="BK353" s="1134" t="s">
        <v>3304</v>
      </c>
      <c r="BL353" s="1134" t="s">
        <v>1923</v>
      </c>
      <c r="BM353" s="1134" t="s">
        <v>3091</v>
      </c>
      <c r="BN353" s="1134" t="s">
        <v>291</v>
      </c>
      <c r="BO353" s="1136"/>
      <c r="BP353" s="1137"/>
      <c r="BQ353" s="1138"/>
      <c r="BR353" s="1138"/>
      <c r="BS353" s="1139" t="s">
        <v>3718</v>
      </c>
      <c r="BT353" s="1140"/>
    </row>
    <row r="354" spans="1:72" s="1126" customFormat="1" ht="87" customHeight="1">
      <c r="A354" s="1028">
        <f>A349+1</f>
        <v>129</v>
      </c>
      <c r="B354" s="1166" t="s">
        <v>3719</v>
      </c>
      <c r="C354" s="1083"/>
      <c r="D354" s="1083"/>
      <c r="E354" s="1118" t="s">
        <v>48</v>
      </c>
      <c r="F354" s="1031">
        <f t="shared" si="101"/>
        <v>0.16</v>
      </c>
      <c r="G354" s="1031">
        <v>0.16</v>
      </c>
      <c r="H354" s="1026"/>
      <c r="I354" s="1026"/>
      <c r="J354" s="1029"/>
      <c r="K354" s="1029"/>
      <c r="L354" s="1029"/>
      <c r="M354" s="1029"/>
      <c r="N354" s="1029"/>
      <c r="O354" s="1029"/>
      <c r="P354" s="1029"/>
      <c r="Q354" s="1029"/>
      <c r="R354" s="1029"/>
      <c r="S354" s="1029"/>
      <c r="T354" s="1029"/>
      <c r="U354" s="1029"/>
      <c r="V354" s="1029"/>
      <c r="W354" s="1029"/>
      <c r="X354" s="1029"/>
      <c r="Y354" s="1029"/>
      <c r="Z354" s="1029"/>
      <c r="AA354" s="1029"/>
      <c r="AB354" s="1029"/>
      <c r="AC354" s="1029"/>
      <c r="AD354" s="1029"/>
      <c r="AE354" s="1029"/>
      <c r="AF354" s="1029"/>
      <c r="AG354" s="1029"/>
      <c r="AH354" s="1029"/>
      <c r="AI354" s="1029"/>
      <c r="AJ354" s="1029"/>
      <c r="AK354" s="1029"/>
      <c r="AL354" s="1029"/>
      <c r="AM354" s="1029"/>
      <c r="AN354" s="1029"/>
      <c r="AO354" s="1029"/>
      <c r="AP354" s="1029"/>
      <c r="AQ354" s="1029"/>
      <c r="AR354" s="1029"/>
      <c r="AS354" s="1029"/>
      <c r="AT354" s="1029"/>
      <c r="AU354" s="1029"/>
      <c r="AV354" s="1029"/>
      <c r="AW354" s="1029"/>
      <c r="AX354" s="1029"/>
      <c r="AY354" s="1029"/>
      <c r="AZ354" s="1029"/>
      <c r="BA354" s="1029"/>
      <c r="BB354" s="1029"/>
      <c r="BC354" s="1029"/>
      <c r="BD354" s="1029"/>
      <c r="BE354" s="1029"/>
      <c r="BF354" s="1029"/>
      <c r="BG354" s="1029"/>
      <c r="BH354" s="1029"/>
      <c r="BI354" s="1083" t="s">
        <v>3391</v>
      </c>
      <c r="BJ354" s="1119" t="s">
        <v>3720</v>
      </c>
      <c r="BK354" s="1120" t="s">
        <v>3721</v>
      </c>
      <c r="BL354" s="1120" t="s">
        <v>1923</v>
      </c>
      <c r="BM354" s="1120" t="s">
        <v>3091</v>
      </c>
      <c r="BN354" s="1120" t="s">
        <v>291</v>
      </c>
      <c r="BO354" s="1121"/>
      <c r="BP354" s="1137">
        <v>1</v>
      </c>
      <c r="BQ354" s="1123"/>
      <c r="BR354" s="1123"/>
      <c r="BS354" s="1124"/>
      <c r="BT354" s="1125"/>
    </row>
    <row r="355" spans="1:72" s="1126" customFormat="1" ht="57.75" customHeight="1">
      <c r="A355" s="1099">
        <f>A354+1</f>
        <v>130</v>
      </c>
      <c r="B355" s="1166" t="s">
        <v>3722</v>
      </c>
      <c r="C355" s="1083"/>
      <c r="D355" s="1083"/>
      <c r="E355" s="1118"/>
      <c r="F355" s="1031">
        <f>SUM(F356:F363)</f>
        <v>0.41999999999999993</v>
      </c>
      <c r="G355" s="1031">
        <f>SUM(G356:G363)</f>
        <v>0.41999999999999993</v>
      </c>
      <c r="H355" s="1026"/>
      <c r="I355" s="1026"/>
      <c r="J355" s="1029"/>
      <c r="K355" s="1029"/>
      <c r="L355" s="1029"/>
      <c r="M355" s="1029"/>
      <c r="N355" s="1029"/>
      <c r="O355" s="1029"/>
      <c r="P355" s="1029"/>
      <c r="Q355" s="1029"/>
      <c r="R355" s="1029"/>
      <c r="S355" s="1029"/>
      <c r="T355" s="1029"/>
      <c r="U355" s="1029"/>
      <c r="V355" s="1029"/>
      <c r="W355" s="1029"/>
      <c r="X355" s="1029"/>
      <c r="Y355" s="1029"/>
      <c r="Z355" s="1029"/>
      <c r="AA355" s="1029"/>
      <c r="AB355" s="1029"/>
      <c r="AC355" s="1029"/>
      <c r="AD355" s="1029"/>
      <c r="AE355" s="1029"/>
      <c r="AF355" s="1029"/>
      <c r="AG355" s="1029"/>
      <c r="AH355" s="1029"/>
      <c r="AI355" s="1029"/>
      <c r="AJ355" s="1029"/>
      <c r="AK355" s="1029"/>
      <c r="AL355" s="1029"/>
      <c r="AM355" s="1029"/>
      <c r="AN355" s="1029"/>
      <c r="AO355" s="1029"/>
      <c r="AP355" s="1029"/>
      <c r="AQ355" s="1029"/>
      <c r="AR355" s="1029"/>
      <c r="AS355" s="1029"/>
      <c r="AT355" s="1029"/>
      <c r="AU355" s="1029"/>
      <c r="AV355" s="1029"/>
      <c r="AW355" s="1029"/>
      <c r="AX355" s="1029"/>
      <c r="AY355" s="1029"/>
      <c r="AZ355" s="1029"/>
      <c r="BA355" s="1029"/>
      <c r="BB355" s="1029"/>
      <c r="BC355" s="1029"/>
      <c r="BD355" s="1029"/>
      <c r="BE355" s="1029"/>
      <c r="BF355" s="1029"/>
      <c r="BG355" s="1029"/>
      <c r="BH355" s="1029"/>
      <c r="BI355" s="1032" t="s">
        <v>3156</v>
      </c>
      <c r="BJ355" s="1119" t="str">
        <f>BJ356&amp;"; "&amp;BJ357&amp;"; "&amp;BJ358&amp;"; "&amp;BJ359&amp;"; "&amp;BJ360&amp;"; "&amp;BJ361&amp;"; "&amp;BJ362&amp;"; "&amp;BJ363&amp;""</f>
        <v>BĐĐC TH - Tờ 21 thửa 56; ; Tờ 68 TH cũ- thửa 267; Tờ 68 TH cũ- thửa 162; Tờ 66 TH cũ - thửa 17; Tờ 45 thửa 116; Thửa đất số 222, 223, 225; tờ bản đồ số 25; Tờ 35 thửa 32; Tờ 95 thửa 79</v>
      </c>
      <c r="BK355" s="1120"/>
      <c r="BL355" s="1120"/>
      <c r="BM355" s="1120"/>
      <c r="BN355" s="1134" t="s">
        <v>291</v>
      </c>
      <c r="BO355" s="1121"/>
      <c r="BP355" s="1137">
        <v>1</v>
      </c>
      <c r="BQ355" s="1123"/>
      <c r="BR355" s="1123"/>
      <c r="BS355" s="1124"/>
      <c r="BT355" s="1125"/>
    </row>
    <row r="356" spans="1:72" s="1141" customFormat="1" ht="54.95" hidden="1" customHeight="1">
      <c r="A356" s="1132"/>
      <c r="B356" s="1413" t="s">
        <v>3723</v>
      </c>
      <c r="C356" s="1154"/>
      <c r="D356" s="1154"/>
      <c r="E356" s="1135" t="s">
        <v>48</v>
      </c>
      <c r="F356" s="1063">
        <v>0.05</v>
      </c>
      <c r="G356" s="1063">
        <v>0.05</v>
      </c>
      <c r="H356" s="1062"/>
      <c r="I356" s="1062"/>
      <c r="J356" s="1062"/>
      <c r="K356" s="1062"/>
      <c r="L356" s="1062"/>
      <c r="M356" s="1062"/>
      <c r="N356" s="1062"/>
      <c r="O356" s="1062"/>
      <c r="P356" s="1062"/>
      <c r="Q356" s="1062"/>
      <c r="R356" s="1062"/>
      <c r="S356" s="1062"/>
      <c r="T356" s="1062"/>
      <c r="U356" s="1062"/>
      <c r="V356" s="1062"/>
      <c r="W356" s="1062"/>
      <c r="X356" s="1062"/>
      <c r="Y356" s="1062"/>
      <c r="Z356" s="1062"/>
      <c r="AA356" s="1062"/>
      <c r="AB356" s="1062"/>
      <c r="AC356" s="1062"/>
      <c r="AD356" s="1062"/>
      <c r="AE356" s="1062"/>
      <c r="AF356" s="1062"/>
      <c r="AG356" s="1062"/>
      <c r="AH356" s="1062"/>
      <c r="AI356" s="1062"/>
      <c r="AJ356" s="1062"/>
      <c r="AK356" s="1062"/>
      <c r="AL356" s="1062"/>
      <c r="AM356" s="1062"/>
      <c r="AN356" s="1062"/>
      <c r="AO356" s="1062"/>
      <c r="AP356" s="1062"/>
      <c r="AQ356" s="1062"/>
      <c r="AR356" s="1062"/>
      <c r="AS356" s="1062"/>
      <c r="AT356" s="1062"/>
      <c r="AU356" s="1062"/>
      <c r="AV356" s="1062"/>
      <c r="AW356" s="1062"/>
      <c r="AX356" s="1062"/>
      <c r="AY356" s="1062"/>
      <c r="AZ356" s="1062"/>
      <c r="BA356" s="1062"/>
      <c r="BB356" s="1062"/>
      <c r="BC356" s="1062"/>
      <c r="BD356" s="1062"/>
      <c r="BE356" s="1062"/>
      <c r="BF356" s="1062"/>
      <c r="BG356" s="1062"/>
      <c r="BH356" s="1062"/>
      <c r="BI356" s="1154" t="s">
        <v>3156</v>
      </c>
      <c r="BJ356" s="1142" t="s">
        <v>3724</v>
      </c>
      <c r="BK356" s="1134" t="s">
        <v>3721</v>
      </c>
      <c r="BL356" s="1134" t="s">
        <v>1923</v>
      </c>
      <c r="BM356" s="1134" t="s">
        <v>3091</v>
      </c>
      <c r="BN356" s="1134" t="s">
        <v>291</v>
      </c>
      <c r="BO356" s="1136"/>
      <c r="BP356" s="1137"/>
      <c r="BQ356" s="1138"/>
      <c r="BR356" s="1138"/>
      <c r="BS356" s="1139"/>
      <c r="BT356" s="1140"/>
    </row>
    <row r="357" spans="1:72" s="1141" customFormat="1" ht="28.9" hidden="1" customHeight="1">
      <c r="A357" s="1132"/>
      <c r="B357" s="1414" t="s">
        <v>3725</v>
      </c>
      <c r="C357" s="1134"/>
      <c r="D357" s="1134"/>
      <c r="E357" s="1415" t="s">
        <v>48</v>
      </c>
      <c r="F357" s="1062">
        <f t="shared" si="101"/>
        <v>0.02</v>
      </c>
      <c r="G357" s="1062">
        <v>0.02</v>
      </c>
      <c r="H357" s="1155"/>
      <c r="I357" s="1155"/>
      <c r="J357" s="1062"/>
      <c r="K357" s="1062"/>
      <c r="L357" s="1062"/>
      <c r="M357" s="1062"/>
      <c r="N357" s="1062"/>
      <c r="O357" s="1062"/>
      <c r="P357" s="1062"/>
      <c r="Q357" s="1062"/>
      <c r="R357" s="1062"/>
      <c r="S357" s="1062"/>
      <c r="T357" s="1062"/>
      <c r="U357" s="1062"/>
      <c r="V357" s="1062"/>
      <c r="W357" s="1062"/>
      <c r="X357" s="1062"/>
      <c r="Y357" s="1062"/>
      <c r="Z357" s="1062"/>
      <c r="AA357" s="1062"/>
      <c r="AB357" s="1062"/>
      <c r="AC357" s="1062"/>
      <c r="AD357" s="1062"/>
      <c r="AE357" s="1062"/>
      <c r="AF357" s="1062"/>
      <c r="AG357" s="1062"/>
      <c r="AH357" s="1062"/>
      <c r="AI357" s="1062"/>
      <c r="AJ357" s="1062"/>
      <c r="AK357" s="1062"/>
      <c r="AL357" s="1062"/>
      <c r="AM357" s="1062"/>
      <c r="AN357" s="1062"/>
      <c r="AO357" s="1062"/>
      <c r="AP357" s="1062"/>
      <c r="AQ357" s="1062"/>
      <c r="AR357" s="1062"/>
      <c r="AS357" s="1062"/>
      <c r="AT357" s="1062"/>
      <c r="AU357" s="1062"/>
      <c r="AV357" s="1062"/>
      <c r="AW357" s="1062"/>
      <c r="AX357" s="1062"/>
      <c r="AY357" s="1062"/>
      <c r="AZ357" s="1062"/>
      <c r="BA357" s="1062"/>
      <c r="BB357" s="1062"/>
      <c r="BC357" s="1062"/>
      <c r="BD357" s="1062"/>
      <c r="BE357" s="1062"/>
      <c r="BF357" s="1062"/>
      <c r="BG357" s="1062"/>
      <c r="BH357" s="1062"/>
      <c r="BI357" s="1134" t="s">
        <v>3156</v>
      </c>
      <c r="BJ357" s="1154" t="s">
        <v>3726</v>
      </c>
      <c r="BK357" s="1134" t="s">
        <v>3727</v>
      </c>
      <c r="BL357" s="1134" t="s">
        <v>1923</v>
      </c>
      <c r="BM357" s="1134" t="s">
        <v>3091</v>
      </c>
      <c r="BN357" s="1134" t="s">
        <v>291</v>
      </c>
      <c r="BO357" s="1136"/>
      <c r="BP357" s="1137"/>
      <c r="BQ357" s="1138"/>
      <c r="BR357" s="1138"/>
      <c r="BS357" s="1139"/>
      <c r="BT357" s="1140"/>
    </row>
    <row r="358" spans="1:72" s="1141" customFormat="1" ht="29.1" hidden="1" customHeight="1">
      <c r="A358" s="1132"/>
      <c r="B358" s="1414" t="s">
        <v>3728</v>
      </c>
      <c r="C358" s="1134"/>
      <c r="D358" s="1134"/>
      <c r="E358" s="1415" t="s">
        <v>48</v>
      </c>
      <c r="F358" s="1062">
        <f t="shared" si="101"/>
        <v>0.19</v>
      </c>
      <c r="G358" s="1062">
        <v>0.19</v>
      </c>
      <c r="H358" s="1155"/>
      <c r="I358" s="1155"/>
      <c r="J358" s="1062"/>
      <c r="K358" s="1062"/>
      <c r="L358" s="1062"/>
      <c r="M358" s="1062"/>
      <c r="N358" s="1062"/>
      <c r="O358" s="1062"/>
      <c r="P358" s="1062"/>
      <c r="Q358" s="1062"/>
      <c r="R358" s="1062"/>
      <c r="S358" s="1062"/>
      <c r="T358" s="1062"/>
      <c r="U358" s="1062"/>
      <c r="V358" s="1062"/>
      <c r="W358" s="1062"/>
      <c r="X358" s="1062"/>
      <c r="Y358" s="1062"/>
      <c r="Z358" s="1062"/>
      <c r="AA358" s="1062"/>
      <c r="AB358" s="1062"/>
      <c r="AC358" s="1062"/>
      <c r="AD358" s="1062"/>
      <c r="AE358" s="1062"/>
      <c r="AF358" s="1062"/>
      <c r="AG358" s="1062"/>
      <c r="AH358" s="1062"/>
      <c r="AI358" s="1062"/>
      <c r="AJ358" s="1062"/>
      <c r="AK358" s="1062"/>
      <c r="AL358" s="1062"/>
      <c r="AM358" s="1062"/>
      <c r="AN358" s="1062"/>
      <c r="AO358" s="1062"/>
      <c r="AP358" s="1062"/>
      <c r="AQ358" s="1062"/>
      <c r="AR358" s="1062"/>
      <c r="AS358" s="1062"/>
      <c r="AT358" s="1062"/>
      <c r="AU358" s="1062"/>
      <c r="AV358" s="1062"/>
      <c r="AW358" s="1062"/>
      <c r="AX358" s="1062"/>
      <c r="AY358" s="1062"/>
      <c r="AZ358" s="1062"/>
      <c r="BA358" s="1062"/>
      <c r="BB358" s="1062"/>
      <c r="BC358" s="1062"/>
      <c r="BD358" s="1062"/>
      <c r="BE358" s="1062"/>
      <c r="BF358" s="1062"/>
      <c r="BG358" s="1062"/>
      <c r="BH358" s="1062"/>
      <c r="BI358" s="1134" t="s">
        <v>3156</v>
      </c>
      <c r="BJ358" s="1154" t="s">
        <v>3729</v>
      </c>
      <c r="BK358" s="1134" t="s">
        <v>3727</v>
      </c>
      <c r="BL358" s="1134" t="s">
        <v>1923</v>
      </c>
      <c r="BM358" s="1134" t="s">
        <v>3091</v>
      </c>
      <c r="BN358" s="1134" t="s">
        <v>291</v>
      </c>
      <c r="BO358" s="1136"/>
      <c r="BP358" s="1137"/>
      <c r="BQ358" s="1138"/>
      <c r="BR358" s="1138"/>
      <c r="BS358" s="1139"/>
      <c r="BT358" s="1140"/>
    </row>
    <row r="359" spans="1:72" s="1141" customFormat="1" ht="29.1" hidden="1" customHeight="1">
      <c r="A359" s="1132"/>
      <c r="B359" s="1414" t="s">
        <v>3730</v>
      </c>
      <c r="C359" s="1134"/>
      <c r="D359" s="1134"/>
      <c r="E359" s="1415" t="s">
        <v>48</v>
      </c>
      <c r="F359" s="1062">
        <f t="shared" si="101"/>
        <v>0.04</v>
      </c>
      <c r="G359" s="1062">
        <v>0.04</v>
      </c>
      <c r="H359" s="1155"/>
      <c r="I359" s="1155"/>
      <c r="J359" s="1062"/>
      <c r="K359" s="1062"/>
      <c r="L359" s="1062"/>
      <c r="M359" s="1062"/>
      <c r="N359" s="1062"/>
      <c r="O359" s="1062"/>
      <c r="P359" s="1062"/>
      <c r="Q359" s="1062"/>
      <c r="R359" s="1062"/>
      <c r="S359" s="1062"/>
      <c r="T359" s="1062"/>
      <c r="U359" s="1062"/>
      <c r="V359" s="1062"/>
      <c r="W359" s="1062"/>
      <c r="X359" s="1062"/>
      <c r="Y359" s="1062"/>
      <c r="Z359" s="1062"/>
      <c r="AA359" s="1062"/>
      <c r="AB359" s="1062"/>
      <c r="AC359" s="1062"/>
      <c r="AD359" s="1062"/>
      <c r="AE359" s="1062"/>
      <c r="AF359" s="1062"/>
      <c r="AG359" s="1062"/>
      <c r="AH359" s="1062"/>
      <c r="AI359" s="1062"/>
      <c r="AJ359" s="1062"/>
      <c r="AK359" s="1062"/>
      <c r="AL359" s="1062"/>
      <c r="AM359" s="1062"/>
      <c r="AN359" s="1062"/>
      <c r="AO359" s="1062"/>
      <c r="AP359" s="1062"/>
      <c r="AQ359" s="1062"/>
      <c r="AR359" s="1062"/>
      <c r="AS359" s="1062"/>
      <c r="AT359" s="1062"/>
      <c r="AU359" s="1062"/>
      <c r="AV359" s="1062"/>
      <c r="AW359" s="1062"/>
      <c r="AX359" s="1062"/>
      <c r="AY359" s="1062"/>
      <c r="AZ359" s="1062"/>
      <c r="BA359" s="1062"/>
      <c r="BB359" s="1062"/>
      <c r="BC359" s="1062"/>
      <c r="BD359" s="1062"/>
      <c r="BE359" s="1062"/>
      <c r="BF359" s="1062"/>
      <c r="BG359" s="1062"/>
      <c r="BH359" s="1062"/>
      <c r="BI359" s="1134" t="s">
        <v>3156</v>
      </c>
      <c r="BJ359" s="1154" t="s">
        <v>3731</v>
      </c>
      <c r="BK359" s="1134" t="s">
        <v>3727</v>
      </c>
      <c r="BL359" s="1134" t="s">
        <v>1923</v>
      </c>
      <c r="BM359" s="1134" t="s">
        <v>3091</v>
      </c>
      <c r="BN359" s="1134" t="s">
        <v>291</v>
      </c>
      <c r="BO359" s="1136"/>
      <c r="BP359" s="1137"/>
      <c r="BQ359" s="1138"/>
      <c r="BR359" s="1138"/>
      <c r="BS359" s="1139"/>
      <c r="BT359" s="1140"/>
    </row>
    <row r="360" spans="1:72" s="1141" customFormat="1" ht="29.1" hidden="1" customHeight="1">
      <c r="A360" s="1132"/>
      <c r="B360" s="1414" t="s">
        <v>3732</v>
      </c>
      <c r="C360" s="1134"/>
      <c r="D360" s="1134"/>
      <c r="E360" s="1415" t="s">
        <v>48</v>
      </c>
      <c r="F360" s="1062">
        <f t="shared" si="101"/>
        <v>0.03</v>
      </c>
      <c r="G360" s="1062">
        <v>0.03</v>
      </c>
      <c r="H360" s="1155"/>
      <c r="I360" s="1155"/>
      <c r="J360" s="1062"/>
      <c r="K360" s="1062"/>
      <c r="L360" s="1062"/>
      <c r="M360" s="1062"/>
      <c r="N360" s="1062"/>
      <c r="O360" s="1062"/>
      <c r="P360" s="1062"/>
      <c r="Q360" s="1062"/>
      <c r="R360" s="1062"/>
      <c r="S360" s="1062"/>
      <c r="T360" s="1062"/>
      <c r="U360" s="1062"/>
      <c r="V360" s="1062"/>
      <c r="W360" s="1062"/>
      <c r="X360" s="1062"/>
      <c r="Y360" s="1062"/>
      <c r="Z360" s="1062"/>
      <c r="AA360" s="1062"/>
      <c r="AB360" s="1062"/>
      <c r="AC360" s="1062"/>
      <c r="AD360" s="1062"/>
      <c r="AE360" s="1062"/>
      <c r="AF360" s="1062"/>
      <c r="AG360" s="1062"/>
      <c r="AH360" s="1062"/>
      <c r="AI360" s="1062"/>
      <c r="AJ360" s="1062"/>
      <c r="AK360" s="1062"/>
      <c r="AL360" s="1062"/>
      <c r="AM360" s="1062"/>
      <c r="AN360" s="1062"/>
      <c r="AO360" s="1062"/>
      <c r="AP360" s="1062"/>
      <c r="AQ360" s="1062"/>
      <c r="AR360" s="1062"/>
      <c r="AS360" s="1062"/>
      <c r="AT360" s="1062"/>
      <c r="AU360" s="1062"/>
      <c r="AV360" s="1062"/>
      <c r="AW360" s="1062"/>
      <c r="AX360" s="1062"/>
      <c r="AY360" s="1062"/>
      <c r="AZ360" s="1062"/>
      <c r="BA360" s="1062"/>
      <c r="BB360" s="1062"/>
      <c r="BC360" s="1062"/>
      <c r="BD360" s="1062"/>
      <c r="BE360" s="1062"/>
      <c r="BF360" s="1062"/>
      <c r="BG360" s="1062"/>
      <c r="BH360" s="1062"/>
      <c r="BI360" s="1134" t="s">
        <v>3156</v>
      </c>
      <c r="BJ360" s="1134" t="s">
        <v>3733</v>
      </c>
      <c r="BK360" s="1134" t="s">
        <v>3727</v>
      </c>
      <c r="BL360" s="1134" t="s">
        <v>1923</v>
      </c>
      <c r="BM360" s="1134" t="s">
        <v>3091</v>
      </c>
      <c r="BN360" s="1134" t="s">
        <v>291</v>
      </c>
      <c r="BO360" s="1136"/>
      <c r="BP360" s="1122"/>
      <c r="BQ360" s="1138"/>
      <c r="BR360" s="1138"/>
      <c r="BS360" s="1139"/>
      <c r="BT360" s="1140"/>
    </row>
    <row r="361" spans="1:72" s="1141" customFormat="1" ht="29.1" hidden="1" customHeight="1">
      <c r="A361" s="1132"/>
      <c r="B361" s="1414" t="s">
        <v>3734</v>
      </c>
      <c r="C361" s="1134"/>
      <c r="D361" s="1134"/>
      <c r="E361" s="1415" t="s">
        <v>48</v>
      </c>
      <c r="F361" s="1062">
        <f t="shared" si="101"/>
        <v>0.02</v>
      </c>
      <c r="G361" s="1062">
        <v>0.02</v>
      </c>
      <c r="H361" s="1155"/>
      <c r="I361" s="1155"/>
      <c r="J361" s="1062"/>
      <c r="K361" s="1062"/>
      <c r="L361" s="1062"/>
      <c r="M361" s="1062"/>
      <c r="N361" s="1062"/>
      <c r="O361" s="1062"/>
      <c r="P361" s="1062"/>
      <c r="Q361" s="1062"/>
      <c r="R361" s="1062"/>
      <c r="S361" s="1062"/>
      <c r="T361" s="1062"/>
      <c r="U361" s="1062"/>
      <c r="V361" s="1062"/>
      <c r="W361" s="1062"/>
      <c r="X361" s="1062"/>
      <c r="Y361" s="1062"/>
      <c r="Z361" s="1062"/>
      <c r="AA361" s="1062"/>
      <c r="AB361" s="1062"/>
      <c r="AC361" s="1062"/>
      <c r="AD361" s="1062"/>
      <c r="AE361" s="1062"/>
      <c r="AF361" s="1062"/>
      <c r="AG361" s="1062"/>
      <c r="AH361" s="1062"/>
      <c r="AI361" s="1062"/>
      <c r="AJ361" s="1062"/>
      <c r="AK361" s="1062"/>
      <c r="AL361" s="1062"/>
      <c r="AM361" s="1062"/>
      <c r="AN361" s="1062"/>
      <c r="AO361" s="1062"/>
      <c r="AP361" s="1062"/>
      <c r="AQ361" s="1062"/>
      <c r="AR361" s="1062"/>
      <c r="AS361" s="1062"/>
      <c r="AT361" s="1062"/>
      <c r="AU361" s="1062"/>
      <c r="AV361" s="1062"/>
      <c r="AW361" s="1062"/>
      <c r="AX361" s="1062"/>
      <c r="AY361" s="1062"/>
      <c r="AZ361" s="1062"/>
      <c r="BA361" s="1062"/>
      <c r="BB361" s="1062"/>
      <c r="BC361" s="1062"/>
      <c r="BD361" s="1062"/>
      <c r="BE361" s="1062"/>
      <c r="BF361" s="1062"/>
      <c r="BG361" s="1062"/>
      <c r="BH361" s="1062"/>
      <c r="BI361" s="1134" t="s">
        <v>3156</v>
      </c>
      <c r="BJ361" s="1134" t="s">
        <v>3735</v>
      </c>
      <c r="BK361" s="1134" t="s">
        <v>3727</v>
      </c>
      <c r="BL361" s="1134" t="s">
        <v>1923</v>
      </c>
      <c r="BM361" s="1134" t="s">
        <v>3091</v>
      </c>
      <c r="BN361" s="1134" t="s">
        <v>291</v>
      </c>
      <c r="BO361" s="1136"/>
      <c r="BP361" s="1148"/>
      <c r="BQ361" s="1138"/>
      <c r="BR361" s="1138"/>
      <c r="BS361" s="1139"/>
      <c r="BT361" s="1140"/>
    </row>
    <row r="362" spans="1:72" s="1141" customFormat="1" ht="29.1" hidden="1" customHeight="1">
      <c r="A362" s="1132"/>
      <c r="B362" s="1414" t="s">
        <v>3736</v>
      </c>
      <c r="C362" s="1134"/>
      <c r="D362" s="1134"/>
      <c r="E362" s="1415" t="s">
        <v>48</v>
      </c>
      <c r="F362" s="1062">
        <f t="shared" si="101"/>
        <v>0.04</v>
      </c>
      <c r="G362" s="1062">
        <v>0.04</v>
      </c>
      <c r="H362" s="1155"/>
      <c r="I362" s="1155"/>
      <c r="J362" s="1062"/>
      <c r="K362" s="1062"/>
      <c r="L362" s="1062"/>
      <c r="M362" s="1062"/>
      <c r="N362" s="1062"/>
      <c r="O362" s="1062"/>
      <c r="P362" s="1062"/>
      <c r="Q362" s="1062"/>
      <c r="R362" s="1062"/>
      <c r="S362" s="1062"/>
      <c r="T362" s="1062"/>
      <c r="U362" s="1062"/>
      <c r="V362" s="1062"/>
      <c r="W362" s="1062"/>
      <c r="X362" s="1062"/>
      <c r="Y362" s="1062"/>
      <c r="Z362" s="1062"/>
      <c r="AA362" s="1062"/>
      <c r="AB362" s="1062"/>
      <c r="AC362" s="1062"/>
      <c r="AD362" s="1062"/>
      <c r="AE362" s="1062"/>
      <c r="AF362" s="1062"/>
      <c r="AG362" s="1062"/>
      <c r="AH362" s="1062"/>
      <c r="AI362" s="1062"/>
      <c r="AJ362" s="1062"/>
      <c r="AK362" s="1062"/>
      <c r="AL362" s="1062"/>
      <c r="AM362" s="1062"/>
      <c r="AN362" s="1062"/>
      <c r="AO362" s="1062"/>
      <c r="AP362" s="1062"/>
      <c r="AQ362" s="1062"/>
      <c r="AR362" s="1062"/>
      <c r="AS362" s="1062"/>
      <c r="AT362" s="1062"/>
      <c r="AU362" s="1062"/>
      <c r="AV362" s="1062"/>
      <c r="AW362" s="1062"/>
      <c r="AX362" s="1062"/>
      <c r="AY362" s="1062"/>
      <c r="AZ362" s="1062"/>
      <c r="BA362" s="1062"/>
      <c r="BB362" s="1062"/>
      <c r="BC362" s="1062"/>
      <c r="BD362" s="1062"/>
      <c r="BE362" s="1062"/>
      <c r="BF362" s="1062"/>
      <c r="BG362" s="1062"/>
      <c r="BH362" s="1062"/>
      <c r="BI362" s="1134" t="s">
        <v>3156</v>
      </c>
      <c r="BJ362" s="1134" t="s">
        <v>3737</v>
      </c>
      <c r="BK362" s="1134" t="s">
        <v>3727</v>
      </c>
      <c r="BL362" s="1134" t="s">
        <v>1923</v>
      </c>
      <c r="BM362" s="1134" t="s">
        <v>3091</v>
      </c>
      <c r="BN362" s="1134" t="s">
        <v>291</v>
      </c>
      <c r="BO362" s="1136"/>
      <c r="BP362" s="1122"/>
      <c r="BQ362" s="1138"/>
      <c r="BR362" s="1138"/>
      <c r="BS362" s="1139"/>
      <c r="BT362" s="1140"/>
    </row>
    <row r="363" spans="1:72" s="1141" customFormat="1" ht="29.1" hidden="1" customHeight="1">
      <c r="A363" s="1132"/>
      <c r="B363" s="1414" t="s">
        <v>3738</v>
      </c>
      <c r="C363" s="1134"/>
      <c r="D363" s="1134"/>
      <c r="E363" s="1415" t="s">
        <v>48</v>
      </c>
      <c r="F363" s="1062">
        <f t="shared" si="101"/>
        <v>0.03</v>
      </c>
      <c r="G363" s="1062">
        <v>0.03</v>
      </c>
      <c r="H363" s="1155"/>
      <c r="I363" s="1155"/>
      <c r="J363" s="1062"/>
      <c r="K363" s="1062"/>
      <c r="L363" s="1062"/>
      <c r="M363" s="1062"/>
      <c r="N363" s="1062"/>
      <c r="O363" s="1062"/>
      <c r="P363" s="1062"/>
      <c r="Q363" s="1062"/>
      <c r="R363" s="1062"/>
      <c r="S363" s="1062"/>
      <c r="T363" s="1062"/>
      <c r="U363" s="1062"/>
      <c r="V363" s="1062"/>
      <c r="W363" s="1062"/>
      <c r="X363" s="1062"/>
      <c r="Y363" s="1062"/>
      <c r="Z363" s="1062"/>
      <c r="AA363" s="1062"/>
      <c r="AB363" s="1062"/>
      <c r="AC363" s="1062"/>
      <c r="AD363" s="1062"/>
      <c r="AE363" s="1062"/>
      <c r="AF363" s="1062"/>
      <c r="AG363" s="1062"/>
      <c r="AH363" s="1062"/>
      <c r="AI363" s="1062"/>
      <c r="AJ363" s="1062"/>
      <c r="AK363" s="1062"/>
      <c r="AL363" s="1062"/>
      <c r="AM363" s="1062"/>
      <c r="AN363" s="1062"/>
      <c r="AO363" s="1062"/>
      <c r="AP363" s="1062"/>
      <c r="AQ363" s="1062"/>
      <c r="AR363" s="1062"/>
      <c r="AS363" s="1062"/>
      <c r="AT363" s="1062"/>
      <c r="AU363" s="1062"/>
      <c r="AV363" s="1062"/>
      <c r="AW363" s="1062"/>
      <c r="AX363" s="1062"/>
      <c r="AY363" s="1062"/>
      <c r="AZ363" s="1062"/>
      <c r="BA363" s="1062"/>
      <c r="BB363" s="1062"/>
      <c r="BC363" s="1062"/>
      <c r="BD363" s="1062"/>
      <c r="BE363" s="1062"/>
      <c r="BF363" s="1062"/>
      <c r="BG363" s="1062"/>
      <c r="BH363" s="1062"/>
      <c r="BI363" s="1134" t="s">
        <v>3156</v>
      </c>
      <c r="BJ363" s="1134" t="s">
        <v>3739</v>
      </c>
      <c r="BK363" s="1134" t="s">
        <v>3727</v>
      </c>
      <c r="BL363" s="1134" t="s">
        <v>1923</v>
      </c>
      <c r="BM363" s="1134" t="s">
        <v>3091</v>
      </c>
      <c r="BN363" s="1134" t="s">
        <v>291</v>
      </c>
      <c r="BO363" s="1136"/>
      <c r="BP363" s="1137"/>
      <c r="BQ363" s="1138"/>
      <c r="BR363" s="1138"/>
      <c r="BS363" s="1139"/>
      <c r="BT363" s="1140"/>
    </row>
    <row r="364" spans="1:72" s="1126" customFormat="1" ht="30.95" customHeight="1">
      <c r="A364" s="1099">
        <f>A355+1</f>
        <v>131</v>
      </c>
      <c r="B364" s="1130" t="s">
        <v>3740</v>
      </c>
      <c r="C364" s="1120"/>
      <c r="D364" s="1120"/>
      <c r="E364" s="1174" t="s">
        <v>48</v>
      </c>
      <c r="F364" s="1029">
        <f t="shared" si="101"/>
        <v>0.02</v>
      </c>
      <c r="G364" s="1029">
        <v>0.02</v>
      </c>
      <c r="H364" s="1026"/>
      <c r="I364" s="1026"/>
      <c r="J364" s="1029"/>
      <c r="K364" s="1029"/>
      <c r="L364" s="1029"/>
      <c r="M364" s="1029"/>
      <c r="N364" s="1029"/>
      <c r="O364" s="1029"/>
      <c r="P364" s="1029"/>
      <c r="Q364" s="1029"/>
      <c r="R364" s="1029"/>
      <c r="S364" s="1029"/>
      <c r="T364" s="1029"/>
      <c r="U364" s="1029"/>
      <c r="V364" s="1029"/>
      <c r="W364" s="1029"/>
      <c r="X364" s="1029"/>
      <c r="Y364" s="1029"/>
      <c r="Z364" s="1029"/>
      <c r="AA364" s="1029"/>
      <c r="AB364" s="1029"/>
      <c r="AC364" s="1029"/>
      <c r="AD364" s="1029"/>
      <c r="AE364" s="1029"/>
      <c r="AF364" s="1029"/>
      <c r="AG364" s="1029"/>
      <c r="AH364" s="1029"/>
      <c r="AI364" s="1029"/>
      <c r="AJ364" s="1029"/>
      <c r="AK364" s="1029"/>
      <c r="AL364" s="1029"/>
      <c r="AM364" s="1029"/>
      <c r="AN364" s="1029"/>
      <c r="AO364" s="1029"/>
      <c r="AP364" s="1029"/>
      <c r="AQ364" s="1029"/>
      <c r="AR364" s="1029"/>
      <c r="AS364" s="1029"/>
      <c r="AT364" s="1029"/>
      <c r="AU364" s="1029"/>
      <c r="AV364" s="1029"/>
      <c r="AW364" s="1029"/>
      <c r="AX364" s="1029"/>
      <c r="AY364" s="1029"/>
      <c r="AZ364" s="1029"/>
      <c r="BA364" s="1029"/>
      <c r="BB364" s="1029"/>
      <c r="BC364" s="1029"/>
      <c r="BD364" s="1029"/>
      <c r="BE364" s="1029"/>
      <c r="BF364" s="1029"/>
      <c r="BG364" s="1029"/>
      <c r="BH364" s="1029"/>
      <c r="BI364" s="1127" t="s">
        <v>3741</v>
      </c>
      <c r="BJ364" s="1120" t="s">
        <v>3742</v>
      </c>
      <c r="BK364" s="1120" t="s">
        <v>3743</v>
      </c>
      <c r="BL364" s="1120"/>
      <c r="BM364" s="1120"/>
      <c r="BN364" s="1120" t="s">
        <v>298</v>
      </c>
      <c r="BO364" s="1121"/>
      <c r="BP364" s="1137">
        <v>1</v>
      </c>
      <c r="BQ364" s="1123"/>
      <c r="BR364" s="1123"/>
      <c r="BS364" s="1124"/>
      <c r="BT364" s="1125"/>
    </row>
    <row r="365" spans="1:72" s="1152" customFormat="1" ht="89.25" customHeight="1">
      <c r="A365" s="1143">
        <f>A364+1</f>
        <v>132</v>
      </c>
      <c r="B365" s="1416" t="s">
        <v>3744</v>
      </c>
      <c r="C365" s="1156"/>
      <c r="D365" s="1156"/>
      <c r="E365" s="1417" t="s">
        <v>48</v>
      </c>
      <c r="F365" s="1057">
        <f>G365+H365</f>
        <v>0.15</v>
      </c>
      <c r="G365" s="1056">
        <v>0.15</v>
      </c>
      <c r="H365" s="1082"/>
      <c r="I365" s="1082"/>
      <c r="J365" s="1056"/>
      <c r="K365" s="1056"/>
      <c r="L365" s="1056"/>
      <c r="M365" s="1056"/>
      <c r="N365" s="1056"/>
      <c r="O365" s="1056"/>
      <c r="P365" s="1056"/>
      <c r="Q365" s="1056"/>
      <c r="R365" s="1056"/>
      <c r="S365" s="1056"/>
      <c r="T365" s="1056"/>
      <c r="U365" s="1056"/>
      <c r="V365" s="1056"/>
      <c r="W365" s="1056"/>
      <c r="X365" s="1056"/>
      <c r="Y365" s="1056"/>
      <c r="Z365" s="1056"/>
      <c r="AA365" s="1056"/>
      <c r="AB365" s="1056"/>
      <c r="AC365" s="1056"/>
      <c r="AD365" s="1056"/>
      <c r="AE365" s="1056"/>
      <c r="AF365" s="1056"/>
      <c r="AG365" s="1056"/>
      <c r="AH365" s="1056"/>
      <c r="AI365" s="1056"/>
      <c r="AJ365" s="1056"/>
      <c r="AK365" s="1056"/>
      <c r="AL365" s="1056"/>
      <c r="AM365" s="1056"/>
      <c r="AN365" s="1056"/>
      <c r="AO365" s="1056"/>
      <c r="AP365" s="1056"/>
      <c r="AQ365" s="1056"/>
      <c r="AR365" s="1056"/>
      <c r="AS365" s="1056"/>
      <c r="AT365" s="1056"/>
      <c r="AU365" s="1056"/>
      <c r="AV365" s="1056"/>
      <c r="AW365" s="1056"/>
      <c r="AX365" s="1056"/>
      <c r="AY365" s="1056"/>
      <c r="AZ365" s="1056"/>
      <c r="BA365" s="1056"/>
      <c r="BB365" s="1056"/>
      <c r="BC365" s="1056"/>
      <c r="BD365" s="1056"/>
      <c r="BE365" s="1056"/>
      <c r="BF365" s="1056"/>
      <c r="BG365" s="1056"/>
      <c r="BH365" s="1056"/>
      <c r="BI365" s="1156" t="s">
        <v>3745</v>
      </c>
      <c r="BJ365" s="1131" t="s">
        <v>3746</v>
      </c>
      <c r="BK365" s="1418" t="s">
        <v>3747</v>
      </c>
      <c r="BL365" s="1131" t="s">
        <v>1923</v>
      </c>
      <c r="BM365" s="1131" t="s">
        <v>3091</v>
      </c>
      <c r="BN365" s="1131" t="s">
        <v>291</v>
      </c>
      <c r="BO365" s="1147"/>
      <c r="BP365" s="1137">
        <v>1</v>
      </c>
      <c r="BQ365" s="1149"/>
      <c r="BR365" s="1149"/>
      <c r="BS365" s="1150"/>
      <c r="BT365" s="1151"/>
    </row>
    <row r="366" spans="1:72" s="1152" customFormat="1" ht="50.45" customHeight="1">
      <c r="A366" s="1143">
        <f>A365+1</f>
        <v>133</v>
      </c>
      <c r="B366" s="1144" t="s">
        <v>3748</v>
      </c>
      <c r="C366" s="1131"/>
      <c r="D366" s="1131"/>
      <c r="E366" s="1167"/>
      <c r="F366" s="1056">
        <f>SUM(F367:F369)</f>
        <v>0.1</v>
      </c>
      <c r="G366" s="1056">
        <f t="shared" ref="G366:H366" si="103">SUM(G367:G369)</f>
        <v>0.1</v>
      </c>
      <c r="H366" s="1056">
        <f t="shared" si="103"/>
        <v>0</v>
      </c>
      <c r="I366" s="1082"/>
      <c r="J366" s="1056"/>
      <c r="K366" s="1056"/>
      <c r="L366" s="1056"/>
      <c r="M366" s="1056"/>
      <c r="N366" s="1056"/>
      <c r="O366" s="1056"/>
      <c r="P366" s="1056"/>
      <c r="Q366" s="1056"/>
      <c r="R366" s="1056"/>
      <c r="S366" s="1056"/>
      <c r="T366" s="1056"/>
      <c r="U366" s="1056"/>
      <c r="V366" s="1056"/>
      <c r="W366" s="1056"/>
      <c r="X366" s="1056"/>
      <c r="Y366" s="1056"/>
      <c r="Z366" s="1056"/>
      <c r="AA366" s="1056"/>
      <c r="AB366" s="1056"/>
      <c r="AC366" s="1056"/>
      <c r="AD366" s="1056"/>
      <c r="AE366" s="1056"/>
      <c r="AF366" s="1056"/>
      <c r="AG366" s="1056"/>
      <c r="AH366" s="1056"/>
      <c r="AI366" s="1056"/>
      <c r="AJ366" s="1056"/>
      <c r="AK366" s="1056"/>
      <c r="AL366" s="1056"/>
      <c r="AM366" s="1056"/>
      <c r="AN366" s="1056"/>
      <c r="AO366" s="1056"/>
      <c r="AP366" s="1056"/>
      <c r="AQ366" s="1056"/>
      <c r="AR366" s="1056"/>
      <c r="AS366" s="1056"/>
      <c r="AT366" s="1056"/>
      <c r="AU366" s="1056"/>
      <c r="AV366" s="1056"/>
      <c r="AW366" s="1056"/>
      <c r="AX366" s="1056"/>
      <c r="AY366" s="1056"/>
      <c r="AZ366" s="1056"/>
      <c r="BA366" s="1056"/>
      <c r="BB366" s="1056"/>
      <c r="BC366" s="1056"/>
      <c r="BD366" s="1056"/>
      <c r="BE366" s="1056"/>
      <c r="BF366" s="1056"/>
      <c r="BG366" s="1056"/>
      <c r="BH366" s="1056"/>
      <c r="BI366" s="1145" t="s">
        <v>3749</v>
      </c>
      <c r="BJ366" s="1168" t="s">
        <v>3750</v>
      </c>
      <c r="BK366" s="1131" t="s">
        <v>3304</v>
      </c>
      <c r="BL366" s="1131"/>
      <c r="BM366" s="1131"/>
      <c r="BN366" s="1131" t="s">
        <v>291</v>
      </c>
      <c r="BO366" s="1147"/>
      <c r="BP366" s="1148">
        <v>1</v>
      </c>
      <c r="BQ366" s="1149"/>
      <c r="BR366" s="1149"/>
      <c r="BS366" s="1150"/>
      <c r="BT366" s="1151"/>
    </row>
    <row r="367" spans="1:72" s="1141" customFormat="1" ht="30.95" hidden="1" customHeight="1">
      <c r="A367" s="1132"/>
      <c r="B367" s="1419" t="s">
        <v>3751</v>
      </c>
      <c r="C367" s="1134"/>
      <c r="D367" s="1134"/>
      <c r="E367" s="1415" t="s">
        <v>48</v>
      </c>
      <c r="F367" s="1062">
        <f t="shared" si="101"/>
        <v>0.02</v>
      </c>
      <c r="G367" s="1062">
        <v>0.02</v>
      </c>
      <c r="H367" s="1155"/>
      <c r="I367" s="1155"/>
      <c r="J367" s="1062"/>
      <c r="K367" s="1062"/>
      <c r="L367" s="1062"/>
      <c r="M367" s="1062"/>
      <c r="N367" s="1062"/>
      <c r="O367" s="1062"/>
      <c r="P367" s="1062"/>
      <c r="Q367" s="1062"/>
      <c r="R367" s="1062"/>
      <c r="S367" s="1062"/>
      <c r="T367" s="1062"/>
      <c r="U367" s="1062"/>
      <c r="V367" s="1062"/>
      <c r="W367" s="1062"/>
      <c r="X367" s="1062"/>
      <c r="Y367" s="1062"/>
      <c r="Z367" s="1062"/>
      <c r="AA367" s="1062"/>
      <c r="AB367" s="1062"/>
      <c r="AC367" s="1062"/>
      <c r="AD367" s="1062"/>
      <c r="AE367" s="1062"/>
      <c r="AF367" s="1062"/>
      <c r="AG367" s="1062"/>
      <c r="AH367" s="1062"/>
      <c r="AI367" s="1062"/>
      <c r="AJ367" s="1062"/>
      <c r="AK367" s="1062"/>
      <c r="AL367" s="1062"/>
      <c r="AM367" s="1062"/>
      <c r="AN367" s="1062"/>
      <c r="AO367" s="1062"/>
      <c r="AP367" s="1062"/>
      <c r="AQ367" s="1062"/>
      <c r="AR367" s="1062"/>
      <c r="AS367" s="1062"/>
      <c r="AT367" s="1062"/>
      <c r="AU367" s="1062"/>
      <c r="AV367" s="1062"/>
      <c r="AW367" s="1062"/>
      <c r="AX367" s="1062"/>
      <c r="AY367" s="1062"/>
      <c r="AZ367" s="1062"/>
      <c r="BA367" s="1062"/>
      <c r="BB367" s="1062"/>
      <c r="BC367" s="1062"/>
      <c r="BD367" s="1062"/>
      <c r="BE367" s="1062"/>
      <c r="BF367" s="1062"/>
      <c r="BG367" s="1062"/>
      <c r="BH367" s="1062"/>
      <c r="BI367" s="1134" t="s">
        <v>3752</v>
      </c>
      <c r="BJ367" s="1154" t="s">
        <v>3753</v>
      </c>
      <c r="BK367" s="1134" t="s">
        <v>3304</v>
      </c>
      <c r="BL367" s="1134" t="s">
        <v>1923</v>
      </c>
      <c r="BM367" s="1134" t="s">
        <v>3091</v>
      </c>
      <c r="BN367" s="1134" t="s">
        <v>291</v>
      </c>
      <c r="BO367" s="1136"/>
      <c r="BP367" s="1137"/>
      <c r="BQ367" s="1138"/>
      <c r="BR367" s="1138"/>
      <c r="BS367" s="1139"/>
      <c r="BT367" s="1134" t="s">
        <v>3754</v>
      </c>
    </row>
    <row r="368" spans="1:72" s="1141" customFormat="1" ht="30.95" hidden="1" customHeight="1">
      <c r="A368" s="1132"/>
      <c r="B368" s="1419" t="s">
        <v>3755</v>
      </c>
      <c r="C368" s="1134"/>
      <c r="D368" s="1134"/>
      <c r="E368" s="1415" t="s">
        <v>48</v>
      </c>
      <c r="F368" s="1062">
        <f t="shared" si="101"/>
        <v>0.04</v>
      </c>
      <c r="G368" s="1062">
        <v>0.04</v>
      </c>
      <c r="H368" s="1155"/>
      <c r="I368" s="1155"/>
      <c r="J368" s="1062"/>
      <c r="K368" s="1062"/>
      <c r="L368" s="1062"/>
      <c r="M368" s="1062"/>
      <c r="N368" s="1062"/>
      <c r="O368" s="1062"/>
      <c r="P368" s="1062"/>
      <c r="Q368" s="1062"/>
      <c r="R368" s="1062"/>
      <c r="S368" s="1062"/>
      <c r="T368" s="1062"/>
      <c r="U368" s="1062"/>
      <c r="V368" s="1062"/>
      <c r="W368" s="1062"/>
      <c r="X368" s="1062"/>
      <c r="Y368" s="1062"/>
      <c r="Z368" s="1062"/>
      <c r="AA368" s="1062"/>
      <c r="AB368" s="1062"/>
      <c r="AC368" s="1062"/>
      <c r="AD368" s="1062"/>
      <c r="AE368" s="1062"/>
      <c r="AF368" s="1062"/>
      <c r="AG368" s="1062"/>
      <c r="AH368" s="1062"/>
      <c r="AI368" s="1062"/>
      <c r="AJ368" s="1062"/>
      <c r="AK368" s="1062"/>
      <c r="AL368" s="1062"/>
      <c r="AM368" s="1062"/>
      <c r="AN368" s="1062"/>
      <c r="AO368" s="1062"/>
      <c r="AP368" s="1062"/>
      <c r="AQ368" s="1062"/>
      <c r="AR368" s="1062"/>
      <c r="AS368" s="1062"/>
      <c r="AT368" s="1062"/>
      <c r="AU368" s="1062"/>
      <c r="AV368" s="1062"/>
      <c r="AW368" s="1062"/>
      <c r="AX368" s="1062"/>
      <c r="AY368" s="1062"/>
      <c r="AZ368" s="1062"/>
      <c r="BA368" s="1062"/>
      <c r="BB368" s="1062"/>
      <c r="BC368" s="1062"/>
      <c r="BD368" s="1062"/>
      <c r="BE368" s="1062"/>
      <c r="BF368" s="1062"/>
      <c r="BG368" s="1062"/>
      <c r="BH368" s="1062"/>
      <c r="BI368" s="1134" t="s">
        <v>3756</v>
      </c>
      <c r="BJ368" s="1154" t="s">
        <v>3757</v>
      </c>
      <c r="BK368" s="1134" t="s">
        <v>3304</v>
      </c>
      <c r="BL368" s="1134" t="s">
        <v>1923</v>
      </c>
      <c r="BM368" s="1134" t="s">
        <v>3091</v>
      </c>
      <c r="BN368" s="1134" t="s">
        <v>291</v>
      </c>
      <c r="BO368" s="1136"/>
      <c r="BP368" s="1137"/>
      <c r="BQ368" s="1138"/>
      <c r="BR368" s="1138"/>
      <c r="BS368" s="1139"/>
      <c r="BT368" s="1140"/>
    </row>
    <row r="369" spans="1:72" s="1141" customFormat="1" ht="30.95" hidden="1" customHeight="1">
      <c r="A369" s="1132"/>
      <c r="B369" s="1419" t="s">
        <v>3758</v>
      </c>
      <c r="C369" s="1134"/>
      <c r="D369" s="1134"/>
      <c r="E369" s="1415" t="s">
        <v>48</v>
      </c>
      <c r="F369" s="1062">
        <f t="shared" si="101"/>
        <v>0.04</v>
      </c>
      <c r="G369" s="1062">
        <v>0.04</v>
      </c>
      <c r="H369" s="1155"/>
      <c r="I369" s="1155"/>
      <c r="J369" s="1062"/>
      <c r="K369" s="1062"/>
      <c r="L369" s="1062"/>
      <c r="M369" s="1062"/>
      <c r="N369" s="1062"/>
      <c r="O369" s="1062"/>
      <c r="P369" s="1062"/>
      <c r="Q369" s="1062"/>
      <c r="R369" s="1062"/>
      <c r="S369" s="1062"/>
      <c r="T369" s="1062"/>
      <c r="U369" s="1062"/>
      <c r="V369" s="1062"/>
      <c r="W369" s="1062"/>
      <c r="X369" s="1062"/>
      <c r="Y369" s="1062"/>
      <c r="Z369" s="1062"/>
      <c r="AA369" s="1062"/>
      <c r="AB369" s="1062"/>
      <c r="AC369" s="1062"/>
      <c r="AD369" s="1062"/>
      <c r="AE369" s="1062"/>
      <c r="AF369" s="1062"/>
      <c r="AG369" s="1062"/>
      <c r="AH369" s="1062"/>
      <c r="AI369" s="1062"/>
      <c r="AJ369" s="1062"/>
      <c r="AK369" s="1062"/>
      <c r="AL369" s="1062"/>
      <c r="AM369" s="1062"/>
      <c r="AN369" s="1062"/>
      <c r="AO369" s="1062"/>
      <c r="AP369" s="1062"/>
      <c r="AQ369" s="1062"/>
      <c r="AR369" s="1062"/>
      <c r="AS369" s="1062"/>
      <c r="AT369" s="1062"/>
      <c r="AU369" s="1062"/>
      <c r="AV369" s="1062"/>
      <c r="AW369" s="1062"/>
      <c r="AX369" s="1062"/>
      <c r="AY369" s="1062"/>
      <c r="AZ369" s="1062"/>
      <c r="BA369" s="1062"/>
      <c r="BB369" s="1062"/>
      <c r="BC369" s="1062"/>
      <c r="BD369" s="1062"/>
      <c r="BE369" s="1062"/>
      <c r="BF369" s="1062"/>
      <c r="BG369" s="1062"/>
      <c r="BH369" s="1062"/>
      <c r="BI369" s="1134" t="s">
        <v>3759</v>
      </c>
      <c r="BJ369" s="1154" t="s">
        <v>3760</v>
      </c>
      <c r="BK369" s="1134" t="s">
        <v>3304</v>
      </c>
      <c r="BL369" s="1134" t="s">
        <v>1923</v>
      </c>
      <c r="BM369" s="1134" t="s">
        <v>3091</v>
      </c>
      <c r="BN369" s="1134" t="s">
        <v>291</v>
      </c>
      <c r="BO369" s="1136"/>
      <c r="BP369" s="1137"/>
      <c r="BQ369" s="1138"/>
      <c r="BR369" s="1138"/>
      <c r="BS369" s="1139"/>
      <c r="BT369" s="1140"/>
    </row>
    <row r="370" spans="1:72" s="1152" customFormat="1" ht="98.25" customHeight="1">
      <c r="A370" s="1143">
        <f>A366+1</f>
        <v>134</v>
      </c>
      <c r="B370" s="1169" t="s">
        <v>3761</v>
      </c>
      <c r="C370" s="1131"/>
      <c r="D370" s="1131"/>
      <c r="E370" s="1167"/>
      <c r="F370" s="1056">
        <f>SUM(F371:F373)</f>
        <v>0.13</v>
      </c>
      <c r="G370" s="1056">
        <f>SUM(G371:G373)</f>
        <v>0.13</v>
      </c>
      <c r="H370" s="1082"/>
      <c r="I370" s="1082"/>
      <c r="J370" s="1056"/>
      <c r="K370" s="1056"/>
      <c r="L370" s="1056"/>
      <c r="M370" s="1056"/>
      <c r="N370" s="1056"/>
      <c r="O370" s="1056"/>
      <c r="P370" s="1056"/>
      <c r="Q370" s="1056"/>
      <c r="R370" s="1056"/>
      <c r="S370" s="1056"/>
      <c r="T370" s="1056"/>
      <c r="U370" s="1056"/>
      <c r="V370" s="1056"/>
      <c r="W370" s="1056"/>
      <c r="X370" s="1056"/>
      <c r="Y370" s="1056"/>
      <c r="Z370" s="1056"/>
      <c r="AA370" s="1056"/>
      <c r="AB370" s="1056"/>
      <c r="AC370" s="1056"/>
      <c r="AD370" s="1056"/>
      <c r="AE370" s="1056"/>
      <c r="AF370" s="1056"/>
      <c r="AG370" s="1056"/>
      <c r="AH370" s="1056"/>
      <c r="AI370" s="1056"/>
      <c r="AJ370" s="1056"/>
      <c r="AK370" s="1056"/>
      <c r="AL370" s="1056"/>
      <c r="AM370" s="1056"/>
      <c r="AN370" s="1056"/>
      <c r="AO370" s="1056"/>
      <c r="AP370" s="1056"/>
      <c r="AQ370" s="1056"/>
      <c r="AR370" s="1056"/>
      <c r="AS370" s="1056"/>
      <c r="AT370" s="1056"/>
      <c r="AU370" s="1056"/>
      <c r="AV370" s="1056"/>
      <c r="AW370" s="1056"/>
      <c r="AX370" s="1056"/>
      <c r="AY370" s="1056"/>
      <c r="AZ370" s="1056"/>
      <c r="BA370" s="1056"/>
      <c r="BB370" s="1056"/>
      <c r="BC370" s="1056"/>
      <c r="BD370" s="1056"/>
      <c r="BE370" s="1056"/>
      <c r="BF370" s="1056"/>
      <c r="BG370" s="1056"/>
      <c r="BH370" s="1056"/>
      <c r="BI370" s="1131" t="s">
        <v>3762</v>
      </c>
      <c r="BJ370" s="1168" t="s">
        <v>3763</v>
      </c>
      <c r="BK370" s="1170" t="s">
        <v>3747</v>
      </c>
      <c r="BL370" s="1131"/>
      <c r="BM370" s="1131"/>
      <c r="BN370" s="1131" t="s">
        <v>298</v>
      </c>
      <c r="BO370" s="1147"/>
      <c r="BP370" s="1148">
        <v>1</v>
      </c>
      <c r="BQ370" s="1149"/>
      <c r="BR370" s="1149"/>
      <c r="BS370" s="1150"/>
      <c r="BT370" s="1151"/>
    </row>
    <row r="371" spans="1:72" s="1165" customFormat="1" ht="30.95" hidden="1" customHeight="1">
      <c r="A371" s="1132"/>
      <c r="B371" s="1419" t="s">
        <v>3764</v>
      </c>
      <c r="C371" s="1065"/>
      <c r="D371" s="1065"/>
      <c r="E371" s="1415" t="s">
        <v>48</v>
      </c>
      <c r="F371" s="1063">
        <f t="shared" si="101"/>
        <v>0.04</v>
      </c>
      <c r="G371" s="1063">
        <v>0.04</v>
      </c>
      <c r="H371" s="1062"/>
      <c r="I371" s="1062"/>
      <c r="J371" s="1062"/>
      <c r="K371" s="1062"/>
      <c r="L371" s="1062"/>
      <c r="M371" s="1062"/>
      <c r="N371" s="1062"/>
      <c r="O371" s="1062"/>
      <c r="P371" s="1062"/>
      <c r="Q371" s="1062"/>
      <c r="R371" s="1062"/>
      <c r="S371" s="1062"/>
      <c r="T371" s="1062"/>
      <c r="U371" s="1062"/>
      <c r="V371" s="1062"/>
      <c r="W371" s="1062"/>
      <c r="X371" s="1062"/>
      <c r="Y371" s="1062"/>
      <c r="Z371" s="1062"/>
      <c r="AA371" s="1062"/>
      <c r="AB371" s="1062"/>
      <c r="AC371" s="1062"/>
      <c r="AD371" s="1062"/>
      <c r="AE371" s="1062"/>
      <c r="AF371" s="1062"/>
      <c r="AG371" s="1062"/>
      <c r="AH371" s="1062"/>
      <c r="AI371" s="1062"/>
      <c r="AJ371" s="1062"/>
      <c r="AK371" s="1062"/>
      <c r="AL371" s="1062"/>
      <c r="AM371" s="1062"/>
      <c r="AN371" s="1062"/>
      <c r="AO371" s="1062"/>
      <c r="AP371" s="1062"/>
      <c r="AQ371" s="1062"/>
      <c r="AR371" s="1062"/>
      <c r="AS371" s="1062"/>
      <c r="AT371" s="1062"/>
      <c r="AU371" s="1062"/>
      <c r="AV371" s="1062"/>
      <c r="AW371" s="1062"/>
      <c r="AX371" s="1062"/>
      <c r="AY371" s="1062"/>
      <c r="AZ371" s="1062"/>
      <c r="BA371" s="1062"/>
      <c r="BB371" s="1062"/>
      <c r="BC371" s="1062"/>
      <c r="BD371" s="1062"/>
      <c r="BE371" s="1062"/>
      <c r="BF371" s="1062"/>
      <c r="BG371" s="1062"/>
      <c r="BH371" s="1062"/>
      <c r="BI371" s="1134" t="s">
        <v>3765</v>
      </c>
      <c r="BJ371" s="1134" t="s">
        <v>3766</v>
      </c>
      <c r="BK371" s="1610" t="s">
        <v>3747</v>
      </c>
      <c r="BL371" s="1134"/>
      <c r="BM371" s="1134"/>
      <c r="BN371" s="1134" t="s">
        <v>298</v>
      </c>
      <c r="BO371" s="1136"/>
      <c r="BP371" s="1137">
        <v>1</v>
      </c>
      <c r="BQ371" s="1164"/>
      <c r="BR371" s="1164"/>
      <c r="BS371" s="1139"/>
      <c r="BT371" s="1135"/>
    </row>
    <row r="372" spans="1:72" s="1165" customFormat="1" ht="30.95" hidden="1" customHeight="1">
      <c r="A372" s="1132"/>
      <c r="B372" s="1419" t="s">
        <v>3767</v>
      </c>
      <c r="C372" s="1065"/>
      <c r="D372" s="1065"/>
      <c r="E372" s="1415" t="s">
        <v>48</v>
      </c>
      <c r="F372" s="1063">
        <f t="shared" si="101"/>
        <v>0.05</v>
      </c>
      <c r="G372" s="1063">
        <v>0.05</v>
      </c>
      <c r="H372" s="1062"/>
      <c r="I372" s="1062"/>
      <c r="J372" s="1062"/>
      <c r="K372" s="1062"/>
      <c r="L372" s="1062"/>
      <c r="M372" s="1062"/>
      <c r="N372" s="1062"/>
      <c r="O372" s="1062"/>
      <c r="P372" s="1062"/>
      <c r="Q372" s="1062"/>
      <c r="R372" s="1062"/>
      <c r="S372" s="1062"/>
      <c r="T372" s="1062"/>
      <c r="U372" s="1062"/>
      <c r="V372" s="1062"/>
      <c r="W372" s="1062"/>
      <c r="X372" s="1062"/>
      <c r="Y372" s="1062"/>
      <c r="Z372" s="1062"/>
      <c r="AA372" s="1062"/>
      <c r="AB372" s="1062"/>
      <c r="AC372" s="1062"/>
      <c r="AD372" s="1062"/>
      <c r="AE372" s="1062"/>
      <c r="AF372" s="1062"/>
      <c r="AG372" s="1062"/>
      <c r="AH372" s="1062"/>
      <c r="AI372" s="1062"/>
      <c r="AJ372" s="1062"/>
      <c r="AK372" s="1062"/>
      <c r="AL372" s="1062"/>
      <c r="AM372" s="1062"/>
      <c r="AN372" s="1062"/>
      <c r="AO372" s="1062"/>
      <c r="AP372" s="1062"/>
      <c r="AQ372" s="1062"/>
      <c r="AR372" s="1062"/>
      <c r="AS372" s="1062"/>
      <c r="AT372" s="1062"/>
      <c r="AU372" s="1062"/>
      <c r="AV372" s="1062"/>
      <c r="AW372" s="1062"/>
      <c r="AX372" s="1062"/>
      <c r="AY372" s="1062"/>
      <c r="AZ372" s="1062"/>
      <c r="BA372" s="1062"/>
      <c r="BB372" s="1062"/>
      <c r="BC372" s="1062"/>
      <c r="BD372" s="1062"/>
      <c r="BE372" s="1062"/>
      <c r="BF372" s="1062"/>
      <c r="BG372" s="1062"/>
      <c r="BH372" s="1062"/>
      <c r="BI372" s="1134" t="s">
        <v>3768</v>
      </c>
      <c r="BJ372" s="1157" t="s">
        <v>3769</v>
      </c>
      <c r="BK372" s="1611"/>
      <c r="BL372" s="1134"/>
      <c r="BM372" s="1134"/>
      <c r="BN372" s="1134" t="s">
        <v>298</v>
      </c>
      <c r="BO372" s="1136"/>
      <c r="BP372" s="1137"/>
      <c r="BQ372" s="1164"/>
      <c r="BR372" s="1164"/>
      <c r="BS372" s="1139"/>
      <c r="BT372" s="1135"/>
    </row>
    <row r="373" spans="1:72" s="1165" customFormat="1" ht="30.95" hidden="1" customHeight="1">
      <c r="A373" s="1132"/>
      <c r="B373" s="1133" t="s">
        <v>3770</v>
      </c>
      <c r="C373" s="1065"/>
      <c r="D373" s="1065"/>
      <c r="E373" s="1415" t="s">
        <v>48</v>
      </c>
      <c r="F373" s="1063">
        <f t="shared" si="101"/>
        <v>0.04</v>
      </c>
      <c r="G373" s="1063">
        <v>0.04</v>
      </c>
      <c r="H373" s="1062"/>
      <c r="I373" s="1062"/>
      <c r="J373" s="1062"/>
      <c r="K373" s="1062"/>
      <c r="L373" s="1062"/>
      <c r="M373" s="1062"/>
      <c r="N373" s="1062"/>
      <c r="O373" s="1062"/>
      <c r="P373" s="1062"/>
      <c r="Q373" s="1062"/>
      <c r="R373" s="1062"/>
      <c r="S373" s="1062"/>
      <c r="T373" s="1062"/>
      <c r="U373" s="1062"/>
      <c r="V373" s="1062"/>
      <c r="W373" s="1062"/>
      <c r="X373" s="1062"/>
      <c r="Y373" s="1062"/>
      <c r="Z373" s="1062"/>
      <c r="AA373" s="1062"/>
      <c r="AB373" s="1062"/>
      <c r="AC373" s="1062"/>
      <c r="AD373" s="1062"/>
      <c r="AE373" s="1062"/>
      <c r="AF373" s="1062"/>
      <c r="AG373" s="1062"/>
      <c r="AH373" s="1062"/>
      <c r="AI373" s="1062"/>
      <c r="AJ373" s="1062"/>
      <c r="AK373" s="1062"/>
      <c r="AL373" s="1062"/>
      <c r="AM373" s="1062"/>
      <c r="AN373" s="1062"/>
      <c r="AO373" s="1062"/>
      <c r="AP373" s="1062"/>
      <c r="AQ373" s="1062"/>
      <c r="AR373" s="1062"/>
      <c r="AS373" s="1062"/>
      <c r="AT373" s="1062"/>
      <c r="AU373" s="1062"/>
      <c r="AV373" s="1062"/>
      <c r="AW373" s="1062"/>
      <c r="AX373" s="1062"/>
      <c r="AY373" s="1062"/>
      <c r="AZ373" s="1062"/>
      <c r="BA373" s="1062"/>
      <c r="BB373" s="1062"/>
      <c r="BC373" s="1062"/>
      <c r="BD373" s="1062"/>
      <c r="BE373" s="1062"/>
      <c r="BF373" s="1062"/>
      <c r="BG373" s="1062"/>
      <c r="BH373" s="1062"/>
      <c r="BI373" s="1134" t="s">
        <v>3745</v>
      </c>
      <c r="BJ373" s="1157" t="s">
        <v>3771</v>
      </c>
      <c r="BK373" s="1611"/>
      <c r="BL373" s="1134"/>
      <c r="BM373" s="1134"/>
      <c r="BN373" s="1134" t="s">
        <v>298</v>
      </c>
      <c r="BO373" s="1136"/>
      <c r="BP373" s="1137"/>
      <c r="BQ373" s="1164"/>
      <c r="BR373" s="1164"/>
      <c r="BS373" s="1139"/>
      <c r="BT373" s="1135"/>
    </row>
    <row r="374" spans="1:72" s="1152" customFormat="1" ht="103.15" customHeight="1">
      <c r="A374" s="1143">
        <f>A370+1</f>
        <v>135</v>
      </c>
      <c r="B374" s="1416" t="s">
        <v>3772</v>
      </c>
      <c r="C374" s="1156"/>
      <c r="D374" s="1156"/>
      <c r="E374" s="1417" t="s">
        <v>48</v>
      </c>
      <c r="F374" s="1057">
        <f t="shared" si="101"/>
        <v>0.2</v>
      </c>
      <c r="G374" s="1056">
        <v>0.2</v>
      </c>
      <c r="H374" s="1082"/>
      <c r="I374" s="1082"/>
      <c r="J374" s="1056"/>
      <c r="K374" s="1056"/>
      <c r="L374" s="1056"/>
      <c r="M374" s="1056"/>
      <c r="N374" s="1056"/>
      <c r="O374" s="1056"/>
      <c r="P374" s="1056"/>
      <c r="Q374" s="1056"/>
      <c r="R374" s="1056"/>
      <c r="S374" s="1056"/>
      <c r="T374" s="1056"/>
      <c r="U374" s="1056"/>
      <c r="V374" s="1056"/>
      <c r="W374" s="1056"/>
      <c r="X374" s="1056"/>
      <c r="Y374" s="1056"/>
      <c r="Z374" s="1056"/>
      <c r="AA374" s="1056"/>
      <c r="AB374" s="1056"/>
      <c r="AC374" s="1056"/>
      <c r="AD374" s="1056"/>
      <c r="AE374" s="1056"/>
      <c r="AF374" s="1056"/>
      <c r="AG374" s="1056"/>
      <c r="AH374" s="1056"/>
      <c r="AI374" s="1056"/>
      <c r="AJ374" s="1056"/>
      <c r="AK374" s="1056"/>
      <c r="AL374" s="1056"/>
      <c r="AM374" s="1056"/>
      <c r="AN374" s="1056"/>
      <c r="AO374" s="1056"/>
      <c r="AP374" s="1056"/>
      <c r="AQ374" s="1056"/>
      <c r="AR374" s="1056"/>
      <c r="AS374" s="1056"/>
      <c r="AT374" s="1056"/>
      <c r="AU374" s="1056"/>
      <c r="AV374" s="1056"/>
      <c r="AW374" s="1056"/>
      <c r="AX374" s="1056"/>
      <c r="AY374" s="1056"/>
      <c r="AZ374" s="1056"/>
      <c r="BA374" s="1056"/>
      <c r="BB374" s="1056"/>
      <c r="BC374" s="1056"/>
      <c r="BD374" s="1056"/>
      <c r="BE374" s="1056"/>
      <c r="BF374" s="1056"/>
      <c r="BG374" s="1056"/>
      <c r="BH374" s="1056"/>
      <c r="BI374" s="1156" t="s">
        <v>3132</v>
      </c>
      <c r="BJ374" s="1131" t="s">
        <v>3773</v>
      </c>
      <c r="BK374" s="1418" t="s">
        <v>3747</v>
      </c>
      <c r="BL374" s="1418" t="s">
        <v>1923</v>
      </c>
      <c r="BM374" s="1131" t="s">
        <v>3091</v>
      </c>
      <c r="BN374" s="1131" t="s">
        <v>291</v>
      </c>
      <c r="BO374" s="1147"/>
      <c r="BP374" s="1137"/>
      <c r="BQ374" s="1149"/>
      <c r="BR374" s="1149"/>
      <c r="BS374" s="1150"/>
      <c r="BT374" s="1151"/>
    </row>
    <row r="375" spans="1:72" s="1152" customFormat="1" ht="103.15" customHeight="1">
      <c r="A375" s="1143">
        <f>A374+1</f>
        <v>136</v>
      </c>
      <c r="B375" s="1416" t="s">
        <v>3774</v>
      </c>
      <c r="C375" s="1156"/>
      <c r="D375" s="1156"/>
      <c r="E375" s="1417"/>
      <c r="F375" s="1057">
        <f>SUM(F376:F378)</f>
        <v>0.11000000000000001</v>
      </c>
      <c r="G375" s="1057">
        <f>SUM(G376:G378)</f>
        <v>0.11000000000000001</v>
      </c>
      <c r="H375" s="1082"/>
      <c r="I375" s="1082"/>
      <c r="J375" s="1056"/>
      <c r="K375" s="1056"/>
      <c r="L375" s="1056"/>
      <c r="M375" s="1056"/>
      <c r="N375" s="1056"/>
      <c r="O375" s="1056"/>
      <c r="P375" s="1056"/>
      <c r="Q375" s="1056"/>
      <c r="R375" s="1056"/>
      <c r="S375" s="1056"/>
      <c r="T375" s="1056"/>
      <c r="U375" s="1056"/>
      <c r="V375" s="1056"/>
      <c r="W375" s="1056"/>
      <c r="X375" s="1056"/>
      <c r="Y375" s="1056"/>
      <c r="Z375" s="1056"/>
      <c r="AA375" s="1056"/>
      <c r="AB375" s="1056"/>
      <c r="AC375" s="1056"/>
      <c r="AD375" s="1056"/>
      <c r="AE375" s="1056"/>
      <c r="AF375" s="1056"/>
      <c r="AG375" s="1056"/>
      <c r="AH375" s="1056"/>
      <c r="AI375" s="1056"/>
      <c r="AJ375" s="1056"/>
      <c r="AK375" s="1056"/>
      <c r="AL375" s="1056"/>
      <c r="AM375" s="1056"/>
      <c r="AN375" s="1056"/>
      <c r="AO375" s="1056"/>
      <c r="AP375" s="1056"/>
      <c r="AQ375" s="1056"/>
      <c r="AR375" s="1056"/>
      <c r="AS375" s="1056"/>
      <c r="AT375" s="1056"/>
      <c r="AU375" s="1056"/>
      <c r="AV375" s="1056"/>
      <c r="AW375" s="1056"/>
      <c r="AX375" s="1056"/>
      <c r="AY375" s="1056"/>
      <c r="AZ375" s="1056"/>
      <c r="BA375" s="1056"/>
      <c r="BB375" s="1056"/>
      <c r="BC375" s="1056"/>
      <c r="BD375" s="1056"/>
      <c r="BE375" s="1056"/>
      <c r="BF375" s="1056"/>
      <c r="BG375" s="1056"/>
      <c r="BH375" s="1056"/>
      <c r="BI375" s="1156" t="s">
        <v>3775</v>
      </c>
      <c r="BJ375" s="1131" t="s">
        <v>3776</v>
      </c>
      <c r="BK375" s="1420" t="s">
        <v>3747</v>
      </c>
      <c r="BL375" s="1418"/>
      <c r="BM375" s="1131"/>
      <c r="BN375" s="1131" t="s">
        <v>298</v>
      </c>
      <c r="BO375" s="1137"/>
      <c r="BP375" s="1122">
        <v>1</v>
      </c>
      <c r="BQ375" s="1149"/>
      <c r="BR375" s="1149"/>
      <c r="BS375" s="1150"/>
      <c r="BT375" s="1151"/>
    </row>
    <row r="376" spans="1:72" s="1141" customFormat="1" ht="27.6" hidden="1" customHeight="1">
      <c r="A376" s="1132"/>
      <c r="B376" s="1419" t="s">
        <v>3777</v>
      </c>
      <c r="C376" s="1134"/>
      <c r="D376" s="1134"/>
      <c r="E376" s="1415" t="s">
        <v>48</v>
      </c>
      <c r="F376" s="1062">
        <f t="shared" si="101"/>
        <v>0.01</v>
      </c>
      <c r="G376" s="1063">
        <v>0.01</v>
      </c>
      <c r="H376" s="1155"/>
      <c r="I376" s="1155"/>
      <c r="J376" s="1062"/>
      <c r="K376" s="1062"/>
      <c r="L376" s="1062"/>
      <c r="M376" s="1062"/>
      <c r="N376" s="1062"/>
      <c r="O376" s="1062"/>
      <c r="P376" s="1062"/>
      <c r="Q376" s="1062"/>
      <c r="R376" s="1062"/>
      <c r="S376" s="1062"/>
      <c r="T376" s="1062"/>
      <c r="U376" s="1062"/>
      <c r="V376" s="1062"/>
      <c r="W376" s="1062"/>
      <c r="X376" s="1062"/>
      <c r="Y376" s="1062"/>
      <c r="Z376" s="1062"/>
      <c r="AA376" s="1062"/>
      <c r="AB376" s="1062"/>
      <c r="AC376" s="1062"/>
      <c r="AD376" s="1062"/>
      <c r="AE376" s="1062"/>
      <c r="AF376" s="1062"/>
      <c r="AG376" s="1062"/>
      <c r="AH376" s="1062"/>
      <c r="AI376" s="1062"/>
      <c r="AJ376" s="1062"/>
      <c r="AK376" s="1062"/>
      <c r="AL376" s="1062"/>
      <c r="AM376" s="1062"/>
      <c r="AN376" s="1062"/>
      <c r="AO376" s="1062"/>
      <c r="AP376" s="1062"/>
      <c r="AQ376" s="1062"/>
      <c r="AR376" s="1062"/>
      <c r="AS376" s="1062"/>
      <c r="AT376" s="1062"/>
      <c r="AU376" s="1062"/>
      <c r="AV376" s="1062"/>
      <c r="AW376" s="1062"/>
      <c r="AX376" s="1062"/>
      <c r="AY376" s="1062"/>
      <c r="AZ376" s="1062"/>
      <c r="BA376" s="1062"/>
      <c r="BB376" s="1062"/>
      <c r="BC376" s="1062"/>
      <c r="BD376" s="1062"/>
      <c r="BE376" s="1062"/>
      <c r="BF376" s="1062"/>
      <c r="BG376" s="1062"/>
      <c r="BH376" s="1062"/>
      <c r="BI376" s="1134" t="s">
        <v>3117</v>
      </c>
      <c r="BJ376" s="1134" t="s">
        <v>3778</v>
      </c>
      <c r="BK376" s="1602" t="s">
        <v>3747</v>
      </c>
      <c r="BL376" s="1421" t="s">
        <v>1923</v>
      </c>
      <c r="BM376" s="1134" t="s">
        <v>3101</v>
      </c>
      <c r="BN376" s="1134" t="s">
        <v>298</v>
      </c>
      <c r="BO376" s="1136"/>
      <c r="BP376" s="1122"/>
      <c r="BQ376" s="1138"/>
      <c r="BR376" s="1138"/>
      <c r="BS376" s="1139" t="s">
        <v>3779</v>
      </c>
      <c r="BT376" s="1140"/>
    </row>
    <row r="377" spans="1:72" s="1141" customFormat="1" ht="27.6" hidden="1" customHeight="1">
      <c r="A377" s="1132"/>
      <c r="B377" s="1422" t="s">
        <v>3780</v>
      </c>
      <c r="C377" s="1154"/>
      <c r="D377" s="1154"/>
      <c r="E377" s="1415" t="s">
        <v>48</v>
      </c>
      <c r="F377" s="1063">
        <f t="shared" si="101"/>
        <v>0.05</v>
      </c>
      <c r="G377" s="1063">
        <v>0.05</v>
      </c>
      <c r="H377" s="1155"/>
      <c r="I377" s="1155"/>
      <c r="J377" s="1062"/>
      <c r="K377" s="1062"/>
      <c r="L377" s="1062"/>
      <c r="M377" s="1062"/>
      <c r="N377" s="1062"/>
      <c r="O377" s="1062"/>
      <c r="P377" s="1062"/>
      <c r="Q377" s="1062"/>
      <c r="R377" s="1062"/>
      <c r="S377" s="1062"/>
      <c r="T377" s="1062"/>
      <c r="U377" s="1062"/>
      <c r="V377" s="1062"/>
      <c r="W377" s="1062"/>
      <c r="X377" s="1062"/>
      <c r="Y377" s="1062"/>
      <c r="Z377" s="1062"/>
      <c r="AA377" s="1062"/>
      <c r="AB377" s="1062"/>
      <c r="AC377" s="1062"/>
      <c r="AD377" s="1062"/>
      <c r="AE377" s="1062"/>
      <c r="AF377" s="1062"/>
      <c r="AG377" s="1062"/>
      <c r="AH377" s="1062"/>
      <c r="AI377" s="1062"/>
      <c r="AJ377" s="1062"/>
      <c r="AK377" s="1062"/>
      <c r="AL377" s="1062"/>
      <c r="AM377" s="1062"/>
      <c r="AN377" s="1062"/>
      <c r="AO377" s="1062"/>
      <c r="AP377" s="1062"/>
      <c r="AQ377" s="1062"/>
      <c r="AR377" s="1062"/>
      <c r="AS377" s="1062"/>
      <c r="AT377" s="1062"/>
      <c r="AU377" s="1062"/>
      <c r="AV377" s="1062"/>
      <c r="AW377" s="1062"/>
      <c r="AX377" s="1062"/>
      <c r="AY377" s="1062"/>
      <c r="AZ377" s="1062"/>
      <c r="BA377" s="1062"/>
      <c r="BB377" s="1062"/>
      <c r="BC377" s="1062"/>
      <c r="BD377" s="1062"/>
      <c r="BE377" s="1062"/>
      <c r="BF377" s="1062"/>
      <c r="BG377" s="1062"/>
      <c r="BH377" s="1062"/>
      <c r="BI377" s="1134" t="s">
        <v>3781</v>
      </c>
      <c r="BJ377" s="1134" t="s">
        <v>3782</v>
      </c>
      <c r="BK377" s="1602"/>
      <c r="BL377" s="1421"/>
      <c r="BM377" s="1134"/>
      <c r="BN377" s="1134" t="s">
        <v>298</v>
      </c>
      <c r="BO377" s="1136"/>
      <c r="BP377" s="1122"/>
      <c r="BQ377" s="1138"/>
      <c r="BR377" s="1138"/>
      <c r="BS377" s="1139"/>
      <c r="BT377" s="1140"/>
    </row>
    <row r="378" spans="1:72" s="1141" customFormat="1" ht="27.6" hidden="1" customHeight="1">
      <c r="A378" s="1132"/>
      <c r="B378" s="1422" t="s">
        <v>3783</v>
      </c>
      <c r="C378" s="1154"/>
      <c r="D378" s="1154"/>
      <c r="E378" s="1415" t="s">
        <v>48</v>
      </c>
      <c r="F378" s="1063">
        <f t="shared" si="101"/>
        <v>0.05</v>
      </c>
      <c r="G378" s="1063">
        <v>0.05</v>
      </c>
      <c r="H378" s="1155"/>
      <c r="I378" s="1155"/>
      <c r="J378" s="1062"/>
      <c r="K378" s="1062"/>
      <c r="L378" s="1062"/>
      <c r="M378" s="1062"/>
      <c r="N378" s="1062"/>
      <c r="O378" s="1062"/>
      <c r="P378" s="1062"/>
      <c r="Q378" s="1062"/>
      <c r="R378" s="1062"/>
      <c r="S378" s="1062"/>
      <c r="T378" s="1062"/>
      <c r="U378" s="1062"/>
      <c r="V378" s="1062"/>
      <c r="W378" s="1062"/>
      <c r="X378" s="1062"/>
      <c r="Y378" s="1062"/>
      <c r="Z378" s="1062"/>
      <c r="AA378" s="1062"/>
      <c r="AB378" s="1062"/>
      <c r="AC378" s="1062"/>
      <c r="AD378" s="1062"/>
      <c r="AE378" s="1062"/>
      <c r="AF378" s="1062"/>
      <c r="AG378" s="1062"/>
      <c r="AH378" s="1062"/>
      <c r="AI378" s="1062"/>
      <c r="AJ378" s="1062"/>
      <c r="AK378" s="1062"/>
      <c r="AL378" s="1062"/>
      <c r="AM378" s="1062"/>
      <c r="AN378" s="1062"/>
      <c r="AO378" s="1062"/>
      <c r="AP378" s="1062"/>
      <c r="AQ378" s="1062"/>
      <c r="AR378" s="1062"/>
      <c r="AS378" s="1062"/>
      <c r="AT378" s="1062"/>
      <c r="AU378" s="1062"/>
      <c r="AV378" s="1062"/>
      <c r="AW378" s="1062"/>
      <c r="AX378" s="1062"/>
      <c r="AY378" s="1062"/>
      <c r="AZ378" s="1062"/>
      <c r="BA378" s="1062"/>
      <c r="BB378" s="1062"/>
      <c r="BC378" s="1062"/>
      <c r="BD378" s="1062"/>
      <c r="BE378" s="1062"/>
      <c r="BF378" s="1062"/>
      <c r="BG378" s="1062"/>
      <c r="BH378" s="1062"/>
      <c r="BI378" s="1134" t="s">
        <v>3237</v>
      </c>
      <c r="BJ378" s="1134" t="s">
        <v>3784</v>
      </c>
      <c r="BK378" s="1603"/>
      <c r="BL378" s="1421"/>
      <c r="BM378" s="1134"/>
      <c r="BN378" s="1134" t="s">
        <v>298</v>
      </c>
      <c r="BO378" s="1136"/>
      <c r="BP378" s="1122"/>
      <c r="BQ378" s="1138"/>
      <c r="BR378" s="1138"/>
      <c r="BS378" s="1139"/>
      <c r="BT378" s="1140"/>
    </row>
    <row r="379" spans="1:72" s="1126" customFormat="1" ht="37.5" customHeight="1">
      <c r="A379" s="1028">
        <f>A375+1</f>
        <v>137</v>
      </c>
      <c r="B379" s="1117" t="s">
        <v>3785</v>
      </c>
      <c r="C379" s="1127" t="s">
        <v>3020</v>
      </c>
      <c r="D379" s="1120" t="s">
        <v>3087</v>
      </c>
      <c r="E379" s="1409" t="s">
        <v>48</v>
      </c>
      <c r="F379" s="1031">
        <f>G379+H379</f>
        <v>0.04</v>
      </c>
      <c r="G379" s="1031">
        <v>0.04</v>
      </c>
      <c r="H379" s="1029"/>
      <c r="I379" s="1029"/>
      <c r="J379" s="1029"/>
      <c r="K379" s="1029"/>
      <c r="L379" s="1029"/>
      <c r="M379" s="1029"/>
      <c r="N379" s="1029"/>
      <c r="O379" s="1029"/>
      <c r="P379" s="1029"/>
      <c r="Q379" s="1029"/>
      <c r="R379" s="1029"/>
      <c r="S379" s="1029"/>
      <c r="T379" s="1029"/>
      <c r="U379" s="1029"/>
      <c r="V379" s="1029"/>
      <c r="W379" s="1029"/>
      <c r="X379" s="1029"/>
      <c r="Y379" s="1029"/>
      <c r="Z379" s="1029"/>
      <c r="AA379" s="1029"/>
      <c r="AB379" s="1029"/>
      <c r="AC379" s="1029"/>
      <c r="AD379" s="1029"/>
      <c r="AE379" s="1029"/>
      <c r="AF379" s="1029"/>
      <c r="AG379" s="1029"/>
      <c r="AH379" s="1029"/>
      <c r="AI379" s="1029"/>
      <c r="AJ379" s="1029"/>
      <c r="AK379" s="1029"/>
      <c r="AL379" s="1029"/>
      <c r="AM379" s="1029"/>
      <c r="AN379" s="1029"/>
      <c r="AO379" s="1029"/>
      <c r="AP379" s="1029"/>
      <c r="AQ379" s="1029"/>
      <c r="AR379" s="1029"/>
      <c r="AS379" s="1029"/>
      <c r="AT379" s="1029"/>
      <c r="AU379" s="1029"/>
      <c r="AV379" s="1029"/>
      <c r="AW379" s="1029"/>
      <c r="AX379" s="1029"/>
      <c r="AY379" s="1029"/>
      <c r="AZ379" s="1029"/>
      <c r="BA379" s="1029"/>
      <c r="BB379" s="1029"/>
      <c r="BC379" s="1029"/>
      <c r="BD379" s="1029"/>
      <c r="BE379" s="1029"/>
      <c r="BF379" s="1029"/>
      <c r="BG379" s="1029"/>
      <c r="BH379" s="1029"/>
      <c r="BI379" s="1331" t="s">
        <v>3786</v>
      </c>
      <c r="BJ379" s="1337" t="s">
        <v>3787</v>
      </c>
      <c r="BK379" s="1120"/>
      <c r="BL379" s="1120"/>
      <c r="BM379" s="1120"/>
      <c r="BN379" s="1120" t="s">
        <v>298</v>
      </c>
      <c r="BO379" s="1121"/>
      <c r="BP379" s="1122">
        <v>1</v>
      </c>
      <c r="BQ379" s="1123"/>
      <c r="BR379" s="1123"/>
      <c r="BS379" s="1124"/>
      <c r="BT379" s="1125"/>
    </row>
    <row r="380" spans="1:72" s="1126" customFormat="1" ht="97.9" customHeight="1">
      <c r="A380" s="1028">
        <f>A379+1</f>
        <v>138</v>
      </c>
      <c r="B380" s="1166" t="s">
        <v>3788</v>
      </c>
      <c r="C380" s="1083"/>
      <c r="D380" s="1083"/>
      <c r="E380" s="1409" t="s">
        <v>48</v>
      </c>
      <c r="F380" s="1031">
        <f t="shared" si="101"/>
        <v>0.5</v>
      </c>
      <c r="G380" s="1029">
        <v>0.5</v>
      </c>
      <c r="H380" s="1026"/>
      <c r="I380" s="1026"/>
      <c r="J380" s="1029"/>
      <c r="K380" s="1029"/>
      <c r="L380" s="1029"/>
      <c r="M380" s="1029"/>
      <c r="N380" s="1029"/>
      <c r="O380" s="1029"/>
      <c r="P380" s="1029"/>
      <c r="Q380" s="1029"/>
      <c r="R380" s="1029"/>
      <c r="S380" s="1029"/>
      <c r="T380" s="1029"/>
      <c r="U380" s="1029"/>
      <c r="V380" s="1029"/>
      <c r="W380" s="1029"/>
      <c r="X380" s="1029"/>
      <c r="Y380" s="1029"/>
      <c r="Z380" s="1029"/>
      <c r="AA380" s="1029"/>
      <c r="AB380" s="1029"/>
      <c r="AC380" s="1029"/>
      <c r="AD380" s="1029"/>
      <c r="AE380" s="1029"/>
      <c r="AF380" s="1029"/>
      <c r="AG380" s="1029"/>
      <c r="AH380" s="1029"/>
      <c r="AI380" s="1029"/>
      <c r="AJ380" s="1029"/>
      <c r="AK380" s="1029"/>
      <c r="AL380" s="1029"/>
      <c r="AM380" s="1029"/>
      <c r="AN380" s="1029"/>
      <c r="AO380" s="1029"/>
      <c r="AP380" s="1029"/>
      <c r="AQ380" s="1029"/>
      <c r="AR380" s="1029"/>
      <c r="AS380" s="1029"/>
      <c r="AT380" s="1029"/>
      <c r="AU380" s="1029"/>
      <c r="AV380" s="1029"/>
      <c r="AW380" s="1029"/>
      <c r="AX380" s="1029"/>
      <c r="AY380" s="1029"/>
      <c r="AZ380" s="1029"/>
      <c r="BA380" s="1029"/>
      <c r="BB380" s="1029"/>
      <c r="BC380" s="1029"/>
      <c r="BD380" s="1029"/>
      <c r="BE380" s="1029"/>
      <c r="BF380" s="1029"/>
      <c r="BG380" s="1029"/>
      <c r="BH380" s="1029"/>
      <c r="BI380" s="1083" t="s">
        <v>3789</v>
      </c>
      <c r="BJ380" s="1120" t="s">
        <v>3790</v>
      </c>
      <c r="BK380" s="1171" t="s">
        <v>3747</v>
      </c>
      <c r="BL380" s="1171" t="s">
        <v>1923</v>
      </c>
      <c r="BM380" s="1120" t="s">
        <v>3091</v>
      </c>
      <c r="BN380" s="1120" t="s">
        <v>291</v>
      </c>
      <c r="BO380" s="1121"/>
      <c r="BP380" s="1122">
        <v>1</v>
      </c>
      <c r="BQ380" s="1123"/>
      <c r="BR380" s="1123"/>
      <c r="BS380" s="1124"/>
      <c r="BT380" s="1125"/>
    </row>
    <row r="381" spans="1:72" s="1126" customFormat="1" ht="30.95" customHeight="1">
      <c r="A381" s="1099">
        <f t="shared" si="102"/>
        <v>139</v>
      </c>
      <c r="B381" s="1130" t="s">
        <v>3791</v>
      </c>
      <c r="C381" s="1127"/>
      <c r="D381" s="1127"/>
      <c r="E381" s="1118" t="s">
        <v>48</v>
      </c>
      <c r="F381" s="1031">
        <f t="shared" si="101"/>
        <v>0.03</v>
      </c>
      <c r="G381" s="1031">
        <v>0.03</v>
      </c>
      <c r="H381" s="1029"/>
      <c r="I381" s="1029"/>
      <c r="J381" s="1029"/>
      <c r="K381" s="1029"/>
      <c r="L381" s="1029"/>
      <c r="M381" s="1029"/>
      <c r="N381" s="1029"/>
      <c r="O381" s="1029"/>
      <c r="P381" s="1029"/>
      <c r="Q381" s="1029"/>
      <c r="R381" s="1029"/>
      <c r="S381" s="1029"/>
      <c r="T381" s="1029"/>
      <c r="U381" s="1029"/>
      <c r="V381" s="1029"/>
      <c r="W381" s="1029"/>
      <c r="X381" s="1029"/>
      <c r="Y381" s="1029"/>
      <c r="Z381" s="1029"/>
      <c r="AA381" s="1029"/>
      <c r="AB381" s="1029"/>
      <c r="AC381" s="1029"/>
      <c r="AD381" s="1029"/>
      <c r="AE381" s="1029"/>
      <c r="AF381" s="1029"/>
      <c r="AG381" s="1029"/>
      <c r="AH381" s="1029"/>
      <c r="AI381" s="1029"/>
      <c r="AJ381" s="1029"/>
      <c r="AK381" s="1029"/>
      <c r="AL381" s="1029"/>
      <c r="AM381" s="1029"/>
      <c r="AN381" s="1029"/>
      <c r="AO381" s="1029"/>
      <c r="AP381" s="1029"/>
      <c r="AQ381" s="1029"/>
      <c r="AR381" s="1029"/>
      <c r="AS381" s="1029"/>
      <c r="AT381" s="1029"/>
      <c r="AU381" s="1029"/>
      <c r="AV381" s="1029"/>
      <c r="AW381" s="1029"/>
      <c r="AX381" s="1029"/>
      <c r="AY381" s="1029"/>
      <c r="AZ381" s="1029"/>
      <c r="BA381" s="1029"/>
      <c r="BB381" s="1029"/>
      <c r="BC381" s="1029"/>
      <c r="BD381" s="1029"/>
      <c r="BE381" s="1029"/>
      <c r="BF381" s="1029"/>
      <c r="BG381" s="1029"/>
      <c r="BH381" s="1029"/>
      <c r="BI381" s="1127" t="s">
        <v>3792</v>
      </c>
      <c r="BJ381" s="1032" t="s">
        <v>3793</v>
      </c>
      <c r="BK381" s="1120" t="s">
        <v>3304</v>
      </c>
      <c r="BL381" s="1171" t="s">
        <v>1923</v>
      </c>
      <c r="BM381" s="1120" t="s">
        <v>3091</v>
      </c>
      <c r="BN381" s="1120" t="s">
        <v>291</v>
      </c>
      <c r="BO381" s="1121"/>
      <c r="BP381" s="1137">
        <v>1</v>
      </c>
      <c r="BQ381" s="1123"/>
      <c r="BR381" s="1123"/>
      <c r="BS381" s="1124"/>
      <c r="BT381" s="1125"/>
    </row>
    <row r="382" spans="1:72" s="1126" customFormat="1" ht="30.95" customHeight="1">
      <c r="A382" s="1099">
        <f t="shared" si="102"/>
        <v>140</v>
      </c>
      <c r="B382" s="1172" t="s">
        <v>3794</v>
      </c>
      <c r="C382" s="1032"/>
      <c r="D382" s="1173"/>
      <c r="E382" s="1174" t="s">
        <v>48</v>
      </c>
      <c r="F382" s="1173">
        <v>0.02</v>
      </c>
      <c r="G382" s="1173">
        <v>0.02</v>
      </c>
      <c r="H382" s="1029"/>
      <c r="I382" s="1029"/>
      <c r="J382" s="1029"/>
      <c r="K382" s="1029"/>
      <c r="L382" s="1029"/>
      <c r="M382" s="1029"/>
      <c r="N382" s="1029"/>
      <c r="O382" s="1029"/>
      <c r="P382" s="1029"/>
      <c r="Q382" s="1029"/>
      <c r="R382" s="1029"/>
      <c r="S382" s="1029"/>
      <c r="T382" s="1029"/>
      <c r="U382" s="1029"/>
      <c r="V382" s="1029"/>
      <c r="W382" s="1029"/>
      <c r="X382" s="1029"/>
      <c r="Y382" s="1029"/>
      <c r="Z382" s="1029"/>
      <c r="AA382" s="1029"/>
      <c r="AB382" s="1029"/>
      <c r="AC382" s="1029"/>
      <c r="AD382" s="1029"/>
      <c r="AE382" s="1029"/>
      <c r="AF382" s="1029"/>
      <c r="AG382" s="1029"/>
      <c r="AH382" s="1029"/>
      <c r="AI382" s="1029"/>
      <c r="AJ382" s="1029"/>
      <c r="AK382" s="1029"/>
      <c r="AL382" s="1029"/>
      <c r="AM382" s="1029"/>
      <c r="AN382" s="1029"/>
      <c r="AO382" s="1029"/>
      <c r="AP382" s="1029"/>
      <c r="AQ382" s="1029"/>
      <c r="AR382" s="1029"/>
      <c r="AS382" s="1029"/>
      <c r="AT382" s="1029"/>
      <c r="AU382" s="1029"/>
      <c r="AV382" s="1029"/>
      <c r="AW382" s="1029"/>
      <c r="AX382" s="1029"/>
      <c r="AY382" s="1029"/>
      <c r="AZ382" s="1029"/>
      <c r="BA382" s="1029"/>
      <c r="BB382" s="1029"/>
      <c r="BC382" s="1029"/>
      <c r="BD382" s="1029"/>
      <c r="BE382" s="1029"/>
      <c r="BF382" s="1029"/>
      <c r="BG382" s="1029"/>
      <c r="BH382" s="1029"/>
      <c r="BI382" s="1127" t="s">
        <v>3245</v>
      </c>
      <c r="BJ382" s="1120" t="s">
        <v>3795</v>
      </c>
      <c r="BK382" s="1120" t="s">
        <v>3304</v>
      </c>
      <c r="BL382" s="1171"/>
      <c r="BM382" s="1120"/>
      <c r="BN382" s="1120" t="s">
        <v>298</v>
      </c>
      <c r="BO382" s="1121"/>
      <c r="BP382" s="1136">
        <v>1</v>
      </c>
      <c r="BQ382" s="1123"/>
      <c r="BR382" s="1123"/>
      <c r="BS382" s="1124"/>
      <c r="BT382" s="1125"/>
    </row>
    <row r="383" spans="1:72" s="1126" customFormat="1" ht="30.6" customHeight="1">
      <c r="A383" s="1099">
        <f t="shared" si="102"/>
        <v>141</v>
      </c>
      <c r="B383" s="1175" t="s">
        <v>3796</v>
      </c>
      <c r="C383" s="1032"/>
      <c r="D383" s="1112"/>
      <c r="E383" s="1174" t="s">
        <v>48</v>
      </c>
      <c r="F383" s="1113">
        <v>0.02</v>
      </c>
      <c r="G383" s="1113">
        <v>0.02</v>
      </c>
      <c r="H383" s="1029"/>
      <c r="I383" s="1029"/>
      <c r="J383" s="1029"/>
      <c r="K383" s="1029"/>
      <c r="L383" s="1029"/>
      <c r="M383" s="1029"/>
      <c r="N383" s="1029"/>
      <c r="O383" s="1029"/>
      <c r="P383" s="1029"/>
      <c r="Q383" s="1029"/>
      <c r="R383" s="1029"/>
      <c r="S383" s="1029"/>
      <c r="T383" s="1029"/>
      <c r="U383" s="1029"/>
      <c r="V383" s="1029"/>
      <c r="W383" s="1029"/>
      <c r="X383" s="1029"/>
      <c r="Y383" s="1029"/>
      <c r="Z383" s="1029"/>
      <c r="AA383" s="1029"/>
      <c r="AB383" s="1029"/>
      <c r="AC383" s="1029"/>
      <c r="AD383" s="1029"/>
      <c r="AE383" s="1029"/>
      <c r="AF383" s="1029"/>
      <c r="AG383" s="1029"/>
      <c r="AH383" s="1029"/>
      <c r="AI383" s="1029"/>
      <c r="AJ383" s="1029"/>
      <c r="AK383" s="1029"/>
      <c r="AL383" s="1029"/>
      <c r="AM383" s="1029"/>
      <c r="AN383" s="1029"/>
      <c r="AO383" s="1029"/>
      <c r="AP383" s="1029"/>
      <c r="AQ383" s="1029"/>
      <c r="AR383" s="1029"/>
      <c r="AS383" s="1029"/>
      <c r="AT383" s="1029"/>
      <c r="AU383" s="1029"/>
      <c r="AV383" s="1029"/>
      <c r="AW383" s="1029"/>
      <c r="AX383" s="1029"/>
      <c r="AY383" s="1029"/>
      <c r="AZ383" s="1029"/>
      <c r="BA383" s="1029"/>
      <c r="BB383" s="1029"/>
      <c r="BC383" s="1029"/>
      <c r="BD383" s="1029"/>
      <c r="BE383" s="1029"/>
      <c r="BF383" s="1029"/>
      <c r="BG383" s="1029"/>
      <c r="BH383" s="1029"/>
      <c r="BI383" s="1127" t="s">
        <v>3797</v>
      </c>
      <c r="BJ383" s="1120" t="s">
        <v>3798</v>
      </c>
      <c r="BK383" s="1120" t="s">
        <v>3304</v>
      </c>
      <c r="BL383" s="1171"/>
      <c r="BM383" s="1120"/>
      <c r="BN383" s="1120" t="s">
        <v>298</v>
      </c>
      <c r="BO383" s="1121"/>
      <c r="BP383" s="1136">
        <v>1</v>
      </c>
      <c r="BQ383" s="1123"/>
      <c r="BR383" s="1123"/>
      <c r="BS383" s="1124"/>
      <c r="BT383" s="1125"/>
    </row>
    <row r="384" spans="1:72" s="1126" customFormat="1" ht="72.599999999999994" customHeight="1">
      <c r="A384" s="1099">
        <f>A383+1</f>
        <v>142</v>
      </c>
      <c r="B384" s="1219" t="s">
        <v>3799</v>
      </c>
      <c r="C384" s="1032"/>
      <c r="D384" s="1112"/>
      <c r="E384" s="1174"/>
      <c r="F384" s="1113">
        <f>SUM(F385:F388)</f>
        <v>0.45999999999999996</v>
      </c>
      <c r="G384" s="1113">
        <f>SUM(G385:G388)</f>
        <v>0.45999999999999996</v>
      </c>
      <c r="H384" s="1029"/>
      <c r="I384" s="1029"/>
      <c r="J384" s="1029"/>
      <c r="K384" s="1029"/>
      <c r="L384" s="1029"/>
      <c r="M384" s="1029"/>
      <c r="N384" s="1029"/>
      <c r="O384" s="1029"/>
      <c r="P384" s="1029"/>
      <c r="Q384" s="1029"/>
      <c r="R384" s="1029"/>
      <c r="S384" s="1029"/>
      <c r="T384" s="1029"/>
      <c r="U384" s="1029"/>
      <c r="V384" s="1029"/>
      <c r="W384" s="1029"/>
      <c r="X384" s="1029"/>
      <c r="Y384" s="1029"/>
      <c r="Z384" s="1029"/>
      <c r="AA384" s="1029"/>
      <c r="AB384" s="1029"/>
      <c r="AC384" s="1029"/>
      <c r="AD384" s="1029"/>
      <c r="AE384" s="1029"/>
      <c r="AF384" s="1029"/>
      <c r="AG384" s="1029"/>
      <c r="AH384" s="1029"/>
      <c r="AI384" s="1029"/>
      <c r="AJ384" s="1029"/>
      <c r="AK384" s="1029"/>
      <c r="AL384" s="1029"/>
      <c r="AM384" s="1029"/>
      <c r="AN384" s="1029"/>
      <c r="AO384" s="1029"/>
      <c r="AP384" s="1029"/>
      <c r="AQ384" s="1029"/>
      <c r="AR384" s="1029"/>
      <c r="AS384" s="1029"/>
      <c r="AT384" s="1029"/>
      <c r="AU384" s="1029"/>
      <c r="AV384" s="1029"/>
      <c r="AW384" s="1029"/>
      <c r="AX384" s="1029"/>
      <c r="AY384" s="1029"/>
      <c r="AZ384" s="1029"/>
      <c r="BA384" s="1029"/>
      <c r="BB384" s="1029"/>
      <c r="BC384" s="1029"/>
      <c r="BD384" s="1029"/>
      <c r="BE384" s="1029"/>
      <c r="BF384" s="1029"/>
      <c r="BG384" s="1029"/>
      <c r="BH384" s="1029"/>
      <c r="BI384" s="1127" t="s">
        <v>3800</v>
      </c>
      <c r="BJ384" s="1120" t="s">
        <v>3801</v>
      </c>
      <c r="BK384" s="1120" t="s">
        <v>3304</v>
      </c>
      <c r="BL384" s="1171"/>
      <c r="BM384" s="1120"/>
      <c r="BN384" s="1120" t="s">
        <v>291</v>
      </c>
      <c r="BO384" s="1121"/>
      <c r="BP384" s="1122">
        <v>1</v>
      </c>
      <c r="BQ384" s="1123"/>
      <c r="BR384" s="1123"/>
      <c r="BS384" s="1124"/>
      <c r="BT384" s="1125"/>
    </row>
    <row r="385" spans="1:72" s="1141" customFormat="1" ht="61.5" hidden="1" customHeight="1">
      <c r="A385" s="1132"/>
      <c r="B385" s="1423" t="s">
        <v>3802</v>
      </c>
      <c r="C385" s="1163"/>
      <c r="D385" s="1163"/>
      <c r="E385" s="1135" t="s">
        <v>48</v>
      </c>
      <c r="F385" s="1063">
        <f>G385+H385</f>
        <v>0.28999999999999998</v>
      </c>
      <c r="G385" s="1063">
        <v>0.28999999999999998</v>
      </c>
      <c r="H385" s="1062"/>
      <c r="I385" s="1062"/>
      <c r="J385" s="1062"/>
      <c r="K385" s="1062"/>
      <c r="L385" s="1062"/>
      <c r="M385" s="1062"/>
      <c r="N385" s="1062"/>
      <c r="O385" s="1062"/>
      <c r="P385" s="1062"/>
      <c r="Q385" s="1062"/>
      <c r="R385" s="1062"/>
      <c r="S385" s="1062"/>
      <c r="T385" s="1062"/>
      <c r="U385" s="1062"/>
      <c r="V385" s="1062"/>
      <c r="W385" s="1062"/>
      <c r="X385" s="1062"/>
      <c r="Y385" s="1062"/>
      <c r="Z385" s="1062"/>
      <c r="AA385" s="1062"/>
      <c r="AB385" s="1062"/>
      <c r="AC385" s="1062"/>
      <c r="AD385" s="1062"/>
      <c r="AE385" s="1062"/>
      <c r="AF385" s="1062"/>
      <c r="AG385" s="1062"/>
      <c r="AH385" s="1062"/>
      <c r="AI385" s="1062"/>
      <c r="AJ385" s="1062"/>
      <c r="AK385" s="1062"/>
      <c r="AL385" s="1062"/>
      <c r="AM385" s="1062"/>
      <c r="AN385" s="1062"/>
      <c r="AO385" s="1062"/>
      <c r="AP385" s="1062"/>
      <c r="AQ385" s="1062"/>
      <c r="AR385" s="1062"/>
      <c r="AS385" s="1062"/>
      <c r="AT385" s="1062"/>
      <c r="AU385" s="1062"/>
      <c r="AV385" s="1062"/>
      <c r="AW385" s="1062"/>
      <c r="AX385" s="1062"/>
      <c r="AY385" s="1062"/>
      <c r="AZ385" s="1062"/>
      <c r="BA385" s="1062"/>
      <c r="BB385" s="1062"/>
      <c r="BC385" s="1062"/>
      <c r="BD385" s="1062"/>
      <c r="BE385" s="1062"/>
      <c r="BF385" s="1062"/>
      <c r="BG385" s="1062"/>
      <c r="BH385" s="1062"/>
      <c r="BI385" s="1163" t="s">
        <v>3803</v>
      </c>
      <c r="BJ385" s="1134" t="s">
        <v>3804</v>
      </c>
      <c r="BK385" s="1134" t="s">
        <v>3304</v>
      </c>
      <c r="BL385" s="1134" t="s">
        <v>1923</v>
      </c>
      <c r="BM385" s="1134" t="s">
        <v>3091</v>
      </c>
      <c r="BN385" s="1134" t="s">
        <v>291</v>
      </c>
      <c r="BO385" s="1136"/>
      <c r="BP385" s="1121"/>
      <c r="BQ385" s="1138"/>
      <c r="BR385" s="1138"/>
      <c r="BS385" s="1139" t="s">
        <v>3805</v>
      </c>
      <c r="BT385" s="1140"/>
    </row>
    <row r="386" spans="1:72" s="1165" customFormat="1" ht="31.15" hidden="1" customHeight="1">
      <c r="A386" s="1060"/>
      <c r="B386" s="1423" t="s">
        <v>3806</v>
      </c>
      <c r="C386" s="1163" t="s">
        <v>3015</v>
      </c>
      <c r="D386" s="1134" t="s">
        <v>3087</v>
      </c>
      <c r="E386" s="1135" t="s">
        <v>48</v>
      </c>
      <c r="F386" s="1063">
        <f t="shared" ref="F386:F398" si="104">G386+H386</f>
        <v>0.06</v>
      </c>
      <c r="G386" s="1063">
        <v>0.06</v>
      </c>
      <c r="H386" s="1062"/>
      <c r="I386" s="1062"/>
      <c r="J386" s="1062"/>
      <c r="K386" s="1063"/>
      <c r="L386" s="1063"/>
      <c r="M386" s="1062"/>
      <c r="N386" s="1062"/>
      <c r="O386" s="1063"/>
      <c r="P386" s="1063"/>
      <c r="Q386" s="1063"/>
      <c r="R386" s="1063"/>
      <c r="S386" s="1062"/>
      <c r="T386" s="1063"/>
      <c r="U386" s="1063"/>
      <c r="V386" s="1063"/>
      <c r="W386" s="1063"/>
      <c r="X386" s="1063"/>
      <c r="Y386" s="1063"/>
      <c r="Z386" s="1063"/>
      <c r="AA386" s="1063"/>
      <c r="AB386" s="1063"/>
      <c r="AC386" s="1063"/>
      <c r="AD386" s="1063"/>
      <c r="AE386" s="1063"/>
      <c r="AF386" s="1063"/>
      <c r="AG386" s="1063"/>
      <c r="AH386" s="1063"/>
      <c r="AI386" s="1063"/>
      <c r="AJ386" s="1063"/>
      <c r="AK386" s="1063"/>
      <c r="AL386" s="1063"/>
      <c r="AM386" s="1063"/>
      <c r="AN386" s="1063"/>
      <c r="AO386" s="1063"/>
      <c r="AP386" s="1063"/>
      <c r="AQ386" s="1063"/>
      <c r="AR386" s="1063"/>
      <c r="AS386" s="1063"/>
      <c r="AT386" s="1063"/>
      <c r="AU386" s="1063"/>
      <c r="AV386" s="1063"/>
      <c r="AW386" s="1063"/>
      <c r="AX386" s="1063"/>
      <c r="AY386" s="1063"/>
      <c r="AZ386" s="1063"/>
      <c r="BA386" s="1063"/>
      <c r="BB386" s="1063"/>
      <c r="BC386" s="1063"/>
      <c r="BD386" s="1063"/>
      <c r="BE386" s="1063"/>
      <c r="BF386" s="1063"/>
      <c r="BG386" s="1063"/>
      <c r="BH386" s="1063"/>
      <c r="BI386" s="1163" t="s">
        <v>3807</v>
      </c>
      <c r="BJ386" s="1154" t="s">
        <v>3808</v>
      </c>
      <c r="BK386" s="1134" t="s">
        <v>3304</v>
      </c>
      <c r="BL386" s="1134" t="s">
        <v>1986</v>
      </c>
      <c r="BM386" s="1134" t="s">
        <v>3809</v>
      </c>
      <c r="BN386" s="1134" t="s">
        <v>291</v>
      </c>
      <c r="BO386" s="1136"/>
      <c r="BP386" s="1121"/>
      <c r="BQ386" s="1164"/>
      <c r="BR386" s="1164"/>
      <c r="BS386" s="1139"/>
      <c r="BT386" s="1135"/>
    </row>
    <row r="387" spans="1:72" s="1184" customFormat="1" ht="30.6" hidden="1" customHeight="1">
      <c r="A387" s="1060"/>
      <c r="B387" s="1302" t="s">
        <v>3810</v>
      </c>
      <c r="C387" s="1065" t="s">
        <v>3023</v>
      </c>
      <c r="D387" s="1134" t="s">
        <v>3087</v>
      </c>
      <c r="E387" s="1135" t="s">
        <v>48</v>
      </c>
      <c r="F387" s="1063">
        <f t="shared" si="104"/>
        <v>0.1</v>
      </c>
      <c r="G387" s="1062">
        <v>0.1</v>
      </c>
      <c r="H387" s="1062"/>
      <c r="I387" s="1062"/>
      <c r="J387" s="1062"/>
      <c r="K387" s="1062"/>
      <c r="L387" s="1062"/>
      <c r="M387" s="1062"/>
      <c r="N387" s="1062"/>
      <c r="O387" s="1062"/>
      <c r="P387" s="1062"/>
      <c r="Q387" s="1062"/>
      <c r="R387" s="1062"/>
      <c r="S387" s="1062"/>
      <c r="T387" s="1062"/>
      <c r="U387" s="1062"/>
      <c r="V387" s="1062"/>
      <c r="W387" s="1062"/>
      <c r="X387" s="1062"/>
      <c r="Y387" s="1062"/>
      <c r="Z387" s="1062"/>
      <c r="AA387" s="1062"/>
      <c r="AB387" s="1062"/>
      <c r="AC387" s="1062"/>
      <c r="AD387" s="1062"/>
      <c r="AE387" s="1062"/>
      <c r="AF387" s="1062"/>
      <c r="AG387" s="1062"/>
      <c r="AH387" s="1062"/>
      <c r="AI387" s="1062"/>
      <c r="AJ387" s="1062"/>
      <c r="AK387" s="1062"/>
      <c r="AL387" s="1062"/>
      <c r="AM387" s="1062"/>
      <c r="AN387" s="1062"/>
      <c r="AO387" s="1062"/>
      <c r="AP387" s="1062"/>
      <c r="AQ387" s="1062"/>
      <c r="AR387" s="1062"/>
      <c r="AS387" s="1062"/>
      <c r="AT387" s="1062"/>
      <c r="AU387" s="1062"/>
      <c r="AV387" s="1062"/>
      <c r="AW387" s="1062"/>
      <c r="AX387" s="1062"/>
      <c r="AY387" s="1062"/>
      <c r="AZ387" s="1062"/>
      <c r="BA387" s="1062"/>
      <c r="BB387" s="1062"/>
      <c r="BC387" s="1062"/>
      <c r="BD387" s="1062"/>
      <c r="BE387" s="1062"/>
      <c r="BF387" s="1062"/>
      <c r="BG387" s="1062"/>
      <c r="BH387" s="1062"/>
      <c r="BI387" s="1065" t="s">
        <v>3811</v>
      </c>
      <c r="BJ387" s="1134" t="s">
        <v>3608</v>
      </c>
      <c r="BK387" s="1134" t="s">
        <v>3304</v>
      </c>
      <c r="BL387" s="1134" t="s">
        <v>1986</v>
      </c>
      <c r="BM387" s="1134" t="s">
        <v>3809</v>
      </c>
      <c r="BN387" s="1134" t="s">
        <v>291</v>
      </c>
      <c r="BO387" s="1136"/>
      <c r="BP387" s="1121"/>
      <c r="BQ387" s="1164"/>
      <c r="BR387" s="1164"/>
      <c r="BS387" s="1139"/>
      <c r="BT387" s="1424"/>
    </row>
    <row r="388" spans="1:72" s="1126" customFormat="1" ht="25.5" hidden="1">
      <c r="A388" s="1028"/>
      <c r="B388" s="1219" t="s">
        <v>3812</v>
      </c>
      <c r="C388" s="1248"/>
      <c r="D388" s="1248"/>
      <c r="E388" s="1118" t="s">
        <v>48</v>
      </c>
      <c r="F388" s="1031">
        <f>G388+H388</f>
        <v>0.01</v>
      </c>
      <c r="G388" s="1031">
        <v>0.01</v>
      </c>
      <c r="H388" s="1029"/>
      <c r="I388" s="1029"/>
      <c r="J388" s="1029"/>
      <c r="K388" s="1029"/>
      <c r="L388" s="1029"/>
      <c r="M388" s="1029"/>
      <c r="N388" s="1029"/>
      <c r="O388" s="1029"/>
      <c r="P388" s="1029"/>
      <c r="Q388" s="1029"/>
      <c r="R388" s="1029"/>
      <c r="S388" s="1029"/>
      <c r="T388" s="1029"/>
      <c r="U388" s="1029"/>
      <c r="V388" s="1029"/>
      <c r="W388" s="1029"/>
      <c r="X388" s="1029"/>
      <c r="Y388" s="1029"/>
      <c r="Z388" s="1029"/>
      <c r="AA388" s="1029"/>
      <c r="AB388" s="1029"/>
      <c r="AC388" s="1029"/>
      <c r="AD388" s="1029"/>
      <c r="AE388" s="1029"/>
      <c r="AF388" s="1029"/>
      <c r="AG388" s="1029"/>
      <c r="AH388" s="1029"/>
      <c r="AI388" s="1029"/>
      <c r="AJ388" s="1029"/>
      <c r="AK388" s="1029"/>
      <c r="AL388" s="1029"/>
      <c r="AM388" s="1029"/>
      <c r="AN388" s="1029"/>
      <c r="AO388" s="1029"/>
      <c r="AP388" s="1029"/>
      <c r="AQ388" s="1029"/>
      <c r="AR388" s="1029"/>
      <c r="AS388" s="1029"/>
      <c r="AT388" s="1029"/>
      <c r="AU388" s="1029"/>
      <c r="AV388" s="1029"/>
      <c r="AW388" s="1029"/>
      <c r="AX388" s="1029"/>
      <c r="AY388" s="1029"/>
      <c r="AZ388" s="1029"/>
      <c r="BA388" s="1029"/>
      <c r="BB388" s="1029"/>
      <c r="BC388" s="1029"/>
      <c r="BD388" s="1029"/>
      <c r="BE388" s="1029"/>
      <c r="BF388" s="1029"/>
      <c r="BG388" s="1029"/>
      <c r="BH388" s="1029"/>
      <c r="BI388" s="1248" t="s">
        <v>3813</v>
      </c>
      <c r="BJ388" s="1120" t="s">
        <v>3814</v>
      </c>
      <c r="BK388" s="1120" t="s">
        <v>3304</v>
      </c>
      <c r="BL388" s="1120" t="s">
        <v>1923</v>
      </c>
      <c r="BM388" s="1120" t="s">
        <v>3091</v>
      </c>
      <c r="BN388" s="1120" t="s">
        <v>291</v>
      </c>
      <c r="BO388" s="1121"/>
      <c r="BP388" s="1136"/>
      <c r="BQ388" s="1123"/>
      <c r="BR388" s="1123"/>
      <c r="BS388" s="1124"/>
      <c r="BT388" s="1125"/>
    </row>
    <row r="389" spans="1:72" s="1177" customFormat="1" ht="27" customHeight="1">
      <c r="A389" s="1028">
        <f>A384+1</f>
        <v>143</v>
      </c>
      <c r="B389" s="1130" t="s">
        <v>3815</v>
      </c>
      <c r="C389" s="1127" t="s">
        <v>3015</v>
      </c>
      <c r="D389" s="1120" t="s">
        <v>3087</v>
      </c>
      <c r="E389" s="1174" t="s">
        <v>48</v>
      </c>
      <c r="F389" s="1031">
        <f t="shared" ref="F389" si="105">G389+H389</f>
        <v>0.06</v>
      </c>
      <c r="G389" s="1029">
        <v>0.06</v>
      </c>
      <c r="H389" s="1029"/>
      <c r="I389" s="1029"/>
      <c r="J389" s="1029"/>
      <c r="K389" s="1029"/>
      <c r="L389" s="1029"/>
      <c r="M389" s="1029"/>
      <c r="N389" s="1029"/>
      <c r="O389" s="1029"/>
      <c r="P389" s="1029"/>
      <c r="Q389" s="1029"/>
      <c r="R389" s="1072"/>
      <c r="S389" s="1029"/>
      <c r="T389" s="1029"/>
      <c r="U389" s="1029"/>
      <c r="V389" s="1029"/>
      <c r="W389" s="1029"/>
      <c r="X389" s="1029"/>
      <c r="Y389" s="1029"/>
      <c r="Z389" s="1029"/>
      <c r="AA389" s="1029"/>
      <c r="AB389" s="1029"/>
      <c r="AC389" s="1029"/>
      <c r="AD389" s="1029"/>
      <c r="AE389" s="1029"/>
      <c r="AF389" s="1029"/>
      <c r="AG389" s="1029"/>
      <c r="AH389" s="1029"/>
      <c r="AI389" s="1029"/>
      <c r="AJ389" s="1029"/>
      <c r="AK389" s="1029"/>
      <c r="AL389" s="1029"/>
      <c r="AM389" s="1029"/>
      <c r="AN389" s="1029"/>
      <c r="AO389" s="1029"/>
      <c r="AP389" s="1029"/>
      <c r="AQ389" s="1029"/>
      <c r="AR389" s="1029"/>
      <c r="AS389" s="1029"/>
      <c r="AT389" s="1029"/>
      <c r="AU389" s="1029"/>
      <c r="AV389" s="1029"/>
      <c r="AW389" s="1029"/>
      <c r="AX389" s="1029"/>
      <c r="AY389" s="1029"/>
      <c r="AZ389" s="1029"/>
      <c r="BA389" s="1029"/>
      <c r="BB389" s="1029"/>
      <c r="BC389" s="1029"/>
      <c r="BD389" s="1029"/>
      <c r="BE389" s="1029"/>
      <c r="BF389" s="1029"/>
      <c r="BG389" s="1034"/>
      <c r="BH389" s="1127"/>
      <c r="BI389" s="1127" t="s">
        <v>3816</v>
      </c>
      <c r="BJ389" s="1176" t="s">
        <v>3817</v>
      </c>
      <c r="BK389" s="1120" t="s">
        <v>3304</v>
      </c>
      <c r="BL389" s="1120"/>
      <c r="BM389" s="1120"/>
      <c r="BN389" s="1118" t="s">
        <v>298</v>
      </c>
      <c r="BP389" s="1136">
        <v>1</v>
      </c>
      <c r="BQ389" s="1178"/>
    </row>
    <row r="390" spans="1:72" ht="90.75" customHeight="1">
      <c r="A390" s="1028">
        <f>A389+1</f>
        <v>144</v>
      </c>
      <c r="B390" s="1070" t="s">
        <v>3818</v>
      </c>
      <c r="C390" s="1127" t="s">
        <v>3014</v>
      </c>
      <c r="D390" s="1120" t="s">
        <v>3087</v>
      </c>
      <c r="E390" s="1118" t="s">
        <v>48</v>
      </c>
      <c r="F390" s="1031">
        <f t="shared" si="104"/>
        <v>0.20000000000000004</v>
      </c>
      <c r="G390" s="1031">
        <v>0.20000000000000004</v>
      </c>
      <c r="H390" s="1029"/>
      <c r="I390" s="1029"/>
      <c r="J390" s="1031"/>
      <c r="K390" s="1031"/>
      <c r="L390" s="1031"/>
      <c r="M390" s="1031"/>
      <c r="N390" s="1031"/>
      <c r="O390" s="1031"/>
      <c r="P390" s="1031"/>
      <c r="Q390" s="1031"/>
      <c r="R390" s="1031"/>
      <c r="S390" s="1031"/>
      <c r="T390" s="1031"/>
      <c r="U390" s="1031"/>
      <c r="V390" s="1031"/>
      <c r="W390" s="1031"/>
      <c r="X390" s="1031"/>
      <c r="Y390" s="1031"/>
      <c r="Z390" s="1031"/>
      <c r="AA390" s="1031"/>
      <c r="AB390" s="1031"/>
      <c r="AC390" s="1031"/>
      <c r="AD390" s="1031"/>
      <c r="AE390" s="1031"/>
      <c r="AF390" s="1031"/>
      <c r="AG390" s="1031"/>
      <c r="AH390" s="1031"/>
      <c r="AI390" s="1031"/>
      <c r="AJ390" s="1031"/>
      <c r="AK390" s="1031"/>
      <c r="AL390" s="1031"/>
      <c r="AM390" s="1031"/>
      <c r="AN390" s="1031"/>
      <c r="AO390" s="1031"/>
      <c r="AP390" s="1031"/>
      <c r="AQ390" s="1031"/>
      <c r="AR390" s="1031"/>
      <c r="AS390" s="1031"/>
      <c r="AT390" s="1031"/>
      <c r="AU390" s="1031"/>
      <c r="AV390" s="1031"/>
      <c r="AW390" s="1031"/>
      <c r="AX390" s="1031"/>
      <c r="AY390" s="1031"/>
      <c r="AZ390" s="1031"/>
      <c r="BA390" s="1031"/>
      <c r="BB390" s="1031"/>
      <c r="BC390" s="1031"/>
      <c r="BD390" s="1031"/>
      <c r="BE390" s="1031"/>
      <c r="BF390" s="1031"/>
      <c r="BG390" s="1031"/>
      <c r="BH390" s="1031"/>
      <c r="BI390" s="1127" t="s">
        <v>3562</v>
      </c>
      <c r="BJ390" s="1120" t="s">
        <v>3819</v>
      </c>
      <c r="BK390" s="1120" t="s">
        <v>3700</v>
      </c>
      <c r="BL390" s="1120" t="s">
        <v>1986</v>
      </c>
      <c r="BM390" s="1120" t="s">
        <v>3809</v>
      </c>
      <c r="BN390" s="1120" t="s">
        <v>291</v>
      </c>
      <c r="BP390" s="1136">
        <v>1</v>
      </c>
      <c r="BS390" s="1180"/>
      <c r="BT390" s="1118"/>
    </row>
    <row r="391" spans="1:72" ht="70.5" customHeight="1">
      <c r="A391" s="1028">
        <f>A390+1</f>
        <v>145</v>
      </c>
      <c r="B391" s="1070" t="s">
        <v>3820</v>
      </c>
      <c r="C391" s="1127"/>
      <c r="D391" s="1120"/>
      <c r="E391" s="1118"/>
      <c r="F391" s="1031">
        <f>SUM(F392:F398)</f>
        <v>0.37</v>
      </c>
      <c r="G391" s="1031">
        <f>SUM(G392:G398)</f>
        <v>0.37</v>
      </c>
      <c r="H391" s="1029"/>
      <c r="I391" s="1029"/>
      <c r="J391" s="1031"/>
      <c r="K391" s="1031"/>
      <c r="L391" s="1031"/>
      <c r="M391" s="1031"/>
      <c r="N391" s="1031"/>
      <c r="O391" s="1031"/>
      <c r="P391" s="1031"/>
      <c r="Q391" s="1031"/>
      <c r="R391" s="1031"/>
      <c r="S391" s="1031"/>
      <c r="T391" s="1031"/>
      <c r="U391" s="1031"/>
      <c r="V391" s="1031"/>
      <c r="W391" s="1031"/>
      <c r="X391" s="1031"/>
      <c r="Y391" s="1031"/>
      <c r="Z391" s="1031"/>
      <c r="AA391" s="1031"/>
      <c r="AB391" s="1031"/>
      <c r="AC391" s="1031"/>
      <c r="AD391" s="1031"/>
      <c r="AE391" s="1031"/>
      <c r="AF391" s="1031"/>
      <c r="AG391" s="1031"/>
      <c r="AH391" s="1031"/>
      <c r="AI391" s="1031"/>
      <c r="AJ391" s="1031"/>
      <c r="AK391" s="1031"/>
      <c r="AL391" s="1031"/>
      <c r="AM391" s="1031"/>
      <c r="AN391" s="1031"/>
      <c r="AO391" s="1031"/>
      <c r="AP391" s="1031"/>
      <c r="AQ391" s="1031"/>
      <c r="AR391" s="1031"/>
      <c r="AS391" s="1031"/>
      <c r="AT391" s="1031"/>
      <c r="AU391" s="1031"/>
      <c r="AV391" s="1031"/>
      <c r="AW391" s="1031"/>
      <c r="AX391" s="1031"/>
      <c r="AY391" s="1031"/>
      <c r="AZ391" s="1031"/>
      <c r="BA391" s="1031"/>
      <c r="BB391" s="1031"/>
      <c r="BC391" s="1031"/>
      <c r="BD391" s="1031"/>
      <c r="BE391" s="1031"/>
      <c r="BF391" s="1031"/>
      <c r="BG391" s="1031"/>
      <c r="BH391" s="1031"/>
      <c r="BI391" s="1127" t="s">
        <v>3821</v>
      </c>
      <c r="BJ391" s="1120" t="s">
        <v>3822</v>
      </c>
      <c r="BK391" s="1120" t="s">
        <v>3304</v>
      </c>
      <c r="BL391" s="1120"/>
      <c r="BM391" s="1120"/>
      <c r="BN391" s="1131" t="s">
        <v>291</v>
      </c>
      <c r="BP391" s="1136">
        <v>1</v>
      </c>
      <c r="BS391" s="1180"/>
      <c r="BT391" s="1118"/>
    </row>
    <row r="392" spans="1:72" s="1165" customFormat="1" ht="48" hidden="1" customHeight="1">
      <c r="A392" s="1060"/>
      <c r="B392" s="1067" t="s">
        <v>3823</v>
      </c>
      <c r="C392" s="1163" t="s">
        <v>3014</v>
      </c>
      <c r="D392" s="1134" t="s">
        <v>3087</v>
      </c>
      <c r="E392" s="1135" t="s">
        <v>48</v>
      </c>
      <c r="F392" s="1063">
        <f t="shared" si="104"/>
        <v>6.0000000000000005E-2</v>
      </c>
      <c r="G392" s="1063">
        <v>6.0000000000000005E-2</v>
      </c>
      <c r="H392" s="1062"/>
      <c r="I392" s="1062"/>
      <c r="J392" s="1063"/>
      <c r="K392" s="1063"/>
      <c r="L392" s="1063"/>
      <c r="M392" s="1063"/>
      <c r="N392" s="1063"/>
      <c r="O392" s="1063"/>
      <c r="P392" s="1063"/>
      <c r="Q392" s="1063"/>
      <c r="R392" s="1063"/>
      <c r="S392" s="1063"/>
      <c r="T392" s="1063"/>
      <c r="U392" s="1063"/>
      <c r="V392" s="1063"/>
      <c r="W392" s="1063"/>
      <c r="X392" s="1063"/>
      <c r="Y392" s="1063"/>
      <c r="Z392" s="1063"/>
      <c r="AA392" s="1063"/>
      <c r="AB392" s="1063"/>
      <c r="AC392" s="1063"/>
      <c r="AD392" s="1063"/>
      <c r="AE392" s="1063"/>
      <c r="AF392" s="1063"/>
      <c r="AG392" s="1063"/>
      <c r="AH392" s="1063"/>
      <c r="AI392" s="1063"/>
      <c r="AJ392" s="1063"/>
      <c r="AK392" s="1063"/>
      <c r="AL392" s="1063"/>
      <c r="AM392" s="1063"/>
      <c r="AN392" s="1063"/>
      <c r="AO392" s="1063"/>
      <c r="AP392" s="1063"/>
      <c r="AQ392" s="1063"/>
      <c r="AR392" s="1063"/>
      <c r="AS392" s="1063"/>
      <c r="AT392" s="1063"/>
      <c r="AU392" s="1063"/>
      <c r="AV392" s="1063"/>
      <c r="AW392" s="1063"/>
      <c r="AX392" s="1063"/>
      <c r="AY392" s="1063"/>
      <c r="AZ392" s="1063"/>
      <c r="BA392" s="1063"/>
      <c r="BB392" s="1063"/>
      <c r="BC392" s="1063"/>
      <c r="BD392" s="1063"/>
      <c r="BE392" s="1063"/>
      <c r="BF392" s="1063"/>
      <c r="BG392" s="1063"/>
      <c r="BH392" s="1063"/>
      <c r="BI392" s="1163" t="s">
        <v>3824</v>
      </c>
      <c r="BJ392" s="1134" t="s">
        <v>3825</v>
      </c>
      <c r="BK392" s="1134" t="s">
        <v>3700</v>
      </c>
      <c r="BL392" s="1134" t="s">
        <v>1986</v>
      </c>
      <c r="BM392" s="1134" t="s">
        <v>3809</v>
      </c>
      <c r="BN392" s="1131" t="s">
        <v>291</v>
      </c>
      <c r="BO392" s="1136"/>
      <c r="BP392" s="1136"/>
      <c r="BQ392" s="1164"/>
      <c r="BR392" s="1164"/>
      <c r="BS392" s="1181"/>
      <c r="BT392" s="1135"/>
    </row>
    <row r="393" spans="1:72" s="1165" customFormat="1" ht="33" hidden="1" customHeight="1">
      <c r="A393" s="1060"/>
      <c r="B393" s="1182" t="s">
        <v>3826</v>
      </c>
      <c r="C393" s="1163" t="s">
        <v>3014</v>
      </c>
      <c r="D393" s="1134" t="s">
        <v>3087</v>
      </c>
      <c r="E393" s="1183" t="s">
        <v>48</v>
      </c>
      <c r="F393" s="1063">
        <f t="shared" si="104"/>
        <v>0.04</v>
      </c>
      <c r="G393" s="1062">
        <v>0.04</v>
      </c>
      <c r="H393" s="1062"/>
      <c r="I393" s="1062"/>
      <c r="J393" s="1062"/>
      <c r="K393" s="1062"/>
      <c r="L393" s="1062"/>
      <c r="M393" s="1062"/>
      <c r="N393" s="1062"/>
      <c r="O393" s="1062"/>
      <c r="P393" s="1062"/>
      <c r="Q393" s="1062"/>
      <c r="R393" s="1062"/>
      <c r="S393" s="1062"/>
      <c r="T393" s="1062"/>
      <c r="U393" s="1062"/>
      <c r="V393" s="1062"/>
      <c r="W393" s="1062"/>
      <c r="X393" s="1062"/>
      <c r="Y393" s="1062"/>
      <c r="Z393" s="1062"/>
      <c r="AA393" s="1062"/>
      <c r="AB393" s="1062"/>
      <c r="AC393" s="1062"/>
      <c r="AD393" s="1062"/>
      <c r="AE393" s="1063"/>
      <c r="AF393" s="1063"/>
      <c r="AG393" s="1062"/>
      <c r="AH393" s="1062"/>
      <c r="AI393" s="1062"/>
      <c r="AJ393" s="1062"/>
      <c r="AK393" s="1062"/>
      <c r="AL393" s="1062"/>
      <c r="AM393" s="1062"/>
      <c r="AN393" s="1062"/>
      <c r="AO393" s="1062"/>
      <c r="AP393" s="1062"/>
      <c r="AQ393" s="1063"/>
      <c r="AR393" s="1063"/>
      <c r="AS393" s="1063"/>
      <c r="AT393" s="1063"/>
      <c r="AU393" s="1063"/>
      <c r="AV393" s="1063"/>
      <c r="AW393" s="1062"/>
      <c r="AX393" s="1063"/>
      <c r="AY393" s="1063"/>
      <c r="AZ393" s="1063"/>
      <c r="BA393" s="1063"/>
      <c r="BB393" s="1063"/>
      <c r="BC393" s="1063"/>
      <c r="BD393" s="1063"/>
      <c r="BE393" s="1063"/>
      <c r="BF393" s="1063"/>
      <c r="BG393" s="1063"/>
      <c r="BH393" s="1063"/>
      <c r="BI393" s="1142" t="s">
        <v>3827</v>
      </c>
      <c r="BJ393" s="1134" t="s">
        <v>3828</v>
      </c>
      <c r="BK393" s="1134" t="s">
        <v>3304</v>
      </c>
      <c r="BL393" s="1134" t="s">
        <v>1986</v>
      </c>
      <c r="BM393" s="1134" t="s">
        <v>3829</v>
      </c>
      <c r="BN393" s="1131" t="s">
        <v>291</v>
      </c>
      <c r="BO393" s="1136"/>
      <c r="BP393" s="1136"/>
      <c r="BQ393" s="1164"/>
      <c r="BR393" s="1164"/>
      <c r="BS393" s="1181"/>
      <c r="BT393" s="1135"/>
    </row>
    <row r="394" spans="1:72" s="1165" customFormat="1" ht="33" hidden="1" customHeight="1">
      <c r="A394" s="1060"/>
      <c r="B394" s="1182" t="s">
        <v>3830</v>
      </c>
      <c r="C394" s="1163" t="s">
        <v>3014</v>
      </c>
      <c r="D394" s="1134" t="s">
        <v>3087</v>
      </c>
      <c r="E394" s="1183" t="s">
        <v>48</v>
      </c>
      <c r="F394" s="1063">
        <f t="shared" si="104"/>
        <v>0.05</v>
      </c>
      <c r="G394" s="1062">
        <v>0.05</v>
      </c>
      <c r="H394" s="1062"/>
      <c r="I394" s="1062"/>
      <c r="J394" s="1062"/>
      <c r="K394" s="1062"/>
      <c r="L394" s="1062"/>
      <c r="M394" s="1062"/>
      <c r="N394" s="1062"/>
      <c r="O394" s="1062"/>
      <c r="P394" s="1062"/>
      <c r="Q394" s="1062"/>
      <c r="R394" s="1062"/>
      <c r="S394" s="1062"/>
      <c r="T394" s="1062"/>
      <c r="U394" s="1062"/>
      <c r="V394" s="1062"/>
      <c r="W394" s="1062"/>
      <c r="X394" s="1062"/>
      <c r="Y394" s="1062"/>
      <c r="Z394" s="1062"/>
      <c r="AA394" s="1062"/>
      <c r="AB394" s="1062"/>
      <c r="AC394" s="1062"/>
      <c r="AD394" s="1062"/>
      <c r="AE394" s="1063"/>
      <c r="AF394" s="1063"/>
      <c r="AG394" s="1062"/>
      <c r="AH394" s="1062"/>
      <c r="AI394" s="1062"/>
      <c r="AJ394" s="1062"/>
      <c r="AK394" s="1062"/>
      <c r="AL394" s="1062"/>
      <c r="AM394" s="1062"/>
      <c r="AN394" s="1062"/>
      <c r="AO394" s="1062"/>
      <c r="AP394" s="1062"/>
      <c r="AQ394" s="1063"/>
      <c r="AR394" s="1063"/>
      <c r="AS394" s="1063"/>
      <c r="AT394" s="1063"/>
      <c r="AU394" s="1063"/>
      <c r="AV394" s="1063"/>
      <c r="AW394" s="1062"/>
      <c r="AX394" s="1063"/>
      <c r="AY394" s="1063"/>
      <c r="AZ394" s="1063"/>
      <c r="BA394" s="1063"/>
      <c r="BB394" s="1063"/>
      <c r="BC394" s="1063"/>
      <c r="BD394" s="1063"/>
      <c r="BE394" s="1063"/>
      <c r="BF394" s="1063"/>
      <c r="BG394" s="1063"/>
      <c r="BH394" s="1063"/>
      <c r="BI394" s="1142" t="s">
        <v>3831</v>
      </c>
      <c r="BJ394" s="1134" t="s">
        <v>3832</v>
      </c>
      <c r="BK394" s="1134" t="s">
        <v>3304</v>
      </c>
      <c r="BL394" s="1134" t="s">
        <v>1986</v>
      </c>
      <c r="BM394" s="1134" t="s">
        <v>3809</v>
      </c>
      <c r="BN394" s="1131" t="s">
        <v>291</v>
      </c>
      <c r="BO394" s="1136"/>
      <c r="BP394" s="1136"/>
      <c r="BQ394" s="1164"/>
      <c r="BR394" s="1164"/>
      <c r="BS394" s="1181"/>
      <c r="BT394" s="1135"/>
    </row>
    <row r="395" spans="1:72" s="1165" customFormat="1" ht="33" hidden="1" customHeight="1">
      <c r="A395" s="1060"/>
      <c r="B395" s="1182" t="s">
        <v>3833</v>
      </c>
      <c r="C395" s="1163" t="s">
        <v>3014</v>
      </c>
      <c r="D395" s="1134" t="s">
        <v>3087</v>
      </c>
      <c r="E395" s="1183" t="s">
        <v>48</v>
      </c>
      <c r="F395" s="1063">
        <f t="shared" si="104"/>
        <v>0.06</v>
      </c>
      <c r="G395" s="1062">
        <v>0.06</v>
      </c>
      <c r="H395" s="1062"/>
      <c r="I395" s="1062"/>
      <c r="J395" s="1062"/>
      <c r="K395" s="1062"/>
      <c r="L395" s="1062"/>
      <c r="M395" s="1062"/>
      <c r="N395" s="1062"/>
      <c r="O395" s="1062"/>
      <c r="P395" s="1062"/>
      <c r="Q395" s="1062"/>
      <c r="R395" s="1062"/>
      <c r="S395" s="1062"/>
      <c r="T395" s="1062"/>
      <c r="U395" s="1062"/>
      <c r="V395" s="1062"/>
      <c r="W395" s="1062"/>
      <c r="X395" s="1062"/>
      <c r="Y395" s="1062"/>
      <c r="Z395" s="1062"/>
      <c r="AA395" s="1062"/>
      <c r="AB395" s="1062"/>
      <c r="AC395" s="1062"/>
      <c r="AD395" s="1062"/>
      <c r="AE395" s="1063"/>
      <c r="AF395" s="1063"/>
      <c r="AG395" s="1062"/>
      <c r="AH395" s="1062"/>
      <c r="AI395" s="1062"/>
      <c r="AJ395" s="1062"/>
      <c r="AK395" s="1062"/>
      <c r="AL395" s="1062"/>
      <c r="AM395" s="1062"/>
      <c r="AN395" s="1062"/>
      <c r="AO395" s="1062"/>
      <c r="AP395" s="1062"/>
      <c r="AQ395" s="1063"/>
      <c r="AR395" s="1063"/>
      <c r="AS395" s="1063"/>
      <c r="AT395" s="1063"/>
      <c r="AU395" s="1063"/>
      <c r="AV395" s="1063"/>
      <c r="AW395" s="1062"/>
      <c r="AX395" s="1063"/>
      <c r="AY395" s="1063"/>
      <c r="AZ395" s="1063"/>
      <c r="BA395" s="1063"/>
      <c r="BB395" s="1063"/>
      <c r="BC395" s="1063"/>
      <c r="BD395" s="1063"/>
      <c r="BE395" s="1063"/>
      <c r="BF395" s="1063"/>
      <c r="BG395" s="1158"/>
      <c r="BH395" s="1158"/>
      <c r="BI395" s="1142" t="s">
        <v>3834</v>
      </c>
      <c r="BJ395" s="1134" t="s">
        <v>3835</v>
      </c>
      <c r="BK395" s="1134" t="s">
        <v>3304</v>
      </c>
      <c r="BL395" s="1134" t="s">
        <v>1986</v>
      </c>
      <c r="BM395" s="1134" t="s">
        <v>3809</v>
      </c>
      <c r="BN395" s="1131" t="s">
        <v>291</v>
      </c>
      <c r="BO395" s="1136"/>
      <c r="BP395" s="1121"/>
      <c r="BQ395" s="1164"/>
      <c r="BR395" s="1164"/>
      <c r="BS395" s="1181"/>
      <c r="BT395" s="1135"/>
    </row>
    <row r="396" spans="1:72" s="1165" customFormat="1" ht="33" hidden="1" customHeight="1">
      <c r="A396" s="1060"/>
      <c r="B396" s="1182" t="s">
        <v>3836</v>
      </c>
      <c r="C396" s="1163" t="s">
        <v>3014</v>
      </c>
      <c r="D396" s="1134" t="s">
        <v>3087</v>
      </c>
      <c r="E396" s="1183" t="s">
        <v>48</v>
      </c>
      <c r="F396" s="1063">
        <f t="shared" si="104"/>
        <v>0.06</v>
      </c>
      <c r="G396" s="1062">
        <v>0.06</v>
      </c>
      <c r="H396" s="1062"/>
      <c r="I396" s="1062"/>
      <c r="J396" s="1062"/>
      <c r="K396" s="1062"/>
      <c r="L396" s="1062"/>
      <c r="M396" s="1062"/>
      <c r="N396" s="1062"/>
      <c r="O396" s="1062"/>
      <c r="P396" s="1062"/>
      <c r="Q396" s="1062"/>
      <c r="R396" s="1062"/>
      <c r="S396" s="1062"/>
      <c r="T396" s="1062"/>
      <c r="U396" s="1062"/>
      <c r="V396" s="1062"/>
      <c r="W396" s="1062"/>
      <c r="X396" s="1062"/>
      <c r="Y396" s="1062"/>
      <c r="Z396" s="1062"/>
      <c r="AA396" s="1062"/>
      <c r="AB396" s="1062"/>
      <c r="AC396" s="1062"/>
      <c r="AD396" s="1062"/>
      <c r="AE396" s="1063"/>
      <c r="AF396" s="1063"/>
      <c r="AG396" s="1062"/>
      <c r="AH396" s="1062"/>
      <c r="AI396" s="1062"/>
      <c r="AJ396" s="1062"/>
      <c r="AK396" s="1062"/>
      <c r="AL396" s="1062"/>
      <c r="AM396" s="1062"/>
      <c r="AN396" s="1062"/>
      <c r="AO396" s="1062"/>
      <c r="AP396" s="1062"/>
      <c r="AQ396" s="1063"/>
      <c r="AR396" s="1063"/>
      <c r="AS396" s="1063"/>
      <c r="AT396" s="1063"/>
      <c r="AU396" s="1063"/>
      <c r="AV396" s="1063"/>
      <c r="AW396" s="1062"/>
      <c r="AX396" s="1063"/>
      <c r="AY396" s="1063"/>
      <c r="AZ396" s="1063"/>
      <c r="BA396" s="1063"/>
      <c r="BB396" s="1063"/>
      <c r="BC396" s="1063"/>
      <c r="BD396" s="1063"/>
      <c r="BE396" s="1063"/>
      <c r="BF396" s="1063"/>
      <c r="BG396" s="1063"/>
      <c r="BH396" s="1063"/>
      <c r="BI396" s="1142" t="s">
        <v>3837</v>
      </c>
      <c r="BJ396" s="1134" t="s">
        <v>3838</v>
      </c>
      <c r="BK396" s="1134" t="s">
        <v>3304</v>
      </c>
      <c r="BL396" s="1134" t="s">
        <v>1986</v>
      </c>
      <c r="BM396" s="1134" t="s">
        <v>3809</v>
      </c>
      <c r="BN396" s="1131" t="s">
        <v>291</v>
      </c>
      <c r="BO396" s="1136"/>
      <c r="BP396" s="1184"/>
      <c r="BQ396" s="1164"/>
      <c r="BR396" s="1164"/>
      <c r="BS396" s="1181"/>
      <c r="BT396" s="1135"/>
    </row>
    <row r="397" spans="1:72" s="1165" customFormat="1" ht="33" hidden="1" customHeight="1">
      <c r="A397" s="1060"/>
      <c r="B397" s="1182" t="s">
        <v>3839</v>
      </c>
      <c r="C397" s="1163" t="s">
        <v>3014</v>
      </c>
      <c r="D397" s="1134" t="s">
        <v>3087</v>
      </c>
      <c r="E397" s="1183" t="s">
        <v>48</v>
      </c>
      <c r="F397" s="1063">
        <f t="shared" si="104"/>
        <v>0.05</v>
      </c>
      <c r="G397" s="1062">
        <v>0.05</v>
      </c>
      <c r="H397" s="1062"/>
      <c r="I397" s="1062"/>
      <c r="J397" s="1062"/>
      <c r="K397" s="1062"/>
      <c r="L397" s="1062"/>
      <c r="M397" s="1062"/>
      <c r="N397" s="1062"/>
      <c r="O397" s="1062"/>
      <c r="P397" s="1062"/>
      <c r="Q397" s="1062"/>
      <c r="R397" s="1062"/>
      <c r="S397" s="1062"/>
      <c r="T397" s="1062"/>
      <c r="U397" s="1062"/>
      <c r="V397" s="1062"/>
      <c r="W397" s="1062"/>
      <c r="X397" s="1062"/>
      <c r="Y397" s="1062"/>
      <c r="Z397" s="1062"/>
      <c r="AA397" s="1062"/>
      <c r="AB397" s="1062"/>
      <c r="AC397" s="1062"/>
      <c r="AD397" s="1062"/>
      <c r="AE397" s="1063"/>
      <c r="AF397" s="1063"/>
      <c r="AG397" s="1062"/>
      <c r="AH397" s="1062"/>
      <c r="AI397" s="1062"/>
      <c r="AJ397" s="1062"/>
      <c r="AK397" s="1062"/>
      <c r="AL397" s="1062"/>
      <c r="AM397" s="1062"/>
      <c r="AN397" s="1062"/>
      <c r="AO397" s="1062"/>
      <c r="AP397" s="1062"/>
      <c r="AQ397" s="1063"/>
      <c r="AR397" s="1063"/>
      <c r="AS397" s="1063"/>
      <c r="AT397" s="1063"/>
      <c r="AU397" s="1063"/>
      <c r="AV397" s="1063"/>
      <c r="AW397" s="1062"/>
      <c r="AX397" s="1063"/>
      <c r="AY397" s="1063"/>
      <c r="AZ397" s="1063"/>
      <c r="BA397" s="1063"/>
      <c r="BB397" s="1063"/>
      <c r="BC397" s="1063"/>
      <c r="BD397" s="1063"/>
      <c r="BE397" s="1063"/>
      <c r="BF397" s="1063"/>
      <c r="BG397" s="1063"/>
      <c r="BH397" s="1063"/>
      <c r="BI397" s="1142" t="s">
        <v>3840</v>
      </c>
      <c r="BJ397" s="1134" t="s">
        <v>3841</v>
      </c>
      <c r="BK397" s="1134" t="s">
        <v>3304</v>
      </c>
      <c r="BL397" s="1134" t="s">
        <v>1986</v>
      </c>
      <c r="BM397" s="1134" t="s">
        <v>3809</v>
      </c>
      <c r="BN397" s="1131" t="s">
        <v>291</v>
      </c>
      <c r="BO397" s="1136"/>
      <c r="BP397" s="1184"/>
      <c r="BQ397" s="1164"/>
      <c r="BR397" s="1164"/>
      <c r="BS397" s="1181"/>
      <c r="BT397" s="1135"/>
    </row>
    <row r="398" spans="1:72" s="1165" customFormat="1" ht="36.6" hidden="1" customHeight="1">
      <c r="A398" s="1060"/>
      <c r="B398" s="1182" t="s">
        <v>3842</v>
      </c>
      <c r="C398" s="1163" t="s">
        <v>3014</v>
      </c>
      <c r="D398" s="1134" t="s">
        <v>3087</v>
      </c>
      <c r="E398" s="1183" t="s">
        <v>48</v>
      </c>
      <c r="F398" s="1063">
        <f t="shared" si="104"/>
        <v>0.05</v>
      </c>
      <c r="G398" s="1062">
        <v>0.05</v>
      </c>
      <c r="H398" s="1062"/>
      <c r="I398" s="1062"/>
      <c r="J398" s="1062"/>
      <c r="K398" s="1062"/>
      <c r="L398" s="1062"/>
      <c r="M398" s="1062"/>
      <c r="N398" s="1062"/>
      <c r="O398" s="1062"/>
      <c r="P398" s="1062"/>
      <c r="Q398" s="1062"/>
      <c r="R398" s="1062"/>
      <c r="S398" s="1062"/>
      <c r="T398" s="1062"/>
      <c r="U398" s="1062"/>
      <c r="V398" s="1062"/>
      <c r="W398" s="1062"/>
      <c r="X398" s="1062"/>
      <c r="Y398" s="1062"/>
      <c r="Z398" s="1062"/>
      <c r="AA398" s="1062"/>
      <c r="AB398" s="1062"/>
      <c r="AC398" s="1062"/>
      <c r="AD398" s="1062"/>
      <c r="AE398" s="1063"/>
      <c r="AF398" s="1063"/>
      <c r="AG398" s="1062"/>
      <c r="AH398" s="1062"/>
      <c r="AI398" s="1062"/>
      <c r="AJ398" s="1062"/>
      <c r="AK398" s="1062"/>
      <c r="AL398" s="1062"/>
      <c r="AM398" s="1062"/>
      <c r="AN398" s="1062"/>
      <c r="AO398" s="1062"/>
      <c r="AP398" s="1062"/>
      <c r="AQ398" s="1063"/>
      <c r="AR398" s="1063"/>
      <c r="AS398" s="1063"/>
      <c r="AT398" s="1063"/>
      <c r="AU398" s="1063"/>
      <c r="AV398" s="1063"/>
      <c r="AW398" s="1062"/>
      <c r="AX398" s="1063"/>
      <c r="AY398" s="1063"/>
      <c r="AZ398" s="1063"/>
      <c r="BA398" s="1063"/>
      <c r="BB398" s="1063"/>
      <c r="BC398" s="1063"/>
      <c r="BD398" s="1063"/>
      <c r="BE398" s="1063"/>
      <c r="BF398" s="1063"/>
      <c r="BG398" s="1063"/>
      <c r="BH398" s="1063"/>
      <c r="BI398" s="1142" t="s">
        <v>3843</v>
      </c>
      <c r="BJ398" s="1134" t="s">
        <v>3844</v>
      </c>
      <c r="BK398" s="1134" t="s">
        <v>3304</v>
      </c>
      <c r="BL398" s="1134" t="s">
        <v>1986</v>
      </c>
      <c r="BM398" s="1134" t="s">
        <v>3809</v>
      </c>
      <c r="BN398" s="1131" t="s">
        <v>291</v>
      </c>
      <c r="BO398" s="1136" t="s">
        <v>3322</v>
      </c>
      <c r="BP398" s="1184"/>
      <c r="BQ398" s="1164"/>
      <c r="BR398" s="1164"/>
      <c r="BS398" s="1181"/>
      <c r="BT398" s="1135"/>
    </row>
    <row r="399" spans="1:72" s="1177" customFormat="1" ht="49.9" customHeight="1">
      <c r="A399" s="1028">
        <f>A391+1</f>
        <v>146</v>
      </c>
      <c r="B399" s="1130" t="s">
        <v>3845</v>
      </c>
      <c r="C399" s="1127"/>
      <c r="D399" s="1120"/>
      <c r="E399" s="1174"/>
      <c r="F399" s="1031">
        <f>SUM(F400:F405)</f>
        <v>0.31</v>
      </c>
      <c r="G399" s="1031">
        <f>SUM(G400:G405)</f>
        <v>0.31</v>
      </c>
      <c r="H399" s="1029"/>
      <c r="I399" s="1029"/>
      <c r="J399" s="1029"/>
      <c r="K399" s="1029"/>
      <c r="L399" s="1029"/>
      <c r="M399" s="1029"/>
      <c r="N399" s="1029"/>
      <c r="O399" s="1029"/>
      <c r="P399" s="1029"/>
      <c r="Q399" s="1029"/>
      <c r="R399" s="1072"/>
      <c r="S399" s="1029"/>
      <c r="T399" s="1029"/>
      <c r="U399" s="1029"/>
      <c r="V399" s="1029"/>
      <c r="W399" s="1029"/>
      <c r="X399" s="1029"/>
      <c r="Y399" s="1029"/>
      <c r="Z399" s="1029"/>
      <c r="AA399" s="1029"/>
      <c r="AB399" s="1029"/>
      <c r="AC399" s="1029"/>
      <c r="AD399" s="1029"/>
      <c r="AE399" s="1029"/>
      <c r="AF399" s="1029"/>
      <c r="AG399" s="1029"/>
      <c r="AH399" s="1029"/>
      <c r="AI399" s="1029"/>
      <c r="AJ399" s="1029"/>
      <c r="AK399" s="1029"/>
      <c r="AL399" s="1029"/>
      <c r="AM399" s="1029"/>
      <c r="AN399" s="1029"/>
      <c r="AO399" s="1029"/>
      <c r="AP399" s="1029"/>
      <c r="AQ399" s="1029"/>
      <c r="AR399" s="1029"/>
      <c r="AS399" s="1029"/>
      <c r="AT399" s="1029"/>
      <c r="AU399" s="1029"/>
      <c r="AV399" s="1029"/>
      <c r="AW399" s="1029"/>
      <c r="AX399" s="1029"/>
      <c r="AY399" s="1029"/>
      <c r="AZ399" s="1029"/>
      <c r="BA399" s="1029"/>
      <c r="BB399" s="1029"/>
      <c r="BC399" s="1029"/>
      <c r="BD399" s="1029"/>
      <c r="BE399" s="1029"/>
      <c r="BF399" s="1029"/>
      <c r="BG399" s="1034"/>
      <c r="BH399" s="1127"/>
      <c r="BI399" s="1127" t="s">
        <v>3846</v>
      </c>
      <c r="BJ399" s="1131" t="s">
        <v>3847</v>
      </c>
      <c r="BK399" s="1131" t="s">
        <v>3848</v>
      </c>
      <c r="BL399" s="1131"/>
      <c r="BM399" s="1131"/>
      <c r="BN399" s="1131" t="s">
        <v>298</v>
      </c>
      <c r="BP399" s="1184">
        <v>1</v>
      </c>
      <c r="BQ399" s="1178"/>
    </row>
    <row r="400" spans="1:72" s="1184" customFormat="1" ht="24.6" hidden="1" customHeight="1">
      <c r="A400" s="1060"/>
      <c r="B400" s="1133" t="s">
        <v>3849</v>
      </c>
      <c r="C400" s="1154" t="s">
        <v>3028</v>
      </c>
      <c r="D400" s="1134" t="s">
        <v>3087</v>
      </c>
      <c r="E400" s="1415" t="s">
        <v>48</v>
      </c>
      <c r="F400" s="1063">
        <f t="shared" ref="F400:F405" si="106">G400+H400</f>
        <v>0.08</v>
      </c>
      <c r="G400" s="1063">
        <v>0.08</v>
      </c>
      <c r="H400" s="1062"/>
      <c r="I400" s="1062"/>
      <c r="J400" s="1159"/>
      <c r="K400" s="1062"/>
      <c r="L400" s="1062"/>
      <c r="M400" s="1062"/>
      <c r="N400" s="1062"/>
      <c r="O400" s="1062"/>
      <c r="P400" s="1062"/>
      <c r="Q400" s="1062"/>
      <c r="R400" s="1062"/>
      <c r="S400" s="1160"/>
      <c r="T400" s="1062"/>
      <c r="U400" s="1062"/>
      <c r="V400" s="1062"/>
      <c r="W400" s="1062"/>
      <c r="X400" s="1062"/>
      <c r="Y400" s="1062"/>
      <c r="Z400" s="1062"/>
      <c r="AA400" s="1062"/>
      <c r="AB400" s="1062"/>
      <c r="AC400" s="1062"/>
      <c r="AD400" s="1062"/>
      <c r="AE400" s="1062"/>
      <c r="AF400" s="1062"/>
      <c r="AG400" s="1062"/>
      <c r="AH400" s="1062"/>
      <c r="AI400" s="1062"/>
      <c r="AJ400" s="1062"/>
      <c r="AK400" s="1062"/>
      <c r="AL400" s="1062"/>
      <c r="AM400" s="1062"/>
      <c r="AN400" s="1062"/>
      <c r="AO400" s="1062"/>
      <c r="AP400" s="1062"/>
      <c r="AQ400" s="1062"/>
      <c r="AR400" s="1062"/>
      <c r="AS400" s="1062"/>
      <c r="AT400" s="1062"/>
      <c r="AU400" s="1062"/>
      <c r="AV400" s="1062"/>
      <c r="AW400" s="1062"/>
      <c r="AX400" s="1161"/>
      <c r="AY400" s="1062"/>
      <c r="AZ400" s="1062"/>
      <c r="BA400" s="1062"/>
      <c r="BB400" s="1062"/>
      <c r="BC400" s="1062"/>
      <c r="BD400" s="1062"/>
      <c r="BE400" s="1062"/>
      <c r="BF400" s="1062"/>
      <c r="BG400" s="1066"/>
      <c r="BH400" s="1066"/>
      <c r="BI400" s="1425" t="s">
        <v>3850</v>
      </c>
      <c r="BJ400" s="1134" t="s">
        <v>3851</v>
      </c>
      <c r="BK400" s="1134" t="s">
        <v>3848</v>
      </c>
      <c r="BL400" s="1134"/>
      <c r="BM400" s="1134"/>
      <c r="BN400" s="1134" t="s">
        <v>298</v>
      </c>
      <c r="BQ400" s="1165"/>
      <c r="BR400" s="1165"/>
    </row>
    <row r="401" spans="1:73" s="1184" customFormat="1" ht="21.6" hidden="1" customHeight="1">
      <c r="A401" s="1060"/>
      <c r="B401" s="1426" t="s">
        <v>3852</v>
      </c>
      <c r="C401" s="1154" t="s">
        <v>3028</v>
      </c>
      <c r="D401" s="1134" t="s">
        <v>3087</v>
      </c>
      <c r="E401" s="1415" t="s">
        <v>48</v>
      </c>
      <c r="F401" s="1063">
        <f t="shared" si="106"/>
        <v>0.04</v>
      </c>
      <c r="G401" s="1063">
        <v>0.04</v>
      </c>
      <c r="H401" s="1062"/>
      <c r="I401" s="1062"/>
      <c r="J401" s="1159"/>
      <c r="K401" s="1062"/>
      <c r="L401" s="1062"/>
      <c r="M401" s="1062"/>
      <c r="N401" s="1062"/>
      <c r="O401" s="1062"/>
      <c r="P401" s="1062"/>
      <c r="Q401" s="1062"/>
      <c r="R401" s="1062"/>
      <c r="S401" s="1160"/>
      <c r="T401" s="1062"/>
      <c r="U401" s="1062"/>
      <c r="V401" s="1062"/>
      <c r="W401" s="1062"/>
      <c r="X401" s="1062"/>
      <c r="Y401" s="1062"/>
      <c r="Z401" s="1062"/>
      <c r="AA401" s="1062"/>
      <c r="AB401" s="1062"/>
      <c r="AC401" s="1062"/>
      <c r="AD401" s="1062"/>
      <c r="AE401" s="1062"/>
      <c r="AF401" s="1062"/>
      <c r="AG401" s="1062"/>
      <c r="AH401" s="1062"/>
      <c r="AI401" s="1062"/>
      <c r="AJ401" s="1062"/>
      <c r="AK401" s="1062"/>
      <c r="AL401" s="1062"/>
      <c r="AM401" s="1062"/>
      <c r="AN401" s="1062"/>
      <c r="AO401" s="1062"/>
      <c r="AP401" s="1062"/>
      <c r="AQ401" s="1062"/>
      <c r="AR401" s="1062"/>
      <c r="AS401" s="1062"/>
      <c r="AT401" s="1062"/>
      <c r="AU401" s="1062"/>
      <c r="AV401" s="1062"/>
      <c r="AW401" s="1062"/>
      <c r="AX401" s="1062"/>
      <c r="AY401" s="1062"/>
      <c r="AZ401" s="1062"/>
      <c r="BA401" s="1062"/>
      <c r="BB401" s="1062"/>
      <c r="BC401" s="1062"/>
      <c r="BD401" s="1062"/>
      <c r="BE401" s="1062"/>
      <c r="BF401" s="1062"/>
      <c r="BG401" s="1066"/>
      <c r="BH401" s="1066"/>
      <c r="BI401" s="1425" t="s">
        <v>3853</v>
      </c>
      <c r="BJ401" s="1134" t="s">
        <v>3854</v>
      </c>
      <c r="BK401" s="1134" t="s">
        <v>3848</v>
      </c>
      <c r="BL401" s="1134"/>
      <c r="BM401" s="1134"/>
      <c r="BN401" s="1134" t="s">
        <v>298</v>
      </c>
      <c r="BQ401" s="1165"/>
      <c r="BR401" s="1165"/>
    </row>
    <row r="402" spans="1:73" s="1184" customFormat="1" ht="21.6" hidden="1" customHeight="1">
      <c r="A402" s="1060"/>
      <c r="B402" s="1133" t="s">
        <v>3855</v>
      </c>
      <c r="C402" s="1154" t="s">
        <v>3028</v>
      </c>
      <c r="D402" s="1134" t="s">
        <v>3087</v>
      </c>
      <c r="E402" s="1415" t="s">
        <v>48</v>
      </c>
      <c r="F402" s="1063">
        <f t="shared" si="106"/>
        <v>7.0000000000000007E-2</v>
      </c>
      <c r="G402" s="1063">
        <v>7.0000000000000007E-2</v>
      </c>
      <c r="H402" s="1062"/>
      <c r="I402" s="1062"/>
      <c r="J402" s="1159"/>
      <c r="K402" s="1062"/>
      <c r="L402" s="1062"/>
      <c r="M402" s="1062"/>
      <c r="N402" s="1062"/>
      <c r="O402" s="1062"/>
      <c r="P402" s="1062"/>
      <c r="Q402" s="1062"/>
      <c r="R402" s="1062"/>
      <c r="S402" s="1160"/>
      <c r="T402" s="1062"/>
      <c r="U402" s="1062"/>
      <c r="V402" s="1062"/>
      <c r="W402" s="1062"/>
      <c r="X402" s="1062"/>
      <c r="Y402" s="1062"/>
      <c r="Z402" s="1062"/>
      <c r="AA402" s="1062"/>
      <c r="AB402" s="1062"/>
      <c r="AC402" s="1062"/>
      <c r="AD402" s="1062"/>
      <c r="AE402" s="1062"/>
      <c r="AF402" s="1062"/>
      <c r="AG402" s="1062"/>
      <c r="AH402" s="1062"/>
      <c r="AI402" s="1062"/>
      <c r="AJ402" s="1062"/>
      <c r="AK402" s="1062"/>
      <c r="AL402" s="1062"/>
      <c r="AM402" s="1062"/>
      <c r="AN402" s="1062"/>
      <c r="AO402" s="1062"/>
      <c r="AP402" s="1062"/>
      <c r="AQ402" s="1062"/>
      <c r="AR402" s="1062"/>
      <c r="AS402" s="1062"/>
      <c r="AT402" s="1062"/>
      <c r="AU402" s="1062"/>
      <c r="AV402" s="1062"/>
      <c r="AW402" s="1062"/>
      <c r="AX402" s="1062"/>
      <c r="AY402" s="1062"/>
      <c r="AZ402" s="1062"/>
      <c r="BA402" s="1062"/>
      <c r="BB402" s="1062"/>
      <c r="BC402" s="1062"/>
      <c r="BD402" s="1062"/>
      <c r="BE402" s="1062"/>
      <c r="BF402" s="1062"/>
      <c r="BG402" s="1066"/>
      <c r="BH402" s="1066"/>
      <c r="BI402" s="1425" t="s">
        <v>3856</v>
      </c>
      <c r="BJ402" s="1134" t="s">
        <v>3857</v>
      </c>
      <c r="BK402" s="1134" t="s">
        <v>3848</v>
      </c>
      <c r="BL402" s="1134"/>
      <c r="BM402" s="1134"/>
      <c r="BN402" s="1134" t="s">
        <v>298</v>
      </c>
      <c r="BP402" s="1122"/>
      <c r="BQ402" s="1165"/>
      <c r="BR402" s="1165"/>
    </row>
    <row r="403" spans="1:73" s="1184" customFormat="1" ht="24.6" hidden="1" customHeight="1">
      <c r="A403" s="1060"/>
      <c r="B403" s="1133" t="s">
        <v>3858</v>
      </c>
      <c r="C403" s="1154" t="s">
        <v>3028</v>
      </c>
      <c r="D403" s="1134" t="s">
        <v>3087</v>
      </c>
      <c r="E403" s="1415" t="s">
        <v>48</v>
      </c>
      <c r="F403" s="1063">
        <f t="shared" si="106"/>
        <v>0.04</v>
      </c>
      <c r="G403" s="1159">
        <v>0.04</v>
      </c>
      <c r="H403" s="1062"/>
      <c r="I403" s="1062"/>
      <c r="J403" s="1159"/>
      <c r="K403" s="1062"/>
      <c r="L403" s="1062"/>
      <c r="M403" s="1062"/>
      <c r="N403" s="1062"/>
      <c r="O403" s="1062"/>
      <c r="P403" s="1062"/>
      <c r="Q403" s="1062"/>
      <c r="R403" s="1062"/>
      <c r="S403" s="1160"/>
      <c r="T403" s="1062"/>
      <c r="U403" s="1062"/>
      <c r="V403" s="1062"/>
      <c r="W403" s="1062"/>
      <c r="X403" s="1062"/>
      <c r="Y403" s="1062"/>
      <c r="Z403" s="1062"/>
      <c r="AA403" s="1062"/>
      <c r="AB403" s="1062"/>
      <c r="AC403" s="1062"/>
      <c r="AD403" s="1062"/>
      <c r="AE403" s="1062"/>
      <c r="AF403" s="1062"/>
      <c r="AG403" s="1062"/>
      <c r="AH403" s="1062"/>
      <c r="AI403" s="1062"/>
      <c r="AJ403" s="1062"/>
      <c r="AK403" s="1062"/>
      <c r="AL403" s="1062"/>
      <c r="AM403" s="1062"/>
      <c r="AN403" s="1062"/>
      <c r="AO403" s="1062"/>
      <c r="AP403" s="1062"/>
      <c r="AQ403" s="1062"/>
      <c r="AR403" s="1062"/>
      <c r="AS403" s="1062"/>
      <c r="AT403" s="1062"/>
      <c r="AU403" s="1062"/>
      <c r="AV403" s="1062"/>
      <c r="AW403" s="1062"/>
      <c r="AX403" s="1062"/>
      <c r="AY403" s="1062"/>
      <c r="AZ403" s="1062"/>
      <c r="BA403" s="1062"/>
      <c r="BB403" s="1062"/>
      <c r="BC403" s="1062"/>
      <c r="BD403" s="1062"/>
      <c r="BE403" s="1062"/>
      <c r="BF403" s="1062"/>
      <c r="BG403" s="1066"/>
      <c r="BH403" s="1066"/>
      <c r="BI403" s="1425" t="s">
        <v>3859</v>
      </c>
      <c r="BJ403" s="1134" t="s">
        <v>3860</v>
      </c>
      <c r="BK403" s="1134" t="s">
        <v>3848</v>
      </c>
      <c r="BL403" s="1134"/>
      <c r="BM403" s="1134"/>
      <c r="BN403" s="1134" t="s">
        <v>298</v>
      </c>
      <c r="BP403" s="1178"/>
      <c r="BQ403" s="1165"/>
      <c r="BR403" s="1165"/>
    </row>
    <row r="404" spans="1:73" s="1184" customFormat="1" ht="24.6" hidden="1" customHeight="1">
      <c r="A404" s="1060"/>
      <c r="B404" s="1133" t="s">
        <v>3861</v>
      </c>
      <c r="C404" s="1154" t="s">
        <v>3028</v>
      </c>
      <c r="D404" s="1134" t="s">
        <v>3087</v>
      </c>
      <c r="E404" s="1415" t="s">
        <v>48</v>
      </c>
      <c r="F404" s="1063">
        <f t="shared" si="106"/>
        <v>0.04</v>
      </c>
      <c r="G404" s="1159">
        <v>0.04</v>
      </c>
      <c r="H404" s="1062"/>
      <c r="I404" s="1062"/>
      <c r="J404" s="1159"/>
      <c r="K404" s="1062"/>
      <c r="L404" s="1062"/>
      <c r="M404" s="1062"/>
      <c r="N404" s="1062"/>
      <c r="O404" s="1062"/>
      <c r="P404" s="1062"/>
      <c r="Q404" s="1062"/>
      <c r="R404" s="1062"/>
      <c r="S404" s="1160"/>
      <c r="T404" s="1062"/>
      <c r="U404" s="1062"/>
      <c r="V404" s="1062"/>
      <c r="W404" s="1062"/>
      <c r="X404" s="1062"/>
      <c r="Y404" s="1062"/>
      <c r="Z404" s="1062"/>
      <c r="AA404" s="1062"/>
      <c r="AB404" s="1062"/>
      <c r="AC404" s="1062"/>
      <c r="AD404" s="1062"/>
      <c r="AE404" s="1062"/>
      <c r="AF404" s="1062"/>
      <c r="AG404" s="1062"/>
      <c r="AH404" s="1062"/>
      <c r="AI404" s="1062"/>
      <c r="AJ404" s="1062"/>
      <c r="AK404" s="1062"/>
      <c r="AL404" s="1062"/>
      <c r="AM404" s="1062"/>
      <c r="AN404" s="1062"/>
      <c r="AO404" s="1062"/>
      <c r="AP404" s="1062"/>
      <c r="AQ404" s="1062"/>
      <c r="AR404" s="1062"/>
      <c r="AS404" s="1062"/>
      <c r="AT404" s="1062"/>
      <c r="AU404" s="1062"/>
      <c r="AV404" s="1062"/>
      <c r="AW404" s="1062"/>
      <c r="AX404" s="1062"/>
      <c r="AY404" s="1062"/>
      <c r="AZ404" s="1062"/>
      <c r="BA404" s="1062"/>
      <c r="BB404" s="1062"/>
      <c r="BC404" s="1062"/>
      <c r="BD404" s="1062"/>
      <c r="BE404" s="1062"/>
      <c r="BF404" s="1062"/>
      <c r="BG404" s="1066"/>
      <c r="BH404" s="1066"/>
      <c r="BI404" s="1425" t="s">
        <v>3862</v>
      </c>
      <c r="BJ404" s="1134" t="s">
        <v>3863</v>
      </c>
      <c r="BK404" s="1134" t="s">
        <v>3848</v>
      </c>
      <c r="BL404" s="1134"/>
      <c r="BM404" s="1134"/>
      <c r="BN404" s="1134" t="s">
        <v>298</v>
      </c>
      <c r="BP404" s="1126"/>
      <c r="BQ404" s="1165"/>
      <c r="BR404" s="1165"/>
    </row>
    <row r="405" spans="1:73" s="1184" customFormat="1" ht="24.6" hidden="1" customHeight="1">
      <c r="A405" s="1060"/>
      <c r="B405" s="1133" t="s">
        <v>3864</v>
      </c>
      <c r="C405" s="1154" t="s">
        <v>3028</v>
      </c>
      <c r="D405" s="1134" t="s">
        <v>3087</v>
      </c>
      <c r="E405" s="1415" t="s">
        <v>48</v>
      </c>
      <c r="F405" s="1063">
        <f t="shared" si="106"/>
        <v>0.04</v>
      </c>
      <c r="G405" s="1159">
        <v>0.04</v>
      </c>
      <c r="H405" s="1062"/>
      <c r="I405" s="1062"/>
      <c r="J405" s="1159"/>
      <c r="K405" s="1062"/>
      <c r="L405" s="1062"/>
      <c r="M405" s="1161"/>
      <c r="N405" s="1062"/>
      <c r="O405" s="1062"/>
      <c r="P405" s="1062"/>
      <c r="Q405" s="1062"/>
      <c r="R405" s="1062"/>
      <c r="S405" s="1160"/>
      <c r="T405" s="1062"/>
      <c r="U405" s="1062"/>
      <c r="V405" s="1062"/>
      <c r="W405" s="1062"/>
      <c r="X405" s="1062"/>
      <c r="Y405" s="1062"/>
      <c r="Z405" s="1062"/>
      <c r="AA405" s="1062"/>
      <c r="AB405" s="1062"/>
      <c r="AC405" s="1062"/>
      <c r="AD405" s="1062"/>
      <c r="AE405" s="1062"/>
      <c r="AF405" s="1062"/>
      <c r="AG405" s="1062"/>
      <c r="AH405" s="1062"/>
      <c r="AI405" s="1062"/>
      <c r="AJ405" s="1062"/>
      <c r="AK405" s="1062"/>
      <c r="AL405" s="1062"/>
      <c r="AM405" s="1062"/>
      <c r="AN405" s="1062"/>
      <c r="AO405" s="1062"/>
      <c r="AP405" s="1062"/>
      <c r="AQ405" s="1062"/>
      <c r="AR405" s="1062"/>
      <c r="AS405" s="1062"/>
      <c r="AT405" s="1062"/>
      <c r="AU405" s="1062"/>
      <c r="AV405" s="1062"/>
      <c r="AW405" s="1062"/>
      <c r="AX405" s="1062"/>
      <c r="AY405" s="1062"/>
      <c r="AZ405" s="1062"/>
      <c r="BA405" s="1062"/>
      <c r="BB405" s="1062"/>
      <c r="BC405" s="1062"/>
      <c r="BD405" s="1062"/>
      <c r="BE405" s="1062"/>
      <c r="BF405" s="1159"/>
      <c r="BG405" s="1066"/>
      <c r="BH405" s="1066"/>
      <c r="BI405" s="1425" t="s">
        <v>3865</v>
      </c>
      <c r="BJ405" s="1134" t="s">
        <v>3866</v>
      </c>
      <c r="BK405" s="1134" t="s">
        <v>3848</v>
      </c>
      <c r="BL405" s="1134"/>
      <c r="BM405" s="1134"/>
      <c r="BN405" s="1134" t="s">
        <v>298</v>
      </c>
      <c r="BP405" s="1126"/>
      <c r="BQ405" s="1165"/>
      <c r="BR405" s="1165"/>
    </row>
    <row r="406" spans="1:73" s="1152" customFormat="1" ht="22.5" customHeight="1">
      <c r="A406" s="1030" t="s">
        <v>378</v>
      </c>
      <c r="B406" s="1207" t="s">
        <v>2307</v>
      </c>
      <c r="C406" s="1109"/>
      <c r="D406" s="1109"/>
      <c r="E406" s="1109"/>
      <c r="F406" s="1069">
        <f>G406+H406</f>
        <v>0.45999999999999996</v>
      </c>
      <c r="G406" s="1026">
        <f>SUM(G407:G409)</f>
        <v>0.45999999999999996</v>
      </c>
      <c r="H406" s="1427"/>
      <c r="I406" s="1029"/>
      <c r="J406" s="1026"/>
      <c r="K406" s="1026"/>
      <c r="L406" s="1026"/>
      <c r="M406" s="1026"/>
      <c r="N406" s="1026"/>
      <c r="O406" s="1026"/>
      <c r="P406" s="1026"/>
      <c r="Q406" s="1026"/>
      <c r="R406" s="1026"/>
      <c r="S406" s="1026"/>
      <c r="T406" s="1026"/>
      <c r="U406" s="1026"/>
      <c r="V406" s="1026"/>
      <c r="W406" s="1026"/>
      <c r="X406" s="1026"/>
      <c r="Y406" s="1026"/>
      <c r="Z406" s="1026"/>
      <c r="AA406" s="1026"/>
      <c r="AB406" s="1026"/>
      <c r="AC406" s="1026"/>
      <c r="AD406" s="1026"/>
      <c r="AE406" s="1026"/>
      <c r="AF406" s="1026"/>
      <c r="AG406" s="1026"/>
      <c r="AH406" s="1026"/>
      <c r="AI406" s="1026"/>
      <c r="AJ406" s="1026"/>
      <c r="AK406" s="1026"/>
      <c r="AL406" s="1026"/>
      <c r="AM406" s="1026"/>
      <c r="AN406" s="1026"/>
      <c r="AO406" s="1026"/>
      <c r="AP406" s="1026"/>
      <c r="AQ406" s="1026"/>
      <c r="AR406" s="1026"/>
      <c r="AS406" s="1026"/>
      <c r="AT406" s="1026"/>
      <c r="AU406" s="1026"/>
      <c r="AV406" s="1026"/>
      <c r="AW406" s="1026"/>
      <c r="AX406" s="1026"/>
      <c r="AY406" s="1026"/>
      <c r="AZ406" s="1026"/>
      <c r="BA406" s="1026"/>
      <c r="BB406" s="1026"/>
      <c r="BC406" s="1026"/>
      <c r="BD406" s="1026"/>
      <c r="BE406" s="1026"/>
      <c r="BF406" s="1026"/>
      <c r="BG406" s="1027">
        <f t="shared" ref="BG406:BH406" si="107">SUM(BG407:BG409)</f>
        <v>0</v>
      </c>
      <c r="BH406" s="1027">
        <f t="shared" si="107"/>
        <v>0</v>
      </c>
      <c r="BI406" s="1109"/>
      <c r="BJ406" s="1208"/>
      <c r="BK406" s="1208"/>
      <c r="BL406" s="1208"/>
      <c r="BM406" s="1208"/>
      <c r="BN406" s="1208"/>
      <c r="BO406" s="1122"/>
      <c r="BP406" s="1122"/>
      <c r="BQ406" s="1246"/>
      <c r="BR406" s="1428"/>
      <c r="BS406" s="1210"/>
      <c r="BT406" s="1125"/>
    </row>
    <row r="407" spans="1:73" s="1268" customFormat="1" ht="25.5">
      <c r="A407" s="1028">
        <f>A399+1</f>
        <v>147</v>
      </c>
      <c r="B407" s="1130" t="s">
        <v>3867</v>
      </c>
      <c r="C407" s="1127" t="s">
        <v>3019</v>
      </c>
      <c r="D407" s="1120" t="s">
        <v>3087</v>
      </c>
      <c r="E407" s="1120" t="s">
        <v>51</v>
      </c>
      <c r="F407" s="1173">
        <f>G407+H407</f>
        <v>0.15</v>
      </c>
      <c r="G407" s="1031">
        <v>0.15</v>
      </c>
      <c r="H407" s="1173"/>
      <c r="I407" s="1029"/>
      <c r="J407" s="1031"/>
      <c r="K407" s="1097"/>
      <c r="L407" s="1031"/>
      <c r="M407" s="1031"/>
      <c r="N407" s="1031"/>
      <c r="O407" s="1031"/>
      <c r="P407" s="1031"/>
      <c r="Q407" s="1031"/>
      <c r="R407" s="1031"/>
      <c r="S407" s="1031"/>
      <c r="T407" s="1031"/>
      <c r="U407" s="1031"/>
      <c r="V407" s="1031"/>
      <c r="W407" s="1031"/>
      <c r="X407" s="1031"/>
      <c r="Y407" s="1031"/>
      <c r="Z407" s="1031"/>
      <c r="AA407" s="1031"/>
      <c r="AB407" s="1031"/>
      <c r="AC407" s="1031"/>
      <c r="AD407" s="1031"/>
      <c r="AE407" s="1031"/>
      <c r="AF407" s="1031"/>
      <c r="AG407" s="1031"/>
      <c r="AH407" s="1031"/>
      <c r="AI407" s="1031"/>
      <c r="AJ407" s="1031"/>
      <c r="AK407" s="1031"/>
      <c r="AL407" s="1031"/>
      <c r="AM407" s="1031"/>
      <c r="AN407" s="1031"/>
      <c r="AO407" s="1031"/>
      <c r="AP407" s="1031"/>
      <c r="AQ407" s="1031"/>
      <c r="AR407" s="1031"/>
      <c r="AS407" s="1031"/>
      <c r="AT407" s="1031"/>
      <c r="AU407" s="1031"/>
      <c r="AV407" s="1031"/>
      <c r="AW407" s="1031"/>
      <c r="AX407" s="1031"/>
      <c r="AY407" s="1031"/>
      <c r="AZ407" s="1031"/>
      <c r="BA407" s="1031"/>
      <c r="BB407" s="1031"/>
      <c r="BC407" s="1031"/>
      <c r="BD407" s="1031"/>
      <c r="BE407" s="1031"/>
      <c r="BF407" s="1031"/>
      <c r="BG407" s="1031"/>
      <c r="BH407" s="1031"/>
      <c r="BI407" s="1120" t="s">
        <v>3868</v>
      </c>
      <c r="BJ407" s="1120" t="s">
        <v>3869</v>
      </c>
      <c r="BK407" s="1120" t="s">
        <v>3870</v>
      </c>
      <c r="BL407" s="1120"/>
      <c r="BM407" s="1120" t="s">
        <v>3871</v>
      </c>
      <c r="BN407" s="1120" t="s">
        <v>298</v>
      </c>
      <c r="BO407" s="1121"/>
      <c r="BP407" s="1122">
        <v>1</v>
      </c>
      <c r="BQ407" s="1178"/>
      <c r="BR407" s="1178"/>
      <c r="BS407" s="1178"/>
      <c r="BT407" s="1212"/>
    </row>
    <row r="408" spans="1:73" s="1152" customFormat="1" ht="32.25" customHeight="1">
      <c r="A408" s="1028">
        <f>A407+1</f>
        <v>148</v>
      </c>
      <c r="B408" s="1130" t="s">
        <v>3575</v>
      </c>
      <c r="C408" s="1127" t="s">
        <v>3345</v>
      </c>
      <c r="D408" s="1120" t="s">
        <v>3087</v>
      </c>
      <c r="E408" s="1120" t="s">
        <v>51</v>
      </c>
      <c r="F408" s="1173">
        <f>G408+H408</f>
        <v>0.28999999999999998</v>
      </c>
      <c r="G408" s="1031">
        <v>0.28999999999999998</v>
      </c>
      <c r="H408" s="1173"/>
      <c r="I408" s="1029"/>
      <c r="J408" s="1029"/>
      <c r="K408" s="1029"/>
      <c r="L408" s="1029"/>
      <c r="M408" s="1029"/>
      <c r="N408" s="1029"/>
      <c r="O408" s="1029"/>
      <c r="P408" s="1029"/>
      <c r="Q408" s="1029"/>
      <c r="R408" s="1029"/>
      <c r="S408" s="1029"/>
      <c r="T408" s="1029"/>
      <c r="U408" s="1029"/>
      <c r="V408" s="1029"/>
      <c r="W408" s="1029"/>
      <c r="X408" s="1029"/>
      <c r="Y408" s="1029"/>
      <c r="Z408" s="1029"/>
      <c r="AA408" s="1029"/>
      <c r="AB408" s="1029"/>
      <c r="AC408" s="1029"/>
      <c r="AD408" s="1029"/>
      <c r="AE408" s="1029"/>
      <c r="AF408" s="1029"/>
      <c r="AG408" s="1029"/>
      <c r="AH408" s="1029"/>
      <c r="AI408" s="1072"/>
      <c r="AJ408" s="1029"/>
      <c r="AK408" s="1029"/>
      <c r="AL408" s="1029"/>
      <c r="AM408" s="1029"/>
      <c r="AN408" s="1029"/>
      <c r="AO408" s="1029"/>
      <c r="AP408" s="1029"/>
      <c r="AQ408" s="1029"/>
      <c r="AR408" s="1029"/>
      <c r="AS408" s="1029"/>
      <c r="AT408" s="1029"/>
      <c r="AU408" s="1029"/>
      <c r="AV408" s="1029"/>
      <c r="AW408" s="1029"/>
      <c r="AX408" s="1029"/>
      <c r="AY408" s="1029"/>
      <c r="AZ408" s="1029"/>
      <c r="BA408" s="1029"/>
      <c r="BB408" s="1029"/>
      <c r="BC408" s="1029"/>
      <c r="BD408" s="1029"/>
      <c r="BE408" s="1029"/>
      <c r="BF408" s="1029"/>
      <c r="BG408" s="1029"/>
      <c r="BH408" s="1029"/>
      <c r="BI408" s="1429" t="s">
        <v>3576</v>
      </c>
      <c r="BJ408" s="1120" t="s">
        <v>3577</v>
      </c>
      <c r="BK408" s="1120" t="s">
        <v>3655</v>
      </c>
      <c r="BL408" s="1120"/>
      <c r="BM408" s="1120" t="s">
        <v>3872</v>
      </c>
      <c r="BN408" s="1120" t="s">
        <v>298</v>
      </c>
      <c r="BO408" s="1126"/>
      <c r="BP408" s="1122">
        <v>1</v>
      </c>
      <c r="BQ408" s="1178"/>
      <c r="BR408" s="1178"/>
      <c r="BS408" s="1126"/>
      <c r="BT408" s="1355"/>
      <c r="BU408" s="1430"/>
    </row>
    <row r="409" spans="1:73" s="1152" customFormat="1" ht="25.5">
      <c r="A409" s="1028">
        <f>A408+1</f>
        <v>149</v>
      </c>
      <c r="B409" s="1130" t="s">
        <v>3873</v>
      </c>
      <c r="C409" s="1127" t="s">
        <v>3020</v>
      </c>
      <c r="D409" s="1120" t="s">
        <v>3087</v>
      </c>
      <c r="E409" s="1120" t="s">
        <v>51</v>
      </c>
      <c r="F409" s="1031">
        <v>0.02</v>
      </c>
      <c r="G409" s="1031">
        <v>0.02</v>
      </c>
      <c r="H409" s="1173"/>
      <c r="I409" s="1029"/>
      <c r="J409" s="1029"/>
      <c r="K409" s="1029"/>
      <c r="L409" s="1029"/>
      <c r="M409" s="1029"/>
      <c r="N409" s="1029"/>
      <c r="O409" s="1029"/>
      <c r="P409" s="1029"/>
      <c r="Q409" s="1029"/>
      <c r="R409" s="1029"/>
      <c r="S409" s="1029"/>
      <c r="T409" s="1029"/>
      <c r="U409" s="1029"/>
      <c r="V409" s="1029"/>
      <c r="W409" s="1029"/>
      <c r="X409" s="1029"/>
      <c r="Y409" s="1029"/>
      <c r="Z409" s="1029"/>
      <c r="AA409" s="1029"/>
      <c r="AB409" s="1029"/>
      <c r="AC409" s="1029"/>
      <c r="AD409" s="1029"/>
      <c r="AE409" s="1029"/>
      <c r="AF409" s="1029"/>
      <c r="AG409" s="1029"/>
      <c r="AH409" s="1029"/>
      <c r="AI409" s="1072"/>
      <c r="AJ409" s="1029"/>
      <c r="AK409" s="1029"/>
      <c r="AL409" s="1029"/>
      <c r="AM409" s="1029"/>
      <c r="AN409" s="1029"/>
      <c r="AO409" s="1029"/>
      <c r="AP409" s="1029"/>
      <c r="AQ409" s="1029"/>
      <c r="AR409" s="1029"/>
      <c r="AS409" s="1029"/>
      <c r="AT409" s="1029"/>
      <c r="AU409" s="1029"/>
      <c r="AV409" s="1029"/>
      <c r="AW409" s="1029"/>
      <c r="AX409" s="1029"/>
      <c r="AY409" s="1029"/>
      <c r="AZ409" s="1029"/>
      <c r="BA409" s="1029"/>
      <c r="BB409" s="1029"/>
      <c r="BC409" s="1029"/>
      <c r="BD409" s="1029"/>
      <c r="BE409" s="1029"/>
      <c r="BF409" s="1029"/>
      <c r="BG409" s="1029"/>
      <c r="BH409" s="1029"/>
      <c r="BI409" s="1049" t="s">
        <v>3117</v>
      </c>
      <c r="BJ409" s="1429" t="s">
        <v>3874</v>
      </c>
      <c r="BK409" s="1120"/>
      <c r="BL409" s="1120"/>
      <c r="BM409" s="1120"/>
      <c r="BN409" s="1120" t="s">
        <v>298</v>
      </c>
      <c r="BO409" s="1126"/>
      <c r="BP409" s="1122">
        <v>1</v>
      </c>
      <c r="BQ409" s="1178"/>
      <c r="BR409" s="1178"/>
      <c r="BS409" s="1126"/>
      <c r="BT409" s="1355"/>
      <c r="BU409" s="1430"/>
    </row>
    <row r="410" spans="1:73" s="1126" customFormat="1" ht="21" customHeight="1">
      <c r="A410" s="1023" t="s">
        <v>462</v>
      </c>
      <c r="B410" s="1310" t="s">
        <v>129</v>
      </c>
      <c r="C410" s="1127"/>
      <c r="D410" s="1127"/>
      <c r="E410" s="1118"/>
      <c r="F410" s="1026">
        <f>SUM(F411:F424)</f>
        <v>2.27</v>
      </c>
      <c r="G410" s="1026">
        <f>SUM(G411:G424)</f>
        <v>2.27</v>
      </c>
      <c r="H410" s="1026"/>
      <c r="I410" s="1026"/>
      <c r="J410" s="1029"/>
      <c r="K410" s="1029"/>
      <c r="L410" s="1029"/>
      <c r="M410" s="1029"/>
      <c r="N410" s="1029"/>
      <c r="O410" s="1029"/>
      <c r="P410" s="1029"/>
      <c r="Q410" s="1029"/>
      <c r="R410" s="1029"/>
      <c r="S410" s="1029"/>
      <c r="T410" s="1029"/>
      <c r="U410" s="1029"/>
      <c r="V410" s="1029"/>
      <c r="W410" s="1029"/>
      <c r="X410" s="1029"/>
      <c r="Y410" s="1029"/>
      <c r="Z410" s="1029"/>
      <c r="AA410" s="1029"/>
      <c r="AB410" s="1029"/>
      <c r="AC410" s="1029"/>
      <c r="AD410" s="1029"/>
      <c r="AE410" s="1029"/>
      <c r="AF410" s="1029"/>
      <c r="AG410" s="1029"/>
      <c r="AH410" s="1029"/>
      <c r="AI410" s="1029"/>
      <c r="AJ410" s="1029"/>
      <c r="AK410" s="1029"/>
      <c r="AL410" s="1029"/>
      <c r="AM410" s="1029"/>
      <c r="AN410" s="1029"/>
      <c r="AO410" s="1029"/>
      <c r="AP410" s="1029"/>
      <c r="AQ410" s="1029"/>
      <c r="AR410" s="1029"/>
      <c r="AS410" s="1029"/>
      <c r="AT410" s="1029"/>
      <c r="AU410" s="1029"/>
      <c r="AV410" s="1029"/>
      <c r="AW410" s="1029"/>
      <c r="AX410" s="1029"/>
      <c r="AY410" s="1029"/>
      <c r="AZ410" s="1029"/>
      <c r="BA410" s="1029"/>
      <c r="BB410" s="1029"/>
      <c r="BC410" s="1029"/>
      <c r="BD410" s="1029"/>
      <c r="BE410" s="1029"/>
      <c r="BF410" s="1029"/>
      <c r="BG410" s="1029"/>
      <c r="BH410" s="1029"/>
      <c r="BI410" s="1127"/>
      <c r="BJ410" s="1120"/>
      <c r="BK410" s="1120"/>
      <c r="BL410" s="1120"/>
      <c r="BM410" s="1120"/>
      <c r="BN410" s="1120"/>
      <c r="BO410" s="1121"/>
      <c r="BP410" s="1122">
        <v>1</v>
      </c>
      <c r="BQ410" s="1123"/>
      <c r="BR410" s="1123"/>
      <c r="BS410" s="1124"/>
      <c r="BT410" s="1125"/>
    </row>
    <row r="411" spans="1:73" s="1126" customFormat="1" ht="35.450000000000003" customHeight="1">
      <c r="A411" s="1028">
        <f>A409+1</f>
        <v>150</v>
      </c>
      <c r="B411" s="1431" t="s">
        <v>3875</v>
      </c>
      <c r="C411" s="1127"/>
      <c r="D411" s="1127"/>
      <c r="E411" s="1118" t="s">
        <v>49</v>
      </c>
      <c r="F411" s="1031">
        <f t="shared" si="101"/>
        <v>0.32</v>
      </c>
      <c r="G411" s="1031">
        <v>0.32</v>
      </c>
      <c r="H411" s="1026"/>
      <c r="I411" s="1026"/>
      <c r="J411" s="1029"/>
      <c r="K411" s="1029"/>
      <c r="L411" s="1029"/>
      <c r="M411" s="1029"/>
      <c r="N411" s="1029"/>
      <c r="O411" s="1029"/>
      <c r="P411" s="1029"/>
      <c r="Q411" s="1029"/>
      <c r="R411" s="1029"/>
      <c r="S411" s="1029"/>
      <c r="T411" s="1029"/>
      <c r="U411" s="1029"/>
      <c r="V411" s="1029"/>
      <c r="W411" s="1029"/>
      <c r="X411" s="1029"/>
      <c r="Y411" s="1029"/>
      <c r="Z411" s="1029"/>
      <c r="AA411" s="1029"/>
      <c r="AB411" s="1029"/>
      <c r="AC411" s="1029"/>
      <c r="AD411" s="1029"/>
      <c r="AE411" s="1029"/>
      <c r="AF411" s="1029"/>
      <c r="AG411" s="1029"/>
      <c r="AH411" s="1029"/>
      <c r="AI411" s="1029"/>
      <c r="AJ411" s="1029"/>
      <c r="AK411" s="1029"/>
      <c r="AL411" s="1029"/>
      <c r="AM411" s="1029"/>
      <c r="AN411" s="1029"/>
      <c r="AO411" s="1029"/>
      <c r="AP411" s="1029"/>
      <c r="AQ411" s="1029"/>
      <c r="AR411" s="1029"/>
      <c r="AS411" s="1029"/>
      <c r="AT411" s="1029"/>
      <c r="AU411" s="1029"/>
      <c r="AV411" s="1029"/>
      <c r="AW411" s="1029"/>
      <c r="AX411" s="1029"/>
      <c r="AY411" s="1029"/>
      <c r="AZ411" s="1029"/>
      <c r="BA411" s="1029"/>
      <c r="BB411" s="1029"/>
      <c r="BC411" s="1029"/>
      <c r="BD411" s="1029"/>
      <c r="BE411" s="1029"/>
      <c r="BF411" s="1029"/>
      <c r="BG411" s="1029"/>
      <c r="BH411" s="1029"/>
      <c r="BI411" s="1127" t="s">
        <v>3876</v>
      </c>
      <c r="BJ411" s="1432" t="s">
        <v>3877</v>
      </c>
      <c r="BK411" s="1604" t="s">
        <v>4025</v>
      </c>
      <c r="BL411" s="1120" t="s">
        <v>1923</v>
      </c>
      <c r="BM411" s="1120" t="s">
        <v>3091</v>
      </c>
      <c r="BN411" s="1120" t="s">
        <v>291</v>
      </c>
      <c r="BO411" s="1121"/>
      <c r="BP411" s="1122">
        <v>1</v>
      </c>
      <c r="BQ411" s="1123"/>
      <c r="BR411" s="1123"/>
      <c r="BS411" s="1124"/>
      <c r="BT411" s="1125"/>
    </row>
    <row r="412" spans="1:73" s="1126" customFormat="1" ht="29.1" customHeight="1">
      <c r="A412" s="1099">
        <f>A411+1</f>
        <v>151</v>
      </c>
      <c r="B412" s="1433" t="s">
        <v>3878</v>
      </c>
      <c r="C412" s="1032"/>
      <c r="D412" s="1032"/>
      <c r="E412" s="1120" t="s">
        <v>49</v>
      </c>
      <c r="F412" s="1029">
        <f t="shared" si="101"/>
        <v>0.08</v>
      </c>
      <c r="G412" s="1029">
        <v>0.08</v>
      </c>
      <c r="H412" s="1026"/>
      <c r="I412" s="1026"/>
      <c r="J412" s="1029"/>
      <c r="K412" s="1029"/>
      <c r="L412" s="1029"/>
      <c r="M412" s="1029"/>
      <c r="N412" s="1029"/>
      <c r="O412" s="1029"/>
      <c r="P412" s="1029"/>
      <c r="Q412" s="1029"/>
      <c r="R412" s="1029"/>
      <c r="S412" s="1029"/>
      <c r="T412" s="1029"/>
      <c r="U412" s="1029"/>
      <c r="V412" s="1029"/>
      <c r="W412" s="1029"/>
      <c r="X412" s="1029"/>
      <c r="Y412" s="1029"/>
      <c r="Z412" s="1029"/>
      <c r="AA412" s="1029"/>
      <c r="AB412" s="1029"/>
      <c r="AC412" s="1029"/>
      <c r="AD412" s="1029"/>
      <c r="AE412" s="1029"/>
      <c r="AF412" s="1029"/>
      <c r="AG412" s="1029"/>
      <c r="AH412" s="1029"/>
      <c r="AI412" s="1029"/>
      <c r="AJ412" s="1029"/>
      <c r="AK412" s="1029"/>
      <c r="AL412" s="1029"/>
      <c r="AM412" s="1029"/>
      <c r="AN412" s="1029"/>
      <c r="AO412" s="1029"/>
      <c r="AP412" s="1029"/>
      <c r="AQ412" s="1029"/>
      <c r="AR412" s="1029"/>
      <c r="AS412" s="1029"/>
      <c r="AT412" s="1029"/>
      <c r="AU412" s="1029"/>
      <c r="AV412" s="1029"/>
      <c r="AW412" s="1029"/>
      <c r="AX412" s="1029"/>
      <c r="AY412" s="1029"/>
      <c r="AZ412" s="1029"/>
      <c r="BA412" s="1029"/>
      <c r="BB412" s="1029"/>
      <c r="BC412" s="1029"/>
      <c r="BD412" s="1029"/>
      <c r="BE412" s="1029"/>
      <c r="BF412" s="1029"/>
      <c r="BG412" s="1029"/>
      <c r="BH412" s="1029"/>
      <c r="BI412" s="1032" t="s">
        <v>3879</v>
      </c>
      <c r="BJ412" s="1387" t="s">
        <v>3880</v>
      </c>
      <c r="BK412" s="1604"/>
      <c r="BL412" s="1120" t="s">
        <v>1923</v>
      </c>
      <c r="BM412" s="1120" t="s">
        <v>3091</v>
      </c>
      <c r="BN412" s="1120" t="s">
        <v>291</v>
      </c>
      <c r="BO412" s="1121"/>
      <c r="BP412" s="1122">
        <v>1</v>
      </c>
      <c r="BQ412" s="1123"/>
      <c r="BR412" s="1123"/>
      <c r="BS412" s="1124"/>
      <c r="BT412" s="1125"/>
    </row>
    <row r="413" spans="1:73" s="1126" customFormat="1" ht="29.1" customHeight="1">
      <c r="A413" s="1099">
        <f t="shared" ref="A413:A424" si="108">A412+1</f>
        <v>152</v>
      </c>
      <c r="B413" s="1433" t="s">
        <v>3881</v>
      </c>
      <c r="C413" s="1032"/>
      <c r="D413" s="1032"/>
      <c r="E413" s="1120" t="s">
        <v>49</v>
      </c>
      <c r="F413" s="1029">
        <f t="shared" si="101"/>
        <v>0.1</v>
      </c>
      <c r="G413" s="1029">
        <v>0.1</v>
      </c>
      <c r="H413" s="1026"/>
      <c r="I413" s="1026"/>
      <c r="J413" s="1029"/>
      <c r="K413" s="1029"/>
      <c r="L413" s="1029"/>
      <c r="M413" s="1029"/>
      <c r="N413" s="1029"/>
      <c r="O413" s="1029"/>
      <c r="P413" s="1029"/>
      <c r="Q413" s="1029"/>
      <c r="R413" s="1029"/>
      <c r="S413" s="1029"/>
      <c r="T413" s="1029"/>
      <c r="U413" s="1029"/>
      <c r="V413" s="1029"/>
      <c r="W413" s="1029"/>
      <c r="X413" s="1029"/>
      <c r="Y413" s="1029"/>
      <c r="Z413" s="1029"/>
      <c r="AA413" s="1029"/>
      <c r="AB413" s="1029"/>
      <c r="AC413" s="1029"/>
      <c r="AD413" s="1029"/>
      <c r="AE413" s="1029"/>
      <c r="AF413" s="1029"/>
      <c r="AG413" s="1029"/>
      <c r="AH413" s="1029"/>
      <c r="AI413" s="1029"/>
      <c r="AJ413" s="1029"/>
      <c r="AK413" s="1029"/>
      <c r="AL413" s="1029"/>
      <c r="AM413" s="1029"/>
      <c r="AN413" s="1029"/>
      <c r="AO413" s="1029"/>
      <c r="AP413" s="1029"/>
      <c r="AQ413" s="1029"/>
      <c r="AR413" s="1029"/>
      <c r="AS413" s="1029"/>
      <c r="AT413" s="1029"/>
      <c r="AU413" s="1029"/>
      <c r="AV413" s="1029"/>
      <c r="AW413" s="1029"/>
      <c r="AX413" s="1029"/>
      <c r="AY413" s="1029"/>
      <c r="AZ413" s="1029"/>
      <c r="BA413" s="1029"/>
      <c r="BB413" s="1029"/>
      <c r="BC413" s="1029"/>
      <c r="BD413" s="1029"/>
      <c r="BE413" s="1029"/>
      <c r="BF413" s="1029"/>
      <c r="BG413" s="1029"/>
      <c r="BH413" s="1029"/>
      <c r="BI413" s="1032" t="s">
        <v>3882</v>
      </c>
      <c r="BJ413" s="1387" t="s">
        <v>3883</v>
      </c>
      <c r="BK413" s="1604"/>
      <c r="BL413" s="1120" t="s">
        <v>1923</v>
      </c>
      <c r="BM413" s="1120" t="s">
        <v>3091</v>
      </c>
      <c r="BN413" s="1120" t="s">
        <v>291</v>
      </c>
      <c r="BO413" s="1121"/>
      <c r="BP413" s="1122">
        <v>1</v>
      </c>
      <c r="BQ413" s="1123"/>
      <c r="BR413" s="1123"/>
      <c r="BS413" s="1124"/>
      <c r="BT413" s="1125"/>
    </row>
    <row r="414" spans="1:73" s="1126" customFormat="1" ht="29.1" customHeight="1">
      <c r="A414" s="1099">
        <f t="shared" si="108"/>
        <v>153</v>
      </c>
      <c r="B414" s="1433" t="s">
        <v>3884</v>
      </c>
      <c r="C414" s="1032"/>
      <c r="D414" s="1032"/>
      <c r="E414" s="1120" t="s">
        <v>49</v>
      </c>
      <c r="F414" s="1029">
        <f t="shared" si="101"/>
        <v>0.08</v>
      </c>
      <c r="G414" s="1029">
        <v>0.08</v>
      </c>
      <c r="H414" s="1026"/>
      <c r="I414" s="1026"/>
      <c r="J414" s="1029"/>
      <c r="K414" s="1029"/>
      <c r="L414" s="1029"/>
      <c r="M414" s="1029"/>
      <c r="N414" s="1029"/>
      <c r="O414" s="1029"/>
      <c r="P414" s="1029"/>
      <c r="Q414" s="1029"/>
      <c r="R414" s="1029"/>
      <c r="S414" s="1029"/>
      <c r="T414" s="1029"/>
      <c r="U414" s="1029"/>
      <c r="V414" s="1029"/>
      <c r="W414" s="1029"/>
      <c r="X414" s="1029"/>
      <c r="Y414" s="1029"/>
      <c r="Z414" s="1029"/>
      <c r="AA414" s="1029"/>
      <c r="AB414" s="1029"/>
      <c r="AC414" s="1029"/>
      <c r="AD414" s="1029"/>
      <c r="AE414" s="1029"/>
      <c r="AF414" s="1029"/>
      <c r="AG414" s="1029"/>
      <c r="AH414" s="1029"/>
      <c r="AI414" s="1029"/>
      <c r="AJ414" s="1029"/>
      <c r="AK414" s="1029"/>
      <c r="AL414" s="1029"/>
      <c r="AM414" s="1029"/>
      <c r="AN414" s="1029"/>
      <c r="AO414" s="1029"/>
      <c r="AP414" s="1029"/>
      <c r="AQ414" s="1029"/>
      <c r="AR414" s="1029"/>
      <c r="AS414" s="1029"/>
      <c r="AT414" s="1029"/>
      <c r="AU414" s="1029"/>
      <c r="AV414" s="1029"/>
      <c r="AW414" s="1029"/>
      <c r="AX414" s="1029"/>
      <c r="AY414" s="1029"/>
      <c r="AZ414" s="1029"/>
      <c r="BA414" s="1029"/>
      <c r="BB414" s="1029"/>
      <c r="BC414" s="1029"/>
      <c r="BD414" s="1029"/>
      <c r="BE414" s="1029"/>
      <c r="BF414" s="1029"/>
      <c r="BG414" s="1029"/>
      <c r="BH414" s="1029"/>
      <c r="BI414" s="1032" t="s">
        <v>3094</v>
      </c>
      <c r="BJ414" s="1387" t="s">
        <v>3885</v>
      </c>
      <c r="BK414" s="1604"/>
      <c r="BL414" s="1120" t="s">
        <v>1923</v>
      </c>
      <c r="BM414" s="1120" t="s">
        <v>3091</v>
      </c>
      <c r="BN414" s="1120" t="s">
        <v>291</v>
      </c>
      <c r="BO414" s="1121"/>
      <c r="BP414" s="1122">
        <v>1</v>
      </c>
      <c r="BQ414" s="1123"/>
      <c r="BR414" s="1123"/>
      <c r="BS414" s="1124"/>
      <c r="BT414" s="1125"/>
    </row>
    <row r="415" spans="1:73" s="1126" customFormat="1" ht="23.25" customHeight="1">
      <c r="A415" s="1099">
        <f t="shared" si="108"/>
        <v>154</v>
      </c>
      <c r="B415" s="1434" t="s">
        <v>3886</v>
      </c>
      <c r="C415" s="1032"/>
      <c r="D415" s="1032"/>
      <c r="E415" s="1120" t="s">
        <v>49</v>
      </c>
      <c r="F415" s="1029">
        <f t="shared" si="101"/>
        <v>0.11</v>
      </c>
      <c r="G415" s="1029">
        <v>0.11</v>
      </c>
      <c r="H415" s="1026"/>
      <c r="I415" s="1026"/>
      <c r="J415" s="1029"/>
      <c r="K415" s="1029"/>
      <c r="L415" s="1029"/>
      <c r="M415" s="1029"/>
      <c r="N415" s="1029"/>
      <c r="O415" s="1029"/>
      <c r="P415" s="1029"/>
      <c r="Q415" s="1029"/>
      <c r="R415" s="1029"/>
      <c r="S415" s="1029"/>
      <c r="T415" s="1029"/>
      <c r="U415" s="1029"/>
      <c r="V415" s="1029"/>
      <c r="W415" s="1029"/>
      <c r="X415" s="1029"/>
      <c r="Y415" s="1029"/>
      <c r="Z415" s="1029"/>
      <c r="AA415" s="1029"/>
      <c r="AB415" s="1029"/>
      <c r="AC415" s="1029"/>
      <c r="AD415" s="1029"/>
      <c r="AE415" s="1029"/>
      <c r="AF415" s="1029"/>
      <c r="AG415" s="1029"/>
      <c r="AH415" s="1029"/>
      <c r="AI415" s="1029"/>
      <c r="AJ415" s="1029"/>
      <c r="AK415" s="1029"/>
      <c r="AL415" s="1029"/>
      <c r="AM415" s="1029"/>
      <c r="AN415" s="1029"/>
      <c r="AO415" s="1029"/>
      <c r="AP415" s="1029"/>
      <c r="AQ415" s="1029"/>
      <c r="AR415" s="1029"/>
      <c r="AS415" s="1029"/>
      <c r="AT415" s="1029"/>
      <c r="AU415" s="1029"/>
      <c r="AV415" s="1029"/>
      <c r="AW415" s="1029"/>
      <c r="AX415" s="1029"/>
      <c r="AY415" s="1029"/>
      <c r="AZ415" s="1029"/>
      <c r="BA415" s="1029"/>
      <c r="BB415" s="1029"/>
      <c r="BC415" s="1029"/>
      <c r="BD415" s="1029"/>
      <c r="BE415" s="1029"/>
      <c r="BF415" s="1029"/>
      <c r="BG415" s="1029"/>
      <c r="BH415" s="1029"/>
      <c r="BI415" s="1032" t="s">
        <v>3114</v>
      </c>
      <c r="BJ415" s="1120" t="s">
        <v>3887</v>
      </c>
      <c r="BK415" s="1605" t="s">
        <v>4025</v>
      </c>
      <c r="BL415" s="1120" t="s">
        <v>1923</v>
      </c>
      <c r="BM415" s="1120" t="s">
        <v>3091</v>
      </c>
      <c r="BN415" s="1120" t="s">
        <v>291</v>
      </c>
      <c r="BO415" s="1121"/>
      <c r="BP415" s="1122">
        <v>1</v>
      </c>
      <c r="BQ415" s="1123"/>
      <c r="BR415" s="1123"/>
      <c r="BS415" s="1124"/>
      <c r="BT415" s="1125"/>
    </row>
    <row r="416" spans="1:73" s="1126" customFormat="1" ht="29.1" customHeight="1">
      <c r="A416" s="1099">
        <f t="shared" si="108"/>
        <v>155</v>
      </c>
      <c r="B416" s="1433" t="s">
        <v>3888</v>
      </c>
      <c r="C416" s="1032"/>
      <c r="D416" s="1032"/>
      <c r="E416" s="1120" t="s">
        <v>49</v>
      </c>
      <c r="F416" s="1029">
        <f t="shared" si="101"/>
        <v>0.13</v>
      </c>
      <c r="G416" s="1029">
        <v>0.13</v>
      </c>
      <c r="H416" s="1026"/>
      <c r="I416" s="1026"/>
      <c r="J416" s="1029"/>
      <c r="K416" s="1029"/>
      <c r="L416" s="1029"/>
      <c r="M416" s="1029"/>
      <c r="N416" s="1029"/>
      <c r="O416" s="1029"/>
      <c r="P416" s="1029"/>
      <c r="Q416" s="1029"/>
      <c r="R416" s="1029"/>
      <c r="S416" s="1029"/>
      <c r="T416" s="1029"/>
      <c r="U416" s="1029"/>
      <c r="V416" s="1029"/>
      <c r="W416" s="1029"/>
      <c r="X416" s="1029"/>
      <c r="Y416" s="1029"/>
      <c r="Z416" s="1029"/>
      <c r="AA416" s="1029"/>
      <c r="AB416" s="1029"/>
      <c r="AC416" s="1029"/>
      <c r="AD416" s="1029"/>
      <c r="AE416" s="1029"/>
      <c r="AF416" s="1029"/>
      <c r="AG416" s="1029"/>
      <c r="AH416" s="1029"/>
      <c r="AI416" s="1029"/>
      <c r="AJ416" s="1029"/>
      <c r="AK416" s="1029"/>
      <c r="AL416" s="1029"/>
      <c r="AM416" s="1029"/>
      <c r="AN416" s="1029"/>
      <c r="AO416" s="1029"/>
      <c r="AP416" s="1029"/>
      <c r="AQ416" s="1029"/>
      <c r="AR416" s="1029"/>
      <c r="AS416" s="1029"/>
      <c r="AT416" s="1029"/>
      <c r="AU416" s="1029"/>
      <c r="AV416" s="1029"/>
      <c r="AW416" s="1029"/>
      <c r="AX416" s="1029"/>
      <c r="AY416" s="1029"/>
      <c r="AZ416" s="1029"/>
      <c r="BA416" s="1029"/>
      <c r="BB416" s="1029"/>
      <c r="BC416" s="1029"/>
      <c r="BD416" s="1029"/>
      <c r="BE416" s="1029"/>
      <c r="BF416" s="1029"/>
      <c r="BG416" s="1029"/>
      <c r="BH416" s="1029"/>
      <c r="BI416" s="1032" t="s">
        <v>3136</v>
      </c>
      <c r="BJ416" s="1436" t="s">
        <v>3889</v>
      </c>
      <c r="BK416" s="1605"/>
      <c r="BL416" s="1171" t="s">
        <v>1923</v>
      </c>
      <c r="BM416" s="1120" t="s">
        <v>3091</v>
      </c>
      <c r="BN416" s="1120" t="s">
        <v>291</v>
      </c>
      <c r="BO416" s="1121"/>
      <c r="BP416" s="1122">
        <v>1</v>
      </c>
      <c r="BQ416" s="1123"/>
      <c r="BR416" s="1123"/>
      <c r="BS416" s="1124"/>
      <c r="BT416" s="1125"/>
    </row>
    <row r="417" spans="1:72" s="1126" customFormat="1" ht="29.1" customHeight="1">
      <c r="A417" s="1099">
        <f t="shared" si="108"/>
        <v>156</v>
      </c>
      <c r="B417" s="1433" t="s">
        <v>3890</v>
      </c>
      <c r="C417" s="1032"/>
      <c r="D417" s="1032"/>
      <c r="E417" s="1120" t="s">
        <v>49</v>
      </c>
      <c r="F417" s="1029">
        <f t="shared" si="101"/>
        <v>0.08</v>
      </c>
      <c r="G417" s="1029">
        <v>0.08</v>
      </c>
      <c r="H417" s="1026"/>
      <c r="I417" s="1026"/>
      <c r="J417" s="1029"/>
      <c r="K417" s="1029"/>
      <c r="L417" s="1029"/>
      <c r="M417" s="1029"/>
      <c r="N417" s="1029"/>
      <c r="O417" s="1029"/>
      <c r="P417" s="1029"/>
      <c r="Q417" s="1029"/>
      <c r="R417" s="1029"/>
      <c r="S417" s="1029"/>
      <c r="T417" s="1029"/>
      <c r="U417" s="1029"/>
      <c r="V417" s="1029"/>
      <c r="W417" s="1029"/>
      <c r="X417" s="1029"/>
      <c r="Y417" s="1029"/>
      <c r="Z417" s="1029"/>
      <c r="AA417" s="1029"/>
      <c r="AB417" s="1029"/>
      <c r="AC417" s="1029"/>
      <c r="AD417" s="1029"/>
      <c r="AE417" s="1029"/>
      <c r="AF417" s="1029"/>
      <c r="AG417" s="1029"/>
      <c r="AH417" s="1029"/>
      <c r="AI417" s="1029"/>
      <c r="AJ417" s="1029"/>
      <c r="AK417" s="1029"/>
      <c r="AL417" s="1029"/>
      <c r="AM417" s="1029"/>
      <c r="AN417" s="1029"/>
      <c r="AO417" s="1029"/>
      <c r="AP417" s="1029"/>
      <c r="AQ417" s="1029"/>
      <c r="AR417" s="1029"/>
      <c r="AS417" s="1029"/>
      <c r="AT417" s="1029"/>
      <c r="AU417" s="1029"/>
      <c r="AV417" s="1029"/>
      <c r="AW417" s="1029"/>
      <c r="AX417" s="1029"/>
      <c r="AY417" s="1029"/>
      <c r="AZ417" s="1029"/>
      <c r="BA417" s="1029"/>
      <c r="BB417" s="1029"/>
      <c r="BC417" s="1029"/>
      <c r="BD417" s="1029"/>
      <c r="BE417" s="1029"/>
      <c r="BF417" s="1029"/>
      <c r="BG417" s="1029"/>
      <c r="BH417" s="1029"/>
      <c r="BI417" s="1032" t="s">
        <v>3103</v>
      </c>
      <c r="BJ417" s="1387" t="s">
        <v>3891</v>
      </c>
      <c r="BK417" s="1605"/>
      <c r="BL417" s="1120" t="s">
        <v>1923</v>
      </c>
      <c r="BM417" s="1120" t="s">
        <v>3091</v>
      </c>
      <c r="BN417" s="1120" t="s">
        <v>291</v>
      </c>
      <c r="BO417" s="1121"/>
      <c r="BP417" s="1122">
        <v>1</v>
      </c>
      <c r="BQ417" s="1123"/>
      <c r="BR417" s="1123"/>
      <c r="BS417" s="1124"/>
      <c r="BT417" s="1125"/>
    </row>
    <row r="418" spans="1:72" s="1126" customFormat="1" ht="29.1" customHeight="1">
      <c r="A418" s="1099">
        <f t="shared" si="108"/>
        <v>157</v>
      </c>
      <c r="B418" s="1433" t="s">
        <v>3892</v>
      </c>
      <c r="C418" s="1032"/>
      <c r="D418" s="1032"/>
      <c r="E418" s="1120" t="s">
        <v>49</v>
      </c>
      <c r="F418" s="1029">
        <f t="shared" si="101"/>
        <v>0.25</v>
      </c>
      <c r="G418" s="1029">
        <v>0.25</v>
      </c>
      <c r="H418" s="1026"/>
      <c r="I418" s="1026"/>
      <c r="J418" s="1029"/>
      <c r="K418" s="1029"/>
      <c r="L418" s="1029"/>
      <c r="M418" s="1029"/>
      <c r="N418" s="1029"/>
      <c r="O418" s="1029"/>
      <c r="P418" s="1029"/>
      <c r="Q418" s="1029"/>
      <c r="R418" s="1029"/>
      <c r="S418" s="1029"/>
      <c r="T418" s="1029"/>
      <c r="U418" s="1029"/>
      <c r="V418" s="1029"/>
      <c r="W418" s="1029"/>
      <c r="X418" s="1029"/>
      <c r="Y418" s="1029"/>
      <c r="Z418" s="1029"/>
      <c r="AA418" s="1029"/>
      <c r="AB418" s="1029"/>
      <c r="AC418" s="1029"/>
      <c r="AD418" s="1029"/>
      <c r="AE418" s="1029"/>
      <c r="AF418" s="1029"/>
      <c r="AG418" s="1029"/>
      <c r="AH418" s="1029"/>
      <c r="AI418" s="1029"/>
      <c r="AJ418" s="1029"/>
      <c r="AK418" s="1029"/>
      <c r="AL418" s="1029"/>
      <c r="AM418" s="1029"/>
      <c r="AN418" s="1029"/>
      <c r="AO418" s="1029"/>
      <c r="AP418" s="1029"/>
      <c r="AQ418" s="1029"/>
      <c r="AR418" s="1029"/>
      <c r="AS418" s="1029"/>
      <c r="AT418" s="1029"/>
      <c r="AU418" s="1029"/>
      <c r="AV418" s="1029"/>
      <c r="AW418" s="1029"/>
      <c r="AX418" s="1029"/>
      <c r="AY418" s="1029"/>
      <c r="AZ418" s="1029"/>
      <c r="BA418" s="1029"/>
      <c r="BB418" s="1029"/>
      <c r="BC418" s="1029"/>
      <c r="BD418" s="1029"/>
      <c r="BE418" s="1029"/>
      <c r="BF418" s="1029"/>
      <c r="BG418" s="1029"/>
      <c r="BH418" s="1029"/>
      <c r="BI418" s="1032" t="s">
        <v>3132</v>
      </c>
      <c r="BJ418" s="1387" t="s">
        <v>3893</v>
      </c>
      <c r="BK418" s="1685" t="s">
        <v>3747</v>
      </c>
      <c r="BL418" s="1171" t="s">
        <v>1923</v>
      </c>
      <c r="BM418" s="1120" t="s">
        <v>3091</v>
      </c>
      <c r="BN418" s="1120" t="s">
        <v>291</v>
      </c>
      <c r="BO418" s="1121"/>
      <c r="BP418" s="1122">
        <v>1</v>
      </c>
      <c r="BQ418" s="1123"/>
      <c r="BR418" s="1123"/>
      <c r="BS418" s="1124"/>
      <c r="BT418" s="1125"/>
    </row>
    <row r="419" spans="1:72" s="1126" customFormat="1" ht="29.1" customHeight="1">
      <c r="A419" s="1099">
        <f t="shared" si="108"/>
        <v>158</v>
      </c>
      <c r="B419" s="1117" t="s">
        <v>3894</v>
      </c>
      <c r="C419" s="1032"/>
      <c r="D419" s="1032"/>
      <c r="E419" s="1118" t="s">
        <v>49</v>
      </c>
      <c r="F419" s="1029">
        <f>G419+H419</f>
        <v>0.12</v>
      </c>
      <c r="G419" s="1029">
        <v>0.12</v>
      </c>
      <c r="H419" s="1026"/>
      <c r="I419" s="1026"/>
      <c r="J419" s="1029"/>
      <c r="K419" s="1029"/>
      <c r="L419" s="1029"/>
      <c r="M419" s="1029"/>
      <c r="N419" s="1029"/>
      <c r="O419" s="1029"/>
      <c r="P419" s="1029"/>
      <c r="Q419" s="1029"/>
      <c r="R419" s="1029"/>
      <c r="S419" s="1029"/>
      <c r="T419" s="1029"/>
      <c r="U419" s="1029"/>
      <c r="V419" s="1029"/>
      <c r="W419" s="1029"/>
      <c r="X419" s="1029"/>
      <c r="Y419" s="1029"/>
      <c r="Z419" s="1029"/>
      <c r="AA419" s="1029"/>
      <c r="AB419" s="1029"/>
      <c r="AC419" s="1029"/>
      <c r="AD419" s="1029"/>
      <c r="AE419" s="1029"/>
      <c r="AF419" s="1029"/>
      <c r="AG419" s="1029"/>
      <c r="AH419" s="1029"/>
      <c r="AI419" s="1029"/>
      <c r="AJ419" s="1029"/>
      <c r="AK419" s="1029"/>
      <c r="AL419" s="1029"/>
      <c r="AM419" s="1029"/>
      <c r="AN419" s="1029"/>
      <c r="AO419" s="1029"/>
      <c r="AP419" s="1029"/>
      <c r="AQ419" s="1029"/>
      <c r="AR419" s="1029"/>
      <c r="AS419" s="1029"/>
      <c r="AT419" s="1029"/>
      <c r="AU419" s="1029"/>
      <c r="AV419" s="1029"/>
      <c r="AW419" s="1029"/>
      <c r="AX419" s="1029"/>
      <c r="AY419" s="1029"/>
      <c r="AZ419" s="1029"/>
      <c r="BA419" s="1029"/>
      <c r="BB419" s="1029"/>
      <c r="BC419" s="1029"/>
      <c r="BD419" s="1029"/>
      <c r="BE419" s="1029"/>
      <c r="BF419" s="1029"/>
      <c r="BG419" s="1029"/>
      <c r="BH419" s="1029"/>
      <c r="BI419" s="1248" t="s">
        <v>3443</v>
      </c>
      <c r="BJ419" s="1437" t="s">
        <v>3895</v>
      </c>
      <c r="BK419" s="1686"/>
      <c r="BL419" s="1171" t="s">
        <v>1917</v>
      </c>
      <c r="BM419" s="1120" t="s">
        <v>3091</v>
      </c>
      <c r="BN419" s="1120" t="s">
        <v>291</v>
      </c>
      <c r="BO419" s="1121"/>
      <c r="BP419" s="1122">
        <v>1</v>
      </c>
      <c r="BQ419" s="1123"/>
      <c r="BR419" s="1123"/>
      <c r="BS419" s="1124"/>
      <c r="BT419" s="1125"/>
    </row>
    <row r="420" spans="1:72" s="1126" customFormat="1" ht="29.1" customHeight="1">
      <c r="A420" s="1099">
        <f t="shared" si="108"/>
        <v>159</v>
      </c>
      <c r="B420" s="1431" t="s">
        <v>3896</v>
      </c>
      <c r="C420" s="1032"/>
      <c r="D420" s="1032"/>
      <c r="E420" s="1118" t="s">
        <v>49</v>
      </c>
      <c r="F420" s="1031">
        <v>0.23</v>
      </c>
      <c r="G420" s="1031">
        <v>0.23</v>
      </c>
      <c r="H420" s="1026"/>
      <c r="I420" s="1026"/>
      <c r="J420" s="1029"/>
      <c r="K420" s="1029"/>
      <c r="L420" s="1029"/>
      <c r="M420" s="1029"/>
      <c r="N420" s="1029"/>
      <c r="O420" s="1029"/>
      <c r="P420" s="1029"/>
      <c r="Q420" s="1029"/>
      <c r="R420" s="1029"/>
      <c r="S420" s="1029"/>
      <c r="T420" s="1029"/>
      <c r="U420" s="1029"/>
      <c r="V420" s="1029"/>
      <c r="W420" s="1029"/>
      <c r="X420" s="1029"/>
      <c r="Y420" s="1029"/>
      <c r="Z420" s="1029"/>
      <c r="AA420" s="1029"/>
      <c r="AB420" s="1029"/>
      <c r="AC420" s="1029"/>
      <c r="AD420" s="1029"/>
      <c r="AE420" s="1029"/>
      <c r="AF420" s="1029"/>
      <c r="AG420" s="1029"/>
      <c r="AH420" s="1029"/>
      <c r="AI420" s="1029"/>
      <c r="AJ420" s="1029"/>
      <c r="AK420" s="1029"/>
      <c r="AL420" s="1029"/>
      <c r="AM420" s="1029"/>
      <c r="AN420" s="1029"/>
      <c r="AO420" s="1029"/>
      <c r="AP420" s="1029"/>
      <c r="AQ420" s="1029"/>
      <c r="AR420" s="1029"/>
      <c r="AS420" s="1029"/>
      <c r="AT420" s="1029"/>
      <c r="AU420" s="1029"/>
      <c r="AV420" s="1029"/>
      <c r="AW420" s="1029"/>
      <c r="AX420" s="1029"/>
      <c r="AY420" s="1029"/>
      <c r="AZ420" s="1029"/>
      <c r="BA420" s="1029"/>
      <c r="BB420" s="1029"/>
      <c r="BC420" s="1029"/>
      <c r="BD420" s="1029"/>
      <c r="BE420" s="1029"/>
      <c r="BF420" s="1029"/>
      <c r="BG420" s="1029"/>
      <c r="BH420" s="1029"/>
      <c r="BI420" s="1436" t="s">
        <v>3565</v>
      </c>
      <c r="BJ420" s="1436" t="s">
        <v>3897</v>
      </c>
      <c r="BK420" s="1686"/>
      <c r="BL420" s="1171"/>
      <c r="BM420" s="1120"/>
      <c r="BN420" s="1120" t="s">
        <v>298</v>
      </c>
      <c r="BO420" s="1121"/>
      <c r="BP420" s="1122">
        <v>1</v>
      </c>
      <c r="BQ420" s="1123"/>
      <c r="BR420" s="1123"/>
      <c r="BS420" s="1124"/>
      <c r="BT420" s="1125"/>
    </row>
    <row r="421" spans="1:72" s="1126" customFormat="1" ht="29.1" customHeight="1">
      <c r="A421" s="1099">
        <f t="shared" si="108"/>
        <v>160</v>
      </c>
      <c r="B421" s="1431" t="s">
        <v>3898</v>
      </c>
      <c r="C421" s="1032"/>
      <c r="D421" s="1032"/>
      <c r="E421" s="1118" t="s">
        <v>49</v>
      </c>
      <c r="F421" s="1031">
        <v>0.2</v>
      </c>
      <c r="G421" s="1031">
        <v>0.2</v>
      </c>
      <c r="H421" s="1026"/>
      <c r="I421" s="1026"/>
      <c r="J421" s="1029"/>
      <c r="K421" s="1029"/>
      <c r="L421" s="1029"/>
      <c r="M421" s="1029"/>
      <c r="N421" s="1029"/>
      <c r="O421" s="1029"/>
      <c r="P421" s="1029"/>
      <c r="Q421" s="1029"/>
      <c r="R421" s="1029"/>
      <c r="S421" s="1029"/>
      <c r="T421" s="1029"/>
      <c r="U421" s="1029"/>
      <c r="V421" s="1029"/>
      <c r="W421" s="1029"/>
      <c r="X421" s="1029"/>
      <c r="Y421" s="1029"/>
      <c r="Z421" s="1029"/>
      <c r="AA421" s="1029"/>
      <c r="AB421" s="1029"/>
      <c r="AC421" s="1029"/>
      <c r="AD421" s="1029"/>
      <c r="AE421" s="1029"/>
      <c r="AF421" s="1029"/>
      <c r="AG421" s="1029"/>
      <c r="AH421" s="1029"/>
      <c r="AI421" s="1029"/>
      <c r="AJ421" s="1029"/>
      <c r="AK421" s="1029"/>
      <c r="AL421" s="1029"/>
      <c r="AM421" s="1029"/>
      <c r="AN421" s="1029"/>
      <c r="AO421" s="1029"/>
      <c r="AP421" s="1029"/>
      <c r="AQ421" s="1029"/>
      <c r="AR421" s="1029"/>
      <c r="AS421" s="1029"/>
      <c r="AT421" s="1029"/>
      <c r="AU421" s="1029"/>
      <c r="AV421" s="1029"/>
      <c r="AW421" s="1029"/>
      <c r="AX421" s="1029"/>
      <c r="AY421" s="1029"/>
      <c r="AZ421" s="1029"/>
      <c r="BA421" s="1029"/>
      <c r="BB421" s="1029"/>
      <c r="BC421" s="1029"/>
      <c r="BD421" s="1029"/>
      <c r="BE421" s="1029"/>
      <c r="BF421" s="1029"/>
      <c r="BG421" s="1029"/>
      <c r="BH421" s="1029"/>
      <c r="BI421" s="1436" t="s">
        <v>3899</v>
      </c>
      <c r="BJ421" s="1436" t="s">
        <v>3900</v>
      </c>
      <c r="BK421" s="1687"/>
      <c r="BL421" s="1171"/>
      <c r="BM421" s="1120"/>
      <c r="BN421" s="1120" t="s">
        <v>298</v>
      </c>
      <c r="BO421" s="1121"/>
      <c r="BP421" s="1122">
        <v>1</v>
      </c>
      <c r="BQ421" s="1123"/>
      <c r="BR421" s="1123"/>
      <c r="BS421" s="1124"/>
      <c r="BT421" s="1125"/>
    </row>
    <row r="422" spans="1:72" s="1126" customFormat="1" ht="29.1" customHeight="1">
      <c r="A422" s="1099">
        <f t="shared" si="108"/>
        <v>161</v>
      </c>
      <c r="B422" s="1431" t="s">
        <v>3901</v>
      </c>
      <c r="C422" s="1032"/>
      <c r="D422" s="1032"/>
      <c r="E422" s="1118" t="s">
        <v>49</v>
      </c>
      <c r="F422" s="1031">
        <v>0.16</v>
      </c>
      <c r="G422" s="1031">
        <v>0.16</v>
      </c>
      <c r="H422" s="1026"/>
      <c r="I422" s="1026"/>
      <c r="J422" s="1029"/>
      <c r="K422" s="1029"/>
      <c r="L422" s="1029"/>
      <c r="M422" s="1029"/>
      <c r="N422" s="1029"/>
      <c r="O422" s="1029"/>
      <c r="P422" s="1029"/>
      <c r="Q422" s="1029"/>
      <c r="R422" s="1029"/>
      <c r="S422" s="1029"/>
      <c r="T422" s="1029"/>
      <c r="U422" s="1029"/>
      <c r="V422" s="1029"/>
      <c r="W422" s="1029"/>
      <c r="X422" s="1029"/>
      <c r="Y422" s="1029"/>
      <c r="Z422" s="1029"/>
      <c r="AA422" s="1029"/>
      <c r="AB422" s="1029"/>
      <c r="AC422" s="1029"/>
      <c r="AD422" s="1029"/>
      <c r="AE422" s="1029"/>
      <c r="AF422" s="1029"/>
      <c r="AG422" s="1029"/>
      <c r="AH422" s="1029"/>
      <c r="AI422" s="1029"/>
      <c r="AJ422" s="1029"/>
      <c r="AK422" s="1029"/>
      <c r="AL422" s="1029"/>
      <c r="AM422" s="1029"/>
      <c r="AN422" s="1029"/>
      <c r="AO422" s="1029"/>
      <c r="AP422" s="1029"/>
      <c r="AQ422" s="1029"/>
      <c r="AR422" s="1029"/>
      <c r="AS422" s="1029"/>
      <c r="AT422" s="1029"/>
      <c r="AU422" s="1029"/>
      <c r="AV422" s="1029"/>
      <c r="AW422" s="1029"/>
      <c r="AX422" s="1029"/>
      <c r="AY422" s="1029"/>
      <c r="AZ422" s="1029"/>
      <c r="BA422" s="1029"/>
      <c r="BB422" s="1029"/>
      <c r="BC422" s="1029"/>
      <c r="BD422" s="1029"/>
      <c r="BE422" s="1029"/>
      <c r="BF422" s="1029"/>
      <c r="BG422" s="1029"/>
      <c r="BH422" s="1029"/>
      <c r="BI422" s="1120" t="s">
        <v>3129</v>
      </c>
      <c r="BJ422" s="1218" t="s">
        <v>3902</v>
      </c>
      <c r="BK422" s="1605" t="s">
        <v>3747</v>
      </c>
      <c r="BL422" s="1435" t="s">
        <v>1917</v>
      </c>
      <c r="BM422" s="1218" t="s">
        <v>3091</v>
      </c>
      <c r="BN422" s="1218" t="s">
        <v>291</v>
      </c>
      <c r="BO422" s="1121"/>
      <c r="BP422" s="1122">
        <v>1</v>
      </c>
      <c r="BQ422" s="1123"/>
      <c r="BR422" s="1123"/>
      <c r="BS422" s="1124"/>
      <c r="BT422" s="1125"/>
    </row>
    <row r="423" spans="1:72" s="1126" customFormat="1" ht="29.25" customHeight="1">
      <c r="A423" s="1099">
        <f t="shared" si="108"/>
        <v>162</v>
      </c>
      <c r="B423" s="1130" t="s">
        <v>3903</v>
      </c>
      <c r="C423" s="1032"/>
      <c r="D423" s="1032"/>
      <c r="E423" s="1118" t="s">
        <v>49</v>
      </c>
      <c r="F423" s="1031">
        <v>0.27</v>
      </c>
      <c r="G423" s="1031">
        <v>0.27</v>
      </c>
      <c r="H423" s="1026"/>
      <c r="I423" s="1026"/>
      <c r="J423" s="1029"/>
      <c r="K423" s="1029"/>
      <c r="L423" s="1029"/>
      <c r="M423" s="1029"/>
      <c r="N423" s="1029"/>
      <c r="O423" s="1029"/>
      <c r="P423" s="1029"/>
      <c r="Q423" s="1029"/>
      <c r="R423" s="1029"/>
      <c r="S423" s="1029"/>
      <c r="T423" s="1029"/>
      <c r="U423" s="1029"/>
      <c r="V423" s="1029"/>
      <c r="W423" s="1029"/>
      <c r="X423" s="1029"/>
      <c r="Y423" s="1029"/>
      <c r="Z423" s="1029"/>
      <c r="AA423" s="1029"/>
      <c r="AB423" s="1029"/>
      <c r="AC423" s="1029"/>
      <c r="AD423" s="1029"/>
      <c r="AE423" s="1029"/>
      <c r="AF423" s="1029"/>
      <c r="AG423" s="1029"/>
      <c r="AH423" s="1029"/>
      <c r="AI423" s="1029"/>
      <c r="AJ423" s="1029"/>
      <c r="AK423" s="1029"/>
      <c r="AL423" s="1029"/>
      <c r="AM423" s="1029"/>
      <c r="AN423" s="1029"/>
      <c r="AO423" s="1029"/>
      <c r="AP423" s="1029"/>
      <c r="AQ423" s="1029"/>
      <c r="AR423" s="1029"/>
      <c r="AS423" s="1029"/>
      <c r="AT423" s="1029"/>
      <c r="AU423" s="1029"/>
      <c r="AV423" s="1029"/>
      <c r="AW423" s="1029"/>
      <c r="AX423" s="1029"/>
      <c r="AY423" s="1029"/>
      <c r="AZ423" s="1029"/>
      <c r="BA423" s="1029"/>
      <c r="BB423" s="1029"/>
      <c r="BC423" s="1029"/>
      <c r="BD423" s="1029"/>
      <c r="BE423" s="1029"/>
      <c r="BF423" s="1029"/>
      <c r="BG423" s="1029"/>
      <c r="BH423" s="1029"/>
      <c r="BI423" s="1045" t="s">
        <v>3562</v>
      </c>
      <c r="BJ423" s="1438" t="s">
        <v>3904</v>
      </c>
      <c r="BK423" s="1605"/>
      <c r="BL423" s="1435"/>
      <c r="BM423" s="1218"/>
      <c r="BN423" s="1218" t="s">
        <v>298</v>
      </c>
      <c r="BO423" s="1121"/>
      <c r="BP423" s="1122">
        <v>1</v>
      </c>
      <c r="BQ423" s="1123"/>
      <c r="BR423" s="1123"/>
      <c r="BS423" s="1124"/>
      <c r="BT423" s="1125"/>
    </row>
    <row r="424" spans="1:72" s="1126" customFormat="1" ht="27" customHeight="1">
      <c r="A424" s="1099">
        <f t="shared" si="108"/>
        <v>163</v>
      </c>
      <c r="B424" s="1433" t="s">
        <v>3905</v>
      </c>
      <c r="C424" s="1032"/>
      <c r="D424" s="1032"/>
      <c r="E424" s="1120" t="s">
        <v>49</v>
      </c>
      <c r="F424" s="1029">
        <f t="shared" si="101"/>
        <v>0.14000000000000001</v>
      </c>
      <c r="G424" s="1029">
        <v>0.14000000000000001</v>
      </c>
      <c r="H424" s="1026"/>
      <c r="I424" s="1026"/>
      <c r="J424" s="1029"/>
      <c r="K424" s="1029"/>
      <c r="L424" s="1029"/>
      <c r="M424" s="1029"/>
      <c r="N424" s="1029"/>
      <c r="O424" s="1029"/>
      <c r="P424" s="1029"/>
      <c r="Q424" s="1029"/>
      <c r="R424" s="1029"/>
      <c r="S424" s="1029"/>
      <c r="T424" s="1029"/>
      <c r="U424" s="1029"/>
      <c r="V424" s="1029"/>
      <c r="W424" s="1029"/>
      <c r="X424" s="1029"/>
      <c r="Y424" s="1029"/>
      <c r="Z424" s="1029"/>
      <c r="AA424" s="1029"/>
      <c r="AB424" s="1029"/>
      <c r="AC424" s="1029"/>
      <c r="AD424" s="1029"/>
      <c r="AE424" s="1029"/>
      <c r="AF424" s="1029"/>
      <c r="AG424" s="1029"/>
      <c r="AH424" s="1029"/>
      <c r="AI424" s="1029"/>
      <c r="AJ424" s="1029"/>
      <c r="AK424" s="1029"/>
      <c r="AL424" s="1029"/>
      <c r="AM424" s="1029"/>
      <c r="AN424" s="1029"/>
      <c r="AO424" s="1029"/>
      <c r="AP424" s="1029"/>
      <c r="AQ424" s="1029"/>
      <c r="AR424" s="1029"/>
      <c r="AS424" s="1029"/>
      <c r="AT424" s="1029"/>
      <c r="AU424" s="1029"/>
      <c r="AV424" s="1029"/>
      <c r="AW424" s="1029"/>
      <c r="AX424" s="1029"/>
      <c r="AY424" s="1029"/>
      <c r="AZ424" s="1029"/>
      <c r="BA424" s="1029"/>
      <c r="BB424" s="1029"/>
      <c r="BC424" s="1029"/>
      <c r="BD424" s="1029"/>
      <c r="BE424" s="1029"/>
      <c r="BF424" s="1029"/>
      <c r="BG424" s="1029"/>
      <c r="BH424" s="1029"/>
      <c r="BI424" s="1032" t="s">
        <v>3124</v>
      </c>
      <c r="BJ424" s="1218" t="s">
        <v>3906</v>
      </c>
      <c r="BK424" s="1605"/>
      <c r="BL424" s="1218" t="s">
        <v>1923</v>
      </c>
      <c r="BM424" s="1218" t="s">
        <v>3091</v>
      </c>
      <c r="BN424" s="1218" t="s">
        <v>291</v>
      </c>
      <c r="BO424" s="1121"/>
      <c r="BP424" s="1122">
        <v>1</v>
      </c>
      <c r="BQ424" s="1123"/>
      <c r="BR424" s="1123"/>
      <c r="BS424" s="1124"/>
      <c r="BT424" s="1125"/>
    </row>
    <row r="425" spans="1:72" s="1126" customFormat="1" ht="25.5" customHeight="1">
      <c r="A425" s="1125" t="s">
        <v>551</v>
      </c>
      <c r="B425" s="1213" t="s">
        <v>220</v>
      </c>
      <c r="C425" s="1068"/>
      <c r="D425" s="1068"/>
      <c r="E425" s="1068"/>
      <c r="F425" s="1026">
        <f t="shared" si="101"/>
        <v>3.5000000000000004</v>
      </c>
      <c r="G425" s="1026">
        <f>SUM(G426:G447)</f>
        <v>3.5000000000000004</v>
      </c>
      <c r="H425" s="1026"/>
      <c r="I425" s="1026"/>
      <c r="J425" s="1029"/>
      <c r="K425" s="1029"/>
      <c r="L425" s="1029"/>
      <c r="M425" s="1029"/>
      <c r="N425" s="1029"/>
      <c r="O425" s="1029"/>
      <c r="P425" s="1029"/>
      <c r="Q425" s="1029"/>
      <c r="R425" s="1029"/>
      <c r="S425" s="1029"/>
      <c r="T425" s="1029"/>
      <c r="U425" s="1029"/>
      <c r="V425" s="1029"/>
      <c r="W425" s="1029"/>
      <c r="X425" s="1029"/>
      <c r="Y425" s="1029"/>
      <c r="Z425" s="1029"/>
      <c r="AA425" s="1029"/>
      <c r="AB425" s="1029"/>
      <c r="AC425" s="1029"/>
      <c r="AD425" s="1029"/>
      <c r="AE425" s="1029"/>
      <c r="AF425" s="1029"/>
      <c r="AG425" s="1029"/>
      <c r="AH425" s="1029"/>
      <c r="AI425" s="1029"/>
      <c r="AJ425" s="1029"/>
      <c r="AK425" s="1029"/>
      <c r="AL425" s="1029"/>
      <c r="AM425" s="1029"/>
      <c r="AN425" s="1029"/>
      <c r="AO425" s="1029"/>
      <c r="AP425" s="1029"/>
      <c r="AQ425" s="1029"/>
      <c r="AR425" s="1029"/>
      <c r="AS425" s="1029"/>
      <c r="AT425" s="1029"/>
      <c r="AU425" s="1029"/>
      <c r="AV425" s="1029"/>
      <c r="AW425" s="1029"/>
      <c r="AX425" s="1029"/>
      <c r="AY425" s="1029"/>
      <c r="AZ425" s="1029"/>
      <c r="BA425" s="1029"/>
      <c r="BB425" s="1029"/>
      <c r="BC425" s="1029"/>
      <c r="BD425" s="1029"/>
      <c r="BE425" s="1029"/>
      <c r="BF425" s="1029"/>
      <c r="BG425" s="1029"/>
      <c r="BH425" s="1029"/>
      <c r="BI425" s="1068"/>
      <c r="BJ425" s="1102"/>
      <c r="BK425" s="1684"/>
      <c r="BL425" s="1208"/>
      <c r="BM425" s="1208"/>
      <c r="BN425" s="1208"/>
      <c r="BO425" s="1122"/>
      <c r="BP425" s="1122"/>
      <c r="BQ425" s="1123"/>
      <c r="BR425" s="1123"/>
      <c r="BS425" s="1210"/>
      <c r="BT425" s="1125"/>
    </row>
    <row r="426" spans="1:72" s="1126" customFormat="1" ht="44.45" customHeight="1">
      <c r="A426" s="1099">
        <f>A424+1</f>
        <v>164</v>
      </c>
      <c r="B426" s="1166" t="s">
        <v>3907</v>
      </c>
      <c r="C426" s="1083"/>
      <c r="D426" s="1083"/>
      <c r="E426" s="1118"/>
      <c r="F426" s="1029">
        <v>0.06</v>
      </c>
      <c r="G426" s="1029">
        <v>0.06</v>
      </c>
      <c r="H426" s="1029"/>
      <c r="I426" s="1029"/>
      <c r="J426" s="1029"/>
      <c r="K426" s="1029"/>
      <c r="L426" s="1029"/>
      <c r="M426" s="1029"/>
      <c r="N426" s="1029"/>
      <c r="O426" s="1029"/>
      <c r="P426" s="1029"/>
      <c r="Q426" s="1029"/>
      <c r="R426" s="1029"/>
      <c r="S426" s="1029"/>
      <c r="T426" s="1029"/>
      <c r="U426" s="1029"/>
      <c r="V426" s="1029"/>
      <c r="W426" s="1029"/>
      <c r="X426" s="1029"/>
      <c r="Y426" s="1029"/>
      <c r="Z426" s="1029"/>
      <c r="AA426" s="1029"/>
      <c r="AB426" s="1029"/>
      <c r="AC426" s="1029"/>
      <c r="AD426" s="1029"/>
      <c r="AE426" s="1029"/>
      <c r="AF426" s="1029"/>
      <c r="AG426" s="1029"/>
      <c r="AH426" s="1029"/>
      <c r="AI426" s="1029"/>
      <c r="AJ426" s="1029"/>
      <c r="AK426" s="1029"/>
      <c r="AL426" s="1029"/>
      <c r="AM426" s="1029"/>
      <c r="AN426" s="1029"/>
      <c r="AO426" s="1029"/>
      <c r="AP426" s="1029"/>
      <c r="AQ426" s="1029"/>
      <c r="AR426" s="1029"/>
      <c r="AS426" s="1029"/>
      <c r="AT426" s="1029"/>
      <c r="AU426" s="1029"/>
      <c r="AV426" s="1029"/>
      <c r="AW426" s="1029"/>
      <c r="AX426" s="1029"/>
      <c r="AY426" s="1029"/>
      <c r="AZ426" s="1029"/>
      <c r="BA426" s="1029"/>
      <c r="BB426" s="1029"/>
      <c r="BC426" s="1029"/>
      <c r="BD426" s="1029"/>
      <c r="BE426" s="1029"/>
      <c r="BF426" s="1029"/>
      <c r="BG426" s="1029"/>
      <c r="BH426" s="1029"/>
      <c r="BI426" s="1083" t="s">
        <v>3908</v>
      </c>
      <c r="BJ426" s="1218" t="s">
        <v>3909</v>
      </c>
      <c r="BK426" s="1218" t="s">
        <v>3582</v>
      </c>
      <c r="BL426" s="1435" t="s">
        <v>1923</v>
      </c>
      <c r="BM426" s="1218" t="s">
        <v>3091</v>
      </c>
      <c r="BN426" s="1218" t="s">
        <v>291</v>
      </c>
      <c r="BO426" s="1121"/>
      <c r="BP426" s="1122">
        <v>1</v>
      </c>
      <c r="BQ426" s="1123"/>
      <c r="BR426" s="1123"/>
      <c r="BS426" s="1124"/>
      <c r="BT426" s="1125"/>
    </row>
    <row r="427" spans="1:72" s="1126" customFormat="1" ht="29.25" customHeight="1">
      <c r="A427" s="1099">
        <f>A426+1</f>
        <v>165</v>
      </c>
      <c r="B427" s="1166" t="s">
        <v>3910</v>
      </c>
      <c r="C427" s="1083"/>
      <c r="D427" s="1083"/>
      <c r="E427" s="1083"/>
      <c r="F427" s="1029">
        <f>G427+H427</f>
        <v>0.23</v>
      </c>
      <c r="G427" s="1029">
        <v>0.23</v>
      </c>
      <c r="H427" s="1026"/>
      <c r="I427" s="1026"/>
      <c r="J427" s="1029"/>
      <c r="K427" s="1029"/>
      <c r="L427" s="1029"/>
      <c r="M427" s="1029"/>
      <c r="N427" s="1029"/>
      <c r="O427" s="1029"/>
      <c r="P427" s="1029"/>
      <c r="Q427" s="1029"/>
      <c r="R427" s="1029"/>
      <c r="S427" s="1029"/>
      <c r="T427" s="1029"/>
      <c r="U427" s="1029"/>
      <c r="V427" s="1029"/>
      <c r="W427" s="1029"/>
      <c r="X427" s="1029"/>
      <c r="Y427" s="1029"/>
      <c r="Z427" s="1029"/>
      <c r="AA427" s="1029"/>
      <c r="AB427" s="1029"/>
      <c r="AC427" s="1029"/>
      <c r="AD427" s="1029"/>
      <c r="AE427" s="1029"/>
      <c r="AF427" s="1029"/>
      <c r="AG427" s="1029"/>
      <c r="AH427" s="1029"/>
      <c r="AI427" s="1029"/>
      <c r="AJ427" s="1029"/>
      <c r="AK427" s="1029"/>
      <c r="AL427" s="1029"/>
      <c r="AM427" s="1029"/>
      <c r="AN427" s="1029"/>
      <c r="AO427" s="1029"/>
      <c r="AP427" s="1029"/>
      <c r="AQ427" s="1029"/>
      <c r="AR427" s="1029"/>
      <c r="AS427" s="1029"/>
      <c r="AT427" s="1029"/>
      <c r="AU427" s="1029"/>
      <c r="AV427" s="1029"/>
      <c r="AW427" s="1029"/>
      <c r="AX427" s="1029"/>
      <c r="AY427" s="1029"/>
      <c r="AZ427" s="1029"/>
      <c r="BA427" s="1029"/>
      <c r="BB427" s="1029"/>
      <c r="BC427" s="1029"/>
      <c r="BD427" s="1029"/>
      <c r="BE427" s="1029"/>
      <c r="BF427" s="1029"/>
      <c r="BG427" s="1029"/>
      <c r="BH427" s="1029"/>
      <c r="BI427" s="1083" t="s">
        <v>3789</v>
      </c>
      <c r="BJ427" s="1218" t="s">
        <v>3911</v>
      </c>
      <c r="BK427" s="1218" t="s">
        <v>3582</v>
      </c>
      <c r="BL427" s="1435" t="s">
        <v>1923</v>
      </c>
      <c r="BM427" s="1218" t="s">
        <v>3091</v>
      </c>
      <c r="BN427" s="1218" t="s">
        <v>291</v>
      </c>
      <c r="BO427" s="1121"/>
      <c r="BP427" s="1122">
        <v>1</v>
      </c>
      <c r="BQ427" s="1123"/>
      <c r="BR427" s="1123"/>
      <c r="BS427" s="1124"/>
      <c r="BT427" s="1125"/>
    </row>
    <row r="428" spans="1:72" s="1126" customFormat="1" ht="34.5" customHeight="1">
      <c r="A428" s="1099">
        <f t="shared" ref="A428:A447" si="109">A427+1</f>
        <v>166</v>
      </c>
      <c r="B428" s="1219" t="s">
        <v>3912</v>
      </c>
      <c r="C428" s="1083"/>
      <c r="D428" s="1083"/>
      <c r="E428" s="1083"/>
      <c r="F428" s="1031">
        <f>G428+H428</f>
        <v>0.03</v>
      </c>
      <c r="G428" s="1029">
        <v>0.03</v>
      </c>
      <c r="H428" s="1026"/>
      <c r="I428" s="1026"/>
      <c r="J428" s="1029"/>
      <c r="K428" s="1029"/>
      <c r="L428" s="1029"/>
      <c r="M428" s="1029"/>
      <c r="N428" s="1029"/>
      <c r="O428" s="1029"/>
      <c r="P428" s="1029"/>
      <c r="Q428" s="1029"/>
      <c r="R428" s="1029"/>
      <c r="S428" s="1029"/>
      <c r="T428" s="1029"/>
      <c r="U428" s="1029"/>
      <c r="V428" s="1029"/>
      <c r="W428" s="1029"/>
      <c r="X428" s="1029"/>
      <c r="Y428" s="1029"/>
      <c r="Z428" s="1029"/>
      <c r="AA428" s="1029"/>
      <c r="AB428" s="1029"/>
      <c r="AC428" s="1029"/>
      <c r="AD428" s="1029"/>
      <c r="AE428" s="1029"/>
      <c r="AF428" s="1029"/>
      <c r="AG428" s="1029"/>
      <c r="AH428" s="1029"/>
      <c r="AI428" s="1029"/>
      <c r="AJ428" s="1029"/>
      <c r="AK428" s="1029"/>
      <c r="AL428" s="1029"/>
      <c r="AM428" s="1029"/>
      <c r="AN428" s="1029"/>
      <c r="AO428" s="1029"/>
      <c r="AP428" s="1029"/>
      <c r="AQ428" s="1029"/>
      <c r="AR428" s="1029"/>
      <c r="AS428" s="1029"/>
      <c r="AT428" s="1029"/>
      <c r="AU428" s="1029"/>
      <c r="AV428" s="1029"/>
      <c r="AW428" s="1029"/>
      <c r="AX428" s="1029"/>
      <c r="AY428" s="1029"/>
      <c r="AZ428" s="1029"/>
      <c r="BA428" s="1029"/>
      <c r="BB428" s="1029"/>
      <c r="BC428" s="1029"/>
      <c r="BD428" s="1029"/>
      <c r="BE428" s="1029"/>
      <c r="BF428" s="1029"/>
      <c r="BG428" s="1029"/>
      <c r="BH428" s="1029"/>
      <c r="BI428" s="1083" t="s">
        <v>3913</v>
      </c>
      <c r="BJ428" s="1120" t="s">
        <v>3914</v>
      </c>
      <c r="BK428" s="1120" t="s">
        <v>3582</v>
      </c>
      <c r="BL428" s="1171" t="s">
        <v>1923</v>
      </c>
      <c r="BM428" s="1120" t="s">
        <v>3091</v>
      </c>
      <c r="BN428" s="1120" t="s">
        <v>291</v>
      </c>
      <c r="BO428" s="1121"/>
      <c r="BP428" s="1122">
        <v>1</v>
      </c>
      <c r="BQ428" s="1123"/>
      <c r="BR428" s="1123"/>
      <c r="BS428" s="1124"/>
      <c r="BT428" s="1125"/>
    </row>
    <row r="429" spans="1:72" s="1126" customFormat="1" ht="41.1" customHeight="1">
      <c r="A429" s="1099">
        <f t="shared" si="109"/>
        <v>167</v>
      </c>
      <c r="B429" s="1166" t="s">
        <v>3915</v>
      </c>
      <c r="C429" s="1083"/>
      <c r="D429" s="1083"/>
      <c r="E429" s="1083"/>
      <c r="F429" s="1029">
        <f t="shared" ref="F429:F472" si="110">G429+H429</f>
        <v>7.0000000000000007E-2</v>
      </c>
      <c r="G429" s="1029">
        <v>7.0000000000000007E-2</v>
      </c>
      <c r="H429" s="1026"/>
      <c r="I429" s="1026"/>
      <c r="J429" s="1029"/>
      <c r="K429" s="1029"/>
      <c r="L429" s="1029"/>
      <c r="M429" s="1029"/>
      <c r="N429" s="1029"/>
      <c r="O429" s="1029"/>
      <c r="P429" s="1029"/>
      <c r="Q429" s="1029"/>
      <c r="R429" s="1029"/>
      <c r="S429" s="1029"/>
      <c r="T429" s="1029"/>
      <c r="U429" s="1029"/>
      <c r="V429" s="1029"/>
      <c r="W429" s="1029"/>
      <c r="X429" s="1029"/>
      <c r="Y429" s="1029"/>
      <c r="Z429" s="1029"/>
      <c r="AA429" s="1029"/>
      <c r="AB429" s="1029"/>
      <c r="AC429" s="1029"/>
      <c r="AD429" s="1029"/>
      <c r="AE429" s="1029"/>
      <c r="AF429" s="1029"/>
      <c r="AG429" s="1029"/>
      <c r="AH429" s="1029"/>
      <c r="AI429" s="1029"/>
      <c r="AJ429" s="1029"/>
      <c r="AK429" s="1029"/>
      <c r="AL429" s="1029"/>
      <c r="AM429" s="1029"/>
      <c r="AN429" s="1029"/>
      <c r="AO429" s="1029"/>
      <c r="AP429" s="1029"/>
      <c r="AQ429" s="1029"/>
      <c r="AR429" s="1029"/>
      <c r="AS429" s="1029"/>
      <c r="AT429" s="1029"/>
      <c r="AU429" s="1029"/>
      <c r="AV429" s="1029"/>
      <c r="AW429" s="1029"/>
      <c r="AX429" s="1029"/>
      <c r="AY429" s="1029"/>
      <c r="AZ429" s="1029"/>
      <c r="BA429" s="1029"/>
      <c r="BB429" s="1029"/>
      <c r="BC429" s="1029"/>
      <c r="BD429" s="1029"/>
      <c r="BE429" s="1029"/>
      <c r="BF429" s="1029"/>
      <c r="BG429" s="1029"/>
      <c r="BH429" s="1029"/>
      <c r="BI429" s="1083" t="s">
        <v>3789</v>
      </c>
      <c r="BJ429" s="1120" t="s">
        <v>3916</v>
      </c>
      <c r="BK429" s="1120" t="s">
        <v>3582</v>
      </c>
      <c r="BL429" s="1171" t="s">
        <v>1923</v>
      </c>
      <c r="BM429" s="1120" t="s">
        <v>3091</v>
      </c>
      <c r="BN429" s="1120" t="s">
        <v>291</v>
      </c>
      <c r="BO429" s="1121"/>
      <c r="BP429" s="1122">
        <v>1</v>
      </c>
      <c r="BQ429" s="1123"/>
      <c r="BR429" s="1123"/>
      <c r="BS429" s="1124"/>
      <c r="BT429" s="1125"/>
    </row>
    <row r="430" spans="1:72" s="1126" customFormat="1" ht="31.5" customHeight="1">
      <c r="A430" s="1099">
        <f t="shared" si="109"/>
        <v>168</v>
      </c>
      <c r="B430" s="1166" t="s">
        <v>3917</v>
      </c>
      <c r="C430" s="1083"/>
      <c r="D430" s="1083"/>
      <c r="E430" s="1248" t="s">
        <v>50</v>
      </c>
      <c r="F430" s="1029">
        <f t="shared" si="110"/>
        <v>0.2</v>
      </c>
      <c r="G430" s="1029">
        <v>0.2</v>
      </c>
      <c r="H430" s="1026"/>
      <c r="I430" s="1026"/>
      <c r="J430" s="1029"/>
      <c r="K430" s="1029"/>
      <c r="L430" s="1029"/>
      <c r="M430" s="1029"/>
      <c r="N430" s="1029"/>
      <c r="O430" s="1029"/>
      <c r="P430" s="1029"/>
      <c r="Q430" s="1029"/>
      <c r="R430" s="1029"/>
      <c r="S430" s="1029"/>
      <c r="T430" s="1029"/>
      <c r="U430" s="1029"/>
      <c r="V430" s="1029"/>
      <c r="W430" s="1029"/>
      <c r="X430" s="1029"/>
      <c r="Y430" s="1029"/>
      <c r="Z430" s="1029"/>
      <c r="AA430" s="1029"/>
      <c r="AB430" s="1029"/>
      <c r="AC430" s="1029"/>
      <c r="AD430" s="1029"/>
      <c r="AE430" s="1029"/>
      <c r="AF430" s="1029"/>
      <c r="AG430" s="1029"/>
      <c r="AH430" s="1029"/>
      <c r="AI430" s="1029"/>
      <c r="AJ430" s="1029"/>
      <c r="AK430" s="1029"/>
      <c r="AL430" s="1029"/>
      <c r="AM430" s="1029"/>
      <c r="AN430" s="1029"/>
      <c r="AO430" s="1029"/>
      <c r="AP430" s="1029"/>
      <c r="AQ430" s="1029"/>
      <c r="AR430" s="1029"/>
      <c r="AS430" s="1029"/>
      <c r="AT430" s="1029"/>
      <c r="AU430" s="1029"/>
      <c r="AV430" s="1029"/>
      <c r="AW430" s="1029"/>
      <c r="AX430" s="1029"/>
      <c r="AY430" s="1029"/>
      <c r="AZ430" s="1029"/>
      <c r="BA430" s="1029"/>
      <c r="BB430" s="1029"/>
      <c r="BC430" s="1029"/>
      <c r="BD430" s="1029"/>
      <c r="BE430" s="1029"/>
      <c r="BF430" s="1029"/>
      <c r="BG430" s="1029"/>
      <c r="BH430" s="1029"/>
      <c r="BI430" s="1083" t="s">
        <v>3113</v>
      </c>
      <c r="BJ430" s="1120" t="s">
        <v>3918</v>
      </c>
      <c r="BK430" s="1120" t="s">
        <v>3582</v>
      </c>
      <c r="BL430" s="1120" t="s">
        <v>1923</v>
      </c>
      <c r="BM430" s="1120" t="s">
        <v>3091</v>
      </c>
      <c r="BN430" s="1120" t="s">
        <v>291</v>
      </c>
      <c r="BO430" s="1121"/>
      <c r="BP430" s="1122">
        <v>1</v>
      </c>
      <c r="BQ430" s="1123"/>
      <c r="BR430" s="1123"/>
      <c r="BS430" s="1124"/>
      <c r="BT430" s="1125"/>
    </row>
    <row r="431" spans="1:72" s="1126" customFormat="1" ht="36" customHeight="1">
      <c r="A431" s="1099">
        <f t="shared" si="109"/>
        <v>169</v>
      </c>
      <c r="B431" s="1166" t="s">
        <v>3919</v>
      </c>
      <c r="C431" s="1083"/>
      <c r="D431" s="1083"/>
      <c r="E431" s="1248" t="s">
        <v>50</v>
      </c>
      <c r="F431" s="1029">
        <f t="shared" si="110"/>
        <v>0.03</v>
      </c>
      <c r="G431" s="1029">
        <v>0.03</v>
      </c>
      <c r="H431" s="1026"/>
      <c r="I431" s="1026"/>
      <c r="J431" s="1029"/>
      <c r="K431" s="1029"/>
      <c r="L431" s="1029"/>
      <c r="M431" s="1029"/>
      <c r="N431" s="1029"/>
      <c r="O431" s="1029"/>
      <c r="P431" s="1029"/>
      <c r="Q431" s="1029"/>
      <c r="R431" s="1029"/>
      <c r="S431" s="1029"/>
      <c r="T431" s="1029"/>
      <c r="U431" s="1029"/>
      <c r="V431" s="1029"/>
      <c r="W431" s="1029"/>
      <c r="X431" s="1029"/>
      <c r="Y431" s="1029"/>
      <c r="Z431" s="1029"/>
      <c r="AA431" s="1029"/>
      <c r="AB431" s="1029"/>
      <c r="AC431" s="1029"/>
      <c r="AD431" s="1029"/>
      <c r="AE431" s="1029"/>
      <c r="AF431" s="1029"/>
      <c r="AG431" s="1029"/>
      <c r="AH431" s="1029"/>
      <c r="AI431" s="1029"/>
      <c r="AJ431" s="1029"/>
      <c r="AK431" s="1029"/>
      <c r="AL431" s="1029"/>
      <c r="AM431" s="1029"/>
      <c r="AN431" s="1029"/>
      <c r="AO431" s="1029"/>
      <c r="AP431" s="1029"/>
      <c r="AQ431" s="1029"/>
      <c r="AR431" s="1029"/>
      <c r="AS431" s="1029"/>
      <c r="AT431" s="1029"/>
      <c r="AU431" s="1029"/>
      <c r="AV431" s="1029"/>
      <c r="AW431" s="1029"/>
      <c r="AX431" s="1029"/>
      <c r="AY431" s="1029"/>
      <c r="AZ431" s="1029"/>
      <c r="BA431" s="1029"/>
      <c r="BB431" s="1029"/>
      <c r="BC431" s="1029"/>
      <c r="BD431" s="1029"/>
      <c r="BE431" s="1029"/>
      <c r="BF431" s="1029"/>
      <c r="BG431" s="1029"/>
      <c r="BH431" s="1029"/>
      <c r="BI431" s="1083" t="s">
        <v>3114</v>
      </c>
      <c r="BJ431" s="1120" t="s">
        <v>3920</v>
      </c>
      <c r="BK431" s="1120" t="s">
        <v>3582</v>
      </c>
      <c r="BL431" s="1120" t="s">
        <v>1923</v>
      </c>
      <c r="BM431" s="1120" t="s">
        <v>3921</v>
      </c>
      <c r="BN431" s="1120" t="s">
        <v>291</v>
      </c>
      <c r="BO431" s="1121"/>
      <c r="BP431" s="1122">
        <v>1</v>
      </c>
      <c r="BQ431" s="1123"/>
      <c r="BR431" s="1123"/>
      <c r="BS431" s="1124" t="s">
        <v>3922</v>
      </c>
      <c r="BT431" s="1125"/>
    </row>
    <row r="432" spans="1:72" s="1126" customFormat="1" ht="47.1" customHeight="1">
      <c r="A432" s="1099">
        <f t="shared" si="109"/>
        <v>170</v>
      </c>
      <c r="B432" s="1166" t="s">
        <v>3923</v>
      </c>
      <c r="C432" s="1083"/>
      <c r="D432" s="1083"/>
      <c r="E432" s="1248" t="s">
        <v>50</v>
      </c>
      <c r="F432" s="1029">
        <f t="shared" si="110"/>
        <v>0.12</v>
      </c>
      <c r="G432" s="1029">
        <v>0.12</v>
      </c>
      <c r="H432" s="1026"/>
      <c r="I432" s="1026"/>
      <c r="J432" s="1029"/>
      <c r="K432" s="1029"/>
      <c r="L432" s="1029"/>
      <c r="M432" s="1029"/>
      <c r="N432" s="1029"/>
      <c r="O432" s="1029"/>
      <c r="P432" s="1029"/>
      <c r="Q432" s="1029"/>
      <c r="R432" s="1029"/>
      <c r="S432" s="1029"/>
      <c r="T432" s="1029"/>
      <c r="U432" s="1029"/>
      <c r="V432" s="1029"/>
      <c r="W432" s="1029"/>
      <c r="X432" s="1029"/>
      <c r="Y432" s="1029"/>
      <c r="Z432" s="1029"/>
      <c r="AA432" s="1029"/>
      <c r="AB432" s="1029"/>
      <c r="AC432" s="1029"/>
      <c r="AD432" s="1029"/>
      <c r="AE432" s="1029"/>
      <c r="AF432" s="1029"/>
      <c r="AG432" s="1029"/>
      <c r="AH432" s="1029"/>
      <c r="AI432" s="1029"/>
      <c r="AJ432" s="1029"/>
      <c r="AK432" s="1029"/>
      <c r="AL432" s="1029"/>
      <c r="AM432" s="1029"/>
      <c r="AN432" s="1029"/>
      <c r="AO432" s="1029"/>
      <c r="AP432" s="1029"/>
      <c r="AQ432" s="1029"/>
      <c r="AR432" s="1029"/>
      <c r="AS432" s="1029"/>
      <c r="AT432" s="1029"/>
      <c r="AU432" s="1029"/>
      <c r="AV432" s="1029"/>
      <c r="AW432" s="1029"/>
      <c r="AX432" s="1029"/>
      <c r="AY432" s="1029"/>
      <c r="AZ432" s="1029"/>
      <c r="BA432" s="1029"/>
      <c r="BB432" s="1029"/>
      <c r="BC432" s="1029"/>
      <c r="BD432" s="1029"/>
      <c r="BE432" s="1029"/>
      <c r="BF432" s="1029"/>
      <c r="BG432" s="1029"/>
      <c r="BH432" s="1029"/>
      <c r="BI432" s="1083" t="s">
        <v>3924</v>
      </c>
      <c r="BJ432" s="1120" t="s">
        <v>3925</v>
      </c>
      <c r="BK432" s="1120" t="s">
        <v>3582</v>
      </c>
      <c r="BL432" s="1120" t="s">
        <v>1923</v>
      </c>
      <c r="BM432" s="1120" t="s">
        <v>3091</v>
      </c>
      <c r="BN432" s="1120" t="s">
        <v>291</v>
      </c>
      <c r="BO432" s="1121"/>
      <c r="BP432" s="1122">
        <v>1</v>
      </c>
      <c r="BQ432" s="1123"/>
      <c r="BR432" s="1123"/>
      <c r="BS432" s="1124" t="s">
        <v>3926</v>
      </c>
      <c r="BT432" s="1125"/>
    </row>
    <row r="433" spans="1:72" s="1126" customFormat="1" ht="51" customHeight="1">
      <c r="A433" s="1099">
        <f t="shared" si="109"/>
        <v>171</v>
      </c>
      <c r="B433" s="1166" t="s">
        <v>3927</v>
      </c>
      <c r="C433" s="1083"/>
      <c r="D433" s="1083"/>
      <c r="E433" s="1248" t="s">
        <v>50</v>
      </c>
      <c r="F433" s="1029">
        <f t="shared" si="110"/>
        <v>0.03</v>
      </c>
      <c r="G433" s="1029">
        <v>0.03</v>
      </c>
      <c r="H433" s="1026"/>
      <c r="I433" s="1026"/>
      <c r="J433" s="1029"/>
      <c r="K433" s="1029"/>
      <c r="L433" s="1029"/>
      <c r="M433" s="1029"/>
      <c r="N433" s="1029"/>
      <c r="O433" s="1029"/>
      <c r="P433" s="1029"/>
      <c r="Q433" s="1029"/>
      <c r="R433" s="1029"/>
      <c r="S433" s="1029"/>
      <c r="T433" s="1029"/>
      <c r="U433" s="1029"/>
      <c r="V433" s="1029"/>
      <c r="W433" s="1029"/>
      <c r="X433" s="1029"/>
      <c r="Y433" s="1029"/>
      <c r="Z433" s="1029"/>
      <c r="AA433" s="1029"/>
      <c r="AB433" s="1029"/>
      <c r="AC433" s="1029"/>
      <c r="AD433" s="1029"/>
      <c r="AE433" s="1029"/>
      <c r="AF433" s="1029"/>
      <c r="AG433" s="1029"/>
      <c r="AH433" s="1029"/>
      <c r="AI433" s="1029"/>
      <c r="AJ433" s="1029"/>
      <c r="AK433" s="1029"/>
      <c r="AL433" s="1029"/>
      <c r="AM433" s="1029"/>
      <c r="AN433" s="1029"/>
      <c r="AO433" s="1029"/>
      <c r="AP433" s="1029"/>
      <c r="AQ433" s="1029"/>
      <c r="AR433" s="1029"/>
      <c r="AS433" s="1029"/>
      <c r="AT433" s="1029"/>
      <c r="AU433" s="1029"/>
      <c r="AV433" s="1029"/>
      <c r="AW433" s="1029"/>
      <c r="AX433" s="1029"/>
      <c r="AY433" s="1029"/>
      <c r="AZ433" s="1029"/>
      <c r="BA433" s="1029"/>
      <c r="BB433" s="1029"/>
      <c r="BC433" s="1029"/>
      <c r="BD433" s="1029"/>
      <c r="BE433" s="1029"/>
      <c r="BF433" s="1029"/>
      <c r="BG433" s="1029"/>
      <c r="BH433" s="1029"/>
      <c r="BI433" s="1083" t="s">
        <v>3928</v>
      </c>
      <c r="BJ433" s="1439" t="s">
        <v>3929</v>
      </c>
      <c r="BK433" s="1120" t="s">
        <v>3582</v>
      </c>
      <c r="BL433" s="1120" t="s">
        <v>1923</v>
      </c>
      <c r="BM433" s="1120" t="s">
        <v>3091</v>
      </c>
      <c r="BN433" s="1120" t="s">
        <v>291</v>
      </c>
      <c r="BO433" s="1121"/>
      <c r="BP433" s="1122">
        <v>1</v>
      </c>
      <c r="BQ433" s="1123"/>
      <c r="BR433" s="1123"/>
      <c r="BS433" s="1124"/>
      <c r="BT433" s="1125"/>
    </row>
    <row r="434" spans="1:72" s="1126" customFormat="1" ht="36" customHeight="1">
      <c r="A434" s="1099">
        <f t="shared" si="109"/>
        <v>172</v>
      </c>
      <c r="B434" s="1130" t="s">
        <v>3930</v>
      </c>
      <c r="C434" s="1120"/>
      <c r="D434" s="1120"/>
      <c r="E434" s="1248" t="s">
        <v>50</v>
      </c>
      <c r="F434" s="1029">
        <f>G434+H434</f>
        <v>0.18</v>
      </c>
      <c r="G434" s="1029">
        <v>0.18</v>
      </c>
      <c r="H434" s="1026"/>
      <c r="I434" s="1026"/>
      <c r="J434" s="1029"/>
      <c r="K434" s="1029"/>
      <c r="L434" s="1029"/>
      <c r="M434" s="1029"/>
      <c r="N434" s="1029"/>
      <c r="O434" s="1029"/>
      <c r="P434" s="1029"/>
      <c r="Q434" s="1029"/>
      <c r="R434" s="1029"/>
      <c r="S434" s="1029"/>
      <c r="T434" s="1029"/>
      <c r="U434" s="1029"/>
      <c r="V434" s="1029"/>
      <c r="W434" s="1029"/>
      <c r="X434" s="1029"/>
      <c r="Y434" s="1029"/>
      <c r="Z434" s="1029"/>
      <c r="AA434" s="1029"/>
      <c r="AB434" s="1029"/>
      <c r="AC434" s="1029"/>
      <c r="AD434" s="1029"/>
      <c r="AE434" s="1029"/>
      <c r="AF434" s="1029"/>
      <c r="AG434" s="1029"/>
      <c r="AH434" s="1029"/>
      <c r="AI434" s="1029"/>
      <c r="AJ434" s="1029"/>
      <c r="AK434" s="1029"/>
      <c r="AL434" s="1029"/>
      <c r="AM434" s="1029"/>
      <c r="AN434" s="1029"/>
      <c r="AO434" s="1029"/>
      <c r="AP434" s="1029"/>
      <c r="AQ434" s="1029"/>
      <c r="AR434" s="1029"/>
      <c r="AS434" s="1029"/>
      <c r="AT434" s="1029"/>
      <c r="AU434" s="1029"/>
      <c r="AV434" s="1029"/>
      <c r="AW434" s="1029"/>
      <c r="AX434" s="1029"/>
      <c r="AY434" s="1029"/>
      <c r="AZ434" s="1029"/>
      <c r="BA434" s="1029"/>
      <c r="BB434" s="1029"/>
      <c r="BC434" s="1029"/>
      <c r="BD434" s="1029"/>
      <c r="BE434" s="1029"/>
      <c r="BF434" s="1029"/>
      <c r="BG434" s="1029"/>
      <c r="BH434" s="1029"/>
      <c r="BI434" s="1120" t="s">
        <v>3088</v>
      </c>
      <c r="BJ434" s="1120" t="s">
        <v>3931</v>
      </c>
      <c r="BK434" s="1120" t="s">
        <v>3582</v>
      </c>
      <c r="BL434" s="1120" t="s">
        <v>1923</v>
      </c>
      <c r="BM434" s="1120" t="s">
        <v>3091</v>
      </c>
      <c r="BN434" s="1120" t="s">
        <v>291</v>
      </c>
      <c r="BO434" s="1121"/>
      <c r="BP434" s="1122">
        <v>1</v>
      </c>
      <c r="BQ434" s="1123"/>
      <c r="BR434" s="1123"/>
      <c r="BS434" s="1124"/>
      <c r="BT434" s="1125"/>
    </row>
    <row r="435" spans="1:72" s="1126" customFormat="1" ht="30.75" customHeight="1">
      <c r="A435" s="1099">
        <f t="shared" si="109"/>
        <v>173</v>
      </c>
      <c r="B435" s="1130" t="s">
        <v>3932</v>
      </c>
      <c r="C435" s="1083"/>
      <c r="D435" s="1083"/>
      <c r="E435" s="1248" t="s">
        <v>50</v>
      </c>
      <c r="F435" s="1029">
        <f t="shared" si="110"/>
        <v>0.02</v>
      </c>
      <c r="G435" s="1029">
        <v>0.02</v>
      </c>
      <c r="H435" s="1026"/>
      <c r="I435" s="1026"/>
      <c r="J435" s="1029"/>
      <c r="K435" s="1029"/>
      <c r="L435" s="1029"/>
      <c r="M435" s="1029"/>
      <c r="N435" s="1029"/>
      <c r="O435" s="1029"/>
      <c r="P435" s="1029"/>
      <c r="Q435" s="1029"/>
      <c r="R435" s="1029"/>
      <c r="S435" s="1029"/>
      <c r="T435" s="1029"/>
      <c r="U435" s="1029"/>
      <c r="V435" s="1029"/>
      <c r="W435" s="1029"/>
      <c r="X435" s="1029"/>
      <c r="Y435" s="1029"/>
      <c r="Z435" s="1029"/>
      <c r="AA435" s="1029"/>
      <c r="AB435" s="1029"/>
      <c r="AC435" s="1029"/>
      <c r="AD435" s="1029"/>
      <c r="AE435" s="1029"/>
      <c r="AF435" s="1029"/>
      <c r="AG435" s="1029"/>
      <c r="AH435" s="1029"/>
      <c r="AI435" s="1029"/>
      <c r="AJ435" s="1029"/>
      <c r="AK435" s="1029"/>
      <c r="AL435" s="1029"/>
      <c r="AM435" s="1029"/>
      <c r="AN435" s="1029"/>
      <c r="AO435" s="1029"/>
      <c r="AP435" s="1029"/>
      <c r="AQ435" s="1029"/>
      <c r="AR435" s="1029"/>
      <c r="AS435" s="1029"/>
      <c r="AT435" s="1029"/>
      <c r="AU435" s="1029"/>
      <c r="AV435" s="1029"/>
      <c r="AW435" s="1029"/>
      <c r="AX435" s="1029"/>
      <c r="AY435" s="1029"/>
      <c r="AZ435" s="1029"/>
      <c r="BA435" s="1029"/>
      <c r="BB435" s="1029"/>
      <c r="BC435" s="1029"/>
      <c r="BD435" s="1029"/>
      <c r="BE435" s="1029"/>
      <c r="BF435" s="1029"/>
      <c r="BG435" s="1029"/>
      <c r="BH435" s="1029"/>
      <c r="BI435" s="1083" t="s">
        <v>3933</v>
      </c>
      <c r="BJ435" s="1120" t="s">
        <v>3934</v>
      </c>
      <c r="BK435" s="1120" t="s">
        <v>3582</v>
      </c>
      <c r="BL435" s="1220" t="s">
        <v>1923</v>
      </c>
      <c r="BM435" s="1120" t="s">
        <v>3091</v>
      </c>
      <c r="BN435" s="1120" t="s">
        <v>291</v>
      </c>
      <c r="BO435" s="1121"/>
      <c r="BP435" s="1122">
        <v>1</v>
      </c>
      <c r="BQ435" s="1123"/>
      <c r="BR435" s="1123"/>
      <c r="BS435" s="1124"/>
      <c r="BT435" s="1125"/>
    </row>
    <row r="436" spans="1:72" s="1126" customFormat="1" ht="38.25">
      <c r="A436" s="1099">
        <f t="shared" si="109"/>
        <v>174</v>
      </c>
      <c r="B436" s="1215" t="s">
        <v>3935</v>
      </c>
      <c r="C436" s="1216"/>
      <c r="D436" s="1216"/>
      <c r="E436" s="1248" t="s">
        <v>50</v>
      </c>
      <c r="F436" s="1031">
        <f t="shared" si="110"/>
        <v>0.04</v>
      </c>
      <c r="G436" s="1029">
        <v>0.04</v>
      </c>
      <c r="H436" s="1026"/>
      <c r="I436" s="1026"/>
      <c r="J436" s="1029"/>
      <c r="K436" s="1029"/>
      <c r="L436" s="1029"/>
      <c r="M436" s="1029"/>
      <c r="N436" s="1029"/>
      <c r="O436" s="1029"/>
      <c r="P436" s="1029"/>
      <c r="Q436" s="1029"/>
      <c r="R436" s="1029"/>
      <c r="S436" s="1029"/>
      <c r="T436" s="1029"/>
      <c r="U436" s="1029"/>
      <c r="V436" s="1029"/>
      <c r="W436" s="1029"/>
      <c r="X436" s="1029"/>
      <c r="Y436" s="1029"/>
      <c r="Z436" s="1029"/>
      <c r="AA436" s="1029"/>
      <c r="AB436" s="1029"/>
      <c r="AC436" s="1029"/>
      <c r="AD436" s="1029"/>
      <c r="AE436" s="1029"/>
      <c r="AF436" s="1029"/>
      <c r="AG436" s="1029"/>
      <c r="AH436" s="1029"/>
      <c r="AI436" s="1029"/>
      <c r="AJ436" s="1029"/>
      <c r="AK436" s="1029"/>
      <c r="AL436" s="1029"/>
      <c r="AM436" s="1029"/>
      <c r="AN436" s="1029"/>
      <c r="AO436" s="1029"/>
      <c r="AP436" s="1029"/>
      <c r="AQ436" s="1029"/>
      <c r="AR436" s="1029"/>
      <c r="AS436" s="1029"/>
      <c r="AT436" s="1029"/>
      <c r="AU436" s="1029"/>
      <c r="AV436" s="1029"/>
      <c r="AW436" s="1029"/>
      <c r="AX436" s="1029"/>
      <c r="AY436" s="1029"/>
      <c r="AZ436" s="1029"/>
      <c r="BA436" s="1029"/>
      <c r="BB436" s="1029"/>
      <c r="BC436" s="1029"/>
      <c r="BD436" s="1029"/>
      <c r="BE436" s="1029"/>
      <c r="BF436" s="1029"/>
      <c r="BG436" s="1029"/>
      <c r="BH436" s="1029"/>
      <c r="BI436" s="1216" t="s">
        <v>3765</v>
      </c>
      <c r="BJ436" s="1439" t="s">
        <v>3936</v>
      </c>
      <c r="BK436" s="1120" t="s">
        <v>3582</v>
      </c>
      <c r="BL436" s="1120" t="s">
        <v>1923</v>
      </c>
      <c r="BM436" s="1120" t="s">
        <v>3937</v>
      </c>
      <c r="BN436" s="1120" t="s">
        <v>291</v>
      </c>
      <c r="BO436" s="1121"/>
      <c r="BP436" s="1122">
        <v>1</v>
      </c>
      <c r="BQ436" s="1123"/>
      <c r="BR436" s="1123"/>
      <c r="BS436" s="1124"/>
      <c r="BT436" s="1125"/>
    </row>
    <row r="437" spans="1:72" s="1126" customFormat="1" ht="26.25" customHeight="1">
      <c r="A437" s="1099">
        <f t="shared" si="109"/>
        <v>175</v>
      </c>
      <c r="B437" s="1166" t="s">
        <v>3938</v>
      </c>
      <c r="C437" s="1083"/>
      <c r="D437" s="1083"/>
      <c r="E437" s="1248" t="s">
        <v>50</v>
      </c>
      <c r="F437" s="1029">
        <f t="shared" si="110"/>
        <v>0.06</v>
      </c>
      <c r="G437" s="1029">
        <v>0.06</v>
      </c>
      <c r="H437" s="1026"/>
      <c r="I437" s="1026"/>
      <c r="J437" s="1029"/>
      <c r="K437" s="1029"/>
      <c r="L437" s="1029"/>
      <c r="M437" s="1029"/>
      <c r="N437" s="1029"/>
      <c r="O437" s="1029"/>
      <c r="P437" s="1029"/>
      <c r="Q437" s="1029"/>
      <c r="R437" s="1029"/>
      <c r="S437" s="1029"/>
      <c r="T437" s="1029"/>
      <c r="U437" s="1029"/>
      <c r="V437" s="1029"/>
      <c r="W437" s="1029"/>
      <c r="X437" s="1029"/>
      <c r="Y437" s="1029"/>
      <c r="Z437" s="1029"/>
      <c r="AA437" s="1029"/>
      <c r="AB437" s="1029"/>
      <c r="AC437" s="1029"/>
      <c r="AD437" s="1029"/>
      <c r="AE437" s="1029"/>
      <c r="AF437" s="1029"/>
      <c r="AG437" s="1029"/>
      <c r="AH437" s="1029"/>
      <c r="AI437" s="1029"/>
      <c r="AJ437" s="1029"/>
      <c r="AK437" s="1029"/>
      <c r="AL437" s="1029"/>
      <c r="AM437" s="1029"/>
      <c r="AN437" s="1029"/>
      <c r="AO437" s="1029"/>
      <c r="AP437" s="1029"/>
      <c r="AQ437" s="1029"/>
      <c r="AR437" s="1029"/>
      <c r="AS437" s="1029"/>
      <c r="AT437" s="1029"/>
      <c r="AU437" s="1029"/>
      <c r="AV437" s="1029"/>
      <c r="AW437" s="1029"/>
      <c r="AX437" s="1029"/>
      <c r="AY437" s="1029"/>
      <c r="AZ437" s="1029"/>
      <c r="BA437" s="1029"/>
      <c r="BB437" s="1029"/>
      <c r="BC437" s="1029"/>
      <c r="BD437" s="1029"/>
      <c r="BE437" s="1029"/>
      <c r="BF437" s="1029"/>
      <c r="BG437" s="1029"/>
      <c r="BH437" s="1029"/>
      <c r="BI437" s="1083" t="s">
        <v>3939</v>
      </c>
      <c r="BJ437" s="1120" t="s">
        <v>3940</v>
      </c>
      <c r="BK437" s="1120" t="s">
        <v>3582</v>
      </c>
      <c r="BL437" s="1120" t="s">
        <v>1923</v>
      </c>
      <c r="BM437" s="1120" t="s">
        <v>3091</v>
      </c>
      <c r="BN437" s="1120" t="s">
        <v>291</v>
      </c>
      <c r="BO437" s="1121"/>
      <c r="BP437" s="1122">
        <v>1</v>
      </c>
      <c r="BQ437" s="1123"/>
      <c r="BR437" s="1123"/>
      <c r="BS437" s="1124"/>
      <c r="BT437" s="1125"/>
    </row>
    <row r="438" spans="1:72" s="1126" customFormat="1" ht="35.1" customHeight="1">
      <c r="A438" s="1099">
        <f t="shared" si="109"/>
        <v>176</v>
      </c>
      <c r="B438" s="1166" t="s">
        <v>3941</v>
      </c>
      <c r="C438" s="1083"/>
      <c r="D438" s="1083"/>
      <c r="E438" s="1248" t="s">
        <v>50</v>
      </c>
      <c r="F438" s="1029">
        <f t="shared" si="110"/>
        <v>0.09</v>
      </c>
      <c r="G438" s="1029">
        <v>0.09</v>
      </c>
      <c r="H438" s="1026"/>
      <c r="I438" s="1026"/>
      <c r="J438" s="1029"/>
      <c r="K438" s="1029"/>
      <c r="L438" s="1029"/>
      <c r="M438" s="1029"/>
      <c r="N438" s="1029"/>
      <c r="O438" s="1029"/>
      <c r="P438" s="1029"/>
      <c r="Q438" s="1029"/>
      <c r="R438" s="1029"/>
      <c r="S438" s="1029"/>
      <c r="T438" s="1029"/>
      <c r="U438" s="1029"/>
      <c r="V438" s="1029"/>
      <c r="W438" s="1029"/>
      <c r="X438" s="1029"/>
      <c r="Y438" s="1029"/>
      <c r="Z438" s="1029"/>
      <c r="AA438" s="1029"/>
      <c r="AB438" s="1029"/>
      <c r="AC438" s="1029"/>
      <c r="AD438" s="1029"/>
      <c r="AE438" s="1029"/>
      <c r="AF438" s="1029"/>
      <c r="AG438" s="1029"/>
      <c r="AH438" s="1029"/>
      <c r="AI438" s="1029"/>
      <c r="AJ438" s="1029"/>
      <c r="AK438" s="1029"/>
      <c r="AL438" s="1029"/>
      <c r="AM438" s="1029"/>
      <c r="AN438" s="1029"/>
      <c r="AO438" s="1029"/>
      <c r="AP438" s="1029"/>
      <c r="AQ438" s="1029"/>
      <c r="AR438" s="1029"/>
      <c r="AS438" s="1029"/>
      <c r="AT438" s="1029"/>
      <c r="AU438" s="1029"/>
      <c r="AV438" s="1029"/>
      <c r="AW438" s="1029"/>
      <c r="AX438" s="1029"/>
      <c r="AY438" s="1029"/>
      <c r="AZ438" s="1029"/>
      <c r="BA438" s="1029"/>
      <c r="BB438" s="1029"/>
      <c r="BC438" s="1029"/>
      <c r="BD438" s="1029"/>
      <c r="BE438" s="1029"/>
      <c r="BF438" s="1029"/>
      <c r="BG438" s="1029"/>
      <c r="BH438" s="1029"/>
      <c r="BI438" s="1083" t="s">
        <v>3942</v>
      </c>
      <c r="BJ438" s="1120" t="s">
        <v>3943</v>
      </c>
      <c r="BK438" s="1120" t="s">
        <v>3582</v>
      </c>
      <c r="BL438" s="1120" t="s">
        <v>1917</v>
      </c>
      <c r="BM438" s="1120" t="s">
        <v>3425</v>
      </c>
      <c r="BN438" s="1120" t="s">
        <v>291</v>
      </c>
      <c r="BO438" s="1121"/>
      <c r="BP438" s="1122">
        <v>1</v>
      </c>
      <c r="BQ438" s="1123"/>
      <c r="BR438" s="1123"/>
      <c r="BS438" s="1124"/>
      <c r="BT438" s="1125"/>
    </row>
    <row r="439" spans="1:72" s="1126" customFormat="1" ht="35.1" customHeight="1">
      <c r="A439" s="1099">
        <f t="shared" si="109"/>
        <v>177</v>
      </c>
      <c r="B439" s="1130" t="s">
        <v>3944</v>
      </c>
      <c r="C439" s="1083"/>
      <c r="D439" s="1083"/>
      <c r="E439" s="1248" t="s">
        <v>50</v>
      </c>
      <c r="F439" s="1029">
        <f t="shared" si="110"/>
        <v>0.04</v>
      </c>
      <c r="G439" s="1029">
        <v>0.04</v>
      </c>
      <c r="H439" s="1026"/>
      <c r="I439" s="1026"/>
      <c r="J439" s="1029"/>
      <c r="K439" s="1029"/>
      <c r="L439" s="1029"/>
      <c r="M439" s="1029"/>
      <c r="N439" s="1029"/>
      <c r="O439" s="1029"/>
      <c r="P439" s="1029"/>
      <c r="Q439" s="1029"/>
      <c r="R439" s="1029"/>
      <c r="S439" s="1029"/>
      <c r="T439" s="1029"/>
      <c r="U439" s="1029"/>
      <c r="V439" s="1029"/>
      <c r="W439" s="1029"/>
      <c r="X439" s="1029"/>
      <c r="Y439" s="1029"/>
      <c r="Z439" s="1029"/>
      <c r="AA439" s="1029"/>
      <c r="AB439" s="1029"/>
      <c r="AC439" s="1029"/>
      <c r="AD439" s="1029"/>
      <c r="AE439" s="1029"/>
      <c r="AF439" s="1029"/>
      <c r="AG439" s="1029"/>
      <c r="AH439" s="1029"/>
      <c r="AI439" s="1029"/>
      <c r="AJ439" s="1029"/>
      <c r="AK439" s="1029"/>
      <c r="AL439" s="1029"/>
      <c r="AM439" s="1029"/>
      <c r="AN439" s="1029"/>
      <c r="AO439" s="1029"/>
      <c r="AP439" s="1029"/>
      <c r="AQ439" s="1029"/>
      <c r="AR439" s="1029"/>
      <c r="AS439" s="1029"/>
      <c r="AT439" s="1029"/>
      <c r="AU439" s="1029"/>
      <c r="AV439" s="1029"/>
      <c r="AW439" s="1029"/>
      <c r="AX439" s="1029"/>
      <c r="AY439" s="1029"/>
      <c r="AZ439" s="1029"/>
      <c r="BA439" s="1029"/>
      <c r="BB439" s="1029"/>
      <c r="BC439" s="1029"/>
      <c r="BD439" s="1029"/>
      <c r="BE439" s="1029"/>
      <c r="BF439" s="1029"/>
      <c r="BG439" s="1029"/>
      <c r="BH439" s="1029"/>
      <c r="BI439" s="1083" t="s">
        <v>3207</v>
      </c>
      <c r="BJ439" s="1120" t="s">
        <v>3945</v>
      </c>
      <c r="BK439" s="1120" t="s">
        <v>3582</v>
      </c>
      <c r="BL439" s="1120" t="s">
        <v>1923</v>
      </c>
      <c r="BM439" s="1120" t="s">
        <v>3091</v>
      </c>
      <c r="BN439" s="1120" t="s">
        <v>291</v>
      </c>
      <c r="BO439" s="1121"/>
      <c r="BP439" s="1122">
        <v>1</v>
      </c>
      <c r="BQ439" s="1123"/>
      <c r="BR439" s="1123"/>
      <c r="BS439" s="1124"/>
      <c r="BT439" s="1125"/>
    </row>
    <row r="440" spans="1:72" s="1126" customFormat="1" ht="35.25" customHeight="1">
      <c r="A440" s="1099">
        <f t="shared" si="109"/>
        <v>178</v>
      </c>
      <c r="B440" s="1130" t="s">
        <v>3946</v>
      </c>
      <c r="C440" s="1083"/>
      <c r="D440" s="1083"/>
      <c r="E440" s="1248" t="s">
        <v>50</v>
      </c>
      <c r="F440" s="1029">
        <f t="shared" si="110"/>
        <v>0.25</v>
      </c>
      <c r="G440" s="1029">
        <v>0.25</v>
      </c>
      <c r="H440" s="1026"/>
      <c r="I440" s="1026"/>
      <c r="J440" s="1029"/>
      <c r="K440" s="1029"/>
      <c r="L440" s="1029"/>
      <c r="M440" s="1029"/>
      <c r="N440" s="1029"/>
      <c r="O440" s="1029"/>
      <c r="P440" s="1029"/>
      <c r="Q440" s="1029"/>
      <c r="R440" s="1029"/>
      <c r="S440" s="1029"/>
      <c r="T440" s="1029"/>
      <c r="U440" s="1029"/>
      <c r="V440" s="1029"/>
      <c r="W440" s="1029"/>
      <c r="X440" s="1029"/>
      <c r="Y440" s="1029"/>
      <c r="Z440" s="1029"/>
      <c r="AA440" s="1029"/>
      <c r="AB440" s="1029"/>
      <c r="AC440" s="1029"/>
      <c r="AD440" s="1029"/>
      <c r="AE440" s="1029"/>
      <c r="AF440" s="1029"/>
      <c r="AG440" s="1029"/>
      <c r="AH440" s="1029"/>
      <c r="AI440" s="1029"/>
      <c r="AJ440" s="1029"/>
      <c r="AK440" s="1029"/>
      <c r="AL440" s="1029"/>
      <c r="AM440" s="1029"/>
      <c r="AN440" s="1029"/>
      <c r="AO440" s="1029"/>
      <c r="AP440" s="1029"/>
      <c r="AQ440" s="1029"/>
      <c r="AR440" s="1029"/>
      <c r="AS440" s="1029"/>
      <c r="AT440" s="1029"/>
      <c r="AU440" s="1029"/>
      <c r="AV440" s="1029"/>
      <c r="AW440" s="1029"/>
      <c r="AX440" s="1029"/>
      <c r="AY440" s="1029"/>
      <c r="AZ440" s="1029"/>
      <c r="BA440" s="1029"/>
      <c r="BB440" s="1029"/>
      <c r="BC440" s="1029"/>
      <c r="BD440" s="1029"/>
      <c r="BE440" s="1029"/>
      <c r="BF440" s="1029"/>
      <c r="BG440" s="1029"/>
      <c r="BH440" s="1029"/>
      <c r="BI440" s="1083" t="s">
        <v>3947</v>
      </c>
      <c r="BJ440" s="1120" t="s">
        <v>3948</v>
      </c>
      <c r="BK440" s="1120" t="s">
        <v>3582</v>
      </c>
      <c r="BL440" s="1120" t="s">
        <v>1923</v>
      </c>
      <c r="BM440" s="1120" t="s">
        <v>3091</v>
      </c>
      <c r="BN440" s="1120" t="s">
        <v>291</v>
      </c>
      <c r="BO440" s="1121"/>
      <c r="BP440" s="1122">
        <v>1</v>
      </c>
      <c r="BQ440" s="1123"/>
      <c r="BR440" s="1123"/>
      <c r="BS440" s="1124"/>
      <c r="BT440" s="1125"/>
    </row>
    <row r="441" spans="1:72" s="1126" customFormat="1" ht="25.5">
      <c r="A441" s="1099">
        <f t="shared" si="109"/>
        <v>179</v>
      </c>
      <c r="B441" s="1130" t="s">
        <v>3949</v>
      </c>
      <c r="C441" s="1083"/>
      <c r="D441" s="1083"/>
      <c r="E441" s="1248" t="s">
        <v>50</v>
      </c>
      <c r="F441" s="1029">
        <f t="shared" si="110"/>
        <v>0.3</v>
      </c>
      <c r="G441" s="1029">
        <v>0.3</v>
      </c>
      <c r="H441" s="1026"/>
      <c r="I441" s="1026"/>
      <c r="J441" s="1029"/>
      <c r="K441" s="1029"/>
      <c r="L441" s="1029"/>
      <c r="M441" s="1029"/>
      <c r="N441" s="1029"/>
      <c r="O441" s="1029"/>
      <c r="P441" s="1029"/>
      <c r="Q441" s="1029"/>
      <c r="R441" s="1029"/>
      <c r="S441" s="1029"/>
      <c r="T441" s="1029"/>
      <c r="U441" s="1029"/>
      <c r="V441" s="1029"/>
      <c r="W441" s="1029"/>
      <c r="X441" s="1029"/>
      <c r="Y441" s="1029"/>
      <c r="Z441" s="1029"/>
      <c r="AA441" s="1029"/>
      <c r="AB441" s="1029"/>
      <c r="AC441" s="1029"/>
      <c r="AD441" s="1029"/>
      <c r="AE441" s="1029"/>
      <c r="AF441" s="1029"/>
      <c r="AG441" s="1029"/>
      <c r="AH441" s="1029"/>
      <c r="AI441" s="1029"/>
      <c r="AJ441" s="1029"/>
      <c r="AK441" s="1029"/>
      <c r="AL441" s="1029"/>
      <c r="AM441" s="1029"/>
      <c r="AN441" s="1029"/>
      <c r="AO441" s="1029"/>
      <c r="AP441" s="1029"/>
      <c r="AQ441" s="1029"/>
      <c r="AR441" s="1029"/>
      <c r="AS441" s="1029"/>
      <c r="AT441" s="1029"/>
      <c r="AU441" s="1029"/>
      <c r="AV441" s="1029"/>
      <c r="AW441" s="1029"/>
      <c r="AX441" s="1029"/>
      <c r="AY441" s="1029"/>
      <c r="AZ441" s="1029"/>
      <c r="BA441" s="1029"/>
      <c r="BB441" s="1029"/>
      <c r="BC441" s="1029"/>
      <c r="BD441" s="1029"/>
      <c r="BE441" s="1029"/>
      <c r="BF441" s="1029"/>
      <c r="BG441" s="1029"/>
      <c r="BH441" s="1029"/>
      <c r="BI441" s="1083" t="s">
        <v>3950</v>
      </c>
      <c r="BJ441" s="1120" t="s">
        <v>3951</v>
      </c>
      <c r="BK441" s="1120" t="s">
        <v>3952</v>
      </c>
      <c r="BL441" s="1120" t="s">
        <v>1923</v>
      </c>
      <c r="BM441" s="1120" t="s">
        <v>3091</v>
      </c>
      <c r="BN441" s="1120" t="s">
        <v>291</v>
      </c>
      <c r="BO441" s="1121"/>
      <c r="BP441" s="1178">
        <v>1</v>
      </c>
      <c r="BQ441" s="1123"/>
      <c r="BR441" s="1123"/>
      <c r="BS441" s="1124"/>
      <c r="BT441" s="1125"/>
    </row>
    <row r="442" spans="1:72" s="1126" customFormat="1" ht="38.25">
      <c r="A442" s="1099">
        <f t="shared" si="109"/>
        <v>180</v>
      </c>
      <c r="B442" s="1166" t="s">
        <v>3953</v>
      </c>
      <c r="C442" s="1083"/>
      <c r="D442" s="1083"/>
      <c r="E442" s="1248" t="s">
        <v>50</v>
      </c>
      <c r="F442" s="1029">
        <f t="shared" si="110"/>
        <v>1.07</v>
      </c>
      <c r="G442" s="1029">
        <v>1.07</v>
      </c>
      <c r="H442" s="1026"/>
      <c r="I442" s="1026"/>
      <c r="J442" s="1029"/>
      <c r="K442" s="1029"/>
      <c r="L442" s="1029"/>
      <c r="M442" s="1029"/>
      <c r="N442" s="1029"/>
      <c r="O442" s="1029"/>
      <c r="P442" s="1029"/>
      <c r="Q442" s="1029"/>
      <c r="R442" s="1029"/>
      <c r="S442" s="1029"/>
      <c r="T442" s="1029"/>
      <c r="U442" s="1029"/>
      <c r="V442" s="1029"/>
      <c r="W442" s="1029"/>
      <c r="X442" s="1029"/>
      <c r="Y442" s="1029"/>
      <c r="Z442" s="1029"/>
      <c r="AA442" s="1029"/>
      <c r="AB442" s="1029"/>
      <c r="AC442" s="1029"/>
      <c r="AD442" s="1029"/>
      <c r="AE442" s="1029"/>
      <c r="AF442" s="1029"/>
      <c r="AG442" s="1029"/>
      <c r="AH442" s="1029"/>
      <c r="AI442" s="1029"/>
      <c r="AJ442" s="1029"/>
      <c r="AK442" s="1029"/>
      <c r="AL442" s="1029"/>
      <c r="AM442" s="1029"/>
      <c r="AN442" s="1029"/>
      <c r="AO442" s="1029"/>
      <c r="AP442" s="1029"/>
      <c r="AQ442" s="1029"/>
      <c r="AR442" s="1029"/>
      <c r="AS442" s="1029"/>
      <c r="AT442" s="1029"/>
      <c r="AU442" s="1029"/>
      <c r="AV442" s="1029"/>
      <c r="AW442" s="1029"/>
      <c r="AX442" s="1029"/>
      <c r="AY442" s="1029"/>
      <c r="AZ442" s="1029"/>
      <c r="BA442" s="1029"/>
      <c r="BB442" s="1029"/>
      <c r="BC442" s="1029"/>
      <c r="BD442" s="1029"/>
      <c r="BE442" s="1029"/>
      <c r="BF442" s="1029"/>
      <c r="BG442" s="1029"/>
      <c r="BH442" s="1029"/>
      <c r="BI442" s="1083" t="s">
        <v>3176</v>
      </c>
      <c r="BJ442" s="1120" t="s">
        <v>3954</v>
      </c>
      <c r="BK442" s="1120" t="s">
        <v>3952</v>
      </c>
      <c r="BL442" s="1120" t="s">
        <v>1917</v>
      </c>
      <c r="BM442" s="1120" t="s">
        <v>3955</v>
      </c>
      <c r="BN442" s="1120" t="s">
        <v>291</v>
      </c>
      <c r="BO442" s="1121"/>
      <c r="BP442" s="1122">
        <v>1</v>
      </c>
      <c r="BQ442" s="1123"/>
      <c r="BR442" s="1123"/>
      <c r="BS442" s="1124"/>
      <c r="BT442" s="1125"/>
    </row>
    <row r="443" spans="1:72" s="1126" customFormat="1" ht="41.1" customHeight="1">
      <c r="A443" s="1099">
        <f t="shared" si="109"/>
        <v>181</v>
      </c>
      <c r="B443" s="1166" t="s">
        <v>3956</v>
      </c>
      <c r="C443" s="1083"/>
      <c r="D443" s="1083"/>
      <c r="E443" s="1248" t="s">
        <v>50</v>
      </c>
      <c r="F443" s="1029">
        <f t="shared" si="110"/>
        <v>0.1</v>
      </c>
      <c r="G443" s="1029">
        <v>0.1</v>
      </c>
      <c r="H443" s="1026"/>
      <c r="I443" s="1026"/>
      <c r="J443" s="1029"/>
      <c r="K443" s="1029"/>
      <c r="L443" s="1029"/>
      <c r="M443" s="1029"/>
      <c r="N443" s="1029"/>
      <c r="O443" s="1029"/>
      <c r="P443" s="1029"/>
      <c r="Q443" s="1029"/>
      <c r="R443" s="1029"/>
      <c r="S443" s="1029"/>
      <c r="T443" s="1029"/>
      <c r="U443" s="1029"/>
      <c r="V443" s="1029"/>
      <c r="W443" s="1029"/>
      <c r="X443" s="1029"/>
      <c r="Y443" s="1029"/>
      <c r="Z443" s="1029"/>
      <c r="AA443" s="1029"/>
      <c r="AB443" s="1029"/>
      <c r="AC443" s="1029"/>
      <c r="AD443" s="1029"/>
      <c r="AE443" s="1029"/>
      <c r="AF443" s="1029"/>
      <c r="AG443" s="1029"/>
      <c r="AH443" s="1029"/>
      <c r="AI443" s="1029"/>
      <c r="AJ443" s="1029"/>
      <c r="AK443" s="1029"/>
      <c r="AL443" s="1029"/>
      <c r="AM443" s="1029"/>
      <c r="AN443" s="1029"/>
      <c r="AO443" s="1029"/>
      <c r="AP443" s="1029"/>
      <c r="AQ443" s="1029"/>
      <c r="AR443" s="1029"/>
      <c r="AS443" s="1029"/>
      <c r="AT443" s="1029"/>
      <c r="AU443" s="1029"/>
      <c r="AV443" s="1029"/>
      <c r="AW443" s="1029"/>
      <c r="AX443" s="1029"/>
      <c r="AY443" s="1029"/>
      <c r="AZ443" s="1029"/>
      <c r="BA443" s="1029"/>
      <c r="BB443" s="1029"/>
      <c r="BC443" s="1029"/>
      <c r="BD443" s="1029"/>
      <c r="BE443" s="1029"/>
      <c r="BF443" s="1029"/>
      <c r="BG443" s="1029"/>
      <c r="BH443" s="1029"/>
      <c r="BI443" s="1083" t="s">
        <v>3957</v>
      </c>
      <c r="BJ443" s="1120" t="s">
        <v>3958</v>
      </c>
      <c r="BK443" s="1120" t="s">
        <v>3582</v>
      </c>
      <c r="BL443" s="1120" t="s">
        <v>1923</v>
      </c>
      <c r="BM443" s="1120" t="s">
        <v>3091</v>
      </c>
      <c r="BN443" s="1120" t="s">
        <v>291</v>
      </c>
      <c r="BO443" s="1121"/>
      <c r="BP443" s="1122">
        <v>1</v>
      </c>
      <c r="BQ443" s="1123"/>
      <c r="BR443" s="1123"/>
      <c r="BS443" s="1124"/>
      <c r="BT443" s="1125"/>
    </row>
    <row r="444" spans="1:72" s="1126" customFormat="1" ht="33.6" customHeight="1">
      <c r="A444" s="1099">
        <f t="shared" si="109"/>
        <v>182</v>
      </c>
      <c r="B444" s="1130" t="s">
        <v>3959</v>
      </c>
      <c r="C444" s="1083"/>
      <c r="D444" s="1083"/>
      <c r="E444" s="1248" t="s">
        <v>50</v>
      </c>
      <c r="F444" s="1029">
        <f t="shared" si="110"/>
        <v>0.12</v>
      </c>
      <c r="G444" s="1031">
        <v>0.12</v>
      </c>
      <c r="H444" s="1026"/>
      <c r="I444" s="1026"/>
      <c r="J444" s="1029"/>
      <c r="K444" s="1029"/>
      <c r="L444" s="1029"/>
      <c r="M444" s="1029"/>
      <c r="N444" s="1029"/>
      <c r="O444" s="1029"/>
      <c r="P444" s="1029"/>
      <c r="Q444" s="1029"/>
      <c r="R444" s="1029"/>
      <c r="S444" s="1029"/>
      <c r="T444" s="1029"/>
      <c r="U444" s="1029"/>
      <c r="V444" s="1029"/>
      <c r="W444" s="1029"/>
      <c r="X444" s="1029"/>
      <c r="Y444" s="1029"/>
      <c r="Z444" s="1029"/>
      <c r="AA444" s="1029"/>
      <c r="AB444" s="1029"/>
      <c r="AC444" s="1029"/>
      <c r="AD444" s="1029"/>
      <c r="AE444" s="1029"/>
      <c r="AF444" s="1029"/>
      <c r="AG444" s="1029"/>
      <c r="AH444" s="1029"/>
      <c r="AI444" s="1029"/>
      <c r="AJ444" s="1029"/>
      <c r="AK444" s="1029"/>
      <c r="AL444" s="1029"/>
      <c r="AM444" s="1029"/>
      <c r="AN444" s="1029"/>
      <c r="AO444" s="1029"/>
      <c r="AP444" s="1029"/>
      <c r="AQ444" s="1029"/>
      <c r="AR444" s="1029"/>
      <c r="AS444" s="1029"/>
      <c r="AT444" s="1029"/>
      <c r="AU444" s="1029"/>
      <c r="AV444" s="1029"/>
      <c r="AW444" s="1029"/>
      <c r="AX444" s="1029"/>
      <c r="AY444" s="1029"/>
      <c r="AZ444" s="1029"/>
      <c r="BA444" s="1029"/>
      <c r="BB444" s="1029"/>
      <c r="BC444" s="1029"/>
      <c r="BD444" s="1029"/>
      <c r="BE444" s="1029"/>
      <c r="BF444" s="1029"/>
      <c r="BG444" s="1029"/>
      <c r="BH444" s="1029"/>
      <c r="BI444" s="1127" t="s">
        <v>3960</v>
      </c>
      <c r="BJ444" s="1120" t="s">
        <v>3961</v>
      </c>
      <c r="BK444" s="1120" t="s">
        <v>3304</v>
      </c>
      <c r="BL444" s="1379" t="s">
        <v>1923</v>
      </c>
      <c r="BM444" s="1120" t="s">
        <v>3091</v>
      </c>
      <c r="BN444" s="1120" t="s">
        <v>291</v>
      </c>
      <c r="BO444" s="1121"/>
      <c r="BP444" s="1122">
        <v>1</v>
      </c>
      <c r="BQ444" s="1123"/>
      <c r="BR444" s="1123"/>
      <c r="BS444" s="1124"/>
      <c r="BT444" s="1125"/>
    </row>
    <row r="445" spans="1:72" s="1268" customFormat="1" ht="35.25" customHeight="1">
      <c r="A445" s="1099">
        <f t="shared" si="109"/>
        <v>183</v>
      </c>
      <c r="B445" s="1130" t="s">
        <v>3962</v>
      </c>
      <c r="C445" s="1127"/>
      <c r="D445" s="1127"/>
      <c r="E445" s="1248" t="s">
        <v>50</v>
      </c>
      <c r="F445" s="1173">
        <f>G445+H445</f>
        <v>0.09</v>
      </c>
      <c r="G445" s="1173">
        <v>0.09</v>
      </c>
      <c r="H445" s="1173"/>
      <c r="I445" s="1173"/>
      <c r="J445" s="1114"/>
      <c r="K445" s="1029"/>
      <c r="L445" s="1029"/>
      <c r="M445" s="1114"/>
      <c r="N445" s="1029"/>
      <c r="O445" s="1029"/>
      <c r="P445" s="1029"/>
      <c r="Q445" s="1029"/>
      <c r="R445" s="1029"/>
      <c r="S445" s="1029"/>
      <c r="T445" s="1029"/>
      <c r="U445" s="1029"/>
      <c r="V445" s="1029"/>
      <c r="W445" s="1029"/>
      <c r="X445" s="1029"/>
      <c r="Y445" s="1029"/>
      <c r="Z445" s="1029"/>
      <c r="AA445" s="1029"/>
      <c r="AB445" s="1029"/>
      <c r="AC445" s="1029"/>
      <c r="AD445" s="1029"/>
      <c r="AE445" s="1029"/>
      <c r="AF445" s="1029"/>
      <c r="AG445" s="1029"/>
      <c r="AH445" s="1029"/>
      <c r="AI445" s="1029"/>
      <c r="AJ445" s="1029"/>
      <c r="AK445" s="1029"/>
      <c r="AL445" s="1029"/>
      <c r="AM445" s="1029"/>
      <c r="AN445" s="1029"/>
      <c r="AO445" s="1029"/>
      <c r="AP445" s="1029"/>
      <c r="AQ445" s="1029"/>
      <c r="AR445" s="1029"/>
      <c r="AS445" s="1029"/>
      <c r="AT445" s="1029"/>
      <c r="AU445" s="1029"/>
      <c r="AV445" s="1029"/>
      <c r="AW445" s="1029"/>
      <c r="AX445" s="1029"/>
      <c r="AY445" s="1029"/>
      <c r="AZ445" s="1029"/>
      <c r="BA445" s="1029"/>
      <c r="BB445" s="1029"/>
      <c r="BC445" s="1029"/>
      <c r="BD445" s="1029"/>
      <c r="BE445" s="1029"/>
      <c r="BF445" s="1114"/>
      <c r="BG445" s="1034"/>
      <c r="BH445" s="1034"/>
      <c r="BI445" s="1083" t="s">
        <v>3963</v>
      </c>
      <c r="BJ445" s="1120" t="s">
        <v>3964</v>
      </c>
      <c r="BK445" s="1120" t="s">
        <v>3582</v>
      </c>
      <c r="BL445" s="1120"/>
      <c r="BM445" s="1120"/>
      <c r="BN445" s="1120" t="s">
        <v>298</v>
      </c>
      <c r="BO445" s="1178"/>
      <c r="BP445" s="1122">
        <v>1</v>
      </c>
      <c r="BQ445" s="1178"/>
      <c r="BR445" s="1178"/>
      <c r="BS445" s="1178"/>
      <c r="BT445" s="1254"/>
    </row>
    <row r="446" spans="1:72" s="1126" customFormat="1" ht="34.5" customHeight="1">
      <c r="A446" s="1099">
        <f t="shared" si="109"/>
        <v>184</v>
      </c>
      <c r="B446" s="1166" t="s">
        <v>3965</v>
      </c>
      <c r="C446" s="1083"/>
      <c r="D446" s="1083"/>
      <c r="E446" s="1248" t="s">
        <v>50</v>
      </c>
      <c r="F446" s="1031">
        <f t="shared" si="110"/>
        <v>0.15</v>
      </c>
      <c r="G446" s="1029">
        <v>0.15</v>
      </c>
      <c r="H446" s="1026"/>
      <c r="I446" s="1026"/>
      <c r="J446" s="1029"/>
      <c r="K446" s="1029"/>
      <c r="L446" s="1029"/>
      <c r="M446" s="1029"/>
      <c r="N446" s="1029"/>
      <c r="O446" s="1029"/>
      <c r="P446" s="1029"/>
      <c r="Q446" s="1029"/>
      <c r="R446" s="1029"/>
      <c r="S446" s="1029"/>
      <c r="T446" s="1029"/>
      <c r="U446" s="1029"/>
      <c r="V446" s="1029"/>
      <c r="W446" s="1029"/>
      <c r="X446" s="1029"/>
      <c r="Y446" s="1029"/>
      <c r="Z446" s="1029"/>
      <c r="AA446" s="1029"/>
      <c r="AB446" s="1029"/>
      <c r="AC446" s="1029"/>
      <c r="AD446" s="1029"/>
      <c r="AE446" s="1029"/>
      <c r="AF446" s="1029"/>
      <c r="AG446" s="1029"/>
      <c r="AH446" s="1029"/>
      <c r="AI446" s="1029"/>
      <c r="AJ446" s="1029"/>
      <c r="AK446" s="1029"/>
      <c r="AL446" s="1029"/>
      <c r="AM446" s="1029"/>
      <c r="AN446" s="1029"/>
      <c r="AO446" s="1029"/>
      <c r="AP446" s="1029"/>
      <c r="AQ446" s="1029"/>
      <c r="AR446" s="1029"/>
      <c r="AS446" s="1029"/>
      <c r="AT446" s="1029"/>
      <c r="AU446" s="1029"/>
      <c r="AV446" s="1029"/>
      <c r="AW446" s="1029"/>
      <c r="AX446" s="1029"/>
      <c r="AY446" s="1029"/>
      <c r="AZ446" s="1029"/>
      <c r="BA446" s="1029"/>
      <c r="BB446" s="1029"/>
      <c r="BC446" s="1029"/>
      <c r="BD446" s="1029"/>
      <c r="BE446" s="1029"/>
      <c r="BF446" s="1029"/>
      <c r="BG446" s="1029"/>
      <c r="BH446" s="1029"/>
      <c r="BI446" s="1083" t="s">
        <v>3966</v>
      </c>
      <c r="BJ446" s="1120" t="s">
        <v>3967</v>
      </c>
      <c r="BK446" s="1120" t="s">
        <v>3582</v>
      </c>
      <c r="BL446" s="1120" t="s">
        <v>1923</v>
      </c>
      <c r="BM446" s="1120" t="s">
        <v>3091</v>
      </c>
      <c r="BN446" s="1120" t="s">
        <v>291</v>
      </c>
      <c r="BO446" s="1121"/>
      <c r="BP446" s="1122">
        <v>1</v>
      </c>
      <c r="BQ446" s="1123"/>
      <c r="BR446" s="1123"/>
      <c r="BS446" s="1124"/>
      <c r="BT446" s="1125"/>
    </row>
    <row r="447" spans="1:72" s="1126" customFormat="1" ht="29.25" customHeight="1">
      <c r="A447" s="1099">
        <f t="shared" si="109"/>
        <v>185</v>
      </c>
      <c r="B447" s="1166" t="s">
        <v>3968</v>
      </c>
      <c r="C447" s="1083"/>
      <c r="D447" s="1083"/>
      <c r="E447" s="1248" t="s">
        <v>50</v>
      </c>
      <c r="F447" s="1031">
        <f t="shared" si="110"/>
        <v>0.22</v>
      </c>
      <c r="G447" s="1029">
        <v>0.22</v>
      </c>
      <c r="H447" s="1026"/>
      <c r="I447" s="1026"/>
      <c r="J447" s="1029"/>
      <c r="K447" s="1029"/>
      <c r="L447" s="1029"/>
      <c r="M447" s="1029"/>
      <c r="N447" s="1029"/>
      <c r="O447" s="1029"/>
      <c r="P447" s="1029"/>
      <c r="Q447" s="1029"/>
      <c r="R447" s="1029"/>
      <c r="S447" s="1029"/>
      <c r="T447" s="1029"/>
      <c r="U447" s="1029"/>
      <c r="V447" s="1029"/>
      <c r="W447" s="1029"/>
      <c r="X447" s="1029"/>
      <c r="Y447" s="1029"/>
      <c r="Z447" s="1029"/>
      <c r="AA447" s="1029"/>
      <c r="AB447" s="1029"/>
      <c r="AC447" s="1029"/>
      <c r="AD447" s="1029"/>
      <c r="AE447" s="1029"/>
      <c r="AF447" s="1029"/>
      <c r="AG447" s="1029"/>
      <c r="AH447" s="1029"/>
      <c r="AI447" s="1029"/>
      <c r="AJ447" s="1029"/>
      <c r="AK447" s="1029"/>
      <c r="AL447" s="1029"/>
      <c r="AM447" s="1029"/>
      <c r="AN447" s="1029"/>
      <c r="AO447" s="1029"/>
      <c r="AP447" s="1029"/>
      <c r="AQ447" s="1029"/>
      <c r="AR447" s="1029"/>
      <c r="AS447" s="1029"/>
      <c r="AT447" s="1029"/>
      <c r="AU447" s="1029"/>
      <c r="AV447" s="1029"/>
      <c r="AW447" s="1029"/>
      <c r="AX447" s="1029"/>
      <c r="AY447" s="1029"/>
      <c r="AZ447" s="1029"/>
      <c r="BA447" s="1029"/>
      <c r="BB447" s="1029"/>
      <c r="BC447" s="1029"/>
      <c r="BD447" s="1029"/>
      <c r="BE447" s="1029"/>
      <c r="BF447" s="1029"/>
      <c r="BG447" s="1029"/>
      <c r="BH447" s="1029"/>
      <c r="BI447" s="1083" t="s">
        <v>4026</v>
      </c>
      <c r="BJ447" s="1120" t="s">
        <v>3969</v>
      </c>
      <c r="BK447" s="1120" t="s">
        <v>3582</v>
      </c>
      <c r="BL447" s="1120" t="s">
        <v>1923</v>
      </c>
      <c r="BM447" s="1120" t="s">
        <v>3091</v>
      </c>
      <c r="BN447" s="1120" t="s">
        <v>291</v>
      </c>
      <c r="BO447" s="1121"/>
      <c r="BP447" s="1122">
        <v>1</v>
      </c>
      <c r="BQ447" s="1123"/>
      <c r="BR447" s="1123"/>
      <c r="BS447" s="1124"/>
      <c r="BT447" s="1125"/>
    </row>
    <row r="448" spans="1:72" s="1126" customFormat="1" ht="25.5">
      <c r="A448" s="1023" t="s">
        <v>560</v>
      </c>
      <c r="B448" s="1207" t="s">
        <v>2774</v>
      </c>
      <c r="C448" s="1109"/>
      <c r="D448" s="1109"/>
      <c r="E448" s="1377"/>
      <c r="F448" s="1026">
        <f t="shared" si="110"/>
        <v>0.19</v>
      </c>
      <c r="G448" s="1026">
        <f>SUM(G449:G454)</f>
        <v>0.19</v>
      </c>
      <c r="H448" s="1026"/>
      <c r="I448" s="1026"/>
      <c r="J448" s="1029"/>
      <c r="K448" s="1029"/>
      <c r="L448" s="1029"/>
      <c r="M448" s="1029"/>
      <c r="N448" s="1029"/>
      <c r="O448" s="1029"/>
      <c r="P448" s="1029"/>
      <c r="Q448" s="1029"/>
      <c r="R448" s="1029"/>
      <c r="S448" s="1029"/>
      <c r="T448" s="1029"/>
      <c r="U448" s="1029"/>
      <c r="V448" s="1029"/>
      <c r="W448" s="1029"/>
      <c r="X448" s="1029"/>
      <c r="Y448" s="1029"/>
      <c r="Z448" s="1029"/>
      <c r="AA448" s="1029"/>
      <c r="AB448" s="1029"/>
      <c r="AC448" s="1029"/>
      <c r="AD448" s="1029"/>
      <c r="AE448" s="1029"/>
      <c r="AF448" s="1029"/>
      <c r="AG448" s="1029"/>
      <c r="AH448" s="1029"/>
      <c r="AI448" s="1029"/>
      <c r="AJ448" s="1029"/>
      <c r="AK448" s="1029"/>
      <c r="AL448" s="1029"/>
      <c r="AM448" s="1029"/>
      <c r="AN448" s="1029"/>
      <c r="AO448" s="1029"/>
      <c r="AP448" s="1029"/>
      <c r="AQ448" s="1029"/>
      <c r="AR448" s="1029"/>
      <c r="AS448" s="1029"/>
      <c r="AT448" s="1029"/>
      <c r="AU448" s="1029"/>
      <c r="AV448" s="1029"/>
      <c r="AW448" s="1029"/>
      <c r="AX448" s="1029"/>
      <c r="AY448" s="1029"/>
      <c r="AZ448" s="1029"/>
      <c r="BA448" s="1029"/>
      <c r="BB448" s="1029"/>
      <c r="BC448" s="1029"/>
      <c r="BD448" s="1029"/>
      <c r="BE448" s="1029"/>
      <c r="BF448" s="1029"/>
      <c r="BG448" s="1029"/>
      <c r="BH448" s="1029"/>
      <c r="BI448" s="1109"/>
      <c r="BJ448" s="1208"/>
      <c r="BK448" s="1396"/>
      <c r="BL448" s="1396"/>
      <c r="BM448" s="1208"/>
      <c r="BN448" s="1208"/>
      <c r="BO448" s="1122"/>
      <c r="BP448" s="1122"/>
      <c r="BQ448" s="1123"/>
      <c r="BR448" s="1123"/>
      <c r="BS448" s="1210"/>
      <c r="BT448" s="1125"/>
    </row>
    <row r="449" spans="1:72" s="1126" customFormat="1" ht="112.5" customHeight="1">
      <c r="A449" s="1099">
        <f>A447+1</f>
        <v>186</v>
      </c>
      <c r="B449" s="1130" t="s">
        <v>3970</v>
      </c>
      <c r="C449" s="1127"/>
      <c r="D449" s="1127"/>
      <c r="E449" s="1118"/>
      <c r="F449" s="1031">
        <f t="shared" si="110"/>
        <v>0.06</v>
      </c>
      <c r="G449" s="1031">
        <v>0.06</v>
      </c>
      <c r="H449" s="1026"/>
      <c r="I449" s="1026"/>
      <c r="J449" s="1029"/>
      <c r="K449" s="1029"/>
      <c r="L449" s="1029"/>
      <c r="M449" s="1029"/>
      <c r="N449" s="1029"/>
      <c r="O449" s="1029"/>
      <c r="P449" s="1029"/>
      <c r="Q449" s="1029"/>
      <c r="R449" s="1029"/>
      <c r="S449" s="1029"/>
      <c r="T449" s="1029"/>
      <c r="U449" s="1029"/>
      <c r="V449" s="1029"/>
      <c r="W449" s="1029"/>
      <c r="X449" s="1029"/>
      <c r="Y449" s="1029"/>
      <c r="Z449" s="1029"/>
      <c r="AA449" s="1029"/>
      <c r="AB449" s="1029"/>
      <c r="AC449" s="1029"/>
      <c r="AD449" s="1029"/>
      <c r="AE449" s="1029"/>
      <c r="AF449" s="1029"/>
      <c r="AG449" s="1029"/>
      <c r="AH449" s="1029"/>
      <c r="AI449" s="1029"/>
      <c r="AJ449" s="1029"/>
      <c r="AK449" s="1029"/>
      <c r="AL449" s="1029"/>
      <c r="AM449" s="1029"/>
      <c r="AN449" s="1029"/>
      <c r="AO449" s="1029"/>
      <c r="AP449" s="1029"/>
      <c r="AQ449" s="1029"/>
      <c r="AR449" s="1029"/>
      <c r="AS449" s="1029"/>
      <c r="AT449" s="1029"/>
      <c r="AU449" s="1029"/>
      <c r="AV449" s="1029"/>
      <c r="AW449" s="1029"/>
      <c r="AX449" s="1029"/>
      <c r="AY449" s="1029"/>
      <c r="AZ449" s="1029"/>
      <c r="BA449" s="1029"/>
      <c r="BB449" s="1029"/>
      <c r="BC449" s="1029"/>
      <c r="BD449" s="1029"/>
      <c r="BE449" s="1029"/>
      <c r="BF449" s="1029"/>
      <c r="BG449" s="1029"/>
      <c r="BH449" s="1029"/>
      <c r="BI449" s="1127" t="s">
        <v>3971</v>
      </c>
      <c r="BJ449" s="1120" t="s">
        <v>3972</v>
      </c>
      <c r="BK449" s="1120" t="s">
        <v>3688</v>
      </c>
      <c r="BL449" s="1120" t="s">
        <v>1923</v>
      </c>
      <c r="BM449" s="1120" t="s">
        <v>3091</v>
      </c>
      <c r="BN449" s="1120" t="s">
        <v>291</v>
      </c>
      <c r="BO449" s="1121"/>
      <c r="BP449" s="1122">
        <v>1</v>
      </c>
      <c r="BQ449" s="1123"/>
      <c r="BR449" s="1123"/>
      <c r="BS449" s="1124"/>
      <c r="BT449" s="1125"/>
    </row>
    <row r="450" spans="1:72" s="1126" customFormat="1" ht="40.5" customHeight="1">
      <c r="A450" s="1099">
        <f t="shared" ref="A450:A455" si="111">A449+1</f>
        <v>187</v>
      </c>
      <c r="B450" s="1130" t="s">
        <v>3973</v>
      </c>
      <c r="C450" s="1127"/>
      <c r="D450" s="1127"/>
      <c r="E450" s="1118"/>
      <c r="F450" s="1031">
        <f t="shared" si="110"/>
        <v>0.04</v>
      </c>
      <c r="G450" s="1031">
        <v>0.04</v>
      </c>
      <c r="H450" s="1026"/>
      <c r="I450" s="1026"/>
      <c r="J450" s="1029"/>
      <c r="K450" s="1029"/>
      <c r="L450" s="1029"/>
      <c r="M450" s="1029"/>
      <c r="N450" s="1029"/>
      <c r="O450" s="1029"/>
      <c r="P450" s="1029"/>
      <c r="Q450" s="1029"/>
      <c r="R450" s="1029"/>
      <c r="S450" s="1029"/>
      <c r="T450" s="1029"/>
      <c r="U450" s="1029"/>
      <c r="V450" s="1029"/>
      <c r="W450" s="1029"/>
      <c r="X450" s="1029"/>
      <c r="Y450" s="1029"/>
      <c r="Z450" s="1029"/>
      <c r="AA450" s="1029"/>
      <c r="AB450" s="1029"/>
      <c r="AC450" s="1029"/>
      <c r="AD450" s="1029"/>
      <c r="AE450" s="1029"/>
      <c r="AF450" s="1029"/>
      <c r="AG450" s="1029"/>
      <c r="AH450" s="1029"/>
      <c r="AI450" s="1029"/>
      <c r="AJ450" s="1029"/>
      <c r="AK450" s="1029"/>
      <c r="AL450" s="1029"/>
      <c r="AM450" s="1029"/>
      <c r="AN450" s="1029"/>
      <c r="AO450" s="1029"/>
      <c r="AP450" s="1029"/>
      <c r="AQ450" s="1029"/>
      <c r="AR450" s="1029"/>
      <c r="AS450" s="1029"/>
      <c r="AT450" s="1029"/>
      <c r="AU450" s="1029"/>
      <c r="AV450" s="1029"/>
      <c r="AW450" s="1029"/>
      <c r="AX450" s="1029"/>
      <c r="AY450" s="1029"/>
      <c r="AZ450" s="1029"/>
      <c r="BA450" s="1029"/>
      <c r="BB450" s="1029"/>
      <c r="BC450" s="1029"/>
      <c r="BD450" s="1029"/>
      <c r="BE450" s="1029"/>
      <c r="BF450" s="1029"/>
      <c r="BG450" s="1029"/>
      <c r="BH450" s="1029"/>
      <c r="BI450" s="1127" t="s">
        <v>3974</v>
      </c>
      <c r="BJ450" s="1120" t="s">
        <v>3975</v>
      </c>
      <c r="BK450" s="1120" t="s">
        <v>3304</v>
      </c>
      <c r="BL450" s="1171" t="s">
        <v>1923</v>
      </c>
      <c r="BM450" s="1120" t="s">
        <v>3091</v>
      </c>
      <c r="BN450" s="1120" t="s">
        <v>291</v>
      </c>
      <c r="BO450" s="1121"/>
      <c r="BP450" s="1122">
        <v>1</v>
      </c>
      <c r="BQ450" s="1123"/>
      <c r="BR450" s="1123"/>
      <c r="BS450" s="1124"/>
      <c r="BT450" s="1125"/>
    </row>
    <row r="451" spans="1:72" s="1126" customFormat="1" ht="40.5" customHeight="1">
      <c r="A451" s="1099">
        <f t="shared" si="111"/>
        <v>188</v>
      </c>
      <c r="B451" s="1130" t="s">
        <v>3976</v>
      </c>
      <c r="C451" s="1127"/>
      <c r="D451" s="1127"/>
      <c r="E451" s="1118"/>
      <c r="F451" s="1031">
        <f t="shared" si="110"/>
        <v>0.03</v>
      </c>
      <c r="G451" s="1031">
        <v>0.03</v>
      </c>
      <c r="H451" s="1026"/>
      <c r="I451" s="1026"/>
      <c r="J451" s="1029"/>
      <c r="K451" s="1029"/>
      <c r="L451" s="1029"/>
      <c r="M451" s="1029"/>
      <c r="N451" s="1029"/>
      <c r="O451" s="1029"/>
      <c r="P451" s="1029"/>
      <c r="Q451" s="1029"/>
      <c r="R451" s="1029"/>
      <c r="S451" s="1029"/>
      <c r="T451" s="1029"/>
      <c r="U451" s="1029"/>
      <c r="V451" s="1029"/>
      <c r="W451" s="1029"/>
      <c r="X451" s="1029"/>
      <c r="Y451" s="1029"/>
      <c r="Z451" s="1029"/>
      <c r="AA451" s="1029"/>
      <c r="AB451" s="1029"/>
      <c r="AC451" s="1029"/>
      <c r="AD451" s="1029"/>
      <c r="AE451" s="1029"/>
      <c r="AF451" s="1029"/>
      <c r="AG451" s="1029"/>
      <c r="AH451" s="1029"/>
      <c r="AI451" s="1029"/>
      <c r="AJ451" s="1029"/>
      <c r="AK451" s="1029"/>
      <c r="AL451" s="1029"/>
      <c r="AM451" s="1029"/>
      <c r="AN451" s="1029"/>
      <c r="AO451" s="1029"/>
      <c r="AP451" s="1029"/>
      <c r="AQ451" s="1029"/>
      <c r="AR451" s="1029"/>
      <c r="AS451" s="1029"/>
      <c r="AT451" s="1029"/>
      <c r="AU451" s="1029"/>
      <c r="AV451" s="1029"/>
      <c r="AW451" s="1029"/>
      <c r="AX451" s="1029"/>
      <c r="AY451" s="1029"/>
      <c r="AZ451" s="1029"/>
      <c r="BA451" s="1029"/>
      <c r="BB451" s="1029"/>
      <c r="BC451" s="1029"/>
      <c r="BD451" s="1029"/>
      <c r="BE451" s="1029"/>
      <c r="BF451" s="1029"/>
      <c r="BG451" s="1029"/>
      <c r="BH451" s="1029"/>
      <c r="BI451" s="1127" t="s">
        <v>3532</v>
      </c>
      <c r="BJ451" s="1119" t="s">
        <v>3977</v>
      </c>
      <c r="BK451" s="1120" t="s">
        <v>3304</v>
      </c>
      <c r="BL451" s="1171" t="s">
        <v>1923</v>
      </c>
      <c r="BM451" s="1120" t="s">
        <v>3091</v>
      </c>
      <c r="BN451" s="1120" t="s">
        <v>291</v>
      </c>
      <c r="BO451" s="1121"/>
      <c r="BP451" s="1121">
        <v>1</v>
      </c>
      <c r="BQ451" s="1123"/>
      <c r="BR451" s="1123"/>
      <c r="BS451" s="1124"/>
      <c r="BT451" s="1125"/>
    </row>
    <row r="452" spans="1:72" s="1126" customFormat="1" ht="30" customHeight="1">
      <c r="A452" s="1099">
        <f t="shared" si="111"/>
        <v>189</v>
      </c>
      <c r="B452" s="1374" t="s">
        <v>3978</v>
      </c>
      <c r="C452" s="1032"/>
      <c r="D452" s="1032"/>
      <c r="E452" s="1118"/>
      <c r="F452" s="1031">
        <f t="shared" si="110"/>
        <v>0.03</v>
      </c>
      <c r="G452" s="1029">
        <v>0.03</v>
      </c>
      <c r="H452" s="1026"/>
      <c r="I452" s="1026"/>
      <c r="J452" s="1029"/>
      <c r="K452" s="1029"/>
      <c r="L452" s="1029"/>
      <c r="M452" s="1029"/>
      <c r="N452" s="1029"/>
      <c r="O452" s="1029"/>
      <c r="P452" s="1029"/>
      <c r="Q452" s="1029"/>
      <c r="R452" s="1029"/>
      <c r="S452" s="1029"/>
      <c r="T452" s="1029"/>
      <c r="U452" s="1029"/>
      <c r="V452" s="1029"/>
      <c r="W452" s="1029"/>
      <c r="X452" s="1029"/>
      <c r="Y452" s="1029"/>
      <c r="Z452" s="1029"/>
      <c r="AA452" s="1029"/>
      <c r="AB452" s="1029"/>
      <c r="AC452" s="1029"/>
      <c r="AD452" s="1029"/>
      <c r="AE452" s="1029"/>
      <c r="AF452" s="1029"/>
      <c r="AG452" s="1029"/>
      <c r="AH452" s="1029"/>
      <c r="AI452" s="1029"/>
      <c r="AJ452" s="1029"/>
      <c r="AK452" s="1029"/>
      <c r="AL452" s="1029"/>
      <c r="AM452" s="1029"/>
      <c r="AN452" s="1029"/>
      <c r="AO452" s="1029"/>
      <c r="AP452" s="1029"/>
      <c r="AQ452" s="1029"/>
      <c r="AR452" s="1029"/>
      <c r="AS452" s="1029"/>
      <c r="AT452" s="1029"/>
      <c r="AU452" s="1029"/>
      <c r="AV452" s="1029"/>
      <c r="AW452" s="1029"/>
      <c r="AX452" s="1029"/>
      <c r="AY452" s="1029"/>
      <c r="AZ452" s="1029"/>
      <c r="BA452" s="1029"/>
      <c r="BB452" s="1029"/>
      <c r="BC452" s="1029"/>
      <c r="BD452" s="1029"/>
      <c r="BE452" s="1029"/>
      <c r="BF452" s="1029"/>
      <c r="BG452" s="1029"/>
      <c r="BH452" s="1029"/>
      <c r="BI452" s="1032" t="s">
        <v>3979</v>
      </c>
      <c r="BJ452" s="1248" t="s">
        <v>3980</v>
      </c>
      <c r="BK452" s="1120" t="s">
        <v>3304</v>
      </c>
      <c r="BL452" s="1120" t="s">
        <v>1923</v>
      </c>
      <c r="BM452" s="1120" t="s">
        <v>3091</v>
      </c>
      <c r="BN452" s="1120" t="s">
        <v>291</v>
      </c>
      <c r="BO452" s="1121"/>
      <c r="BP452" s="1122">
        <v>1</v>
      </c>
      <c r="BQ452" s="1123"/>
      <c r="BR452" s="1123"/>
      <c r="BS452" s="1124"/>
      <c r="BT452" s="1125"/>
    </row>
    <row r="453" spans="1:72" s="1126" customFormat="1" ht="31.5" customHeight="1">
      <c r="A453" s="1099">
        <f t="shared" si="111"/>
        <v>190</v>
      </c>
      <c r="B453" s="1219" t="s">
        <v>3981</v>
      </c>
      <c r="C453" s="1127"/>
      <c r="D453" s="1127"/>
      <c r="E453" s="1440"/>
      <c r="F453" s="1029">
        <f t="shared" si="110"/>
        <v>0.01</v>
      </c>
      <c r="G453" s="1029">
        <v>0.01</v>
      </c>
      <c r="H453" s="1026"/>
      <c r="I453" s="1026"/>
      <c r="J453" s="1029"/>
      <c r="K453" s="1029"/>
      <c r="L453" s="1029"/>
      <c r="M453" s="1029"/>
      <c r="N453" s="1029"/>
      <c r="O453" s="1029"/>
      <c r="P453" s="1029"/>
      <c r="Q453" s="1029"/>
      <c r="R453" s="1029"/>
      <c r="S453" s="1029"/>
      <c r="T453" s="1029"/>
      <c r="U453" s="1029"/>
      <c r="V453" s="1029"/>
      <c r="W453" s="1029"/>
      <c r="X453" s="1029"/>
      <c r="Y453" s="1029"/>
      <c r="Z453" s="1029"/>
      <c r="AA453" s="1029"/>
      <c r="AB453" s="1029"/>
      <c r="AC453" s="1029"/>
      <c r="AD453" s="1029"/>
      <c r="AE453" s="1029"/>
      <c r="AF453" s="1029"/>
      <c r="AG453" s="1029"/>
      <c r="AH453" s="1029"/>
      <c r="AI453" s="1029"/>
      <c r="AJ453" s="1029"/>
      <c r="AK453" s="1029"/>
      <c r="AL453" s="1029"/>
      <c r="AM453" s="1029"/>
      <c r="AN453" s="1029"/>
      <c r="AO453" s="1029"/>
      <c r="AP453" s="1029"/>
      <c r="AQ453" s="1029"/>
      <c r="AR453" s="1029"/>
      <c r="AS453" s="1029"/>
      <c r="AT453" s="1029"/>
      <c r="AU453" s="1029"/>
      <c r="AV453" s="1029"/>
      <c r="AW453" s="1029"/>
      <c r="AX453" s="1029"/>
      <c r="AY453" s="1029"/>
      <c r="AZ453" s="1029"/>
      <c r="BA453" s="1029"/>
      <c r="BB453" s="1029"/>
      <c r="BC453" s="1029"/>
      <c r="BD453" s="1029"/>
      <c r="BE453" s="1029"/>
      <c r="BF453" s="1029"/>
      <c r="BG453" s="1029"/>
      <c r="BH453" s="1029"/>
      <c r="BI453" s="1127" t="s">
        <v>3302</v>
      </c>
      <c r="BJ453" s="1120" t="s">
        <v>3982</v>
      </c>
      <c r="BK453" s="1120" t="s">
        <v>3304</v>
      </c>
      <c r="BL453" s="1120" t="s">
        <v>1923</v>
      </c>
      <c r="BM453" s="1120" t="s">
        <v>3091</v>
      </c>
      <c r="BN453" s="1120" t="s">
        <v>291</v>
      </c>
      <c r="BO453" s="1121"/>
      <c r="BP453" s="1122">
        <v>1</v>
      </c>
      <c r="BQ453" s="1123"/>
      <c r="BR453" s="1123"/>
      <c r="BS453" s="1124"/>
      <c r="BT453" s="1125"/>
    </row>
    <row r="454" spans="1:72" s="1126" customFormat="1" ht="29.25" customHeight="1">
      <c r="A454" s="1099">
        <f t="shared" si="111"/>
        <v>191</v>
      </c>
      <c r="B454" s="1130" t="s">
        <v>3983</v>
      </c>
      <c r="C454" s="1439"/>
      <c r="D454" s="1439"/>
      <c r="E454" s="1118"/>
      <c r="F454" s="1031">
        <f t="shared" si="110"/>
        <v>0.02</v>
      </c>
      <c r="G454" s="1031">
        <v>0.02</v>
      </c>
      <c r="H454" s="1026"/>
      <c r="I454" s="1026"/>
      <c r="J454" s="1029"/>
      <c r="K454" s="1029"/>
      <c r="L454" s="1029"/>
      <c r="M454" s="1029"/>
      <c r="N454" s="1029"/>
      <c r="O454" s="1029"/>
      <c r="P454" s="1029"/>
      <c r="Q454" s="1029"/>
      <c r="R454" s="1029"/>
      <c r="S454" s="1029"/>
      <c r="T454" s="1029"/>
      <c r="U454" s="1029"/>
      <c r="V454" s="1029"/>
      <c r="W454" s="1029"/>
      <c r="X454" s="1029"/>
      <c r="Y454" s="1029"/>
      <c r="Z454" s="1029"/>
      <c r="AA454" s="1029"/>
      <c r="AB454" s="1029"/>
      <c r="AC454" s="1029"/>
      <c r="AD454" s="1029"/>
      <c r="AE454" s="1029"/>
      <c r="AF454" s="1029"/>
      <c r="AG454" s="1029"/>
      <c r="AH454" s="1029"/>
      <c r="AI454" s="1029"/>
      <c r="AJ454" s="1029"/>
      <c r="AK454" s="1029"/>
      <c r="AL454" s="1029"/>
      <c r="AM454" s="1029"/>
      <c r="AN454" s="1029"/>
      <c r="AO454" s="1029"/>
      <c r="AP454" s="1029"/>
      <c r="AQ454" s="1029"/>
      <c r="AR454" s="1029"/>
      <c r="AS454" s="1029"/>
      <c r="AT454" s="1029"/>
      <c r="AU454" s="1029"/>
      <c r="AV454" s="1029"/>
      <c r="AW454" s="1029"/>
      <c r="AX454" s="1029"/>
      <c r="AY454" s="1029"/>
      <c r="AZ454" s="1029"/>
      <c r="BA454" s="1029"/>
      <c r="BB454" s="1029"/>
      <c r="BC454" s="1029"/>
      <c r="BD454" s="1029"/>
      <c r="BE454" s="1029"/>
      <c r="BF454" s="1029"/>
      <c r="BG454" s="1029"/>
      <c r="BH454" s="1029"/>
      <c r="BI454" s="1439" t="s">
        <v>3984</v>
      </c>
      <c r="BJ454" s="1115" t="s">
        <v>3985</v>
      </c>
      <c r="BK454" s="1120" t="s">
        <v>3304</v>
      </c>
      <c r="BL454" s="1120" t="s">
        <v>1923</v>
      </c>
      <c r="BM454" s="1120" t="s">
        <v>3091</v>
      </c>
      <c r="BN454" s="1120" t="s">
        <v>291</v>
      </c>
      <c r="BO454" s="1121"/>
      <c r="BP454" s="1122">
        <v>1</v>
      </c>
      <c r="BQ454" s="1123"/>
      <c r="BR454" s="1123"/>
      <c r="BS454" s="1124"/>
      <c r="BT454" s="1125"/>
    </row>
    <row r="455" spans="1:72" ht="33.75" customHeight="1">
      <c r="A455" s="1099">
        <f t="shared" si="111"/>
        <v>192</v>
      </c>
      <c r="B455" s="1070" t="s">
        <v>3986</v>
      </c>
      <c r="C455" s="1127" t="s">
        <v>3019</v>
      </c>
      <c r="D455" s="1120" t="s">
        <v>3087</v>
      </c>
      <c r="E455" s="1118" t="s">
        <v>48</v>
      </c>
      <c r="F455" s="1031">
        <f>G455+H455</f>
        <v>0.05</v>
      </c>
      <c r="G455" s="1031">
        <v>0.05</v>
      </c>
      <c r="H455" s="1029"/>
      <c r="I455" s="1029"/>
      <c r="J455" s="1031"/>
      <c r="K455" s="1031"/>
      <c r="L455" s="1031"/>
      <c r="M455" s="1031"/>
      <c r="N455" s="1031"/>
      <c r="O455" s="1031"/>
      <c r="P455" s="1031"/>
      <c r="Q455" s="1031"/>
      <c r="R455" s="1031"/>
      <c r="S455" s="1031"/>
      <c r="T455" s="1031"/>
      <c r="U455" s="1031"/>
      <c r="V455" s="1031"/>
      <c r="W455" s="1031"/>
      <c r="X455" s="1031"/>
      <c r="Y455" s="1031"/>
      <c r="Z455" s="1031"/>
      <c r="AA455" s="1031"/>
      <c r="AB455" s="1031"/>
      <c r="AC455" s="1031"/>
      <c r="AD455" s="1031"/>
      <c r="AE455" s="1031"/>
      <c r="AF455" s="1031"/>
      <c r="AG455" s="1031"/>
      <c r="AH455" s="1031"/>
      <c r="AI455" s="1031"/>
      <c r="AJ455" s="1031"/>
      <c r="AK455" s="1031"/>
      <c r="AL455" s="1031"/>
      <c r="AM455" s="1031"/>
      <c r="AN455" s="1031"/>
      <c r="AO455" s="1031"/>
      <c r="AP455" s="1031"/>
      <c r="AQ455" s="1031"/>
      <c r="AR455" s="1031"/>
      <c r="AS455" s="1031"/>
      <c r="AT455" s="1031"/>
      <c r="AU455" s="1031"/>
      <c r="AV455" s="1031"/>
      <c r="AW455" s="1031"/>
      <c r="AX455" s="1031"/>
      <c r="AY455" s="1031"/>
      <c r="AZ455" s="1031"/>
      <c r="BA455" s="1031"/>
      <c r="BB455" s="1031"/>
      <c r="BC455" s="1031"/>
      <c r="BD455" s="1031"/>
      <c r="BE455" s="1031"/>
      <c r="BF455" s="1031"/>
      <c r="BG455" s="1031"/>
      <c r="BH455" s="1031"/>
      <c r="BI455" s="1127" t="s">
        <v>3570</v>
      </c>
      <c r="BJ455" s="1032" t="s">
        <v>3987</v>
      </c>
      <c r="BK455" s="1120" t="s">
        <v>3304</v>
      </c>
      <c r="BL455" s="1120" t="s">
        <v>1917</v>
      </c>
      <c r="BM455" s="1120" t="s">
        <v>3988</v>
      </c>
      <c r="BN455" s="1120" t="s">
        <v>291</v>
      </c>
      <c r="BP455" s="1122">
        <v>1</v>
      </c>
      <c r="BQ455" s="1246" t="s">
        <v>3185</v>
      </c>
      <c r="BR455" s="1232" t="s">
        <v>3989</v>
      </c>
      <c r="BS455" s="1124" t="s">
        <v>3184</v>
      </c>
      <c r="BT455" s="1118"/>
    </row>
    <row r="456" spans="1:72" s="1126" customFormat="1" ht="16.5" customHeight="1">
      <c r="A456" s="1023" t="s">
        <v>581</v>
      </c>
      <c r="B456" s="1207" t="s">
        <v>107</v>
      </c>
      <c r="C456" s="1441"/>
      <c r="D456" s="1441"/>
      <c r="E456" s="1125"/>
      <c r="F456" s="1026">
        <f t="shared" si="110"/>
        <v>0.28999999999999998</v>
      </c>
      <c r="G456" s="1026">
        <f>SUM(G457:G457)</f>
        <v>0.28999999999999998</v>
      </c>
      <c r="H456" s="1026"/>
      <c r="I456" s="1026"/>
      <c r="J456" s="1029"/>
      <c r="K456" s="1029"/>
      <c r="L456" s="1029"/>
      <c r="M456" s="1029"/>
      <c r="N456" s="1029"/>
      <c r="O456" s="1029"/>
      <c r="P456" s="1029"/>
      <c r="Q456" s="1029"/>
      <c r="R456" s="1029"/>
      <c r="S456" s="1029"/>
      <c r="T456" s="1029"/>
      <c r="U456" s="1029"/>
      <c r="V456" s="1029"/>
      <c r="W456" s="1029"/>
      <c r="X456" s="1029"/>
      <c r="Y456" s="1029"/>
      <c r="Z456" s="1029"/>
      <c r="AA456" s="1029"/>
      <c r="AB456" s="1029"/>
      <c r="AC456" s="1029"/>
      <c r="AD456" s="1029"/>
      <c r="AE456" s="1029"/>
      <c r="AF456" s="1029"/>
      <c r="AG456" s="1029"/>
      <c r="AH456" s="1029"/>
      <c r="AI456" s="1029"/>
      <c r="AJ456" s="1029"/>
      <c r="AK456" s="1029"/>
      <c r="AL456" s="1029"/>
      <c r="AM456" s="1029"/>
      <c r="AN456" s="1029"/>
      <c r="AO456" s="1029"/>
      <c r="AP456" s="1029"/>
      <c r="AQ456" s="1029"/>
      <c r="AR456" s="1029"/>
      <c r="AS456" s="1029"/>
      <c r="AT456" s="1029"/>
      <c r="AU456" s="1029"/>
      <c r="AV456" s="1029"/>
      <c r="AW456" s="1029"/>
      <c r="AX456" s="1029"/>
      <c r="AY456" s="1029"/>
      <c r="AZ456" s="1029"/>
      <c r="BA456" s="1029"/>
      <c r="BB456" s="1029"/>
      <c r="BC456" s="1029"/>
      <c r="BD456" s="1029"/>
      <c r="BE456" s="1029"/>
      <c r="BF456" s="1029"/>
      <c r="BG456" s="1029"/>
      <c r="BH456" s="1029"/>
      <c r="BI456" s="1441"/>
      <c r="BJ456" s="1102"/>
      <c r="BK456" s="1396"/>
      <c r="BL456" s="1396"/>
      <c r="BM456" s="1208"/>
      <c r="BN456" s="1208"/>
      <c r="BO456" s="1122"/>
      <c r="BP456" s="1122"/>
      <c r="BQ456" s="1123"/>
      <c r="BR456" s="1123"/>
      <c r="BS456" s="1210"/>
      <c r="BT456" s="1125"/>
    </row>
    <row r="457" spans="1:72" s="1126" customFormat="1" ht="35.1" customHeight="1">
      <c r="A457" s="1099">
        <f>A455+1</f>
        <v>193</v>
      </c>
      <c r="B457" s="1130" t="s">
        <v>3990</v>
      </c>
      <c r="C457" s="1049"/>
      <c r="D457" s="1049"/>
      <c r="E457" s="1118" t="s">
        <v>59</v>
      </c>
      <c r="F457" s="1031">
        <f t="shared" si="110"/>
        <v>0.28999999999999998</v>
      </c>
      <c r="G457" s="1031">
        <v>0.28999999999999998</v>
      </c>
      <c r="H457" s="1026"/>
      <c r="I457" s="1026"/>
      <c r="J457" s="1029"/>
      <c r="K457" s="1029"/>
      <c r="L457" s="1029"/>
      <c r="M457" s="1029"/>
      <c r="N457" s="1029"/>
      <c r="O457" s="1029"/>
      <c r="P457" s="1029"/>
      <c r="Q457" s="1029"/>
      <c r="R457" s="1029"/>
      <c r="S457" s="1029"/>
      <c r="T457" s="1029"/>
      <c r="U457" s="1029"/>
      <c r="V457" s="1029"/>
      <c r="W457" s="1029"/>
      <c r="X457" s="1029"/>
      <c r="Y457" s="1029"/>
      <c r="Z457" s="1029"/>
      <c r="AA457" s="1029"/>
      <c r="AB457" s="1029"/>
      <c r="AC457" s="1029"/>
      <c r="AD457" s="1029"/>
      <c r="AE457" s="1029"/>
      <c r="AF457" s="1029"/>
      <c r="AG457" s="1029"/>
      <c r="AH457" s="1029"/>
      <c r="AI457" s="1029"/>
      <c r="AJ457" s="1029"/>
      <c r="AK457" s="1029"/>
      <c r="AL457" s="1029"/>
      <c r="AM457" s="1029"/>
      <c r="AN457" s="1029"/>
      <c r="AO457" s="1029"/>
      <c r="AP457" s="1029"/>
      <c r="AQ457" s="1029"/>
      <c r="AR457" s="1029"/>
      <c r="AS457" s="1029"/>
      <c r="AT457" s="1029"/>
      <c r="AU457" s="1029"/>
      <c r="AV457" s="1029"/>
      <c r="AW457" s="1029"/>
      <c r="AX457" s="1029"/>
      <c r="AY457" s="1029"/>
      <c r="AZ457" s="1029"/>
      <c r="BA457" s="1029"/>
      <c r="BB457" s="1029"/>
      <c r="BC457" s="1029"/>
      <c r="BD457" s="1029"/>
      <c r="BE457" s="1029"/>
      <c r="BF457" s="1029"/>
      <c r="BG457" s="1029"/>
      <c r="BH457" s="1029"/>
      <c r="BI457" s="1049" t="s">
        <v>3562</v>
      </c>
      <c r="BJ457" s="1120" t="s">
        <v>3991</v>
      </c>
      <c r="BK457" s="1171" t="s">
        <v>3992</v>
      </c>
      <c r="BL457" s="1220" t="s">
        <v>1923</v>
      </c>
      <c r="BM457" s="1120" t="s">
        <v>3091</v>
      </c>
      <c r="BN457" s="1120" t="s">
        <v>291</v>
      </c>
      <c r="BO457" s="1121"/>
      <c r="BP457" s="1122">
        <v>1</v>
      </c>
      <c r="BQ457" s="1123"/>
      <c r="BR457" s="1123"/>
      <c r="BS457" s="1124"/>
      <c r="BT457" s="1125"/>
    </row>
    <row r="458" spans="1:72" s="1152" customFormat="1" ht="17.25" customHeight="1">
      <c r="A458" s="1023" t="s">
        <v>640</v>
      </c>
      <c r="B458" s="1213" t="s">
        <v>2769</v>
      </c>
      <c r="C458" s="1403"/>
      <c r="D458" s="1403"/>
      <c r="E458" s="1109"/>
      <c r="F458" s="1026">
        <f>F459</f>
        <v>0.4</v>
      </c>
      <c r="G458" s="1026">
        <f>G459</f>
        <v>0.4</v>
      </c>
      <c r="H458" s="1026"/>
      <c r="I458" s="1026"/>
      <c r="J458" s="1026"/>
      <c r="K458" s="1026"/>
      <c r="L458" s="1026"/>
      <c r="M458" s="1026"/>
      <c r="N458" s="1026"/>
      <c r="O458" s="1026"/>
      <c r="P458" s="1026"/>
      <c r="Q458" s="1026"/>
      <c r="R458" s="1026"/>
      <c r="S458" s="1026"/>
      <c r="T458" s="1026"/>
      <c r="U458" s="1026"/>
      <c r="V458" s="1026"/>
      <c r="W458" s="1026"/>
      <c r="X458" s="1026"/>
      <c r="Y458" s="1026"/>
      <c r="Z458" s="1026"/>
      <c r="AA458" s="1026"/>
      <c r="AB458" s="1026"/>
      <c r="AC458" s="1026"/>
      <c r="AD458" s="1026"/>
      <c r="AE458" s="1026"/>
      <c r="AF458" s="1026"/>
      <c r="AG458" s="1026"/>
      <c r="AH458" s="1026"/>
      <c r="AI458" s="1026"/>
      <c r="AJ458" s="1026"/>
      <c r="AK458" s="1026"/>
      <c r="AL458" s="1026"/>
      <c r="AM458" s="1026"/>
      <c r="AN458" s="1026"/>
      <c r="AO458" s="1026"/>
      <c r="AP458" s="1026"/>
      <c r="AQ458" s="1026"/>
      <c r="AR458" s="1026"/>
      <c r="AS458" s="1026"/>
      <c r="AT458" s="1026"/>
      <c r="AU458" s="1026"/>
      <c r="AV458" s="1026"/>
      <c r="AW458" s="1026"/>
      <c r="AX458" s="1026"/>
      <c r="AY458" s="1026"/>
      <c r="AZ458" s="1026"/>
      <c r="BA458" s="1026"/>
      <c r="BB458" s="1026"/>
      <c r="BC458" s="1026"/>
      <c r="BD458" s="1026"/>
      <c r="BE458" s="1026"/>
      <c r="BF458" s="1026"/>
      <c r="BG458" s="1026"/>
      <c r="BH458" s="1026"/>
      <c r="BI458" s="1024"/>
      <c r="BJ458" s="1208"/>
      <c r="BK458" s="1396"/>
      <c r="BL458" s="1209"/>
      <c r="BM458" s="1208"/>
      <c r="BN458" s="1208"/>
      <c r="BO458" s="1122"/>
      <c r="BP458" s="1122"/>
      <c r="BQ458" s="1123"/>
      <c r="BR458" s="1123"/>
      <c r="BS458" s="1210"/>
      <c r="BT458" s="1125"/>
    </row>
    <row r="459" spans="1:72" s="1126" customFormat="1" ht="25.5">
      <c r="A459" s="1099">
        <f>A457+1</f>
        <v>194</v>
      </c>
      <c r="B459" s="1130" t="s">
        <v>3993</v>
      </c>
      <c r="C459" s="1331"/>
      <c r="D459" s="1331"/>
      <c r="E459" s="1442" t="s">
        <v>54</v>
      </c>
      <c r="F459" s="1029">
        <v>0.4</v>
      </c>
      <c r="G459" s="1029">
        <v>0.4</v>
      </c>
      <c r="H459" s="1026"/>
      <c r="I459" s="1026"/>
      <c r="J459" s="1029"/>
      <c r="K459" s="1029"/>
      <c r="L459" s="1029"/>
      <c r="M459" s="1029"/>
      <c r="N459" s="1029"/>
      <c r="O459" s="1029"/>
      <c r="P459" s="1029"/>
      <c r="Q459" s="1029"/>
      <c r="R459" s="1029"/>
      <c r="S459" s="1029"/>
      <c r="T459" s="1029"/>
      <c r="U459" s="1029"/>
      <c r="V459" s="1029"/>
      <c r="W459" s="1029"/>
      <c r="X459" s="1029"/>
      <c r="Y459" s="1029"/>
      <c r="Z459" s="1029"/>
      <c r="AA459" s="1029"/>
      <c r="AB459" s="1029"/>
      <c r="AC459" s="1029"/>
      <c r="AD459" s="1029"/>
      <c r="AE459" s="1029"/>
      <c r="AF459" s="1029"/>
      <c r="AG459" s="1029"/>
      <c r="AH459" s="1029"/>
      <c r="AI459" s="1029"/>
      <c r="AJ459" s="1029"/>
      <c r="AK459" s="1029"/>
      <c r="AL459" s="1029"/>
      <c r="AM459" s="1029"/>
      <c r="AN459" s="1029"/>
      <c r="AO459" s="1029"/>
      <c r="AP459" s="1029"/>
      <c r="AQ459" s="1029"/>
      <c r="AR459" s="1029"/>
      <c r="AS459" s="1029"/>
      <c r="AT459" s="1029"/>
      <c r="AU459" s="1029"/>
      <c r="AV459" s="1029"/>
      <c r="AW459" s="1029"/>
      <c r="AX459" s="1029"/>
      <c r="AY459" s="1029"/>
      <c r="AZ459" s="1029"/>
      <c r="BA459" s="1029"/>
      <c r="BB459" s="1029"/>
      <c r="BC459" s="1029"/>
      <c r="BD459" s="1029"/>
      <c r="BE459" s="1029"/>
      <c r="BF459" s="1029"/>
      <c r="BG459" s="1029"/>
      <c r="BH459" s="1029"/>
      <c r="BI459" s="1127" t="s">
        <v>3402</v>
      </c>
      <c r="BJ459" s="1120" t="s">
        <v>3994</v>
      </c>
      <c r="BK459" s="1171" t="s">
        <v>3992</v>
      </c>
      <c r="BL459" s="1220"/>
      <c r="BM459" s="1120"/>
      <c r="BN459" s="1120" t="s">
        <v>298</v>
      </c>
      <c r="BO459" s="1121"/>
      <c r="BP459" s="1122">
        <v>1</v>
      </c>
      <c r="BQ459" s="1123"/>
      <c r="BR459" s="1123"/>
      <c r="BS459" s="1124"/>
      <c r="BT459" s="1125"/>
    </row>
    <row r="460" spans="1:72" s="1126" customFormat="1" ht="19.5" customHeight="1">
      <c r="A460" s="1023" t="s">
        <v>719</v>
      </c>
      <c r="B460" s="1213" t="s">
        <v>95</v>
      </c>
      <c r="C460" s="1125"/>
      <c r="D460" s="1125"/>
      <c r="E460" s="1125"/>
      <c r="F460" s="1026">
        <f>G460+H460</f>
        <v>3.21</v>
      </c>
      <c r="G460" s="1026">
        <f>SUM(G461:G470)</f>
        <v>3.21</v>
      </c>
      <c r="H460" s="1026"/>
      <c r="I460" s="1026"/>
      <c r="J460" s="1029"/>
      <c r="K460" s="1029"/>
      <c r="L460" s="1029"/>
      <c r="M460" s="1029"/>
      <c r="N460" s="1029"/>
      <c r="O460" s="1029"/>
      <c r="P460" s="1029"/>
      <c r="Q460" s="1029"/>
      <c r="R460" s="1029"/>
      <c r="S460" s="1029"/>
      <c r="T460" s="1029"/>
      <c r="U460" s="1029"/>
      <c r="V460" s="1029"/>
      <c r="W460" s="1029"/>
      <c r="X460" s="1029"/>
      <c r="Y460" s="1029"/>
      <c r="Z460" s="1029"/>
      <c r="AA460" s="1029"/>
      <c r="AB460" s="1029"/>
      <c r="AC460" s="1029"/>
      <c r="AD460" s="1029"/>
      <c r="AE460" s="1029"/>
      <c r="AF460" s="1029"/>
      <c r="AG460" s="1029"/>
      <c r="AH460" s="1029"/>
      <c r="AI460" s="1029"/>
      <c r="AJ460" s="1029"/>
      <c r="AK460" s="1029"/>
      <c r="AL460" s="1029"/>
      <c r="AM460" s="1029"/>
      <c r="AN460" s="1029"/>
      <c r="AO460" s="1029"/>
      <c r="AP460" s="1029"/>
      <c r="AQ460" s="1029"/>
      <c r="AR460" s="1029"/>
      <c r="AS460" s="1029"/>
      <c r="AT460" s="1029"/>
      <c r="AU460" s="1029"/>
      <c r="AV460" s="1029"/>
      <c r="AW460" s="1029"/>
      <c r="AX460" s="1029"/>
      <c r="AY460" s="1029"/>
      <c r="AZ460" s="1029"/>
      <c r="BA460" s="1029"/>
      <c r="BB460" s="1029"/>
      <c r="BC460" s="1029"/>
      <c r="BD460" s="1029"/>
      <c r="BE460" s="1029"/>
      <c r="BF460" s="1029"/>
      <c r="BG460" s="1029"/>
      <c r="BH460" s="1029"/>
      <c r="BI460" s="1125"/>
      <c r="BJ460" s="1208"/>
      <c r="BK460" s="1208"/>
      <c r="BL460" s="1208"/>
      <c r="BM460" s="1208"/>
      <c r="BN460" s="1208"/>
      <c r="BO460" s="1122"/>
      <c r="BP460" s="1122"/>
      <c r="BQ460" s="1123"/>
      <c r="BR460" s="1123"/>
      <c r="BS460" s="1210"/>
      <c r="BT460" s="1125"/>
    </row>
    <row r="461" spans="1:72" s="1126" customFormat="1" ht="68.25" customHeight="1">
      <c r="A461" s="1099">
        <f>A459+1</f>
        <v>195</v>
      </c>
      <c r="B461" s="1215" t="s">
        <v>3995</v>
      </c>
      <c r="C461" s="1120"/>
      <c r="D461" s="1120"/>
      <c r="E461" s="1118" t="s">
        <v>24</v>
      </c>
      <c r="F461" s="1031">
        <f t="shared" si="110"/>
        <v>0.53</v>
      </c>
      <c r="G461" s="1029">
        <v>0.53</v>
      </c>
      <c r="H461" s="1026"/>
      <c r="I461" s="1026"/>
      <c r="J461" s="1029"/>
      <c r="K461" s="1029"/>
      <c r="L461" s="1029"/>
      <c r="M461" s="1029"/>
      <c r="N461" s="1029"/>
      <c r="O461" s="1029"/>
      <c r="P461" s="1029"/>
      <c r="Q461" s="1029"/>
      <c r="R461" s="1029"/>
      <c r="S461" s="1029"/>
      <c r="T461" s="1029"/>
      <c r="U461" s="1029"/>
      <c r="V461" s="1029"/>
      <c r="W461" s="1029"/>
      <c r="X461" s="1029"/>
      <c r="Y461" s="1029"/>
      <c r="Z461" s="1029"/>
      <c r="AA461" s="1029"/>
      <c r="AB461" s="1029"/>
      <c r="AC461" s="1029"/>
      <c r="AD461" s="1029"/>
      <c r="AE461" s="1029"/>
      <c r="AF461" s="1029"/>
      <c r="AG461" s="1029"/>
      <c r="AH461" s="1029"/>
      <c r="AI461" s="1029"/>
      <c r="AJ461" s="1029"/>
      <c r="AK461" s="1029"/>
      <c r="AL461" s="1029"/>
      <c r="AM461" s="1029"/>
      <c r="AN461" s="1029"/>
      <c r="AO461" s="1029"/>
      <c r="AP461" s="1029"/>
      <c r="AQ461" s="1029"/>
      <c r="AR461" s="1029"/>
      <c r="AS461" s="1029"/>
      <c r="AT461" s="1029"/>
      <c r="AU461" s="1029"/>
      <c r="AV461" s="1029"/>
      <c r="AW461" s="1029"/>
      <c r="AX461" s="1029"/>
      <c r="AY461" s="1029"/>
      <c r="AZ461" s="1029"/>
      <c r="BA461" s="1029"/>
      <c r="BB461" s="1029"/>
      <c r="BC461" s="1029"/>
      <c r="BD461" s="1029"/>
      <c r="BE461" s="1029"/>
      <c r="BF461" s="1029"/>
      <c r="BG461" s="1029"/>
      <c r="BH461" s="1029"/>
      <c r="BI461" s="1120" t="s">
        <v>3595</v>
      </c>
      <c r="BJ461" s="1120" t="s">
        <v>3996</v>
      </c>
      <c r="BK461" s="1120" t="s">
        <v>3997</v>
      </c>
      <c r="BL461" s="1120" t="s">
        <v>1923</v>
      </c>
      <c r="BM461" s="1120" t="s">
        <v>3091</v>
      </c>
      <c r="BN461" s="1120" t="s">
        <v>291</v>
      </c>
      <c r="BO461" s="1121"/>
      <c r="BP461" s="1122">
        <v>1</v>
      </c>
      <c r="BQ461" s="1123"/>
      <c r="BR461" s="1123"/>
      <c r="BS461" s="1124"/>
      <c r="BT461" s="1125"/>
    </row>
    <row r="462" spans="1:72" s="1126" customFormat="1" ht="33.6" customHeight="1">
      <c r="A462" s="1099">
        <f t="shared" ref="A462:A470" si="112">A461+1</f>
        <v>196</v>
      </c>
      <c r="B462" s="1325" t="s">
        <v>3998</v>
      </c>
      <c r="C462" s="1120"/>
      <c r="D462" s="1120"/>
      <c r="E462" s="1118" t="s">
        <v>24</v>
      </c>
      <c r="F462" s="1031">
        <f t="shared" si="110"/>
        <v>0.24</v>
      </c>
      <c r="G462" s="1029">
        <v>0.24</v>
      </c>
      <c r="H462" s="1026"/>
      <c r="I462" s="1026"/>
      <c r="J462" s="1029"/>
      <c r="K462" s="1029"/>
      <c r="L462" s="1029"/>
      <c r="M462" s="1029"/>
      <c r="N462" s="1029"/>
      <c r="O462" s="1029"/>
      <c r="P462" s="1029"/>
      <c r="Q462" s="1029"/>
      <c r="R462" s="1029"/>
      <c r="S462" s="1029"/>
      <c r="T462" s="1029"/>
      <c r="U462" s="1029"/>
      <c r="V462" s="1029"/>
      <c r="W462" s="1029"/>
      <c r="X462" s="1029"/>
      <c r="Y462" s="1029"/>
      <c r="Z462" s="1029"/>
      <c r="AA462" s="1029"/>
      <c r="AB462" s="1029"/>
      <c r="AC462" s="1029"/>
      <c r="AD462" s="1029"/>
      <c r="AE462" s="1029"/>
      <c r="AF462" s="1029"/>
      <c r="AG462" s="1029"/>
      <c r="AH462" s="1029"/>
      <c r="AI462" s="1029"/>
      <c r="AJ462" s="1029"/>
      <c r="AK462" s="1029"/>
      <c r="AL462" s="1029"/>
      <c r="AM462" s="1029"/>
      <c r="AN462" s="1029"/>
      <c r="AO462" s="1029"/>
      <c r="AP462" s="1029"/>
      <c r="AQ462" s="1029"/>
      <c r="AR462" s="1029"/>
      <c r="AS462" s="1029"/>
      <c r="AT462" s="1029"/>
      <c r="AU462" s="1029"/>
      <c r="AV462" s="1029"/>
      <c r="AW462" s="1029"/>
      <c r="AX462" s="1029"/>
      <c r="AY462" s="1029"/>
      <c r="AZ462" s="1029"/>
      <c r="BA462" s="1029"/>
      <c r="BB462" s="1029"/>
      <c r="BC462" s="1029"/>
      <c r="BD462" s="1029"/>
      <c r="BE462" s="1029"/>
      <c r="BF462" s="1029"/>
      <c r="BG462" s="1029"/>
      <c r="BH462" s="1029"/>
      <c r="BI462" s="1049" t="s">
        <v>3999</v>
      </c>
      <c r="BJ462" s="1120" t="s">
        <v>4000</v>
      </c>
      <c r="BK462" s="1120" t="s">
        <v>3304</v>
      </c>
      <c r="BL462" s="1120" t="s">
        <v>1923</v>
      </c>
      <c r="BM462" s="1120" t="s">
        <v>3091</v>
      </c>
      <c r="BN462" s="1120" t="s">
        <v>291</v>
      </c>
      <c r="BO462" s="1121"/>
      <c r="BP462" s="1122">
        <v>1</v>
      </c>
      <c r="BQ462" s="1123"/>
      <c r="BR462" s="1123"/>
      <c r="BS462" s="1124"/>
      <c r="BT462" s="1125"/>
    </row>
    <row r="463" spans="1:72" s="1126" customFormat="1" ht="32.1" customHeight="1">
      <c r="A463" s="1099">
        <f t="shared" si="112"/>
        <v>197</v>
      </c>
      <c r="B463" s="1166" t="s">
        <v>4001</v>
      </c>
      <c r="C463" s="1083"/>
      <c r="D463" s="1083"/>
      <c r="E463" s="1409" t="s">
        <v>24</v>
      </c>
      <c r="F463" s="1031">
        <f t="shared" si="110"/>
        <v>0.65</v>
      </c>
      <c r="G463" s="1029">
        <v>0.65</v>
      </c>
      <c r="H463" s="1026"/>
      <c r="I463" s="1026"/>
      <c r="J463" s="1029"/>
      <c r="K463" s="1029"/>
      <c r="L463" s="1029"/>
      <c r="M463" s="1029"/>
      <c r="N463" s="1029"/>
      <c r="O463" s="1029"/>
      <c r="P463" s="1029"/>
      <c r="Q463" s="1029"/>
      <c r="R463" s="1029"/>
      <c r="S463" s="1029"/>
      <c r="T463" s="1029"/>
      <c r="U463" s="1029"/>
      <c r="V463" s="1029"/>
      <c r="W463" s="1029"/>
      <c r="X463" s="1029"/>
      <c r="Y463" s="1029"/>
      <c r="Z463" s="1029"/>
      <c r="AA463" s="1029"/>
      <c r="AB463" s="1029"/>
      <c r="AC463" s="1029"/>
      <c r="AD463" s="1029"/>
      <c r="AE463" s="1029"/>
      <c r="AF463" s="1029"/>
      <c r="AG463" s="1029"/>
      <c r="AH463" s="1029"/>
      <c r="AI463" s="1029"/>
      <c r="AJ463" s="1029"/>
      <c r="AK463" s="1029"/>
      <c r="AL463" s="1029"/>
      <c r="AM463" s="1029"/>
      <c r="AN463" s="1029"/>
      <c r="AO463" s="1029"/>
      <c r="AP463" s="1029"/>
      <c r="AQ463" s="1029"/>
      <c r="AR463" s="1029"/>
      <c r="AS463" s="1029"/>
      <c r="AT463" s="1029"/>
      <c r="AU463" s="1029"/>
      <c r="AV463" s="1029"/>
      <c r="AW463" s="1029"/>
      <c r="AX463" s="1029"/>
      <c r="AY463" s="1029"/>
      <c r="AZ463" s="1029"/>
      <c r="BA463" s="1029"/>
      <c r="BB463" s="1029"/>
      <c r="BC463" s="1029"/>
      <c r="BD463" s="1029"/>
      <c r="BE463" s="1029"/>
      <c r="BF463" s="1029"/>
      <c r="BG463" s="1029"/>
      <c r="BH463" s="1029"/>
      <c r="BI463" s="1083" t="s">
        <v>3557</v>
      </c>
      <c r="BJ463" s="1120" t="s">
        <v>4002</v>
      </c>
      <c r="BK463" s="1171" t="s">
        <v>3992</v>
      </c>
      <c r="BL463" s="1120" t="s">
        <v>1923</v>
      </c>
      <c r="BM463" s="1120" t="s">
        <v>3091</v>
      </c>
      <c r="BN463" s="1120" t="s">
        <v>291</v>
      </c>
      <c r="BO463" s="1121"/>
      <c r="BP463" s="1122">
        <v>1</v>
      </c>
      <c r="BQ463" s="1123"/>
      <c r="BR463" s="1123"/>
      <c r="BS463" s="1124"/>
      <c r="BT463" s="1125"/>
    </row>
    <row r="464" spans="1:72" s="1126" customFormat="1" ht="32.1" customHeight="1">
      <c r="A464" s="1099">
        <f t="shared" si="112"/>
        <v>198</v>
      </c>
      <c r="B464" s="1166" t="s">
        <v>4003</v>
      </c>
      <c r="C464" s="1083"/>
      <c r="D464" s="1083"/>
      <c r="E464" s="1409" t="s">
        <v>24</v>
      </c>
      <c r="F464" s="1031">
        <f t="shared" si="110"/>
        <v>0.17</v>
      </c>
      <c r="G464" s="1029">
        <v>0.17</v>
      </c>
      <c r="H464" s="1026"/>
      <c r="I464" s="1026"/>
      <c r="J464" s="1029"/>
      <c r="K464" s="1029"/>
      <c r="L464" s="1029"/>
      <c r="M464" s="1029"/>
      <c r="N464" s="1029"/>
      <c r="O464" s="1029"/>
      <c r="P464" s="1029"/>
      <c r="Q464" s="1029"/>
      <c r="R464" s="1029"/>
      <c r="S464" s="1029"/>
      <c r="T464" s="1029"/>
      <c r="U464" s="1029"/>
      <c r="V464" s="1029"/>
      <c r="W464" s="1029"/>
      <c r="X464" s="1029"/>
      <c r="Y464" s="1029"/>
      <c r="Z464" s="1029"/>
      <c r="AA464" s="1029"/>
      <c r="AB464" s="1029"/>
      <c r="AC464" s="1029"/>
      <c r="AD464" s="1029"/>
      <c r="AE464" s="1029"/>
      <c r="AF464" s="1029"/>
      <c r="AG464" s="1029"/>
      <c r="AH464" s="1029"/>
      <c r="AI464" s="1029"/>
      <c r="AJ464" s="1029"/>
      <c r="AK464" s="1029"/>
      <c r="AL464" s="1029"/>
      <c r="AM464" s="1029"/>
      <c r="AN464" s="1029"/>
      <c r="AO464" s="1029"/>
      <c r="AP464" s="1029"/>
      <c r="AQ464" s="1029"/>
      <c r="AR464" s="1029"/>
      <c r="AS464" s="1029"/>
      <c r="AT464" s="1029"/>
      <c r="AU464" s="1029"/>
      <c r="AV464" s="1029"/>
      <c r="AW464" s="1029"/>
      <c r="AX464" s="1029"/>
      <c r="AY464" s="1029"/>
      <c r="AZ464" s="1029"/>
      <c r="BA464" s="1029"/>
      <c r="BB464" s="1029"/>
      <c r="BC464" s="1029"/>
      <c r="BD464" s="1029"/>
      <c r="BE464" s="1029"/>
      <c r="BF464" s="1029"/>
      <c r="BG464" s="1029"/>
      <c r="BH464" s="1029"/>
      <c r="BI464" s="1083" t="s">
        <v>3124</v>
      </c>
      <c r="BJ464" s="1120" t="s">
        <v>4004</v>
      </c>
      <c r="BK464" s="1171" t="s">
        <v>3992</v>
      </c>
      <c r="BL464" s="1120" t="s">
        <v>1923</v>
      </c>
      <c r="BM464" s="1120" t="s">
        <v>3091</v>
      </c>
      <c r="BN464" s="1120" t="s">
        <v>291</v>
      </c>
      <c r="BO464" s="1121"/>
      <c r="BP464" s="1122">
        <v>1</v>
      </c>
      <c r="BQ464" s="1123"/>
      <c r="BR464" s="1123"/>
      <c r="BS464" s="1124"/>
      <c r="BT464" s="1125"/>
    </row>
    <row r="465" spans="1:72" s="1126" customFormat="1" ht="32.1" customHeight="1">
      <c r="A465" s="1099">
        <f t="shared" si="112"/>
        <v>199</v>
      </c>
      <c r="B465" s="1166" t="s">
        <v>4005</v>
      </c>
      <c r="C465" s="1083"/>
      <c r="D465" s="1083"/>
      <c r="E465" s="1409" t="s">
        <v>24</v>
      </c>
      <c r="F465" s="1031">
        <f t="shared" si="110"/>
        <v>0.21</v>
      </c>
      <c r="G465" s="1029">
        <v>0.21</v>
      </c>
      <c r="H465" s="1026"/>
      <c r="I465" s="1026"/>
      <c r="J465" s="1029"/>
      <c r="K465" s="1029"/>
      <c r="L465" s="1029"/>
      <c r="M465" s="1029"/>
      <c r="N465" s="1029"/>
      <c r="O465" s="1029"/>
      <c r="P465" s="1029"/>
      <c r="Q465" s="1029"/>
      <c r="R465" s="1029"/>
      <c r="S465" s="1029"/>
      <c r="T465" s="1029"/>
      <c r="U465" s="1029"/>
      <c r="V465" s="1029"/>
      <c r="W465" s="1029"/>
      <c r="X465" s="1029"/>
      <c r="Y465" s="1029"/>
      <c r="Z465" s="1029"/>
      <c r="AA465" s="1029"/>
      <c r="AB465" s="1029"/>
      <c r="AC465" s="1029"/>
      <c r="AD465" s="1029"/>
      <c r="AE465" s="1029"/>
      <c r="AF465" s="1029"/>
      <c r="AG465" s="1029"/>
      <c r="AH465" s="1029"/>
      <c r="AI465" s="1029"/>
      <c r="AJ465" s="1029"/>
      <c r="AK465" s="1029"/>
      <c r="AL465" s="1029"/>
      <c r="AM465" s="1029"/>
      <c r="AN465" s="1029"/>
      <c r="AO465" s="1029"/>
      <c r="AP465" s="1029"/>
      <c r="AQ465" s="1029"/>
      <c r="AR465" s="1029"/>
      <c r="AS465" s="1029"/>
      <c r="AT465" s="1029"/>
      <c r="AU465" s="1029"/>
      <c r="AV465" s="1029"/>
      <c r="AW465" s="1029"/>
      <c r="AX465" s="1029"/>
      <c r="AY465" s="1029"/>
      <c r="AZ465" s="1029"/>
      <c r="BA465" s="1029"/>
      <c r="BB465" s="1029"/>
      <c r="BC465" s="1029"/>
      <c r="BD465" s="1029"/>
      <c r="BE465" s="1029"/>
      <c r="BF465" s="1029"/>
      <c r="BG465" s="1029"/>
      <c r="BH465" s="1029"/>
      <c r="BI465" s="1083" t="s">
        <v>3136</v>
      </c>
      <c r="BJ465" s="1120" t="s">
        <v>4006</v>
      </c>
      <c r="BK465" s="1171" t="s">
        <v>3992</v>
      </c>
      <c r="BL465" s="1171" t="s">
        <v>1923</v>
      </c>
      <c r="BM465" s="1120" t="s">
        <v>3091</v>
      </c>
      <c r="BN465" s="1120" t="s">
        <v>291</v>
      </c>
      <c r="BO465" s="1121"/>
      <c r="BP465" s="1122">
        <v>1</v>
      </c>
      <c r="BQ465" s="1123"/>
      <c r="BR465" s="1123"/>
      <c r="BS465" s="1124"/>
      <c r="BT465" s="1125"/>
    </row>
    <row r="466" spans="1:72" s="1126" customFormat="1" ht="32.1" customHeight="1">
      <c r="A466" s="1099">
        <f t="shared" si="112"/>
        <v>200</v>
      </c>
      <c r="B466" s="1166" t="s">
        <v>4007</v>
      </c>
      <c r="C466" s="1083"/>
      <c r="D466" s="1083"/>
      <c r="E466" s="1409" t="s">
        <v>24</v>
      </c>
      <c r="F466" s="1031">
        <f t="shared" si="110"/>
        <v>0.2</v>
      </c>
      <c r="G466" s="1029">
        <v>0.2</v>
      </c>
      <c r="H466" s="1026"/>
      <c r="I466" s="1026"/>
      <c r="J466" s="1029"/>
      <c r="K466" s="1029"/>
      <c r="L466" s="1029"/>
      <c r="M466" s="1029"/>
      <c r="N466" s="1029"/>
      <c r="O466" s="1029"/>
      <c r="P466" s="1029"/>
      <c r="Q466" s="1029"/>
      <c r="R466" s="1029"/>
      <c r="S466" s="1029"/>
      <c r="T466" s="1029"/>
      <c r="U466" s="1029"/>
      <c r="V466" s="1029"/>
      <c r="W466" s="1029"/>
      <c r="X466" s="1029"/>
      <c r="Y466" s="1029"/>
      <c r="Z466" s="1029"/>
      <c r="AA466" s="1029"/>
      <c r="AB466" s="1029"/>
      <c r="AC466" s="1029"/>
      <c r="AD466" s="1029"/>
      <c r="AE466" s="1029"/>
      <c r="AF466" s="1029"/>
      <c r="AG466" s="1029"/>
      <c r="AH466" s="1029"/>
      <c r="AI466" s="1029"/>
      <c r="AJ466" s="1029"/>
      <c r="AK466" s="1029"/>
      <c r="AL466" s="1029"/>
      <c r="AM466" s="1029"/>
      <c r="AN466" s="1029"/>
      <c r="AO466" s="1029"/>
      <c r="AP466" s="1029"/>
      <c r="AQ466" s="1029"/>
      <c r="AR466" s="1029"/>
      <c r="AS466" s="1029"/>
      <c r="AT466" s="1029"/>
      <c r="AU466" s="1029"/>
      <c r="AV466" s="1029"/>
      <c r="AW466" s="1029"/>
      <c r="AX466" s="1029"/>
      <c r="AY466" s="1029"/>
      <c r="AZ466" s="1029"/>
      <c r="BA466" s="1029"/>
      <c r="BB466" s="1029"/>
      <c r="BC466" s="1029"/>
      <c r="BD466" s="1029"/>
      <c r="BE466" s="1029"/>
      <c r="BF466" s="1029"/>
      <c r="BG466" s="1029"/>
      <c r="BH466" s="1029"/>
      <c r="BI466" s="1083" t="s">
        <v>3114</v>
      </c>
      <c r="BJ466" s="1120" t="s">
        <v>4008</v>
      </c>
      <c r="BK466" s="1171" t="s">
        <v>3992</v>
      </c>
      <c r="BL466" s="1120" t="s">
        <v>1923</v>
      </c>
      <c r="BM466" s="1120" t="s">
        <v>3091</v>
      </c>
      <c r="BN466" s="1120" t="s">
        <v>291</v>
      </c>
      <c r="BO466" s="1121"/>
      <c r="BP466" s="1122">
        <v>1</v>
      </c>
      <c r="BQ466" s="1123"/>
      <c r="BR466" s="1123"/>
      <c r="BS466" s="1124"/>
      <c r="BT466" s="1125"/>
    </row>
    <row r="467" spans="1:72" s="1126" customFormat="1" ht="32.1" customHeight="1">
      <c r="A467" s="1099">
        <f t="shared" si="112"/>
        <v>201</v>
      </c>
      <c r="B467" s="1130" t="s">
        <v>4009</v>
      </c>
      <c r="C467" s="1083"/>
      <c r="D467" s="1083"/>
      <c r="E467" s="1083" t="s">
        <v>24</v>
      </c>
      <c r="F467" s="1029">
        <v>0.28000000000000003</v>
      </c>
      <c r="G467" s="1029">
        <v>0.28000000000000003</v>
      </c>
      <c r="H467" s="1026"/>
      <c r="I467" s="1026"/>
      <c r="J467" s="1029"/>
      <c r="K467" s="1029"/>
      <c r="L467" s="1029"/>
      <c r="M467" s="1029"/>
      <c r="N467" s="1029"/>
      <c r="O467" s="1029"/>
      <c r="P467" s="1029"/>
      <c r="Q467" s="1029"/>
      <c r="R467" s="1029"/>
      <c r="S467" s="1029"/>
      <c r="T467" s="1029"/>
      <c r="U467" s="1029"/>
      <c r="V467" s="1029"/>
      <c r="W467" s="1029"/>
      <c r="X467" s="1029"/>
      <c r="Y467" s="1029"/>
      <c r="Z467" s="1029"/>
      <c r="AA467" s="1029"/>
      <c r="AB467" s="1029"/>
      <c r="AC467" s="1029"/>
      <c r="AD467" s="1029"/>
      <c r="AE467" s="1029"/>
      <c r="AF467" s="1029"/>
      <c r="AG467" s="1029"/>
      <c r="AH467" s="1029"/>
      <c r="AI467" s="1029"/>
      <c r="AJ467" s="1029"/>
      <c r="AK467" s="1029"/>
      <c r="AL467" s="1029"/>
      <c r="AM467" s="1029"/>
      <c r="AN467" s="1029"/>
      <c r="AO467" s="1029"/>
      <c r="AP467" s="1029"/>
      <c r="AQ467" s="1029"/>
      <c r="AR467" s="1029"/>
      <c r="AS467" s="1029"/>
      <c r="AT467" s="1029"/>
      <c r="AU467" s="1029"/>
      <c r="AV467" s="1029"/>
      <c r="AW467" s="1029"/>
      <c r="AX467" s="1029"/>
      <c r="AY467" s="1029"/>
      <c r="AZ467" s="1029"/>
      <c r="BA467" s="1029"/>
      <c r="BB467" s="1029"/>
      <c r="BC467" s="1029"/>
      <c r="BD467" s="1029"/>
      <c r="BE467" s="1029"/>
      <c r="BF467" s="1029"/>
      <c r="BG467" s="1029"/>
      <c r="BH467" s="1029"/>
      <c r="BI467" s="1083" t="s">
        <v>3402</v>
      </c>
      <c r="BJ467" s="1108" t="s">
        <v>4010</v>
      </c>
      <c r="BK467" s="1171" t="s">
        <v>3992</v>
      </c>
      <c r="BL467" s="1120"/>
      <c r="BM467" s="1120"/>
      <c r="BN467" s="1120" t="s">
        <v>298</v>
      </c>
      <c r="BO467" s="1121"/>
      <c r="BP467" s="1122">
        <v>1</v>
      </c>
      <c r="BQ467" s="1123"/>
      <c r="BR467" s="1123"/>
      <c r="BS467" s="1124"/>
      <c r="BT467" s="1125"/>
    </row>
    <row r="468" spans="1:72" s="1126" customFormat="1" ht="32.1" customHeight="1">
      <c r="A468" s="1099">
        <f t="shared" si="112"/>
        <v>202</v>
      </c>
      <c r="B468" s="1166" t="s">
        <v>4011</v>
      </c>
      <c r="C468" s="1083"/>
      <c r="D468" s="1083"/>
      <c r="E468" s="1409" t="s">
        <v>24</v>
      </c>
      <c r="F468" s="1031">
        <f>G468+H468</f>
        <v>0.17</v>
      </c>
      <c r="G468" s="1029">
        <v>0.17</v>
      </c>
      <c r="H468" s="1026"/>
      <c r="I468" s="1026"/>
      <c r="J468" s="1029"/>
      <c r="K468" s="1029"/>
      <c r="L468" s="1029"/>
      <c r="M468" s="1029"/>
      <c r="N468" s="1029"/>
      <c r="O468" s="1029"/>
      <c r="P468" s="1029"/>
      <c r="Q468" s="1029"/>
      <c r="R468" s="1029"/>
      <c r="S468" s="1029"/>
      <c r="T468" s="1029"/>
      <c r="U468" s="1029"/>
      <c r="V468" s="1029"/>
      <c r="W468" s="1029"/>
      <c r="X468" s="1029"/>
      <c r="Y468" s="1029"/>
      <c r="Z468" s="1029"/>
      <c r="AA468" s="1029"/>
      <c r="AB468" s="1029"/>
      <c r="AC468" s="1029"/>
      <c r="AD468" s="1029"/>
      <c r="AE468" s="1029"/>
      <c r="AF468" s="1029"/>
      <c r="AG468" s="1029"/>
      <c r="AH468" s="1029"/>
      <c r="AI468" s="1029"/>
      <c r="AJ468" s="1029"/>
      <c r="AK468" s="1029"/>
      <c r="AL468" s="1029"/>
      <c r="AM468" s="1029"/>
      <c r="AN468" s="1029"/>
      <c r="AO468" s="1029"/>
      <c r="AP468" s="1029"/>
      <c r="AQ468" s="1029"/>
      <c r="AR468" s="1029"/>
      <c r="AS468" s="1029"/>
      <c r="AT468" s="1029"/>
      <c r="AU468" s="1029"/>
      <c r="AV468" s="1029"/>
      <c r="AW468" s="1029"/>
      <c r="AX468" s="1029"/>
      <c r="AY468" s="1029"/>
      <c r="AZ468" s="1029"/>
      <c r="BA468" s="1029"/>
      <c r="BB468" s="1029"/>
      <c r="BC468" s="1029"/>
      <c r="BD468" s="1029"/>
      <c r="BE468" s="1029"/>
      <c r="BF468" s="1029"/>
      <c r="BG468" s="1029"/>
      <c r="BH468" s="1029"/>
      <c r="BI468" s="1083" t="s">
        <v>4012</v>
      </c>
      <c r="BJ468" s="1120" t="s">
        <v>4013</v>
      </c>
      <c r="BK468" s="1120" t="s">
        <v>3992</v>
      </c>
      <c r="BL468" s="1120" t="s">
        <v>1923</v>
      </c>
      <c r="BM468" s="1120" t="s">
        <v>3091</v>
      </c>
      <c r="BN468" s="1120" t="s">
        <v>291</v>
      </c>
      <c r="BO468" s="1121"/>
      <c r="BP468" s="1122">
        <v>1</v>
      </c>
      <c r="BQ468" s="1123"/>
      <c r="BR468" s="1123"/>
      <c r="BS468" s="1124"/>
      <c r="BT468" s="1125"/>
    </row>
    <row r="469" spans="1:72" s="1212" customFormat="1" ht="36" customHeight="1">
      <c r="A469" s="1099">
        <f t="shared" si="112"/>
        <v>203</v>
      </c>
      <c r="B469" s="1215" t="s">
        <v>4014</v>
      </c>
      <c r="C469" s="1127" t="s">
        <v>3014</v>
      </c>
      <c r="D469" s="1120" t="s">
        <v>3087</v>
      </c>
      <c r="E469" s="1118" t="s">
        <v>24</v>
      </c>
      <c r="F469" s="1031">
        <f>G469+H469</f>
        <v>0.26</v>
      </c>
      <c r="G469" s="1029">
        <v>0.26</v>
      </c>
      <c r="H469" s="1029"/>
      <c r="I469" s="1029"/>
      <c r="J469" s="1031"/>
      <c r="K469" s="1031"/>
      <c r="L469" s="1031"/>
      <c r="M469" s="1031"/>
      <c r="N469" s="1031"/>
      <c r="O469" s="1031"/>
      <c r="P469" s="1031"/>
      <c r="Q469" s="1031"/>
      <c r="R469" s="1031"/>
      <c r="S469" s="1031"/>
      <c r="T469" s="1031"/>
      <c r="U469" s="1031"/>
      <c r="V469" s="1031"/>
      <c r="W469" s="1031"/>
      <c r="X469" s="1031"/>
      <c r="Y469" s="1031"/>
      <c r="Z469" s="1031"/>
      <c r="AA469" s="1031"/>
      <c r="AB469" s="1031"/>
      <c r="AC469" s="1031"/>
      <c r="AD469" s="1031"/>
      <c r="AE469" s="1031"/>
      <c r="AF469" s="1031"/>
      <c r="AG469" s="1031"/>
      <c r="AH469" s="1031"/>
      <c r="AI469" s="1031"/>
      <c r="AJ469" s="1031"/>
      <c r="AK469" s="1031"/>
      <c r="AL469" s="1031"/>
      <c r="AM469" s="1031"/>
      <c r="AN469" s="1031"/>
      <c r="AO469" s="1031"/>
      <c r="AP469" s="1031"/>
      <c r="AQ469" s="1031"/>
      <c r="AR469" s="1031"/>
      <c r="AS469" s="1031"/>
      <c r="AT469" s="1031"/>
      <c r="AU469" s="1031"/>
      <c r="AV469" s="1031"/>
      <c r="AW469" s="1031"/>
      <c r="AX469" s="1031"/>
      <c r="AY469" s="1031"/>
      <c r="AZ469" s="1031"/>
      <c r="BA469" s="1031"/>
      <c r="BB469" s="1031"/>
      <c r="BC469" s="1031"/>
      <c r="BD469" s="1031"/>
      <c r="BE469" s="1031"/>
      <c r="BF469" s="1031"/>
      <c r="BG469" s="1031"/>
      <c r="BH469" s="1031"/>
      <c r="BI469" s="1127" t="s">
        <v>3562</v>
      </c>
      <c r="BJ469" s="1383" t="s">
        <v>4015</v>
      </c>
      <c r="BK469" s="1604" t="s">
        <v>3321</v>
      </c>
      <c r="BL469" s="1120" t="s">
        <v>1986</v>
      </c>
      <c r="BM469" s="1120" t="s">
        <v>3829</v>
      </c>
      <c r="BN469" s="1120" t="s">
        <v>291</v>
      </c>
      <c r="BO469" s="1121" t="s">
        <v>4016</v>
      </c>
      <c r="BP469" s="1121">
        <v>1</v>
      </c>
      <c r="BQ469" s="1123"/>
      <c r="BR469" s="1123"/>
      <c r="BS469" s="1180"/>
      <c r="BT469" s="1211"/>
    </row>
    <row r="470" spans="1:72" s="1212" customFormat="1" ht="44.25" customHeight="1">
      <c r="A470" s="1099">
        <f t="shared" si="112"/>
        <v>204</v>
      </c>
      <c r="B470" s="1215" t="s">
        <v>4017</v>
      </c>
      <c r="C470" s="1127" t="s">
        <v>3197</v>
      </c>
      <c r="D470" s="1120" t="s">
        <v>3087</v>
      </c>
      <c r="E470" s="1118" t="s">
        <v>24</v>
      </c>
      <c r="F470" s="1029">
        <f>G470+H470</f>
        <v>0.5</v>
      </c>
      <c r="G470" s="1029">
        <f>0.22+0.28</f>
        <v>0.5</v>
      </c>
      <c r="H470" s="1029"/>
      <c r="I470" s="1029"/>
      <c r="J470" s="1031"/>
      <c r="K470" s="1031"/>
      <c r="L470" s="1031"/>
      <c r="M470" s="1031"/>
      <c r="N470" s="1031"/>
      <c r="O470" s="1031"/>
      <c r="P470" s="1031"/>
      <c r="Q470" s="1031"/>
      <c r="R470" s="1031"/>
      <c r="S470" s="1031"/>
      <c r="T470" s="1031"/>
      <c r="U470" s="1031"/>
      <c r="V470" s="1031"/>
      <c r="W470" s="1031"/>
      <c r="X470" s="1031"/>
      <c r="Y470" s="1031"/>
      <c r="Z470" s="1031"/>
      <c r="AA470" s="1031"/>
      <c r="AB470" s="1031"/>
      <c r="AC470" s="1031"/>
      <c r="AD470" s="1031"/>
      <c r="AE470" s="1031"/>
      <c r="AF470" s="1031"/>
      <c r="AG470" s="1031"/>
      <c r="AH470" s="1031"/>
      <c r="AI470" s="1031"/>
      <c r="AJ470" s="1031"/>
      <c r="AK470" s="1031"/>
      <c r="AL470" s="1031"/>
      <c r="AM470" s="1031"/>
      <c r="AN470" s="1031"/>
      <c r="AO470" s="1031"/>
      <c r="AP470" s="1031"/>
      <c r="AQ470" s="1031"/>
      <c r="AR470" s="1031"/>
      <c r="AS470" s="1031"/>
      <c r="AT470" s="1031"/>
      <c r="AU470" s="1031"/>
      <c r="AV470" s="1031"/>
      <c r="AW470" s="1031"/>
      <c r="AX470" s="1031"/>
      <c r="AY470" s="1031"/>
      <c r="AZ470" s="1031"/>
      <c r="BA470" s="1031"/>
      <c r="BB470" s="1031"/>
      <c r="BC470" s="1031"/>
      <c r="BD470" s="1031"/>
      <c r="BE470" s="1031"/>
      <c r="BF470" s="1031"/>
      <c r="BG470" s="1031"/>
      <c r="BH470" s="1031"/>
      <c r="BI470" s="1127" t="s">
        <v>3443</v>
      </c>
      <c r="BJ470" s="1091" t="s">
        <v>4018</v>
      </c>
      <c r="BK470" s="1604"/>
      <c r="BL470" s="1120" t="s">
        <v>1986</v>
      </c>
      <c r="BM470" s="1120" t="s">
        <v>3829</v>
      </c>
      <c r="BN470" s="1120" t="s">
        <v>291</v>
      </c>
      <c r="BO470" s="1121"/>
      <c r="BP470" s="1121">
        <v>1</v>
      </c>
      <c r="BQ470" s="1243" t="s">
        <v>3106</v>
      </c>
      <c r="BR470" s="1232" t="s">
        <v>4019</v>
      </c>
      <c r="BS470" s="1124" t="s">
        <v>4020</v>
      </c>
      <c r="BT470" s="1211"/>
    </row>
    <row r="471" spans="1:72" s="1126" customFormat="1">
      <c r="A471" s="1023" t="s">
        <v>733</v>
      </c>
      <c r="B471" s="1392" t="s">
        <v>63</v>
      </c>
      <c r="C471" s="1127"/>
      <c r="D471" s="1127"/>
      <c r="E471" s="1118"/>
      <c r="F471" s="1026">
        <f t="shared" si="110"/>
        <v>400</v>
      </c>
      <c r="G471" s="1026">
        <f>SUM(G472:G472)</f>
        <v>400</v>
      </c>
      <c r="H471" s="1026"/>
      <c r="I471" s="1026"/>
      <c r="J471" s="1029"/>
      <c r="K471" s="1029"/>
      <c r="L471" s="1029"/>
      <c r="M471" s="1029"/>
      <c r="N471" s="1029"/>
      <c r="O471" s="1029"/>
      <c r="P471" s="1029"/>
      <c r="Q471" s="1029"/>
      <c r="R471" s="1029"/>
      <c r="S471" s="1029"/>
      <c r="T471" s="1029"/>
      <c r="U471" s="1029"/>
      <c r="V471" s="1029"/>
      <c r="W471" s="1029"/>
      <c r="X471" s="1029"/>
      <c r="Y471" s="1029"/>
      <c r="Z471" s="1029"/>
      <c r="AA471" s="1029"/>
      <c r="AB471" s="1029"/>
      <c r="AC471" s="1029"/>
      <c r="AD471" s="1029"/>
      <c r="AE471" s="1029"/>
      <c r="AF471" s="1029"/>
      <c r="AG471" s="1029"/>
      <c r="AH471" s="1029"/>
      <c r="AI471" s="1029"/>
      <c r="AJ471" s="1029"/>
      <c r="AK471" s="1029"/>
      <c r="AL471" s="1029"/>
      <c r="AM471" s="1029"/>
      <c r="AN471" s="1029"/>
      <c r="AO471" s="1029"/>
      <c r="AP471" s="1029"/>
      <c r="AQ471" s="1029"/>
      <c r="AR471" s="1029"/>
      <c r="AS471" s="1029"/>
      <c r="AT471" s="1029"/>
      <c r="AU471" s="1029"/>
      <c r="AV471" s="1029"/>
      <c r="AW471" s="1029"/>
      <c r="AX471" s="1029"/>
      <c r="AY471" s="1029"/>
      <c r="AZ471" s="1029"/>
      <c r="BA471" s="1029"/>
      <c r="BB471" s="1029"/>
      <c r="BC471" s="1029"/>
      <c r="BD471" s="1029"/>
      <c r="BE471" s="1029"/>
      <c r="BF471" s="1029"/>
      <c r="BG471" s="1029"/>
      <c r="BH471" s="1029"/>
      <c r="BI471" s="1127"/>
      <c r="BJ471" s="1120"/>
      <c r="BK471" s="1120"/>
      <c r="BL471" s="1120"/>
      <c r="BM471" s="1120"/>
      <c r="BN471" s="1120"/>
      <c r="BO471" s="1121"/>
      <c r="BP471" s="1121"/>
      <c r="BQ471" s="1123"/>
      <c r="BR471" s="1123"/>
      <c r="BS471" s="1124"/>
      <c r="BT471" s="1125"/>
    </row>
    <row r="472" spans="1:72" s="1126" customFormat="1" ht="32.1" customHeight="1">
      <c r="A472" s="1028">
        <f>A470+1</f>
        <v>205</v>
      </c>
      <c r="B472" s="1325" t="s">
        <v>4021</v>
      </c>
      <c r="C472" s="1331"/>
      <c r="D472" s="1331"/>
      <c r="E472" s="1032" t="s">
        <v>18</v>
      </c>
      <c r="F472" s="1029">
        <f t="shared" si="110"/>
        <v>400</v>
      </c>
      <c r="G472" s="1029">
        <v>400</v>
      </c>
      <c r="H472" s="1026"/>
      <c r="I472" s="1026"/>
      <c r="J472" s="1029"/>
      <c r="K472" s="1029"/>
      <c r="L472" s="1029"/>
      <c r="M472" s="1029"/>
      <c r="N472" s="1029"/>
      <c r="O472" s="1029"/>
      <c r="P472" s="1029"/>
      <c r="Q472" s="1029"/>
      <c r="R472" s="1029"/>
      <c r="S472" s="1029"/>
      <c r="T472" s="1029"/>
      <c r="U472" s="1029"/>
      <c r="V472" s="1029"/>
      <c r="W472" s="1029"/>
      <c r="X472" s="1029"/>
      <c r="Y472" s="1029"/>
      <c r="Z472" s="1029"/>
      <c r="AA472" s="1029"/>
      <c r="AB472" s="1029"/>
      <c r="AC472" s="1029"/>
      <c r="AD472" s="1029"/>
      <c r="AE472" s="1029"/>
      <c r="AF472" s="1029"/>
      <c r="AG472" s="1029"/>
      <c r="AH472" s="1029"/>
      <c r="AI472" s="1029"/>
      <c r="AJ472" s="1029"/>
      <c r="AK472" s="1029"/>
      <c r="AL472" s="1029"/>
      <c r="AM472" s="1029"/>
      <c r="AN472" s="1029"/>
      <c r="AO472" s="1029"/>
      <c r="AP472" s="1029"/>
      <c r="AQ472" s="1029"/>
      <c r="AR472" s="1029"/>
      <c r="AS472" s="1029"/>
      <c r="AT472" s="1029"/>
      <c r="AU472" s="1029"/>
      <c r="AV472" s="1029"/>
      <c r="AW472" s="1029"/>
      <c r="AX472" s="1029"/>
      <c r="AY472" s="1029"/>
      <c r="AZ472" s="1029"/>
      <c r="BA472" s="1029"/>
      <c r="BB472" s="1029"/>
      <c r="BC472" s="1029"/>
      <c r="BD472" s="1029"/>
      <c r="BE472" s="1029"/>
      <c r="BF472" s="1029"/>
      <c r="BG472" s="1029"/>
      <c r="BH472" s="1029"/>
      <c r="BI472" s="1331" t="s">
        <v>860</v>
      </c>
      <c r="BJ472" s="1091"/>
      <c r="BK472" s="1120" t="s">
        <v>3539</v>
      </c>
      <c r="BL472" s="1120" t="s">
        <v>1923</v>
      </c>
      <c r="BM472" s="1120" t="s">
        <v>3091</v>
      </c>
      <c r="BN472" s="1120" t="s">
        <v>291</v>
      </c>
      <c r="BO472" s="1121"/>
      <c r="BP472" s="1121">
        <v>1</v>
      </c>
      <c r="BQ472" s="1123"/>
      <c r="BR472" s="1123"/>
      <c r="BS472" s="1124"/>
      <c r="BT472" s="1125"/>
    </row>
    <row r="473" spans="1:72">
      <c r="A473" s="1023"/>
      <c r="B473" s="1208" t="s">
        <v>1900</v>
      </c>
      <c r="C473" s="1443"/>
      <c r="D473" s="1443"/>
      <c r="E473" s="1125"/>
      <c r="F473" s="1069">
        <f t="shared" ref="F473:BH473" si="113">F9+F28+F310+F297</f>
        <v>2495.7603500000005</v>
      </c>
      <c r="G473" s="1069">
        <f t="shared" si="113"/>
        <v>2320.9699999999998</v>
      </c>
      <c r="H473" s="1069">
        <f t="shared" si="113"/>
        <v>177.54034999999996</v>
      </c>
      <c r="I473" s="1069">
        <f t="shared" si="113"/>
        <v>2030</v>
      </c>
      <c r="J473" s="1069">
        <f t="shared" si="113"/>
        <v>15.259850000000002</v>
      </c>
      <c r="K473" s="1069">
        <f t="shared" si="113"/>
        <v>6.5779999999999994</v>
      </c>
      <c r="L473" s="1069">
        <f t="shared" si="113"/>
        <v>0</v>
      </c>
      <c r="M473" s="1069">
        <f t="shared" si="113"/>
        <v>30.005500000000001</v>
      </c>
      <c r="N473" s="1069">
        <f t="shared" si="113"/>
        <v>13.585000000000001</v>
      </c>
      <c r="O473" s="1069">
        <f t="shared" si="113"/>
        <v>0</v>
      </c>
      <c r="P473" s="1069">
        <f t="shared" si="113"/>
        <v>0</v>
      </c>
      <c r="Q473" s="1069">
        <f t="shared" si="113"/>
        <v>0</v>
      </c>
      <c r="R473" s="1069">
        <f t="shared" si="113"/>
        <v>0</v>
      </c>
      <c r="S473" s="1069">
        <f t="shared" si="113"/>
        <v>82.120999999999995</v>
      </c>
      <c r="T473" s="1069">
        <f t="shared" si="113"/>
        <v>0</v>
      </c>
      <c r="U473" s="1069">
        <f t="shared" si="113"/>
        <v>3.09</v>
      </c>
      <c r="V473" s="1069">
        <f t="shared" si="113"/>
        <v>0</v>
      </c>
      <c r="W473" s="1069">
        <f t="shared" si="113"/>
        <v>0</v>
      </c>
      <c r="X473" s="1069">
        <f t="shared" si="113"/>
        <v>0</v>
      </c>
      <c r="Y473" s="1069">
        <f t="shared" si="113"/>
        <v>0</v>
      </c>
      <c r="Z473" s="1069">
        <f t="shared" si="113"/>
        <v>0</v>
      </c>
      <c r="AA473" s="1069">
        <f t="shared" si="113"/>
        <v>0.04</v>
      </c>
      <c r="AB473" s="1069">
        <f t="shared" si="113"/>
        <v>0.03</v>
      </c>
      <c r="AC473" s="1069">
        <f t="shared" si="113"/>
        <v>0</v>
      </c>
      <c r="AD473" s="1069">
        <f t="shared" si="113"/>
        <v>0</v>
      </c>
      <c r="AE473" s="1069">
        <f t="shared" si="113"/>
        <v>7.0493899999999989</v>
      </c>
      <c r="AF473" s="1069">
        <f t="shared" si="113"/>
        <v>0.28134999999999999</v>
      </c>
      <c r="AG473" s="1069">
        <f t="shared" si="113"/>
        <v>0.03</v>
      </c>
      <c r="AH473" s="1069">
        <f t="shared" si="113"/>
        <v>6.0000000000000005E-2</v>
      </c>
      <c r="AI473" s="1069">
        <f t="shared" si="113"/>
        <v>0.2</v>
      </c>
      <c r="AJ473" s="1069">
        <f t="shared" si="113"/>
        <v>0</v>
      </c>
      <c r="AK473" s="1069">
        <f t="shared" si="113"/>
        <v>2E-3</v>
      </c>
      <c r="AL473" s="1069">
        <f t="shared" si="113"/>
        <v>0</v>
      </c>
      <c r="AM473" s="1069">
        <f t="shared" si="113"/>
        <v>0</v>
      </c>
      <c r="AN473" s="1069">
        <f t="shared" si="113"/>
        <v>0</v>
      </c>
      <c r="AO473" s="1069">
        <f t="shared" si="113"/>
        <v>0</v>
      </c>
      <c r="AP473" s="1069">
        <f t="shared" si="113"/>
        <v>0</v>
      </c>
      <c r="AQ473" s="1069">
        <f t="shared" si="113"/>
        <v>8.6000000000000007E-2</v>
      </c>
      <c r="AR473" s="1069">
        <f t="shared" si="113"/>
        <v>0</v>
      </c>
      <c r="AS473" s="1069">
        <f t="shared" si="113"/>
        <v>0</v>
      </c>
      <c r="AT473" s="1069">
        <f t="shared" si="113"/>
        <v>0</v>
      </c>
      <c r="AU473" s="1069">
        <f t="shared" si="113"/>
        <v>0</v>
      </c>
      <c r="AV473" s="1069">
        <f t="shared" si="113"/>
        <v>0</v>
      </c>
      <c r="AW473" s="1069">
        <f t="shared" si="113"/>
        <v>0</v>
      </c>
      <c r="AX473" s="1069">
        <f t="shared" si="113"/>
        <v>1.9880000000000002</v>
      </c>
      <c r="AY473" s="1069">
        <f t="shared" si="113"/>
        <v>1.1024400000000001</v>
      </c>
      <c r="AZ473" s="1069">
        <f t="shared" si="113"/>
        <v>0.36982000000000004</v>
      </c>
      <c r="BA473" s="1069">
        <f t="shared" si="113"/>
        <v>0</v>
      </c>
      <c r="BB473" s="1069">
        <f t="shared" si="113"/>
        <v>0.11</v>
      </c>
      <c r="BC473" s="1069">
        <f t="shared" si="113"/>
        <v>3.08</v>
      </c>
      <c r="BD473" s="1069">
        <f t="shared" si="113"/>
        <v>0</v>
      </c>
      <c r="BE473" s="1069">
        <f t="shared" si="113"/>
        <v>0</v>
      </c>
      <c r="BF473" s="1069">
        <f t="shared" si="113"/>
        <v>12.671999999999999</v>
      </c>
      <c r="BG473" s="1107">
        <f t="shared" si="113"/>
        <v>0</v>
      </c>
      <c r="BH473" s="1107">
        <f t="shared" si="113"/>
        <v>0</v>
      </c>
      <c r="BI473" s="1443"/>
      <c r="BJ473" s="1208"/>
      <c r="BK473" s="1208"/>
      <c r="BL473" s="1208"/>
      <c r="BM473" s="1208"/>
      <c r="BN473" s="1208"/>
      <c r="BO473" s="1122"/>
      <c r="BS473" s="1210"/>
      <c r="BT473" s="1118"/>
    </row>
  </sheetData>
  <mergeCells count="51">
    <mergeCell ref="BI5:BI7"/>
    <mergeCell ref="BJ5:BJ7"/>
    <mergeCell ref="BK5:BK7"/>
    <mergeCell ref="BL5:BL7"/>
    <mergeCell ref="A1:B1"/>
    <mergeCell ref="A2:BM2"/>
    <mergeCell ref="A3:BM3"/>
    <mergeCell ref="A5:A7"/>
    <mergeCell ref="B5:B7"/>
    <mergeCell ref="C5:C7"/>
    <mergeCell ref="D5:D7"/>
    <mergeCell ref="E5:E7"/>
    <mergeCell ref="F5:F7"/>
    <mergeCell ref="G5:G7"/>
    <mergeCell ref="B240:B241"/>
    <mergeCell ref="A240:A241"/>
    <mergeCell ref="BT5:BT7"/>
    <mergeCell ref="J6:BH6"/>
    <mergeCell ref="BK14:BK24"/>
    <mergeCell ref="BK41:BK44"/>
    <mergeCell ref="BK80:BK82"/>
    <mergeCell ref="BK86:BK91"/>
    <mergeCell ref="BM5:BM7"/>
    <mergeCell ref="BN5:BN7"/>
    <mergeCell ref="BP5:BP7"/>
    <mergeCell ref="BQ5:BQ7"/>
    <mergeCell ref="BR5:BR7"/>
    <mergeCell ref="BS5:BS7"/>
    <mergeCell ref="H5:H7"/>
    <mergeCell ref="J5:BH5"/>
    <mergeCell ref="BK109:BK110"/>
    <mergeCell ref="BK111:BK112"/>
    <mergeCell ref="BK134:BK155"/>
    <mergeCell ref="BK167:BK170"/>
    <mergeCell ref="BK173:BK180"/>
    <mergeCell ref="BK469:BK470"/>
    <mergeCell ref="BK345:BK346"/>
    <mergeCell ref="B246:B248"/>
    <mergeCell ref="BK299:BK303"/>
    <mergeCell ref="BK371:BK373"/>
    <mergeCell ref="B249:B251"/>
    <mergeCell ref="B252:B255"/>
    <mergeCell ref="BK418:BK421"/>
    <mergeCell ref="BK422:BK424"/>
    <mergeCell ref="B242:B245"/>
    <mergeCell ref="A242:A248"/>
    <mergeCell ref="BK376:BK378"/>
    <mergeCell ref="BK411:BK414"/>
    <mergeCell ref="BK415:BK417"/>
    <mergeCell ref="A249:A251"/>
    <mergeCell ref="A252:A255"/>
  </mergeCells>
  <conditionalFormatting sqref="A25:A27">
    <cfRule type="duplicateValues" dxfId="16" priority="13" stopIfTrue="1"/>
  </conditionalFormatting>
  <conditionalFormatting sqref="A28">
    <cfRule type="duplicateValues" dxfId="15" priority="12" stopIfTrue="1"/>
  </conditionalFormatting>
  <conditionalFormatting sqref="A29">
    <cfRule type="duplicateValues" dxfId="14" priority="14" stopIfTrue="1"/>
  </conditionalFormatting>
  <conditionalFormatting sqref="B64">
    <cfRule type="duplicateValues" dxfId="13" priority="8" stopIfTrue="1"/>
  </conditionalFormatting>
  <conditionalFormatting sqref="B74">
    <cfRule type="duplicateValues" dxfId="12" priority="7" stopIfTrue="1"/>
  </conditionalFormatting>
  <conditionalFormatting sqref="B75 B80:B82">
    <cfRule type="duplicateValues" dxfId="11" priority="6" stopIfTrue="1"/>
  </conditionalFormatting>
  <conditionalFormatting sqref="B95:B96">
    <cfRule type="duplicateValues" dxfId="10" priority="5" stopIfTrue="1"/>
  </conditionalFormatting>
  <conditionalFormatting sqref="B107">
    <cfRule type="duplicateValues" dxfId="9" priority="4" stopIfTrue="1"/>
  </conditionalFormatting>
  <conditionalFormatting sqref="C47:D47 C48:C50">
    <cfRule type="duplicateValues" dxfId="8" priority="1" stopIfTrue="1"/>
  </conditionalFormatting>
  <conditionalFormatting sqref="BI47:BI50">
    <cfRule type="duplicateValues" dxfId="7" priority="11" stopIfTrue="1"/>
  </conditionalFormatting>
  <conditionalFormatting sqref="BO95:BO96">
    <cfRule type="duplicateValues" dxfId="6" priority="2" stopIfTrue="1"/>
  </conditionalFormatting>
  <conditionalFormatting sqref="BO107">
    <cfRule type="duplicateValues" dxfId="5" priority="3" stopIfTrue="1"/>
  </conditionalFormatting>
  <conditionalFormatting sqref="BP227:BQ227">
    <cfRule type="uniqueValues" dxfId="4" priority="10"/>
  </conditionalFormatting>
  <conditionalFormatting sqref="BR227">
    <cfRule type="uniqueValues" dxfId="3" priority="9"/>
  </conditionalFormatting>
  <printOptions horizontalCentered="1"/>
  <pageMargins left="0.59055118110236227" right="0.31496062992125984" top="0.59055118110236227" bottom="0.55118110236220474" header="0.31496062992125984" footer="0.31496062992125984"/>
  <pageSetup paperSize="8" scale="66" orientation="landscape" r:id="rId1"/>
  <headerFooter>
    <oddFooter>&amp;C&amp;"Times New Roman,Regular"&amp;P</oddFooter>
  </headerFooter>
  <drawing r:id="rId2"/>
  <legacy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E61"/>
  <sheetViews>
    <sheetView showZeros="0" view="pageBreakPreview" zoomScale="85" zoomScaleNormal="55" zoomScaleSheetLayoutView="85" workbookViewId="0">
      <pane xSplit="3" ySplit="5" topLeftCell="D47" activePane="bottomRight" state="frozen"/>
      <selection activeCell="G77" sqref="G77"/>
      <selection pane="topRight" activeCell="G77" sqref="G77"/>
      <selection pane="bottomLeft" activeCell="G77" sqref="G77"/>
      <selection pane="bottomRight" activeCell="E58" sqref="E58"/>
    </sheetView>
  </sheetViews>
  <sheetFormatPr defaultColWidth="9" defaultRowHeight="15"/>
  <cols>
    <col min="1" max="1" width="4.625" style="812" customWidth="1"/>
    <col min="2" max="2" width="39.375" style="812" customWidth="1"/>
    <col min="3" max="3" width="5.625" style="812" customWidth="1"/>
    <col min="4" max="4" width="7.5" style="813" customWidth="1"/>
    <col min="5" max="5" width="7.875" style="813" customWidth="1"/>
    <col min="6" max="6" width="8.125" style="813" customWidth="1"/>
    <col min="7" max="7" width="6.875" style="813" customWidth="1"/>
    <col min="8" max="8" width="8.125" style="813" customWidth="1"/>
    <col min="9" max="9" width="7.375" style="813" bestFit="1" customWidth="1"/>
    <col min="10" max="10" width="9.625" style="813" customWidth="1"/>
    <col min="11" max="11" width="7.375" style="813" bestFit="1" customWidth="1"/>
    <col min="12" max="12" width="9.875" style="813" bestFit="1" customWidth="1"/>
    <col min="13" max="13" width="7.375" style="813" bestFit="1" customWidth="1"/>
    <col min="14" max="14" width="9" style="813" customWidth="1"/>
    <col min="15" max="15" width="7.375" style="813" bestFit="1" customWidth="1"/>
    <col min="16" max="16" width="8.5" style="813" customWidth="1"/>
    <col min="17" max="19" width="7.375" style="813" bestFit="1" customWidth="1"/>
    <col min="20" max="22" width="7.375" style="813" customWidth="1"/>
    <col min="23" max="23" width="7" style="813" bestFit="1" customWidth="1"/>
    <col min="24" max="25" width="7.375" style="813" customWidth="1"/>
    <col min="26" max="26" width="9.625" style="813" customWidth="1"/>
    <col min="27" max="27" width="7.625" style="813" customWidth="1"/>
    <col min="28" max="28" width="7.375" style="813" bestFit="1" customWidth="1"/>
    <col min="29" max="29" width="7" style="813" bestFit="1" customWidth="1"/>
    <col min="30" max="16384" width="9" style="812"/>
  </cols>
  <sheetData>
    <row r="1" spans="1:31" s="806" customFormat="1" ht="17.25" customHeight="1">
      <c r="A1" s="1634" t="s">
        <v>208</v>
      </c>
      <c r="B1" s="1634"/>
      <c r="C1" s="805"/>
      <c r="D1" s="805"/>
      <c r="E1" s="805"/>
      <c r="F1" s="805"/>
      <c r="G1" s="805"/>
      <c r="H1" s="805"/>
      <c r="I1" s="805"/>
      <c r="J1" s="805"/>
      <c r="K1" s="805"/>
      <c r="L1" s="805"/>
      <c r="M1" s="805"/>
      <c r="N1" s="805"/>
      <c r="O1" s="805"/>
      <c r="P1" s="805"/>
      <c r="Q1" s="805"/>
      <c r="R1" s="805"/>
      <c r="S1" s="805"/>
      <c r="T1" s="805"/>
      <c r="U1" s="805"/>
      <c r="V1" s="805"/>
      <c r="W1" s="805"/>
      <c r="X1" s="805"/>
      <c r="Y1" s="805"/>
      <c r="Z1" s="805"/>
      <c r="AA1" s="805"/>
      <c r="AB1" s="805"/>
      <c r="AC1" s="805"/>
    </row>
    <row r="2" spans="1:31" s="806" customFormat="1" ht="20.45" customHeight="1">
      <c r="A2" s="1635" t="s">
        <v>2826</v>
      </c>
      <c r="B2" s="1635"/>
      <c r="C2" s="1635"/>
      <c r="D2" s="1635"/>
      <c r="E2" s="1635"/>
      <c r="F2" s="1635"/>
      <c r="G2" s="1635"/>
      <c r="H2" s="1635"/>
      <c r="I2" s="1635"/>
      <c r="J2" s="1635"/>
      <c r="K2" s="1635"/>
      <c r="L2" s="1635"/>
      <c r="M2" s="1635"/>
      <c r="N2" s="1635"/>
      <c r="O2" s="1635"/>
      <c r="P2" s="1635"/>
      <c r="Q2" s="1635"/>
      <c r="R2" s="1635"/>
      <c r="S2" s="1635"/>
      <c r="T2" s="1635"/>
      <c r="U2" s="1635"/>
      <c r="V2" s="1635"/>
      <c r="W2" s="1635"/>
      <c r="X2" s="1635"/>
      <c r="Y2" s="1635"/>
      <c r="Z2" s="1635"/>
      <c r="AA2" s="1635"/>
      <c r="AB2" s="1635"/>
      <c r="AC2" s="1635"/>
    </row>
    <row r="3" spans="1:31" s="806" customFormat="1" ht="17.25" hidden="1" customHeight="1">
      <c r="A3" s="1636"/>
      <c r="B3" s="1636"/>
      <c r="C3" s="1636"/>
      <c r="D3" s="1636"/>
      <c r="E3" s="1636"/>
      <c r="F3" s="1636"/>
      <c r="G3" s="1636"/>
      <c r="H3" s="1636"/>
      <c r="I3" s="1636"/>
      <c r="J3" s="1636"/>
      <c r="K3" s="1636"/>
      <c r="L3" s="1636"/>
      <c r="M3" s="1636"/>
      <c r="N3" s="1636"/>
      <c r="O3" s="1636"/>
      <c r="P3" s="1636"/>
      <c r="Q3" s="1636"/>
      <c r="R3" s="1636"/>
      <c r="S3" s="1636"/>
      <c r="T3" s="1636"/>
      <c r="U3" s="1636"/>
      <c r="V3" s="1636"/>
      <c r="W3" s="1636"/>
      <c r="X3" s="1636"/>
      <c r="Y3" s="1636"/>
      <c r="Z3" s="1636"/>
      <c r="AA3" s="1636"/>
      <c r="AB3" s="1636"/>
      <c r="AC3" s="1636"/>
    </row>
    <row r="4" spans="1:31" s="807" customFormat="1" ht="79.5" customHeight="1">
      <c r="A4" s="1637" t="s">
        <v>170</v>
      </c>
      <c r="B4" s="1637" t="s">
        <v>171</v>
      </c>
      <c r="C4" s="1637" t="s">
        <v>172</v>
      </c>
      <c r="D4" s="1633" t="s">
        <v>117</v>
      </c>
      <c r="E4" s="1633"/>
      <c r="F4" s="1633" t="s">
        <v>119</v>
      </c>
      <c r="G4" s="1633"/>
      <c r="H4" s="1633" t="s">
        <v>2</v>
      </c>
      <c r="I4" s="1633"/>
      <c r="J4" s="1633" t="s">
        <v>2781</v>
      </c>
      <c r="K4" s="1633"/>
      <c r="L4" s="1633" t="s">
        <v>209</v>
      </c>
      <c r="M4" s="1633"/>
      <c r="N4" s="1633" t="s">
        <v>87</v>
      </c>
      <c r="O4" s="1633"/>
      <c r="P4" s="1633" t="s">
        <v>178</v>
      </c>
      <c r="Q4" s="1633"/>
      <c r="R4" s="1631" t="s">
        <v>210</v>
      </c>
      <c r="S4" s="1632"/>
      <c r="T4" s="1631" t="s">
        <v>211</v>
      </c>
      <c r="U4" s="1632"/>
      <c r="V4" s="1631" t="s">
        <v>212</v>
      </c>
      <c r="W4" s="1632"/>
      <c r="X4" s="1631" t="s">
        <v>179</v>
      </c>
      <c r="Y4" s="1632"/>
      <c r="Z4" s="1633" t="s">
        <v>186</v>
      </c>
      <c r="AA4" s="1633"/>
      <c r="AB4" s="1633" t="s">
        <v>213</v>
      </c>
      <c r="AC4" s="1633"/>
    </row>
    <row r="5" spans="1:31" s="807" customFormat="1" ht="37.700000000000003" customHeight="1">
      <c r="A5" s="1637"/>
      <c r="B5" s="1637"/>
      <c r="C5" s="1637"/>
      <c r="D5" s="808" t="s">
        <v>147</v>
      </c>
      <c r="E5" s="808" t="s">
        <v>173</v>
      </c>
      <c r="F5" s="808" t="s">
        <v>147</v>
      </c>
      <c r="G5" s="808" t="s">
        <v>173</v>
      </c>
      <c r="H5" s="808" t="s">
        <v>147</v>
      </c>
      <c r="I5" s="808" t="s">
        <v>173</v>
      </c>
      <c r="J5" s="808" t="s">
        <v>147</v>
      </c>
      <c r="K5" s="808" t="s">
        <v>173</v>
      </c>
      <c r="L5" s="808" t="s">
        <v>147</v>
      </c>
      <c r="M5" s="808" t="s">
        <v>173</v>
      </c>
      <c r="N5" s="808" t="s">
        <v>147</v>
      </c>
      <c r="O5" s="808" t="s">
        <v>173</v>
      </c>
      <c r="P5" s="808" t="s">
        <v>147</v>
      </c>
      <c r="Q5" s="808" t="s">
        <v>173</v>
      </c>
      <c r="R5" s="808" t="s">
        <v>147</v>
      </c>
      <c r="S5" s="808" t="s">
        <v>173</v>
      </c>
      <c r="T5" s="808" t="s">
        <v>147</v>
      </c>
      <c r="U5" s="808" t="s">
        <v>173</v>
      </c>
      <c r="V5" s="808" t="s">
        <v>147</v>
      </c>
      <c r="W5" s="808" t="s">
        <v>173</v>
      </c>
      <c r="X5" s="808" t="s">
        <v>147</v>
      </c>
      <c r="Y5" s="808" t="s">
        <v>173</v>
      </c>
      <c r="Z5" s="808" t="s">
        <v>147</v>
      </c>
      <c r="AA5" s="808" t="s">
        <v>173</v>
      </c>
      <c r="AB5" s="808" t="s">
        <v>147</v>
      </c>
      <c r="AC5" s="808" t="s">
        <v>173</v>
      </c>
    </row>
    <row r="6" spans="1:31" s="807" customFormat="1" ht="17.45" hidden="1" customHeight="1">
      <c r="A6" s="339"/>
      <c r="B6" s="803" t="s">
        <v>146</v>
      </c>
      <c r="C6" s="339"/>
      <c r="D6" s="639">
        <v>0</v>
      </c>
      <c r="E6" s="639">
        <v>0</v>
      </c>
      <c r="F6" s="639">
        <v>7949.4400000000005</v>
      </c>
      <c r="G6" s="640">
        <v>100</v>
      </c>
      <c r="H6" s="639">
        <v>7002.7199999999993</v>
      </c>
      <c r="I6" s="639">
        <v>100.00000000000001</v>
      </c>
      <c r="J6" s="639">
        <v>3329.6151065000004</v>
      </c>
      <c r="K6" s="640">
        <v>100</v>
      </c>
      <c r="L6" s="639">
        <v>73721.934100000013</v>
      </c>
      <c r="M6" s="639">
        <v>100</v>
      </c>
      <c r="N6" s="640">
        <v>2497.2700000000004</v>
      </c>
      <c r="O6" s="639">
        <v>100</v>
      </c>
      <c r="P6" s="639">
        <v>2208.1999999999998</v>
      </c>
      <c r="Q6" s="639">
        <v>100</v>
      </c>
      <c r="R6" s="639">
        <v>125.35</v>
      </c>
      <c r="S6" s="639">
        <v>100</v>
      </c>
      <c r="T6" s="639">
        <v>107.25999999999999</v>
      </c>
      <c r="U6" s="641">
        <v>100</v>
      </c>
      <c r="V6" s="639">
        <v>72.06</v>
      </c>
      <c r="W6" s="641">
        <v>100</v>
      </c>
      <c r="X6" s="639">
        <v>0</v>
      </c>
      <c r="Y6" s="641">
        <v>0</v>
      </c>
      <c r="Z6" s="639">
        <v>2593.6323867999999</v>
      </c>
      <c r="AA6" s="639">
        <v>100</v>
      </c>
      <c r="AB6" s="639">
        <v>0</v>
      </c>
      <c r="AC6" s="641">
        <v>0</v>
      </c>
    </row>
    <row r="7" spans="1:31" s="810" customFormat="1" ht="19.5" customHeight="1">
      <c r="A7" s="328">
        <v>1</v>
      </c>
      <c r="B7" s="429" t="s">
        <v>3</v>
      </c>
      <c r="C7" s="328" t="s">
        <v>4</v>
      </c>
      <c r="D7" s="809">
        <v>0</v>
      </c>
      <c r="E7" s="809">
        <v>0</v>
      </c>
      <c r="F7" s="809">
        <v>7228.7699999999995</v>
      </c>
      <c r="G7" s="809">
        <v>90.934444356387814</v>
      </c>
      <c r="H7" s="809">
        <v>2086.7200000000003</v>
      </c>
      <c r="I7" s="809">
        <v>71.412389162477297</v>
      </c>
      <c r="J7" s="809">
        <v>4506.2274682779998</v>
      </c>
      <c r="K7" s="809">
        <v>100.46992849290277</v>
      </c>
      <c r="L7" s="809">
        <v>74062.123999999996</v>
      </c>
      <c r="M7" s="809">
        <v>100</v>
      </c>
      <c r="N7" s="809">
        <v>1196.6400000000001</v>
      </c>
      <c r="O7" s="809">
        <v>48.844243257915601</v>
      </c>
      <c r="P7" s="809">
        <v>2219</v>
      </c>
      <c r="Q7" s="809">
        <v>100</v>
      </c>
      <c r="R7" s="809">
        <v>0</v>
      </c>
      <c r="S7" s="809">
        <v>0</v>
      </c>
      <c r="T7" s="809">
        <v>0</v>
      </c>
      <c r="U7" s="809">
        <v>0</v>
      </c>
      <c r="V7" s="809">
        <v>0</v>
      </c>
      <c r="W7" s="809">
        <v>0</v>
      </c>
      <c r="X7" s="809">
        <v>0</v>
      </c>
      <c r="Y7" s="809">
        <v>0</v>
      </c>
      <c r="Z7" s="858">
        <v>386.11999999999995</v>
      </c>
      <c r="AA7" s="858">
        <v>100.00000000000003</v>
      </c>
      <c r="AB7" s="809">
        <v>0</v>
      </c>
      <c r="AC7" s="809">
        <v>0</v>
      </c>
    </row>
    <row r="8" spans="1:31" ht="15.75" customHeight="1">
      <c r="A8" s="330"/>
      <c r="B8" s="337" t="s">
        <v>190</v>
      </c>
      <c r="C8" s="800"/>
      <c r="D8" s="811"/>
      <c r="E8" s="811"/>
      <c r="F8" s="811"/>
      <c r="G8" s="811"/>
      <c r="H8" s="811"/>
      <c r="I8" s="811"/>
      <c r="J8" s="811"/>
      <c r="K8" s="811"/>
      <c r="L8" s="811"/>
      <c r="M8" s="811"/>
      <c r="N8" s="811"/>
      <c r="O8" s="811"/>
      <c r="P8" s="811"/>
      <c r="Q8" s="811"/>
      <c r="R8" s="811"/>
      <c r="S8" s="811"/>
      <c r="T8" s="811"/>
      <c r="U8" s="811"/>
      <c r="V8" s="811"/>
      <c r="W8" s="811"/>
      <c r="X8" s="811"/>
      <c r="Y8" s="811"/>
      <c r="Z8" s="940"/>
      <c r="AA8" s="940"/>
      <c r="AB8" s="811"/>
      <c r="AC8" s="811"/>
    </row>
    <row r="9" spans="1:31" ht="16.5" customHeight="1">
      <c r="A9" s="330" t="s">
        <v>6</v>
      </c>
      <c r="B9" s="336" t="s">
        <v>85</v>
      </c>
      <c r="C9" s="330" t="s">
        <v>5</v>
      </c>
      <c r="D9" s="811">
        <v>0</v>
      </c>
      <c r="E9" s="811">
        <v>0</v>
      </c>
      <c r="F9" s="811">
        <v>679.51</v>
      </c>
      <c r="G9" s="811">
        <v>8.5479084663931886</v>
      </c>
      <c r="H9" s="811">
        <v>266.81</v>
      </c>
      <c r="I9" s="811">
        <v>9.1308558658759047</v>
      </c>
      <c r="J9" s="811">
        <v>3221.8519999999999</v>
      </c>
      <c r="K9" s="811">
        <v>71.833755027553792</v>
      </c>
      <c r="L9" s="811">
        <v>0</v>
      </c>
      <c r="M9" s="811">
        <v>0</v>
      </c>
      <c r="N9" s="811">
        <v>4</v>
      </c>
      <c r="O9" s="811">
        <v>0.16327130384381469</v>
      </c>
      <c r="P9" s="811">
        <v>0</v>
      </c>
      <c r="Q9" s="811">
        <v>0</v>
      </c>
      <c r="R9" s="811">
        <v>0</v>
      </c>
      <c r="S9" s="811">
        <v>0</v>
      </c>
      <c r="T9" s="811">
        <v>0</v>
      </c>
      <c r="U9" s="811">
        <v>0</v>
      </c>
      <c r="V9" s="811">
        <v>0</v>
      </c>
      <c r="W9" s="811">
        <v>0</v>
      </c>
      <c r="X9" s="811">
        <v>0</v>
      </c>
      <c r="Y9" s="811">
        <v>0</v>
      </c>
      <c r="Z9" s="940">
        <v>6.84</v>
      </c>
      <c r="AA9" s="940">
        <v>1.7714700093235267</v>
      </c>
      <c r="AB9" s="811">
        <v>0</v>
      </c>
      <c r="AC9" s="811">
        <v>0</v>
      </c>
    </row>
    <row r="10" spans="1:31" s="827" customFormat="1" ht="16.5" customHeight="1">
      <c r="A10" s="329"/>
      <c r="B10" s="337" t="s">
        <v>2746</v>
      </c>
      <c r="C10" s="329" t="s">
        <v>7</v>
      </c>
      <c r="D10" s="821">
        <v>0</v>
      </c>
      <c r="E10" s="821">
        <v>0</v>
      </c>
      <c r="F10" s="821">
        <v>539.92000000000007</v>
      </c>
      <c r="G10" s="821">
        <v>6.7919335096981808</v>
      </c>
      <c r="H10" s="821">
        <v>156.38999999999999</v>
      </c>
      <c r="I10" s="821">
        <v>5.3520278432754864</v>
      </c>
      <c r="J10" s="821">
        <v>3221.8519999999999</v>
      </c>
      <c r="K10" s="821">
        <v>71.833755027553792</v>
      </c>
      <c r="L10" s="821">
        <v>0</v>
      </c>
      <c r="M10" s="821">
        <v>0</v>
      </c>
      <c r="N10" s="821">
        <v>0</v>
      </c>
      <c r="O10" s="821">
        <v>0</v>
      </c>
      <c r="P10" s="821">
        <v>0</v>
      </c>
      <c r="Q10" s="821">
        <v>0</v>
      </c>
      <c r="R10" s="821">
        <v>0</v>
      </c>
      <c r="S10" s="821">
        <v>0</v>
      </c>
      <c r="T10" s="821">
        <v>0</v>
      </c>
      <c r="U10" s="821">
        <v>0</v>
      </c>
      <c r="V10" s="821">
        <v>0</v>
      </c>
      <c r="W10" s="821">
        <v>0</v>
      </c>
      <c r="X10" s="821">
        <v>0</v>
      </c>
      <c r="Y10" s="821">
        <v>0</v>
      </c>
      <c r="Z10" s="940">
        <v>2.04</v>
      </c>
      <c r="AA10" s="940">
        <v>0.52833316067543767</v>
      </c>
      <c r="AB10" s="821">
        <v>0</v>
      </c>
      <c r="AC10" s="821">
        <v>0</v>
      </c>
    </row>
    <row r="11" spans="1:31" ht="16.5" customHeight="1">
      <c r="A11" s="330" t="s">
        <v>9</v>
      </c>
      <c r="B11" s="336" t="s">
        <v>2747</v>
      </c>
      <c r="C11" s="330" t="s">
        <v>12</v>
      </c>
      <c r="D11" s="811">
        <v>0</v>
      </c>
      <c r="E11" s="811">
        <v>0</v>
      </c>
      <c r="F11" s="811">
        <v>378.23</v>
      </c>
      <c r="G11" s="811">
        <v>4.7579511990167846</v>
      </c>
      <c r="H11" s="811">
        <v>221.13</v>
      </c>
      <c r="I11" s="811">
        <v>7.5675805165516241</v>
      </c>
      <c r="J11" s="811">
        <v>0</v>
      </c>
      <c r="K11" s="811">
        <v>0</v>
      </c>
      <c r="L11" s="811">
        <v>0</v>
      </c>
      <c r="M11" s="811">
        <v>0</v>
      </c>
      <c r="N11" s="811">
        <v>2</v>
      </c>
      <c r="O11" s="811">
        <v>8.1635651921907346E-2</v>
      </c>
      <c r="P11" s="811">
        <v>0</v>
      </c>
      <c r="Q11" s="811">
        <v>0</v>
      </c>
      <c r="R11" s="811">
        <v>0</v>
      </c>
      <c r="S11" s="811">
        <v>0</v>
      </c>
      <c r="T11" s="811">
        <v>0</v>
      </c>
      <c r="U11" s="811">
        <v>0</v>
      </c>
      <c r="V11" s="811">
        <v>0</v>
      </c>
      <c r="W11" s="811">
        <v>0</v>
      </c>
      <c r="X11" s="811">
        <v>0</v>
      </c>
      <c r="Y11" s="811">
        <v>0</v>
      </c>
      <c r="Z11" s="940">
        <v>13.65</v>
      </c>
      <c r="AA11" s="940">
        <v>3.5351704133430029</v>
      </c>
      <c r="AB11" s="811">
        <v>0</v>
      </c>
      <c r="AC11" s="811">
        <v>0</v>
      </c>
    </row>
    <row r="12" spans="1:31" ht="16.5" customHeight="1">
      <c r="A12" s="330" t="s">
        <v>11</v>
      </c>
      <c r="B12" s="336" t="s">
        <v>60</v>
      </c>
      <c r="C12" s="330" t="s">
        <v>14</v>
      </c>
      <c r="D12" s="811">
        <v>0</v>
      </c>
      <c r="E12" s="811">
        <v>0</v>
      </c>
      <c r="F12" s="811">
        <v>250.44</v>
      </c>
      <c r="G12" s="811">
        <v>3.1504145580249152</v>
      </c>
      <c r="H12" s="811">
        <v>96.1</v>
      </c>
      <c r="I12" s="811">
        <v>3.288764471761457</v>
      </c>
      <c r="J12" s="811">
        <v>1284.375468278</v>
      </c>
      <c r="K12" s="811">
        <v>28.636173465348978</v>
      </c>
      <c r="L12" s="811">
        <v>0</v>
      </c>
      <c r="M12" s="811">
        <v>0</v>
      </c>
      <c r="N12" s="811">
        <v>2.2999999999999998</v>
      </c>
      <c r="O12" s="811">
        <v>9.3880999710193425E-2</v>
      </c>
      <c r="P12" s="811">
        <v>0</v>
      </c>
      <c r="Q12" s="811">
        <v>0</v>
      </c>
      <c r="R12" s="811">
        <v>0</v>
      </c>
      <c r="S12" s="811">
        <v>0</v>
      </c>
      <c r="T12" s="811">
        <v>0</v>
      </c>
      <c r="U12" s="811">
        <v>0</v>
      </c>
      <c r="V12" s="811">
        <v>0</v>
      </c>
      <c r="W12" s="811">
        <v>0</v>
      </c>
      <c r="X12" s="811">
        <v>0</v>
      </c>
      <c r="Y12" s="811">
        <v>0</v>
      </c>
      <c r="Z12" s="940">
        <v>284.46999999999997</v>
      </c>
      <c r="AA12" s="940">
        <v>73.673987361442045</v>
      </c>
      <c r="AB12" s="811">
        <v>0</v>
      </c>
      <c r="AC12" s="811">
        <v>0</v>
      </c>
    </row>
    <row r="13" spans="1:31" ht="16.5" customHeight="1">
      <c r="A13" s="330" t="s">
        <v>13</v>
      </c>
      <c r="B13" s="336" t="s">
        <v>61</v>
      </c>
      <c r="C13" s="330" t="s">
        <v>16</v>
      </c>
      <c r="D13" s="811">
        <v>0</v>
      </c>
      <c r="E13" s="811">
        <v>0</v>
      </c>
      <c r="F13" s="811">
        <v>44.46</v>
      </c>
      <c r="G13" s="811">
        <v>0.55928538272555395</v>
      </c>
      <c r="H13" s="811">
        <v>0</v>
      </c>
      <c r="I13" s="811">
        <v>0</v>
      </c>
      <c r="J13" s="811">
        <v>0</v>
      </c>
      <c r="K13" s="811">
        <v>0</v>
      </c>
      <c r="L13" s="811">
        <v>9772.4499999999989</v>
      </c>
      <c r="M13" s="811">
        <v>13.194936186275186</v>
      </c>
      <c r="N13" s="811">
        <v>10.81</v>
      </c>
      <c r="O13" s="811">
        <v>0.44124069863790921</v>
      </c>
      <c r="P13" s="811">
        <v>0</v>
      </c>
      <c r="Q13" s="811">
        <v>0</v>
      </c>
      <c r="R13" s="811">
        <v>0</v>
      </c>
      <c r="S13" s="811">
        <v>0</v>
      </c>
      <c r="T13" s="811">
        <v>0</v>
      </c>
      <c r="U13" s="811">
        <v>0</v>
      </c>
      <c r="V13" s="811">
        <v>0</v>
      </c>
      <c r="W13" s="811">
        <v>0</v>
      </c>
      <c r="X13" s="811">
        <v>0</v>
      </c>
      <c r="Y13" s="811">
        <v>0</v>
      </c>
      <c r="Z13" s="940">
        <v>0</v>
      </c>
      <c r="AA13" s="940">
        <v>0</v>
      </c>
      <c r="AB13" s="811">
        <v>0</v>
      </c>
      <c r="AC13" s="811">
        <v>0</v>
      </c>
    </row>
    <row r="14" spans="1:31" ht="16.5" customHeight="1">
      <c r="A14" s="330" t="s">
        <v>15</v>
      </c>
      <c r="B14" s="336" t="s">
        <v>62</v>
      </c>
      <c r="C14" s="330" t="s">
        <v>17</v>
      </c>
      <c r="D14" s="811">
        <v>0</v>
      </c>
      <c r="E14" s="811">
        <v>0</v>
      </c>
      <c r="F14" s="811">
        <v>0</v>
      </c>
      <c r="G14" s="811">
        <v>0</v>
      </c>
      <c r="H14" s="811">
        <v>0</v>
      </c>
      <c r="I14" s="811">
        <v>0</v>
      </c>
      <c r="J14" s="811">
        <v>0</v>
      </c>
      <c r="K14" s="811">
        <v>0</v>
      </c>
      <c r="L14" s="811">
        <v>2219</v>
      </c>
      <c r="M14" s="811">
        <v>2.9961333542095012</v>
      </c>
      <c r="N14" s="811">
        <v>0</v>
      </c>
      <c r="O14" s="811">
        <v>0</v>
      </c>
      <c r="P14" s="811">
        <v>2219</v>
      </c>
      <c r="Q14" s="811">
        <v>100</v>
      </c>
      <c r="R14" s="811">
        <v>0</v>
      </c>
      <c r="S14" s="811">
        <v>0</v>
      </c>
      <c r="T14" s="811">
        <v>0</v>
      </c>
      <c r="U14" s="811">
        <v>0</v>
      </c>
      <c r="V14" s="811">
        <v>0</v>
      </c>
      <c r="W14" s="811">
        <v>0</v>
      </c>
      <c r="X14" s="811">
        <v>0</v>
      </c>
      <c r="Y14" s="811">
        <v>0</v>
      </c>
      <c r="Z14" s="940">
        <v>0</v>
      </c>
      <c r="AA14" s="940">
        <v>0</v>
      </c>
      <c r="AB14" s="811">
        <v>0</v>
      </c>
      <c r="AC14" s="811">
        <v>0</v>
      </c>
      <c r="AE14" s="813">
        <v>0</v>
      </c>
    </row>
    <row r="15" spans="1:31" ht="16.5" customHeight="1">
      <c r="A15" s="330" t="s">
        <v>64</v>
      </c>
      <c r="B15" s="336" t="s">
        <v>63</v>
      </c>
      <c r="C15" s="330" t="s">
        <v>18</v>
      </c>
      <c r="D15" s="811">
        <v>0</v>
      </c>
      <c r="E15" s="811">
        <v>0</v>
      </c>
      <c r="F15" s="811">
        <v>5593.57</v>
      </c>
      <c r="G15" s="811">
        <v>70.364416065051188</v>
      </c>
      <c r="H15" s="811">
        <v>1472.88</v>
      </c>
      <c r="I15" s="811">
        <v>50.405363321207233</v>
      </c>
      <c r="J15" s="811">
        <v>0</v>
      </c>
      <c r="K15" s="811">
        <v>0</v>
      </c>
      <c r="L15" s="811">
        <v>62070.673999999992</v>
      </c>
      <c r="M15" s="811">
        <v>83.80893045951531</v>
      </c>
      <c r="N15" s="811">
        <v>1177.3700000000001</v>
      </c>
      <c r="O15" s="811">
        <v>48.057683751648028</v>
      </c>
      <c r="P15" s="811">
        <v>0</v>
      </c>
      <c r="Q15" s="811">
        <v>0</v>
      </c>
      <c r="R15" s="811">
        <v>0</v>
      </c>
      <c r="S15" s="811">
        <v>0</v>
      </c>
      <c r="T15" s="811">
        <v>0</v>
      </c>
      <c r="U15" s="811">
        <v>0</v>
      </c>
      <c r="V15" s="811">
        <v>0</v>
      </c>
      <c r="W15" s="811">
        <v>0</v>
      </c>
      <c r="X15" s="811">
        <v>0</v>
      </c>
      <c r="Y15" s="811">
        <v>0</v>
      </c>
      <c r="Z15" s="940">
        <v>29.01</v>
      </c>
      <c r="AA15" s="940">
        <v>7.5132083290168881</v>
      </c>
      <c r="AB15" s="811">
        <v>0</v>
      </c>
      <c r="AC15" s="811">
        <v>0</v>
      </c>
    </row>
    <row r="16" spans="1:31" s="827" customFormat="1" ht="16.7" customHeight="1">
      <c r="A16" s="329"/>
      <c r="B16" s="804" t="s">
        <v>194</v>
      </c>
      <c r="C16" s="329" t="s">
        <v>187</v>
      </c>
      <c r="D16" s="821">
        <v>0</v>
      </c>
      <c r="E16" s="821">
        <v>0</v>
      </c>
      <c r="F16" s="821">
        <v>24.16</v>
      </c>
      <c r="G16" s="821">
        <v>0.30392116164303601</v>
      </c>
      <c r="H16" s="821">
        <v>0</v>
      </c>
      <c r="I16" s="821">
        <v>0</v>
      </c>
      <c r="J16" s="821">
        <v>0</v>
      </c>
      <c r="K16" s="821">
        <v>0</v>
      </c>
      <c r="L16" s="821">
        <v>5359.79</v>
      </c>
      <c r="M16" s="821">
        <v>7.2368839975477881</v>
      </c>
      <c r="N16" s="821">
        <v>0</v>
      </c>
      <c r="O16" s="821">
        <v>0</v>
      </c>
      <c r="P16" s="821">
        <v>0</v>
      </c>
      <c r="Q16" s="821">
        <v>0</v>
      </c>
      <c r="R16" s="821">
        <v>0</v>
      </c>
      <c r="S16" s="821">
        <v>0</v>
      </c>
      <c r="T16" s="821">
        <v>0</v>
      </c>
      <c r="U16" s="821">
        <v>0</v>
      </c>
      <c r="V16" s="821">
        <v>0</v>
      </c>
      <c r="W16" s="821">
        <v>0</v>
      </c>
      <c r="X16" s="821">
        <v>0</v>
      </c>
      <c r="Y16" s="821">
        <v>0</v>
      </c>
      <c r="Z16" s="940">
        <v>0</v>
      </c>
      <c r="AA16" s="940">
        <v>0</v>
      </c>
      <c r="AB16" s="821">
        <v>0</v>
      </c>
      <c r="AC16" s="821">
        <v>0</v>
      </c>
    </row>
    <row r="17" spans="1:29" ht="19.5" customHeight="1">
      <c r="A17" s="330" t="s">
        <v>73</v>
      </c>
      <c r="B17" s="336" t="s">
        <v>72</v>
      </c>
      <c r="C17" s="330" t="s">
        <v>19</v>
      </c>
      <c r="D17" s="811">
        <v>0</v>
      </c>
      <c r="E17" s="811">
        <v>0</v>
      </c>
      <c r="F17" s="811">
        <v>32.949999999999996</v>
      </c>
      <c r="G17" s="811">
        <v>0.41449512732359417</v>
      </c>
      <c r="H17" s="811">
        <v>28.51</v>
      </c>
      <c r="I17" s="811">
        <v>0.97567820072756661</v>
      </c>
      <c r="J17" s="811">
        <v>0</v>
      </c>
      <c r="K17" s="811">
        <v>0</v>
      </c>
      <c r="L17" s="811">
        <v>0</v>
      </c>
      <c r="M17" s="811">
        <v>0</v>
      </c>
      <c r="N17" s="811">
        <v>0.16</v>
      </c>
      <c r="O17" s="811">
        <v>6.5308521537525872E-3</v>
      </c>
      <c r="P17" s="811">
        <v>0</v>
      </c>
      <c r="Q17" s="811">
        <v>0</v>
      </c>
      <c r="R17" s="811">
        <v>0</v>
      </c>
      <c r="S17" s="811">
        <v>0</v>
      </c>
      <c r="T17" s="811">
        <v>0</v>
      </c>
      <c r="U17" s="811">
        <v>0</v>
      </c>
      <c r="V17" s="811">
        <v>0</v>
      </c>
      <c r="W17" s="811">
        <v>0</v>
      </c>
      <c r="X17" s="811">
        <v>0</v>
      </c>
      <c r="Y17" s="811">
        <v>0</v>
      </c>
      <c r="Z17" s="940">
        <v>51.26</v>
      </c>
      <c r="AA17" s="940">
        <v>13.275665596187716</v>
      </c>
      <c r="AB17" s="811">
        <v>0</v>
      </c>
      <c r="AC17" s="811">
        <v>0</v>
      </c>
    </row>
    <row r="18" spans="1:29" ht="60" hidden="1" customHeight="1">
      <c r="A18" s="330" t="s">
        <v>86</v>
      </c>
      <c r="B18" s="336" t="s">
        <v>2749</v>
      </c>
      <c r="C18" s="330" t="s">
        <v>2752</v>
      </c>
      <c r="D18" s="811">
        <v>0</v>
      </c>
      <c r="E18" s="811">
        <v>0</v>
      </c>
      <c r="F18" s="811">
        <v>0</v>
      </c>
      <c r="G18" s="811">
        <v>0</v>
      </c>
      <c r="H18" s="811">
        <v>0</v>
      </c>
      <c r="I18" s="811">
        <v>0</v>
      </c>
      <c r="J18" s="811">
        <v>0</v>
      </c>
      <c r="K18" s="811">
        <v>0</v>
      </c>
      <c r="L18" s="811">
        <v>0</v>
      </c>
      <c r="M18" s="811">
        <v>0</v>
      </c>
      <c r="N18" s="811">
        <v>0</v>
      </c>
      <c r="O18" s="811">
        <v>0</v>
      </c>
      <c r="P18" s="811">
        <v>0</v>
      </c>
      <c r="Q18" s="811">
        <v>0</v>
      </c>
      <c r="R18" s="811">
        <v>0</v>
      </c>
      <c r="S18" s="811">
        <v>0</v>
      </c>
      <c r="T18" s="811">
        <v>0</v>
      </c>
      <c r="U18" s="811">
        <v>0</v>
      </c>
      <c r="V18" s="811">
        <v>0</v>
      </c>
      <c r="W18" s="811">
        <v>0</v>
      </c>
      <c r="X18" s="811">
        <v>0</v>
      </c>
      <c r="Y18" s="811">
        <v>0</v>
      </c>
      <c r="Z18" s="940">
        <v>0</v>
      </c>
      <c r="AA18" s="940">
        <v>0</v>
      </c>
      <c r="AB18" s="811">
        <v>0</v>
      </c>
      <c r="AC18" s="811">
        <v>0</v>
      </c>
    </row>
    <row r="19" spans="1:29" ht="17.100000000000001" customHeight="1">
      <c r="A19" s="330" t="s">
        <v>86</v>
      </c>
      <c r="B19" s="336" t="s">
        <v>89</v>
      </c>
      <c r="C19" s="330" t="s">
        <v>20</v>
      </c>
      <c r="D19" s="811">
        <v>0</v>
      </c>
      <c r="E19" s="811">
        <v>0</v>
      </c>
      <c r="F19" s="811">
        <v>249.61</v>
      </c>
      <c r="G19" s="811">
        <v>3.1399735578525751</v>
      </c>
      <c r="H19" s="811">
        <v>1.29</v>
      </c>
      <c r="I19" s="811">
        <v>4.4146786353509673E-2</v>
      </c>
      <c r="J19" s="811">
        <v>0</v>
      </c>
      <c r="K19" s="811">
        <v>0</v>
      </c>
      <c r="L19" s="811">
        <v>0</v>
      </c>
      <c r="M19" s="811">
        <v>0</v>
      </c>
      <c r="N19" s="811">
        <v>0</v>
      </c>
      <c r="O19" s="811">
        <v>0</v>
      </c>
      <c r="P19" s="811">
        <v>0</v>
      </c>
      <c r="Q19" s="811">
        <v>0</v>
      </c>
      <c r="R19" s="811">
        <v>0</v>
      </c>
      <c r="S19" s="811">
        <v>0</v>
      </c>
      <c r="T19" s="811">
        <v>0</v>
      </c>
      <c r="U19" s="811">
        <v>0</v>
      </c>
      <c r="V19" s="811">
        <v>0</v>
      </c>
      <c r="W19" s="811">
        <v>0</v>
      </c>
      <c r="X19" s="811">
        <v>0</v>
      </c>
      <c r="Y19" s="811">
        <v>0</v>
      </c>
      <c r="Z19" s="940">
        <v>0.89</v>
      </c>
      <c r="AA19" s="940">
        <v>0.23049829068683314</v>
      </c>
      <c r="AB19" s="811">
        <v>0</v>
      </c>
      <c r="AC19" s="811">
        <v>0</v>
      </c>
    </row>
    <row r="20" spans="1:29" s="810" customFormat="1" ht="17.100000000000001" customHeight="1">
      <c r="A20" s="328">
        <v>2</v>
      </c>
      <c r="B20" s="429" t="s">
        <v>21</v>
      </c>
      <c r="C20" s="328" t="s">
        <v>22</v>
      </c>
      <c r="D20" s="809">
        <v>0</v>
      </c>
      <c r="E20" s="809">
        <v>0</v>
      </c>
      <c r="F20" s="809">
        <v>570.53</v>
      </c>
      <c r="G20" s="809">
        <v>7.1769925642467438</v>
      </c>
      <c r="H20" s="809">
        <v>797.07000000000016</v>
      </c>
      <c r="I20" s="809">
        <v>27.277580619218579</v>
      </c>
      <c r="J20" s="809">
        <v>0</v>
      </c>
      <c r="K20" s="809">
        <v>0</v>
      </c>
      <c r="L20" s="809">
        <v>0</v>
      </c>
      <c r="M20" s="811">
        <v>0</v>
      </c>
      <c r="N20" s="809">
        <v>1251.27</v>
      </c>
      <c r="O20" s="809">
        <v>51.074121090162492</v>
      </c>
      <c r="P20" s="809">
        <v>0</v>
      </c>
      <c r="Q20" s="809">
        <v>0</v>
      </c>
      <c r="R20" s="809">
        <v>114.26999999999998</v>
      </c>
      <c r="S20" s="809">
        <v>100</v>
      </c>
      <c r="T20" s="809">
        <v>107.25999999999999</v>
      </c>
      <c r="U20" s="809">
        <v>100</v>
      </c>
      <c r="V20" s="809">
        <v>0</v>
      </c>
      <c r="W20" s="809"/>
      <c r="X20" s="809">
        <v>28.520000000000003</v>
      </c>
      <c r="Y20" s="809">
        <v>100</v>
      </c>
      <c r="Z20" s="809">
        <v>1189.5481099999997</v>
      </c>
      <c r="AA20" s="809">
        <v>110.23966726610459</v>
      </c>
      <c r="AB20" s="809">
        <v>0</v>
      </c>
      <c r="AC20" s="809">
        <v>0</v>
      </c>
    </row>
    <row r="21" spans="1:29" ht="16.7" customHeight="1">
      <c r="A21" s="330"/>
      <c r="B21" s="337" t="s">
        <v>190</v>
      </c>
      <c r="C21" s="330"/>
      <c r="D21" s="811"/>
      <c r="E21" s="811"/>
      <c r="F21" s="811"/>
      <c r="G21" s="811"/>
      <c r="H21" s="811"/>
      <c r="I21" s="811"/>
      <c r="J21" s="811"/>
      <c r="K21" s="811"/>
      <c r="L21" s="811"/>
      <c r="M21" s="811">
        <v>0</v>
      </c>
      <c r="N21" s="811"/>
      <c r="O21" s="811"/>
      <c r="P21" s="811"/>
      <c r="Q21" s="811"/>
      <c r="R21" s="811"/>
      <c r="S21" s="811"/>
      <c r="T21" s="811"/>
      <c r="U21" s="811"/>
      <c r="V21" s="811"/>
      <c r="W21" s="811"/>
      <c r="X21" s="811"/>
      <c r="Y21" s="811"/>
      <c r="Z21" s="811"/>
      <c r="AA21" s="811"/>
      <c r="AB21" s="811"/>
      <c r="AC21" s="811"/>
    </row>
    <row r="22" spans="1:29" ht="17.25" customHeight="1">
      <c r="A22" s="330" t="s">
        <v>23</v>
      </c>
      <c r="B22" s="336" t="s">
        <v>65</v>
      </c>
      <c r="C22" s="330" t="s">
        <v>26</v>
      </c>
      <c r="D22" s="811">
        <v>0</v>
      </c>
      <c r="E22" s="811">
        <v>0</v>
      </c>
      <c r="F22" s="811">
        <v>66.28</v>
      </c>
      <c r="G22" s="811">
        <v>0.83377047159356077</v>
      </c>
      <c r="H22" s="811">
        <v>8.82</v>
      </c>
      <c r="I22" s="811">
        <v>0.3018408183239964</v>
      </c>
      <c r="J22" s="811">
        <v>0</v>
      </c>
      <c r="K22" s="811">
        <v>0</v>
      </c>
      <c r="L22" s="811">
        <v>0</v>
      </c>
      <c r="M22" s="811">
        <v>0</v>
      </c>
      <c r="N22" s="811">
        <v>0</v>
      </c>
      <c r="O22" s="811">
        <v>0</v>
      </c>
      <c r="P22" s="811">
        <v>0</v>
      </c>
      <c r="Q22" s="811">
        <v>0</v>
      </c>
      <c r="R22" s="811">
        <v>0</v>
      </c>
      <c r="S22" s="811">
        <v>0</v>
      </c>
      <c r="T22" s="811">
        <v>0</v>
      </c>
      <c r="U22" s="811">
        <v>0</v>
      </c>
      <c r="V22" s="811">
        <v>0</v>
      </c>
      <c r="W22" s="811">
        <v>0</v>
      </c>
      <c r="X22" s="811">
        <v>0</v>
      </c>
      <c r="Y22" s="811">
        <v>0</v>
      </c>
      <c r="Z22" s="811">
        <v>0</v>
      </c>
      <c r="AA22" s="811">
        <v>0</v>
      </c>
      <c r="AB22" s="811">
        <v>0</v>
      </c>
      <c r="AC22" s="811">
        <v>0</v>
      </c>
    </row>
    <row r="23" spans="1:29" ht="17.25" customHeight="1">
      <c r="A23" s="330" t="s">
        <v>25</v>
      </c>
      <c r="B23" s="336" t="s">
        <v>66</v>
      </c>
      <c r="C23" s="330" t="s">
        <v>28</v>
      </c>
      <c r="D23" s="811">
        <v>0</v>
      </c>
      <c r="E23" s="811">
        <v>0</v>
      </c>
      <c r="F23" s="811">
        <v>0.89999999999999991</v>
      </c>
      <c r="G23" s="811">
        <v>1.1321566451934289E-2</v>
      </c>
      <c r="H23" s="811">
        <v>0.90000000000000047</v>
      </c>
      <c r="I23" s="811">
        <v>3.0800083502448623E-2</v>
      </c>
      <c r="J23" s="811">
        <v>0</v>
      </c>
      <c r="K23" s="811">
        <v>0</v>
      </c>
      <c r="L23" s="811">
        <v>0</v>
      </c>
      <c r="M23" s="811">
        <v>0</v>
      </c>
      <c r="N23" s="811">
        <v>0</v>
      </c>
      <c r="O23" s="811">
        <v>0</v>
      </c>
      <c r="P23" s="811">
        <v>0</v>
      </c>
      <c r="Q23" s="811">
        <v>0</v>
      </c>
      <c r="R23" s="811">
        <v>0</v>
      </c>
      <c r="S23" s="811">
        <v>0</v>
      </c>
      <c r="T23" s="811">
        <v>0</v>
      </c>
      <c r="U23" s="811">
        <v>0</v>
      </c>
      <c r="V23" s="811">
        <v>0</v>
      </c>
      <c r="W23" s="811">
        <v>0</v>
      </c>
      <c r="X23" s="811">
        <v>0</v>
      </c>
      <c r="Y23" s="811">
        <v>0</v>
      </c>
      <c r="Z23" s="811">
        <v>5.9299999999999979</v>
      </c>
      <c r="AA23" s="811">
        <v>0</v>
      </c>
      <c r="AB23" s="811">
        <v>0</v>
      </c>
      <c r="AC23" s="811">
        <v>0</v>
      </c>
    </row>
    <row r="24" spans="1:29" ht="17.100000000000001" hidden="1" customHeight="1">
      <c r="A24" s="330" t="s">
        <v>27</v>
      </c>
      <c r="B24" s="336" t="s">
        <v>67</v>
      </c>
      <c r="C24" s="330" t="s">
        <v>30</v>
      </c>
      <c r="D24" s="811"/>
      <c r="E24" s="811"/>
      <c r="F24" s="811"/>
      <c r="G24" s="811">
        <v>0</v>
      </c>
      <c r="H24" s="811"/>
      <c r="I24" s="811">
        <v>0</v>
      </c>
      <c r="J24" s="811"/>
      <c r="K24" s="811"/>
      <c r="L24" s="811"/>
      <c r="M24" s="811">
        <v>0</v>
      </c>
      <c r="N24" s="811"/>
      <c r="O24" s="811"/>
      <c r="P24" s="811"/>
      <c r="Q24" s="811"/>
      <c r="R24" s="811"/>
      <c r="S24" s="811"/>
      <c r="T24" s="811"/>
      <c r="U24" s="811"/>
      <c r="V24" s="811"/>
      <c r="W24" s="811"/>
      <c r="X24" s="811"/>
      <c r="Y24" s="811"/>
      <c r="Z24" s="811"/>
      <c r="AA24" s="811"/>
      <c r="AB24" s="811"/>
      <c r="AC24" s="811"/>
    </row>
    <row r="25" spans="1:29" ht="17.100000000000001" customHeight="1">
      <c r="A25" s="330" t="s">
        <v>27</v>
      </c>
      <c r="B25" s="336" t="s">
        <v>90</v>
      </c>
      <c r="C25" s="330" t="s">
        <v>91</v>
      </c>
      <c r="D25" s="811">
        <v>0</v>
      </c>
      <c r="E25" s="811">
        <v>0</v>
      </c>
      <c r="F25" s="811">
        <v>0</v>
      </c>
      <c r="G25" s="811">
        <v>0</v>
      </c>
      <c r="H25" s="811">
        <v>0</v>
      </c>
      <c r="I25" s="811">
        <v>0</v>
      </c>
      <c r="J25" s="811">
        <v>0</v>
      </c>
      <c r="K25" s="811">
        <v>0</v>
      </c>
      <c r="L25" s="811">
        <v>0</v>
      </c>
      <c r="M25" s="811">
        <v>0</v>
      </c>
      <c r="N25" s="811">
        <v>0</v>
      </c>
      <c r="O25" s="811">
        <v>0</v>
      </c>
      <c r="P25" s="811">
        <v>0</v>
      </c>
      <c r="Q25" s="811">
        <v>0</v>
      </c>
      <c r="R25" s="811">
        <v>114.26999999999998</v>
      </c>
      <c r="S25" s="811">
        <v>100</v>
      </c>
      <c r="T25" s="811">
        <v>0</v>
      </c>
      <c r="U25" s="811">
        <v>0</v>
      </c>
      <c r="V25" s="811">
        <v>0</v>
      </c>
      <c r="W25" s="811">
        <v>0</v>
      </c>
      <c r="X25" s="811">
        <v>0</v>
      </c>
      <c r="Y25" s="811">
        <v>0</v>
      </c>
      <c r="Z25" s="811">
        <v>0</v>
      </c>
      <c r="AA25" s="811">
        <v>0</v>
      </c>
      <c r="AB25" s="811">
        <v>0</v>
      </c>
      <c r="AC25" s="811">
        <v>0</v>
      </c>
    </row>
    <row r="26" spans="1:29" ht="17.100000000000001" customHeight="1">
      <c r="A26" s="330" t="s">
        <v>29</v>
      </c>
      <c r="B26" s="336" t="s">
        <v>92</v>
      </c>
      <c r="C26" s="330" t="s">
        <v>93</v>
      </c>
      <c r="D26" s="811">
        <v>0</v>
      </c>
      <c r="E26" s="811">
        <v>0</v>
      </c>
      <c r="F26" s="811">
        <v>6.1</v>
      </c>
      <c r="G26" s="811">
        <v>7.6735061507554631E-2</v>
      </c>
      <c r="H26" s="811">
        <v>2.41</v>
      </c>
      <c r="I26" s="811">
        <v>8.2475779156556836E-2</v>
      </c>
      <c r="J26" s="811">
        <v>0</v>
      </c>
      <c r="K26" s="811">
        <v>0</v>
      </c>
      <c r="L26" s="811">
        <v>0</v>
      </c>
      <c r="M26" s="811">
        <v>0</v>
      </c>
      <c r="N26" s="811">
        <v>35.19</v>
      </c>
      <c r="O26" s="811">
        <v>1.4363792955659596</v>
      </c>
      <c r="P26" s="811">
        <v>0</v>
      </c>
      <c r="Q26" s="811">
        <v>0</v>
      </c>
      <c r="R26" s="811">
        <v>0</v>
      </c>
      <c r="S26" s="811">
        <v>0</v>
      </c>
      <c r="T26" s="811">
        <v>8.01</v>
      </c>
      <c r="U26" s="811">
        <v>7.4678351668842069</v>
      </c>
      <c r="V26" s="811"/>
      <c r="W26" s="811"/>
      <c r="X26" s="811">
        <v>28.520000000000003</v>
      </c>
      <c r="Y26" s="811">
        <v>100</v>
      </c>
      <c r="Z26" s="940">
        <v>26.110000000000003</v>
      </c>
      <c r="AA26" s="940">
        <v>6.7621464829586673</v>
      </c>
      <c r="AB26" s="811">
        <v>0</v>
      </c>
      <c r="AC26" s="811">
        <v>0</v>
      </c>
    </row>
    <row r="27" spans="1:29" ht="17.100000000000001" customHeight="1">
      <c r="A27" s="330" t="s">
        <v>31</v>
      </c>
      <c r="B27" s="336" t="s">
        <v>94</v>
      </c>
      <c r="C27" s="330" t="s">
        <v>32</v>
      </c>
      <c r="D27" s="811">
        <v>0</v>
      </c>
      <c r="E27" s="811">
        <v>0</v>
      </c>
      <c r="F27" s="811">
        <v>14.520000000000001</v>
      </c>
      <c r="G27" s="811">
        <v>0.18265460542453987</v>
      </c>
      <c r="H27" s="811">
        <v>7.0500000000000007</v>
      </c>
      <c r="I27" s="811">
        <v>0.24126732076918078</v>
      </c>
      <c r="J27" s="811">
        <v>0</v>
      </c>
      <c r="K27" s="811">
        <v>0</v>
      </c>
      <c r="L27" s="811">
        <v>0</v>
      </c>
      <c r="M27" s="811">
        <v>0</v>
      </c>
      <c r="N27" s="811">
        <v>0</v>
      </c>
      <c r="O27" s="811">
        <v>0</v>
      </c>
      <c r="P27" s="811">
        <v>0</v>
      </c>
      <c r="Q27" s="811">
        <v>0</v>
      </c>
      <c r="R27" s="811">
        <v>0</v>
      </c>
      <c r="S27" s="811">
        <v>0</v>
      </c>
      <c r="T27" s="811">
        <v>0</v>
      </c>
      <c r="U27" s="811">
        <v>0</v>
      </c>
      <c r="V27" s="811">
        <v>0</v>
      </c>
      <c r="W27" s="811">
        <v>0</v>
      </c>
      <c r="X27" s="811">
        <v>0</v>
      </c>
      <c r="Y27" s="811">
        <v>0</v>
      </c>
      <c r="Z27" s="940">
        <v>35.278609999999993</v>
      </c>
      <c r="AA27" s="940">
        <v>9.1366958458510297</v>
      </c>
      <c r="AB27" s="811">
        <v>0</v>
      </c>
      <c r="AC27" s="811">
        <v>0</v>
      </c>
    </row>
    <row r="28" spans="1:29" s="814" customFormat="1" ht="17.100000000000001" customHeight="1">
      <c r="A28" s="330" t="s">
        <v>33</v>
      </c>
      <c r="B28" s="336" t="s">
        <v>106</v>
      </c>
      <c r="C28" s="330" t="s">
        <v>35</v>
      </c>
      <c r="D28" s="811">
        <v>0</v>
      </c>
      <c r="E28" s="811">
        <v>0</v>
      </c>
      <c r="F28" s="811">
        <v>0.27</v>
      </c>
      <c r="G28" s="811">
        <v>3.3964699355802873E-3</v>
      </c>
      <c r="H28" s="811">
        <v>22.8</v>
      </c>
      <c r="I28" s="811">
        <v>0.78026878206203143</v>
      </c>
      <c r="J28" s="811">
        <v>0</v>
      </c>
      <c r="K28" s="811">
        <v>0</v>
      </c>
      <c r="L28" s="811">
        <v>0</v>
      </c>
      <c r="M28" s="811">
        <v>0</v>
      </c>
      <c r="N28" s="811">
        <v>0</v>
      </c>
      <c r="O28" s="811">
        <v>0</v>
      </c>
      <c r="P28" s="811">
        <v>0</v>
      </c>
      <c r="Q28" s="811">
        <v>0</v>
      </c>
      <c r="R28" s="811">
        <v>0</v>
      </c>
      <c r="S28" s="811">
        <v>0</v>
      </c>
      <c r="T28" s="811">
        <v>0</v>
      </c>
      <c r="U28" s="811">
        <v>0</v>
      </c>
      <c r="V28" s="811">
        <v>0</v>
      </c>
      <c r="W28" s="811">
        <v>0</v>
      </c>
      <c r="X28" s="811">
        <v>0</v>
      </c>
      <c r="Y28" s="811">
        <v>0</v>
      </c>
      <c r="Z28" s="940">
        <v>0</v>
      </c>
      <c r="AA28" s="940">
        <v>0</v>
      </c>
      <c r="AB28" s="811">
        <v>0</v>
      </c>
      <c r="AC28" s="811">
        <v>0</v>
      </c>
    </row>
    <row r="29" spans="1:29" ht="30.6" customHeight="1">
      <c r="A29" s="330" t="s">
        <v>68</v>
      </c>
      <c r="B29" s="336" t="s">
        <v>125</v>
      </c>
      <c r="C29" s="330" t="s">
        <v>43</v>
      </c>
      <c r="D29" s="811">
        <v>0</v>
      </c>
      <c r="E29" s="811">
        <v>0</v>
      </c>
      <c r="F29" s="811">
        <v>215.01999999999998</v>
      </c>
      <c r="G29" s="811">
        <v>2.7048480205499006</v>
      </c>
      <c r="H29" s="811">
        <v>378.74600000000004</v>
      </c>
      <c r="I29" s="811">
        <v>12.961564918020446</v>
      </c>
      <c r="J29" s="811">
        <v>0</v>
      </c>
      <c r="K29" s="811">
        <v>0</v>
      </c>
      <c r="L29" s="811">
        <v>0</v>
      </c>
      <c r="M29" s="811">
        <v>0</v>
      </c>
      <c r="N29" s="811">
        <v>436.13</v>
      </c>
      <c r="O29" s="811">
        <v>17.801878436350723</v>
      </c>
      <c r="P29" s="811">
        <v>0</v>
      </c>
      <c r="Q29" s="811">
        <v>0</v>
      </c>
      <c r="R29" s="811">
        <v>0</v>
      </c>
      <c r="S29" s="811">
        <v>0</v>
      </c>
      <c r="T29" s="811">
        <v>32.92</v>
      </c>
      <c r="U29" s="811">
        <v>30.6917769904904</v>
      </c>
      <c r="V29" s="811">
        <v>0</v>
      </c>
      <c r="W29" s="811">
        <v>0</v>
      </c>
      <c r="X29" s="811">
        <v>0</v>
      </c>
      <c r="Y29" s="811">
        <v>0</v>
      </c>
      <c r="Z29" s="940">
        <v>86.029499999999985</v>
      </c>
      <c r="AA29" s="940">
        <v>7.2321160680083825</v>
      </c>
      <c r="AB29" s="811">
        <v>0</v>
      </c>
      <c r="AC29" s="811">
        <v>0</v>
      </c>
    </row>
    <row r="30" spans="1:29" ht="17.100000000000001" customHeight="1">
      <c r="A30" s="330"/>
      <c r="B30" s="337" t="s">
        <v>190</v>
      </c>
      <c r="C30" s="330"/>
      <c r="D30" s="811"/>
      <c r="E30" s="811"/>
      <c r="F30" s="811"/>
      <c r="G30" s="811">
        <v>0</v>
      </c>
      <c r="H30" s="811"/>
      <c r="I30" s="811">
        <v>0</v>
      </c>
      <c r="J30" s="811"/>
      <c r="K30" s="811"/>
      <c r="L30" s="811"/>
      <c r="M30" s="811">
        <v>0</v>
      </c>
      <c r="N30" s="811"/>
      <c r="O30" s="811">
        <v>0</v>
      </c>
      <c r="P30" s="811"/>
      <c r="Q30" s="811"/>
      <c r="R30" s="811"/>
      <c r="S30" s="811"/>
      <c r="T30" s="811"/>
      <c r="U30" s="811">
        <v>0</v>
      </c>
      <c r="V30" s="811"/>
      <c r="W30" s="811"/>
      <c r="X30" s="811"/>
      <c r="Y30" s="811"/>
      <c r="Z30" s="940"/>
      <c r="AA30" s="940"/>
      <c r="AB30" s="811"/>
      <c r="AC30" s="811"/>
    </row>
    <row r="31" spans="1:29" ht="17.100000000000001" customHeight="1">
      <c r="A31" s="330" t="s">
        <v>193</v>
      </c>
      <c r="B31" s="336" t="s">
        <v>2757</v>
      </c>
      <c r="C31" s="330" t="s">
        <v>44</v>
      </c>
      <c r="D31" s="811">
        <v>0</v>
      </c>
      <c r="E31" s="811">
        <v>0</v>
      </c>
      <c r="F31" s="811">
        <v>185.5</v>
      </c>
      <c r="G31" s="811">
        <v>2.3335006409264563</v>
      </c>
      <c r="H31" s="811">
        <v>150.29</v>
      </c>
      <c r="I31" s="811">
        <v>5.1432717217588904</v>
      </c>
      <c r="J31" s="811">
        <v>0</v>
      </c>
      <c r="K31" s="811">
        <v>0</v>
      </c>
      <c r="L31" s="811">
        <v>0</v>
      </c>
      <c r="M31" s="811">
        <v>0</v>
      </c>
      <c r="N31" s="811">
        <v>6.29</v>
      </c>
      <c r="O31" s="811">
        <v>0.25674412529439861</v>
      </c>
      <c r="P31" s="811">
        <v>0</v>
      </c>
      <c r="Q31" s="811">
        <v>0</v>
      </c>
      <c r="R31" s="811">
        <v>0</v>
      </c>
      <c r="S31" s="811">
        <v>0</v>
      </c>
      <c r="T31" s="811">
        <v>28.05</v>
      </c>
      <c r="U31" s="811">
        <v>26.151407794145072</v>
      </c>
      <c r="V31" s="811">
        <v>0</v>
      </c>
      <c r="W31" s="811">
        <v>0</v>
      </c>
      <c r="X31" s="811">
        <v>0</v>
      </c>
      <c r="Y31" s="811">
        <v>0</v>
      </c>
      <c r="Z31" s="811">
        <v>40.578000000000003</v>
      </c>
      <c r="AA31" s="811">
        <v>3.4112113380601321</v>
      </c>
      <c r="AB31" s="811">
        <v>0</v>
      </c>
      <c r="AC31" s="811">
        <v>0</v>
      </c>
    </row>
    <row r="32" spans="1:29" ht="17.100000000000001" customHeight="1">
      <c r="A32" s="330" t="s">
        <v>193</v>
      </c>
      <c r="B32" s="336" t="s">
        <v>2758</v>
      </c>
      <c r="C32" s="330" t="s">
        <v>45</v>
      </c>
      <c r="D32" s="811">
        <v>0</v>
      </c>
      <c r="E32" s="811">
        <v>0</v>
      </c>
      <c r="F32" s="811">
        <v>12.51</v>
      </c>
      <c r="G32" s="811">
        <v>0.15736977368188662</v>
      </c>
      <c r="H32" s="811">
        <v>8.39</v>
      </c>
      <c r="I32" s="811">
        <v>0.28712522287282649</v>
      </c>
      <c r="J32" s="811">
        <v>0</v>
      </c>
      <c r="K32" s="811">
        <v>0</v>
      </c>
      <c r="L32" s="811">
        <v>0</v>
      </c>
      <c r="M32" s="811">
        <v>0</v>
      </c>
      <c r="N32" s="811">
        <v>3.04</v>
      </c>
      <c r="O32" s="811">
        <v>0.12408619092129916</v>
      </c>
      <c r="P32" s="811">
        <v>0</v>
      </c>
      <c r="Q32" s="811">
        <v>0</v>
      </c>
      <c r="R32" s="811">
        <v>0</v>
      </c>
      <c r="S32" s="811">
        <v>0</v>
      </c>
      <c r="T32" s="811">
        <v>3.16</v>
      </c>
      <c r="U32" s="811">
        <v>2.9461122506060042</v>
      </c>
      <c r="V32" s="811">
        <v>0</v>
      </c>
      <c r="W32" s="811">
        <v>0</v>
      </c>
      <c r="X32" s="811">
        <v>0</v>
      </c>
      <c r="Y32" s="811">
        <v>0</v>
      </c>
      <c r="Z32" s="811">
        <v>1.7220000000000002</v>
      </c>
      <c r="AA32" s="811">
        <v>0.14476085376656189</v>
      </c>
      <c r="AB32" s="811">
        <v>0</v>
      </c>
      <c r="AC32" s="811">
        <v>0</v>
      </c>
    </row>
    <row r="33" spans="1:29" s="814" customFormat="1" ht="17.100000000000001" customHeight="1">
      <c r="A33" s="330" t="s">
        <v>193</v>
      </c>
      <c r="B33" s="1" t="s">
        <v>2770</v>
      </c>
      <c r="C33" s="2" t="s">
        <v>2771</v>
      </c>
      <c r="D33" s="811">
        <v>0</v>
      </c>
      <c r="E33" s="811">
        <v>0</v>
      </c>
      <c r="F33" s="811">
        <v>7.0000000000000007E-2</v>
      </c>
      <c r="G33" s="811">
        <v>8.8056627959488918E-4</v>
      </c>
      <c r="H33" s="811">
        <v>0.26</v>
      </c>
      <c r="I33" s="811">
        <v>8.8978019007073753E-3</v>
      </c>
      <c r="J33" s="811">
        <v>0</v>
      </c>
      <c r="K33" s="811">
        <v>0</v>
      </c>
      <c r="L33" s="811">
        <v>0</v>
      </c>
      <c r="M33" s="811">
        <v>0</v>
      </c>
      <c r="N33" s="811">
        <v>0</v>
      </c>
      <c r="O33" s="811">
        <v>0</v>
      </c>
      <c r="P33" s="811">
        <v>0</v>
      </c>
      <c r="Q33" s="811">
        <v>0</v>
      </c>
      <c r="R33" s="811">
        <v>0</v>
      </c>
      <c r="S33" s="811">
        <v>0</v>
      </c>
      <c r="T33" s="811">
        <v>0</v>
      </c>
      <c r="U33" s="811">
        <v>0</v>
      </c>
      <c r="V33" s="811">
        <v>0</v>
      </c>
      <c r="W33" s="811">
        <v>0</v>
      </c>
      <c r="X33" s="811">
        <v>0</v>
      </c>
      <c r="Y33" s="811">
        <v>0</v>
      </c>
      <c r="Z33" s="811">
        <v>0</v>
      </c>
      <c r="AA33" s="811">
        <v>0</v>
      </c>
      <c r="AB33" s="811">
        <v>0</v>
      </c>
      <c r="AC33" s="811">
        <v>0</v>
      </c>
    </row>
    <row r="34" spans="1:29" s="814" customFormat="1" ht="17.100000000000001" customHeight="1">
      <c r="A34" s="330" t="s">
        <v>193</v>
      </c>
      <c r="B34" s="1" t="s">
        <v>2772</v>
      </c>
      <c r="C34" s="2" t="s">
        <v>2773</v>
      </c>
      <c r="D34" s="811">
        <v>0</v>
      </c>
      <c r="E34" s="811">
        <v>0</v>
      </c>
      <c r="F34" s="811">
        <v>4.74</v>
      </c>
      <c r="G34" s="811">
        <v>5.962691664685392E-2</v>
      </c>
      <c r="H34" s="811">
        <v>2.2999999999999998</v>
      </c>
      <c r="I34" s="811">
        <v>7.8711324506257549E-2</v>
      </c>
      <c r="J34" s="811">
        <v>0</v>
      </c>
      <c r="K34" s="811">
        <v>0</v>
      </c>
      <c r="L34" s="811">
        <v>0</v>
      </c>
      <c r="M34" s="811">
        <v>0</v>
      </c>
      <c r="N34" s="811">
        <v>0</v>
      </c>
      <c r="O34" s="811">
        <v>0</v>
      </c>
      <c r="P34" s="811">
        <v>0</v>
      </c>
      <c r="Q34" s="811">
        <v>0</v>
      </c>
      <c r="R34" s="811">
        <v>0</v>
      </c>
      <c r="S34" s="811">
        <v>0</v>
      </c>
      <c r="T34" s="811">
        <v>0</v>
      </c>
      <c r="U34" s="811">
        <v>0</v>
      </c>
      <c r="V34" s="811">
        <v>0</v>
      </c>
      <c r="W34" s="811">
        <v>0</v>
      </c>
      <c r="X34" s="811">
        <v>0</v>
      </c>
      <c r="Y34" s="811">
        <v>0</v>
      </c>
      <c r="Z34" s="811">
        <v>0</v>
      </c>
      <c r="AA34" s="811">
        <v>0</v>
      </c>
      <c r="AB34" s="811">
        <v>0</v>
      </c>
      <c r="AC34" s="811">
        <v>0</v>
      </c>
    </row>
    <row r="35" spans="1:29" ht="17.100000000000001" customHeight="1">
      <c r="A35" s="330" t="s">
        <v>193</v>
      </c>
      <c r="B35" s="336" t="s">
        <v>127</v>
      </c>
      <c r="C35" s="330" t="s">
        <v>48</v>
      </c>
      <c r="D35" s="811">
        <v>0</v>
      </c>
      <c r="E35" s="811">
        <v>0</v>
      </c>
      <c r="F35" s="811">
        <v>1.85</v>
      </c>
      <c r="G35" s="811">
        <v>2.3272108817864932E-2</v>
      </c>
      <c r="H35" s="811">
        <v>0.82600000000000007</v>
      </c>
      <c r="I35" s="811">
        <v>2.8267632192247281E-2</v>
      </c>
      <c r="J35" s="811">
        <v>0</v>
      </c>
      <c r="K35" s="811">
        <v>0</v>
      </c>
      <c r="L35" s="811">
        <v>0</v>
      </c>
      <c r="M35" s="811">
        <v>0</v>
      </c>
      <c r="N35" s="811">
        <v>0</v>
      </c>
      <c r="O35" s="811">
        <v>0</v>
      </c>
      <c r="P35" s="811">
        <v>0</v>
      </c>
      <c r="Q35" s="811">
        <v>0</v>
      </c>
      <c r="R35" s="811">
        <v>0</v>
      </c>
      <c r="S35" s="811">
        <v>0</v>
      </c>
      <c r="T35" s="811">
        <v>0.14000000000000001</v>
      </c>
      <c r="U35" s="811">
        <v>0.13052396046988626</v>
      </c>
      <c r="V35" s="811">
        <v>0</v>
      </c>
      <c r="W35" s="811">
        <v>0</v>
      </c>
      <c r="X35" s="811">
        <v>0</v>
      </c>
      <c r="Y35" s="811">
        <v>0</v>
      </c>
      <c r="Z35" s="811">
        <v>15.940000000000003</v>
      </c>
      <c r="AA35" s="811">
        <v>1.3400046510098702</v>
      </c>
      <c r="AB35" s="811">
        <v>0</v>
      </c>
      <c r="AC35" s="811">
        <v>0</v>
      </c>
    </row>
    <row r="36" spans="1:29" ht="17.100000000000001" customHeight="1">
      <c r="A36" s="330" t="s">
        <v>193</v>
      </c>
      <c r="B36" s="336" t="s">
        <v>129</v>
      </c>
      <c r="C36" s="330" t="s">
        <v>49</v>
      </c>
      <c r="D36" s="811">
        <v>0</v>
      </c>
      <c r="E36" s="811">
        <v>0</v>
      </c>
      <c r="F36" s="811">
        <v>0.21</v>
      </c>
      <c r="G36" s="811">
        <v>2.6416988387846676E-3</v>
      </c>
      <c r="H36" s="811">
        <v>2.5</v>
      </c>
      <c r="I36" s="811">
        <v>8.5555787506801692E-2</v>
      </c>
      <c r="J36" s="811">
        <v>0</v>
      </c>
      <c r="K36" s="811">
        <v>0</v>
      </c>
      <c r="L36" s="811">
        <v>0</v>
      </c>
      <c r="M36" s="811">
        <v>0</v>
      </c>
      <c r="N36" s="811">
        <v>0</v>
      </c>
      <c r="O36" s="811">
        <v>0</v>
      </c>
      <c r="P36" s="811">
        <v>0</v>
      </c>
      <c r="Q36" s="811">
        <v>0</v>
      </c>
      <c r="R36" s="811">
        <v>0</v>
      </c>
      <c r="S36" s="811">
        <v>0</v>
      </c>
      <c r="T36" s="811">
        <v>0.11</v>
      </c>
      <c r="U36" s="811">
        <v>0.10255454036919637</v>
      </c>
      <c r="V36" s="811">
        <v>0</v>
      </c>
      <c r="W36" s="811">
        <v>0</v>
      </c>
      <c r="X36" s="811">
        <v>0</v>
      </c>
      <c r="Y36" s="811">
        <v>0</v>
      </c>
      <c r="Z36" s="811">
        <v>1.992</v>
      </c>
      <c r="AA36" s="811">
        <v>0.16745854860800885</v>
      </c>
      <c r="AB36" s="811">
        <v>0</v>
      </c>
      <c r="AC36" s="811">
        <v>0</v>
      </c>
    </row>
    <row r="37" spans="1:29" ht="17.100000000000001" customHeight="1">
      <c r="A37" s="330" t="s">
        <v>193</v>
      </c>
      <c r="B37" s="336" t="s">
        <v>220</v>
      </c>
      <c r="C37" s="330" t="s">
        <v>50</v>
      </c>
      <c r="D37" s="811">
        <v>0</v>
      </c>
      <c r="E37" s="811">
        <v>0</v>
      </c>
      <c r="F37" s="811">
        <v>5.5200000000000005</v>
      </c>
      <c r="G37" s="811">
        <v>6.9438940905196977E-2</v>
      </c>
      <c r="H37" s="811">
        <v>23.86</v>
      </c>
      <c r="I37" s="811">
        <v>0.81654443596491533</v>
      </c>
      <c r="J37" s="811">
        <v>0</v>
      </c>
      <c r="K37" s="811">
        <v>0</v>
      </c>
      <c r="L37" s="811">
        <v>0</v>
      </c>
      <c r="M37" s="811">
        <v>0</v>
      </c>
      <c r="N37" s="811">
        <v>0</v>
      </c>
      <c r="O37" s="811">
        <v>0</v>
      </c>
      <c r="P37" s="811">
        <v>0</v>
      </c>
      <c r="Q37" s="811">
        <v>0</v>
      </c>
      <c r="R37" s="811">
        <v>0</v>
      </c>
      <c r="S37" s="811">
        <v>0</v>
      </c>
      <c r="T37" s="811">
        <v>1.26</v>
      </c>
      <c r="U37" s="811">
        <v>1.1747156442289763</v>
      </c>
      <c r="V37" s="811">
        <v>0</v>
      </c>
      <c r="W37" s="811">
        <v>0</v>
      </c>
      <c r="X37" s="811">
        <v>0</v>
      </c>
      <c r="Y37" s="811">
        <v>0</v>
      </c>
      <c r="Z37" s="811">
        <v>7.5434999999999981</v>
      </c>
      <c r="AA37" s="811">
        <v>0.63414837420909353</v>
      </c>
      <c r="AB37" s="811">
        <v>0</v>
      </c>
      <c r="AC37" s="811">
        <v>0</v>
      </c>
    </row>
    <row r="38" spans="1:29" ht="17.100000000000001" customHeight="1">
      <c r="A38" s="330" t="s">
        <v>193</v>
      </c>
      <c r="B38" s="336" t="s">
        <v>2307</v>
      </c>
      <c r="C38" s="330" t="s">
        <v>51</v>
      </c>
      <c r="D38" s="811">
        <v>0</v>
      </c>
      <c r="E38" s="811">
        <v>0</v>
      </c>
      <c r="F38" s="811">
        <v>0.82000000000000006</v>
      </c>
      <c r="G38" s="811">
        <v>1.031520498954013E-2</v>
      </c>
      <c r="H38" s="811">
        <v>4.34</v>
      </c>
      <c r="I38" s="811">
        <v>0.14852484711180772</v>
      </c>
      <c r="J38" s="811">
        <v>0</v>
      </c>
      <c r="K38" s="811">
        <v>0</v>
      </c>
      <c r="L38" s="811">
        <v>0</v>
      </c>
      <c r="M38" s="811">
        <v>0</v>
      </c>
      <c r="N38" s="811">
        <v>0</v>
      </c>
      <c r="O38" s="811">
        <v>0</v>
      </c>
      <c r="P38" s="811">
        <v>0</v>
      </c>
      <c r="Q38" s="811">
        <v>0</v>
      </c>
      <c r="R38" s="811">
        <v>0</v>
      </c>
      <c r="S38" s="811">
        <v>0</v>
      </c>
      <c r="T38" s="811">
        <v>0.2</v>
      </c>
      <c r="U38" s="811">
        <v>0.18646280067126611</v>
      </c>
      <c r="V38" s="811">
        <v>0</v>
      </c>
      <c r="W38" s="811">
        <v>0</v>
      </c>
      <c r="X38" s="811">
        <v>0</v>
      </c>
      <c r="Y38" s="811">
        <v>0</v>
      </c>
      <c r="Z38" s="811">
        <v>1.1300000000000001</v>
      </c>
      <c r="AA38" s="811">
        <v>9.4994056188278123E-2</v>
      </c>
      <c r="AB38" s="811">
        <v>0</v>
      </c>
      <c r="AC38" s="811">
        <v>0</v>
      </c>
    </row>
    <row r="39" spans="1:29" ht="17.100000000000001" customHeight="1">
      <c r="A39" s="330" t="s">
        <v>193</v>
      </c>
      <c r="B39" s="336" t="s">
        <v>2759</v>
      </c>
      <c r="C39" s="2" t="s">
        <v>46</v>
      </c>
      <c r="D39" s="811">
        <v>0</v>
      </c>
      <c r="E39" s="811">
        <v>0</v>
      </c>
      <c r="F39" s="811">
        <v>0.15</v>
      </c>
      <c r="G39" s="811">
        <v>1.8869277419890482E-3</v>
      </c>
      <c r="H39" s="811">
        <v>31.01</v>
      </c>
      <c r="I39" s="811">
        <v>1.0612339882343682</v>
      </c>
      <c r="J39" s="811">
        <v>0</v>
      </c>
      <c r="K39" s="811">
        <v>0</v>
      </c>
      <c r="L39" s="811">
        <v>0</v>
      </c>
      <c r="M39" s="811">
        <v>0</v>
      </c>
      <c r="N39" s="811">
        <v>0</v>
      </c>
      <c r="O39" s="811">
        <v>0</v>
      </c>
      <c r="P39" s="811">
        <v>0</v>
      </c>
      <c r="Q39" s="811">
        <v>0</v>
      </c>
      <c r="R39" s="811">
        <v>0</v>
      </c>
      <c r="S39" s="811">
        <v>0</v>
      </c>
      <c r="T39" s="811">
        <v>0</v>
      </c>
      <c r="U39" s="811">
        <v>0</v>
      </c>
      <c r="V39" s="811">
        <v>0</v>
      </c>
      <c r="W39" s="811">
        <v>0</v>
      </c>
      <c r="X39" s="811">
        <v>0</v>
      </c>
      <c r="Y39" s="811">
        <v>0</v>
      </c>
      <c r="Z39" s="811">
        <v>1.74</v>
      </c>
      <c r="AA39" s="811">
        <v>0.14627403342265832</v>
      </c>
      <c r="AB39" s="811">
        <v>0</v>
      </c>
      <c r="AC39" s="811">
        <v>0</v>
      </c>
    </row>
    <row r="40" spans="1:29" ht="29.45" customHeight="1">
      <c r="A40" s="330" t="s">
        <v>193</v>
      </c>
      <c r="B40" s="336" t="s">
        <v>2760</v>
      </c>
      <c r="C40" s="2" t="s">
        <v>47</v>
      </c>
      <c r="D40" s="811">
        <v>0</v>
      </c>
      <c r="E40" s="811">
        <v>0</v>
      </c>
      <c r="F40" s="811">
        <v>0.23</v>
      </c>
      <c r="G40" s="811">
        <v>2.8932892043832077E-3</v>
      </c>
      <c r="H40" s="811">
        <v>0.16</v>
      </c>
      <c r="I40" s="811">
        <v>5.4755704004353081E-3</v>
      </c>
      <c r="J40" s="811">
        <v>0</v>
      </c>
      <c r="K40" s="811">
        <v>0</v>
      </c>
      <c r="L40" s="811">
        <v>0</v>
      </c>
      <c r="M40" s="811">
        <v>0</v>
      </c>
      <c r="N40" s="811">
        <v>0</v>
      </c>
      <c r="O40" s="811">
        <v>0</v>
      </c>
      <c r="P40" s="811">
        <v>0</v>
      </c>
      <c r="Q40" s="811">
        <v>0</v>
      </c>
      <c r="R40" s="811">
        <v>0</v>
      </c>
      <c r="S40" s="811">
        <v>0</v>
      </c>
      <c r="T40" s="811">
        <v>0</v>
      </c>
      <c r="U40" s="811">
        <v>0</v>
      </c>
      <c r="V40" s="811">
        <v>0</v>
      </c>
      <c r="W40" s="811">
        <v>0</v>
      </c>
      <c r="X40" s="811">
        <v>0</v>
      </c>
      <c r="Y40" s="811">
        <v>0</v>
      </c>
      <c r="Z40" s="811">
        <v>0.40400000000000014</v>
      </c>
      <c r="AA40" s="811">
        <v>3.3962476725720676E-2</v>
      </c>
      <c r="AB40" s="811">
        <v>0</v>
      </c>
      <c r="AC40" s="811">
        <v>0</v>
      </c>
    </row>
    <row r="41" spans="1:29" ht="17.100000000000001" customHeight="1">
      <c r="A41" s="330" t="s">
        <v>193</v>
      </c>
      <c r="B41" s="336" t="s">
        <v>2761</v>
      </c>
      <c r="C41" s="2" t="s">
        <v>2762</v>
      </c>
      <c r="D41" s="811">
        <v>0</v>
      </c>
      <c r="E41" s="811">
        <v>0</v>
      </c>
      <c r="F41" s="811">
        <v>0</v>
      </c>
      <c r="G41" s="811">
        <v>0</v>
      </c>
      <c r="H41" s="811">
        <v>0</v>
      </c>
      <c r="I41" s="811">
        <v>0</v>
      </c>
      <c r="J41" s="811">
        <v>0</v>
      </c>
      <c r="K41" s="811">
        <v>0</v>
      </c>
      <c r="L41" s="811">
        <v>0</v>
      </c>
      <c r="M41" s="811">
        <v>0</v>
      </c>
      <c r="N41" s="811">
        <v>0</v>
      </c>
      <c r="O41" s="811">
        <v>0</v>
      </c>
      <c r="P41" s="811">
        <v>0</v>
      </c>
      <c r="Q41" s="811">
        <v>0</v>
      </c>
      <c r="R41" s="811">
        <v>0</v>
      </c>
      <c r="S41" s="811">
        <v>0</v>
      </c>
      <c r="T41" s="811">
        <v>0</v>
      </c>
      <c r="U41" s="811">
        <v>0</v>
      </c>
      <c r="V41" s="811">
        <v>0</v>
      </c>
      <c r="W41" s="811">
        <v>0</v>
      </c>
      <c r="X41" s="811">
        <v>0</v>
      </c>
      <c r="Y41" s="811">
        <v>0</v>
      </c>
      <c r="Z41" s="811">
        <v>0</v>
      </c>
      <c r="AA41" s="811">
        <v>0</v>
      </c>
      <c r="AB41" s="811">
        <v>0</v>
      </c>
      <c r="AC41" s="811">
        <v>0</v>
      </c>
    </row>
    <row r="42" spans="1:29" ht="30" customHeight="1">
      <c r="A42" s="330" t="s">
        <v>193</v>
      </c>
      <c r="B42" s="336" t="s">
        <v>2763</v>
      </c>
      <c r="C42" s="2" t="s">
        <v>2764</v>
      </c>
      <c r="D42" s="811">
        <v>0</v>
      </c>
      <c r="E42" s="811">
        <v>0</v>
      </c>
      <c r="F42" s="811">
        <v>0</v>
      </c>
      <c r="G42" s="811">
        <v>0</v>
      </c>
      <c r="H42" s="811">
        <v>0</v>
      </c>
      <c r="I42" s="811">
        <v>0</v>
      </c>
      <c r="J42" s="811">
        <v>0</v>
      </c>
      <c r="K42" s="811">
        <v>0</v>
      </c>
      <c r="L42" s="811">
        <v>0</v>
      </c>
      <c r="M42" s="811">
        <v>0</v>
      </c>
      <c r="N42" s="811">
        <v>426.8</v>
      </c>
      <c r="O42" s="811">
        <v>17.421048120135026</v>
      </c>
      <c r="P42" s="811">
        <v>0</v>
      </c>
      <c r="Q42" s="811">
        <v>0</v>
      </c>
      <c r="R42" s="811">
        <v>0</v>
      </c>
      <c r="S42" s="811">
        <v>0</v>
      </c>
      <c r="T42" s="811">
        <v>0</v>
      </c>
      <c r="U42" s="811">
        <v>0</v>
      </c>
      <c r="V42" s="811">
        <v>0</v>
      </c>
      <c r="W42" s="811">
        <v>0</v>
      </c>
      <c r="X42" s="811">
        <v>0</v>
      </c>
      <c r="Y42" s="811">
        <v>0</v>
      </c>
      <c r="Z42" s="811">
        <v>0</v>
      </c>
      <c r="AA42" s="811">
        <v>0</v>
      </c>
      <c r="AB42" s="811">
        <v>0</v>
      </c>
      <c r="AC42" s="811">
        <v>0</v>
      </c>
    </row>
    <row r="43" spans="1:29" ht="17.100000000000001" customHeight="1">
      <c r="A43" s="330" t="s">
        <v>193</v>
      </c>
      <c r="B43" s="336" t="s">
        <v>2765</v>
      </c>
      <c r="C43" s="2" t="s">
        <v>37</v>
      </c>
      <c r="D43" s="811">
        <v>0</v>
      </c>
      <c r="E43" s="811">
        <v>0</v>
      </c>
      <c r="F43" s="811">
        <v>0</v>
      </c>
      <c r="G43" s="811">
        <v>0</v>
      </c>
      <c r="H43" s="811">
        <v>133.26000000000002</v>
      </c>
      <c r="I43" s="811">
        <v>4.5604656972625586</v>
      </c>
      <c r="J43" s="811">
        <v>0</v>
      </c>
      <c r="K43" s="811">
        <v>0</v>
      </c>
      <c r="L43" s="811">
        <v>0</v>
      </c>
      <c r="M43" s="811">
        <v>0</v>
      </c>
      <c r="N43" s="811">
        <v>0</v>
      </c>
      <c r="O43" s="811">
        <v>0</v>
      </c>
      <c r="P43" s="811">
        <v>0</v>
      </c>
      <c r="Q43" s="811">
        <v>0</v>
      </c>
      <c r="R43" s="811">
        <v>0</v>
      </c>
      <c r="S43" s="811">
        <v>0</v>
      </c>
      <c r="T43" s="811">
        <v>0</v>
      </c>
      <c r="U43" s="811">
        <v>0</v>
      </c>
      <c r="V43" s="811">
        <v>0</v>
      </c>
      <c r="W43" s="811">
        <v>0</v>
      </c>
      <c r="X43" s="811">
        <v>0</v>
      </c>
      <c r="Y43" s="811">
        <v>0</v>
      </c>
      <c r="Z43" s="811">
        <v>0</v>
      </c>
      <c r="AA43" s="811">
        <v>0</v>
      </c>
      <c r="AB43" s="811">
        <v>0</v>
      </c>
      <c r="AC43" s="811">
        <v>0</v>
      </c>
    </row>
    <row r="44" spans="1:29" ht="17.100000000000001" customHeight="1">
      <c r="A44" s="330" t="s">
        <v>193</v>
      </c>
      <c r="B44" s="336" t="s">
        <v>2766</v>
      </c>
      <c r="C44" s="2" t="s">
        <v>38</v>
      </c>
      <c r="D44" s="811">
        <v>0</v>
      </c>
      <c r="E44" s="811">
        <v>0</v>
      </c>
      <c r="F44" s="811">
        <v>0</v>
      </c>
      <c r="G44" s="811">
        <v>0</v>
      </c>
      <c r="H44" s="811">
        <v>0.88</v>
      </c>
      <c r="I44" s="811">
        <v>3.0115637202394192E-2</v>
      </c>
      <c r="J44" s="811">
        <v>0</v>
      </c>
      <c r="K44" s="811">
        <v>0</v>
      </c>
      <c r="L44" s="811">
        <v>0</v>
      </c>
      <c r="M44" s="811">
        <v>0</v>
      </c>
      <c r="N44" s="811">
        <v>0</v>
      </c>
      <c r="O44" s="811">
        <v>0</v>
      </c>
      <c r="P44" s="811">
        <v>0</v>
      </c>
      <c r="Q44" s="811">
        <v>0</v>
      </c>
      <c r="R44" s="811">
        <v>0</v>
      </c>
      <c r="S44" s="811">
        <v>0</v>
      </c>
      <c r="T44" s="811">
        <v>0</v>
      </c>
      <c r="U44" s="811">
        <v>0</v>
      </c>
      <c r="V44" s="811">
        <v>0</v>
      </c>
      <c r="W44" s="811">
        <v>0</v>
      </c>
      <c r="X44" s="811">
        <v>0</v>
      </c>
      <c r="Y44" s="811">
        <v>0</v>
      </c>
      <c r="Z44" s="811">
        <v>1.38</v>
      </c>
      <c r="AA44" s="811">
        <v>0.116010440300729</v>
      </c>
      <c r="AB44" s="811">
        <v>0</v>
      </c>
      <c r="AC44" s="811">
        <v>0</v>
      </c>
    </row>
    <row r="45" spans="1:29" ht="28.7" customHeight="1">
      <c r="A45" s="330" t="s">
        <v>193</v>
      </c>
      <c r="B45" s="336" t="s">
        <v>2767</v>
      </c>
      <c r="C45" s="2" t="s">
        <v>40</v>
      </c>
      <c r="D45" s="811">
        <v>0</v>
      </c>
      <c r="E45" s="811">
        <v>0</v>
      </c>
      <c r="F45" s="811">
        <v>2.92</v>
      </c>
      <c r="G45" s="811">
        <v>3.6732193377386806E-2</v>
      </c>
      <c r="H45" s="811">
        <v>17.91</v>
      </c>
      <c r="I45" s="811">
        <v>0.61292166169872742</v>
      </c>
      <c r="J45" s="811">
        <v>0</v>
      </c>
      <c r="K45" s="811">
        <v>0</v>
      </c>
      <c r="L45" s="811">
        <v>0</v>
      </c>
      <c r="M45" s="811">
        <v>0</v>
      </c>
      <c r="N45" s="811">
        <v>0</v>
      </c>
      <c r="O45" s="811">
        <v>0</v>
      </c>
      <c r="P45" s="811">
        <v>0</v>
      </c>
      <c r="Q45" s="811">
        <v>0</v>
      </c>
      <c r="R45" s="811">
        <v>0</v>
      </c>
      <c r="S45" s="811">
        <v>0</v>
      </c>
      <c r="T45" s="811">
        <v>0</v>
      </c>
      <c r="U45" s="811">
        <v>0</v>
      </c>
      <c r="V45" s="811">
        <v>0</v>
      </c>
      <c r="W45" s="811">
        <v>0</v>
      </c>
      <c r="X45" s="811">
        <v>0</v>
      </c>
      <c r="Y45" s="811">
        <v>0</v>
      </c>
      <c r="Z45" s="811">
        <v>0</v>
      </c>
      <c r="AA45" s="811">
        <v>0</v>
      </c>
      <c r="AB45" s="811">
        <v>0</v>
      </c>
      <c r="AC45" s="811">
        <v>0</v>
      </c>
    </row>
    <row r="46" spans="1:29" ht="17.100000000000001" customHeight="1">
      <c r="A46" s="330" t="s">
        <v>193</v>
      </c>
      <c r="B46" s="336" t="s">
        <v>132</v>
      </c>
      <c r="C46" s="2" t="s">
        <v>52</v>
      </c>
      <c r="D46" s="811">
        <v>0</v>
      </c>
      <c r="E46" s="811">
        <v>0</v>
      </c>
      <c r="F46" s="811">
        <v>0</v>
      </c>
      <c r="G46" s="811">
        <v>0</v>
      </c>
      <c r="H46" s="811">
        <v>0</v>
      </c>
      <c r="I46" s="811">
        <v>0</v>
      </c>
      <c r="J46" s="811">
        <v>0</v>
      </c>
      <c r="K46" s="811">
        <v>0</v>
      </c>
      <c r="L46" s="811">
        <v>0</v>
      </c>
      <c r="M46" s="811">
        <v>0</v>
      </c>
      <c r="N46" s="811">
        <v>0</v>
      </c>
      <c r="O46" s="811">
        <v>0</v>
      </c>
      <c r="P46" s="811">
        <v>0</v>
      </c>
      <c r="Q46" s="811">
        <v>0</v>
      </c>
      <c r="R46" s="811">
        <v>0</v>
      </c>
      <c r="S46" s="811">
        <v>0</v>
      </c>
      <c r="T46" s="811">
        <v>0</v>
      </c>
      <c r="U46" s="811">
        <v>0</v>
      </c>
      <c r="V46" s="811">
        <v>0</v>
      </c>
      <c r="W46" s="811">
        <v>0</v>
      </c>
      <c r="X46" s="811">
        <v>0</v>
      </c>
      <c r="Y46" s="811">
        <v>0</v>
      </c>
      <c r="Z46" s="811">
        <v>0</v>
      </c>
      <c r="AA46" s="811">
        <v>0</v>
      </c>
      <c r="AB46" s="811">
        <v>0</v>
      </c>
      <c r="AC46" s="811">
        <v>0</v>
      </c>
    </row>
    <row r="47" spans="1:29" ht="17.100000000000001" customHeight="1">
      <c r="A47" s="330" t="s">
        <v>193</v>
      </c>
      <c r="B47" s="336" t="s">
        <v>2768</v>
      </c>
      <c r="C47" s="2" t="s">
        <v>53</v>
      </c>
      <c r="D47" s="811">
        <v>0</v>
      </c>
      <c r="E47" s="811">
        <v>0</v>
      </c>
      <c r="F47" s="811">
        <v>0</v>
      </c>
      <c r="G47" s="811">
        <v>0</v>
      </c>
      <c r="H47" s="811">
        <v>0</v>
      </c>
      <c r="I47" s="811">
        <v>0</v>
      </c>
      <c r="J47" s="811">
        <v>0</v>
      </c>
      <c r="K47" s="811">
        <v>0</v>
      </c>
      <c r="L47" s="811">
        <v>0</v>
      </c>
      <c r="M47" s="811">
        <v>0</v>
      </c>
      <c r="N47" s="811">
        <v>0</v>
      </c>
      <c r="O47" s="811">
        <v>0</v>
      </c>
      <c r="P47" s="811">
        <v>0</v>
      </c>
      <c r="Q47" s="811">
        <v>0</v>
      </c>
      <c r="R47" s="811">
        <v>0</v>
      </c>
      <c r="S47" s="811">
        <v>0</v>
      </c>
      <c r="T47" s="811">
        <v>0</v>
      </c>
      <c r="U47" s="811">
        <v>0</v>
      </c>
      <c r="V47" s="811">
        <v>0</v>
      </c>
      <c r="W47" s="811">
        <v>0</v>
      </c>
      <c r="X47" s="811">
        <v>0</v>
      </c>
      <c r="Y47" s="811">
        <v>0</v>
      </c>
      <c r="Z47" s="811">
        <v>3.3</v>
      </c>
      <c r="AA47" s="811">
        <v>0.27741627028435195</v>
      </c>
      <c r="AB47" s="811">
        <v>0</v>
      </c>
      <c r="AC47" s="811">
        <v>0</v>
      </c>
    </row>
    <row r="48" spans="1:29" ht="17.100000000000001" customHeight="1">
      <c r="A48" s="330" t="s">
        <v>193</v>
      </c>
      <c r="B48" s="336" t="s">
        <v>2769</v>
      </c>
      <c r="C48" s="2" t="s">
        <v>54</v>
      </c>
      <c r="D48" s="811">
        <v>0</v>
      </c>
      <c r="E48" s="811">
        <v>0</v>
      </c>
      <c r="F48" s="811">
        <v>0.5</v>
      </c>
      <c r="G48" s="811">
        <v>6.2897591399634946E-3</v>
      </c>
      <c r="H48" s="811">
        <v>2.76</v>
      </c>
      <c r="I48" s="811">
        <v>9.4453589407509059E-2</v>
      </c>
      <c r="J48" s="811">
        <v>0</v>
      </c>
      <c r="K48" s="811">
        <v>0</v>
      </c>
      <c r="L48" s="811">
        <v>0</v>
      </c>
      <c r="M48" s="811">
        <v>0</v>
      </c>
      <c r="N48" s="811">
        <v>0</v>
      </c>
      <c r="O48" s="811">
        <v>0</v>
      </c>
      <c r="P48" s="811">
        <v>0</v>
      </c>
      <c r="Q48" s="811">
        <v>0</v>
      </c>
      <c r="R48" s="811">
        <v>0</v>
      </c>
      <c r="S48" s="811">
        <v>0</v>
      </c>
      <c r="T48" s="811">
        <v>0</v>
      </c>
      <c r="U48" s="811">
        <v>0</v>
      </c>
      <c r="V48" s="811">
        <v>0</v>
      </c>
      <c r="W48" s="811">
        <v>0</v>
      </c>
      <c r="X48" s="811">
        <v>0</v>
      </c>
      <c r="Y48" s="811">
        <v>0</v>
      </c>
      <c r="Z48" s="811">
        <v>8.8000000000000007</v>
      </c>
      <c r="AA48" s="811">
        <v>0.73977672075827206</v>
      </c>
      <c r="AB48" s="811">
        <v>0</v>
      </c>
      <c r="AC48" s="811">
        <v>0</v>
      </c>
    </row>
    <row r="49" spans="1:29" s="814" customFormat="1" ht="17.100000000000001" customHeight="1">
      <c r="A49" s="330" t="s">
        <v>193</v>
      </c>
      <c r="B49" s="1" t="s">
        <v>2775</v>
      </c>
      <c r="C49" s="2" t="s">
        <v>2776</v>
      </c>
      <c r="D49" s="811">
        <v>0</v>
      </c>
      <c r="E49" s="811">
        <v>0</v>
      </c>
      <c r="F49" s="811">
        <v>0</v>
      </c>
      <c r="G49" s="811">
        <v>0</v>
      </c>
      <c r="H49" s="811">
        <v>0</v>
      </c>
      <c r="I49" s="811">
        <v>0</v>
      </c>
      <c r="J49" s="811">
        <v>0</v>
      </c>
      <c r="K49" s="811">
        <v>0</v>
      </c>
      <c r="L49" s="811">
        <v>0</v>
      </c>
      <c r="M49" s="811">
        <v>0</v>
      </c>
      <c r="N49" s="811">
        <v>0</v>
      </c>
      <c r="O49" s="811">
        <v>0</v>
      </c>
      <c r="P49" s="811">
        <v>0</v>
      </c>
      <c r="Q49" s="811">
        <v>0</v>
      </c>
      <c r="R49" s="811">
        <v>0</v>
      </c>
      <c r="S49" s="811">
        <v>0</v>
      </c>
      <c r="T49" s="811">
        <v>0</v>
      </c>
      <c r="U49" s="811">
        <v>0</v>
      </c>
      <c r="V49" s="811">
        <v>0</v>
      </c>
      <c r="W49" s="811">
        <v>0</v>
      </c>
      <c r="X49" s="811">
        <v>0</v>
      </c>
      <c r="Y49" s="811">
        <v>0</v>
      </c>
      <c r="Z49" s="811">
        <v>1.5</v>
      </c>
      <c r="AA49" s="811">
        <v>0.12609830467470545</v>
      </c>
      <c r="AB49" s="811">
        <v>0</v>
      </c>
      <c r="AC49" s="811">
        <v>0</v>
      </c>
    </row>
    <row r="50" spans="1:29" ht="29.45" customHeight="1">
      <c r="A50" s="330" t="s">
        <v>69</v>
      </c>
      <c r="B50" s="1" t="s">
        <v>2774</v>
      </c>
      <c r="C50" s="2" t="s">
        <v>113</v>
      </c>
      <c r="D50" s="811">
        <v>0</v>
      </c>
      <c r="E50" s="811">
        <v>0</v>
      </c>
      <c r="F50" s="811">
        <v>1.96</v>
      </c>
      <c r="G50" s="811">
        <v>2.4655855828656897E-2</v>
      </c>
      <c r="H50" s="811">
        <v>0.78</v>
      </c>
      <c r="I50" s="811">
        <v>2.6693405702122128E-2</v>
      </c>
      <c r="J50" s="811">
        <v>0</v>
      </c>
      <c r="K50" s="811">
        <v>0</v>
      </c>
      <c r="L50" s="811">
        <v>0</v>
      </c>
      <c r="M50" s="811">
        <v>0</v>
      </c>
      <c r="N50" s="811">
        <v>0</v>
      </c>
      <c r="O50" s="811">
        <v>0</v>
      </c>
      <c r="P50" s="811">
        <v>0</v>
      </c>
      <c r="Q50" s="811">
        <v>0</v>
      </c>
      <c r="R50" s="811">
        <v>0</v>
      </c>
      <c r="S50" s="811">
        <v>0</v>
      </c>
      <c r="T50" s="811">
        <v>6.72</v>
      </c>
      <c r="U50" s="811">
        <v>6.2651501025545411</v>
      </c>
      <c r="V50" s="811">
        <v>0</v>
      </c>
      <c r="W50" s="811">
        <v>0</v>
      </c>
      <c r="X50" s="811">
        <v>0</v>
      </c>
      <c r="Y50" s="811">
        <v>0</v>
      </c>
      <c r="Z50" s="811">
        <v>13.86</v>
      </c>
      <c r="AA50" s="811">
        <v>1.1651483351942782</v>
      </c>
      <c r="AB50" s="811">
        <v>0</v>
      </c>
      <c r="AC50" s="811">
        <v>0</v>
      </c>
    </row>
    <row r="51" spans="1:29" ht="17.100000000000001" customHeight="1">
      <c r="A51" s="330" t="s">
        <v>70</v>
      </c>
      <c r="B51" s="1" t="s">
        <v>107</v>
      </c>
      <c r="C51" s="2" t="s">
        <v>59</v>
      </c>
      <c r="D51" s="811">
        <v>0</v>
      </c>
      <c r="E51" s="811">
        <v>0</v>
      </c>
      <c r="F51" s="811">
        <v>94.15</v>
      </c>
      <c r="G51" s="811">
        <v>1.1843616460551261</v>
      </c>
      <c r="H51" s="811">
        <v>0</v>
      </c>
      <c r="I51" s="811">
        <v>0</v>
      </c>
      <c r="J51" s="811">
        <v>0</v>
      </c>
      <c r="K51" s="811">
        <v>0</v>
      </c>
      <c r="L51" s="811">
        <v>0</v>
      </c>
      <c r="M51" s="811">
        <v>0</v>
      </c>
      <c r="N51" s="811">
        <v>0.97</v>
      </c>
      <c r="O51" s="811">
        <v>3.9593291182125061E-2</v>
      </c>
      <c r="P51" s="811">
        <v>0</v>
      </c>
      <c r="Q51" s="811">
        <v>0</v>
      </c>
      <c r="R51" s="811">
        <v>0</v>
      </c>
      <c r="S51" s="811">
        <v>0</v>
      </c>
      <c r="T51" s="811">
        <v>28.84</v>
      </c>
      <c r="U51" s="811">
        <v>26.88793585679657</v>
      </c>
      <c r="V51" s="811">
        <v>0</v>
      </c>
      <c r="W51" s="811">
        <v>0</v>
      </c>
      <c r="X51" s="811">
        <v>0</v>
      </c>
      <c r="Y51" s="811">
        <v>0</v>
      </c>
      <c r="Z51" s="811">
        <v>1011.8</v>
      </c>
      <c r="AA51" s="811">
        <v>85.057509779911314</v>
      </c>
      <c r="AB51" s="811">
        <v>0</v>
      </c>
      <c r="AC51" s="811">
        <v>0</v>
      </c>
    </row>
    <row r="52" spans="1:29" ht="17.100000000000001" customHeight="1">
      <c r="A52" s="330" t="s">
        <v>71</v>
      </c>
      <c r="B52" s="1" t="s">
        <v>108</v>
      </c>
      <c r="C52" s="2" t="s">
        <v>57</v>
      </c>
      <c r="D52" s="811">
        <v>0</v>
      </c>
      <c r="E52" s="811">
        <v>0</v>
      </c>
      <c r="F52" s="811">
        <v>0</v>
      </c>
      <c r="G52" s="811">
        <v>0</v>
      </c>
      <c r="H52" s="811">
        <v>197.054</v>
      </c>
      <c r="I52" s="811">
        <v>6.7436440605461208</v>
      </c>
      <c r="J52" s="811">
        <v>0</v>
      </c>
      <c r="K52" s="811">
        <v>0</v>
      </c>
      <c r="L52" s="811">
        <v>0</v>
      </c>
      <c r="M52" s="811">
        <v>0</v>
      </c>
      <c r="N52" s="811">
        <v>1.35</v>
      </c>
      <c r="O52" s="811">
        <v>5.5104065047287459E-2</v>
      </c>
      <c r="P52" s="811">
        <v>0</v>
      </c>
      <c r="Q52" s="811">
        <v>0</v>
      </c>
      <c r="R52" s="811">
        <v>0</v>
      </c>
      <c r="S52" s="811">
        <v>0</v>
      </c>
      <c r="T52" s="811">
        <v>5.32</v>
      </c>
      <c r="U52" s="811">
        <v>4.9599104978556783</v>
      </c>
      <c r="V52" s="811">
        <v>0</v>
      </c>
      <c r="W52" s="811">
        <v>0</v>
      </c>
      <c r="X52" s="811">
        <v>0</v>
      </c>
      <c r="Y52" s="811">
        <v>0</v>
      </c>
      <c r="Z52" s="811">
        <v>0</v>
      </c>
      <c r="AA52" s="811">
        <v>0</v>
      </c>
      <c r="AB52" s="811">
        <v>0</v>
      </c>
      <c r="AC52" s="811">
        <v>0</v>
      </c>
    </row>
    <row r="53" spans="1:29" ht="16.5" customHeight="1">
      <c r="A53" s="330" t="s">
        <v>74</v>
      </c>
      <c r="B53" s="1" t="s">
        <v>95</v>
      </c>
      <c r="C53" s="2" t="s">
        <v>24</v>
      </c>
      <c r="D53" s="811">
        <v>0</v>
      </c>
      <c r="E53" s="811">
        <v>0</v>
      </c>
      <c r="F53" s="811">
        <v>1.7400000000000002</v>
      </c>
      <c r="G53" s="811">
        <v>2.1888361807072963E-2</v>
      </c>
      <c r="H53" s="811">
        <v>9.39</v>
      </c>
      <c r="I53" s="811">
        <v>0.32134753787554715</v>
      </c>
      <c r="J53" s="811">
        <v>0</v>
      </c>
      <c r="K53" s="811">
        <v>0</v>
      </c>
      <c r="L53" s="811">
        <v>0</v>
      </c>
      <c r="M53" s="811">
        <v>0</v>
      </c>
      <c r="N53" s="811">
        <v>0.11</v>
      </c>
      <c r="O53" s="811">
        <v>4.4899608557049039E-3</v>
      </c>
      <c r="P53" s="811">
        <v>0</v>
      </c>
      <c r="Q53" s="811">
        <v>0</v>
      </c>
      <c r="R53" s="811">
        <v>0</v>
      </c>
      <c r="S53" s="811">
        <v>0</v>
      </c>
      <c r="T53" s="811">
        <v>0.23</v>
      </c>
      <c r="U53" s="811">
        <v>0.21443222077195601</v>
      </c>
      <c r="V53" s="811">
        <v>0</v>
      </c>
      <c r="W53" s="811">
        <v>0</v>
      </c>
      <c r="X53" s="811">
        <v>0</v>
      </c>
      <c r="Y53" s="811">
        <v>0</v>
      </c>
      <c r="Z53" s="811">
        <v>9.5400000000000045</v>
      </c>
      <c r="AA53" s="811">
        <v>0.80198521773112708</v>
      </c>
      <c r="AB53" s="811">
        <v>0</v>
      </c>
      <c r="AC53" s="811">
        <v>0</v>
      </c>
    </row>
    <row r="54" spans="1:29" ht="17.100000000000001" hidden="1" customHeight="1">
      <c r="A54" s="330" t="s">
        <v>84</v>
      </c>
      <c r="B54" s="1" t="s">
        <v>109</v>
      </c>
      <c r="C54" s="2" t="s">
        <v>110</v>
      </c>
      <c r="D54" s="811">
        <v>0</v>
      </c>
      <c r="E54" s="811">
        <v>0</v>
      </c>
      <c r="F54" s="811">
        <v>0</v>
      </c>
      <c r="G54" s="811">
        <v>0</v>
      </c>
      <c r="H54" s="811">
        <v>0.71</v>
      </c>
      <c r="I54" s="811">
        <v>2.4297843651931678E-2</v>
      </c>
      <c r="J54" s="811">
        <v>0</v>
      </c>
      <c r="K54" s="811">
        <v>0</v>
      </c>
      <c r="L54" s="811">
        <v>0</v>
      </c>
      <c r="M54" s="811">
        <v>0</v>
      </c>
      <c r="N54" s="811">
        <v>0</v>
      </c>
      <c r="O54" s="811">
        <v>0</v>
      </c>
      <c r="P54" s="811">
        <v>0</v>
      </c>
      <c r="Q54" s="811">
        <v>0</v>
      </c>
      <c r="R54" s="811">
        <v>0</v>
      </c>
      <c r="S54" s="811">
        <v>0</v>
      </c>
      <c r="T54" s="811">
        <v>23.02</v>
      </c>
      <c r="U54" s="811">
        <v>21.461868357262727</v>
      </c>
      <c r="V54" s="811">
        <v>0</v>
      </c>
      <c r="W54" s="811">
        <v>0</v>
      </c>
      <c r="X54" s="811">
        <v>0</v>
      </c>
      <c r="Y54" s="811">
        <v>0</v>
      </c>
      <c r="Z54" s="811">
        <v>0</v>
      </c>
      <c r="AA54" s="811">
        <v>0</v>
      </c>
      <c r="AB54" s="811">
        <v>0</v>
      </c>
      <c r="AC54" s="811">
        <v>0</v>
      </c>
    </row>
    <row r="55" spans="1:29" ht="17.100000000000001" hidden="1" customHeight="1">
      <c r="A55" s="330" t="s">
        <v>101</v>
      </c>
      <c r="B55" s="336" t="s">
        <v>133</v>
      </c>
      <c r="C55" s="2" t="s">
        <v>137</v>
      </c>
      <c r="D55" s="811">
        <v>0</v>
      </c>
      <c r="E55" s="811">
        <v>0</v>
      </c>
      <c r="F55" s="811">
        <v>0</v>
      </c>
      <c r="G55" s="811">
        <v>0</v>
      </c>
      <c r="H55" s="811">
        <v>0</v>
      </c>
      <c r="I55" s="811">
        <v>0</v>
      </c>
      <c r="J55" s="811">
        <v>0</v>
      </c>
      <c r="K55" s="811">
        <v>0</v>
      </c>
      <c r="L55" s="811">
        <v>0</v>
      </c>
      <c r="M55" s="811">
        <v>0</v>
      </c>
      <c r="N55" s="811">
        <v>0</v>
      </c>
      <c r="O55" s="811">
        <v>0</v>
      </c>
      <c r="P55" s="811">
        <v>0</v>
      </c>
      <c r="Q55" s="811">
        <v>0</v>
      </c>
      <c r="R55" s="811">
        <v>0</v>
      </c>
      <c r="S55" s="811">
        <v>0</v>
      </c>
      <c r="T55" s="811">
        <v>0</v>
      </c>
      <c r="U55" s="811">
        <v>0</v>
      </c>
      <c r="V55" s="811">
        <v>0</v>
      </c>
      <c r="W55" s="811">
        <v>0</v>
      </c>
      <c r="X55" s="811">
        <v>0</v>
      </c>
      <c r="Y55" s="811">
        <v>0</v>
      </c>
      <c r="Z55" s="811">
        <v>0</v>
      </c>
      <c r="AA55" s="811">
        <v>0</v>
      </c>
      <c r="AB55" s="811">
        <v>0</v>
      </c>
      <c r="AC55" s="811">
        <v>0</v>
      </c>
    </row>
    <row r="56" spans="1:29" ht="17.100000000000001" hidden="1" customHeight="1">
      <c r="A56" s="330" t="s">
        <v>102</v>
      </c>
      <c r="B56" s="336" t="s">
        <v>136</v>
      </c>
      <c r="C56" s="2" t="s">
        <v>138</v>
      </c>
      <c r="D56" s="811"/>
      <c r="E56" s="811"/>
      <c r="F56" s="811"/>
      <c r="G56" s="811">
        <v>0</v>
      </c>
      <c r="H56" s="811"/>
      <c r="I56" s="811">
        <v>0</v>
      </c>
      <c r="J56" s="811"/>
      <c r="K56" s="811"/>
      <c r="L56" s="811"/>
      <c r="M56" s="811">
        <v>0</v>
      </c>
      <c r="N56" s="811"/>
      <c r="O56" s="811">
        <v>0</v>
      </c>
      <c r="P56" s="811"/>
      <c r="Q56" s="811"/>
      <c r="R56" s="811"/>
      <c r="S56" s="811"/>
      <c r="T56" s="811"/>
      <c r="U56" s="811">
        <v>0</v>
      </c>
      <c r="V56" s="811"/>
      <c r="W56" s="811"/>
      <c r="X56" s="811"/>
      <c r="Y56" s="811"/>
      <c r="Z56" s="811"/>
      <c r="AA56" s="811"/>
      <c r="AB56" s="811"/>
      <c r="AC56" s="811"/>
    </row>
    <row r="57" spans="1:29" ht="19.5" customHeight="1">
      <c r="A57" s="330" t="s">
        <v>75</v>
      </c>
      <c r="B57" s="1" t="s">
        <v>2777</v>
      </c>
      <c r="C57" s="2" t="s">
        <v>39</v>
      </c>
      <c r="D57" s="811">
        <v>0</v>
      </c>
      <c r="E57" s="811">
        <v>0</v>
      </c>
      <c r="F57" s="811">
        <v>1.81</v>
      </c>
      <c r="G57" s="811">
        <v>2.2768928086667847E-2</v>
      </c>
      <c r="H57" s="811">
        <v>2.3000000000000003</v>
      </c>
      <c r="I57" s="811">
        <v>7.8711324506257563E-2</v>
      </c>
      <c r="J57" s="811">
        <v>0</v>
      </c>
      <c r="K57" s="811">
        <v>0</v>
      </c>
      <c r="L57" s="811">
        <v>0</v>
      </c>
      <c r="M57" s="811">
        <v>0</v>
      </c>
      <c r="N57" s="811">
        <v>0</v>
      </c>
      <c r="O57" s="811">
        <v>0</v>
      </c>
      <c r="P57" s="811">
        <v>0</v>
      </c>
      <c r="Q57" s="811">
        <v>0</v>
      </c>
      <c r="R57" s="811">
        <v>0</v>
      </c>
      <c r="S57" s="811">
        <v>0</v>
      </c>
      <c r="T57" s="811">
        <v>0.12</v>
      </c>
      <c r="U57" s="811">
        <v>0.11187768040275967</v>
      </c>
      <c r="V57" s="811">
        <v>0</v>
      </c>
      <c r="W57" s="811">
        <v>0</v>
      </c>
      <c r="X57" s="811">
        <v>0</v>
      </c>
      <c r="Y57" s="811">
        <v>0</v>
      </c>
      <c r="Z57" s="811">
        <v>1</v>
      </c>
      <c r="AA57" s="811">
        <v>8.4065536449803635E-2</v>
      </c>
      <c r="AB57" s="811">
        <v>0</v>
      </c>
      <c r="AC57" s="811">
        <v>0</v>
      </c>
    </row>
    <row r="58" spans="1:29" s="814" customFormat="1" ht="18.600000000000001" customHeight="1">
      <c r="A58" s="330" t="s">
        <v>76</v>
      </c>
      <c r="B58" s="1" t="s">
        <v>2778</v>
      </c>
      <c r="C58" s="2" t="s">
        <v>42</v>
      </c>
      <c r="D58" s="811">
        <v>0</v>
      </c>
      <c r="E58" s="811">
        <v>0</v>
      </c>
      <c r="F58" s="811">
        <v>157.14000000000001</v>
      </c>
      <c r="G58" s="811">
        <v>1.976745502507727</v>
      </c>
      <c r="H58" s="811">
        <v>153.63</v>
      </c>
      <c r="I58" s="811">
        <v>5.2575742538679773</v>
      </c>
      <c r="J58" s="811">
        <v>0</v>
      </c>
      <c r="K58" s="811">
        <v>0</v>
      </c>
      <c r="L58" s="811">
        <v>0</v>
      </c>
      <c r="M58" s="811">
        <v>0</v>
      </c>
      <c r="N58" s="811">
        <v>55.28</v>
      </c>
      <c r="O58" s="811">
        <v>2.2564094191215189</v>
      </c>
      <c r="P58" s="811">
        <v>0</v>
      </c>
      <c r="Q58" s="811">
        <v>0</v>
      </c>
      <c r="R58" s="811">
        <v>0</v>
      </c>
      <c r="S58" s="811">
        <v>0</v>
      </c>
      <c r="T58" s="811">
        <v>0.35</v>
      </c>
      <c r="U58" s="811">
        <v>0.32630990117471564</v>
      </c>
      <c r="V58" s="811">
        <v>0</v>
      </c>
      <c r="W58" s="811">
        <v>0</v>
      </c>
      <c r="X58" s="811">
        <v>0</v>
      </c>
      <c r="Y58" s="811">
        <v>0</v>
      </c>
      <c r="Z58" s="811">
        <v>0</v>
      </c>
      <c r="AA58" s="811">
        <v>0</v>
      </c>
      <c r="AB58" s="811">
        <v>0</v>
      </c>
      <c r="AC58" s="811">
        <v>0</v>
      </c>
    </row>
    <row r="59" spans="1:29" s="814" customFormat="1" ht="30" customHeight="1">
      <c r="A59" s="330" t="s">
        <v>82</v>
      </c>
      <c r="B59" s="1" t="s">
        <v>2779</v>
      </c>
      <c r="C59" s="2" t="s">
        <v>41</v>
      </c>
      <c r="D59" s="811">
        <v>0</v>
      </c>
      <c r="E59" s="811">
        <v>0</v>
      </c>
      <c r="F59" s="811">
        <v>10.379999999999999</v>
      </c>
      <c r="G59" s="811">
        <v>0.13057539974564214</v>
      </c>
      <c r="H59" s="811">
        <v>10.100000000000001</v>
      </c>
      <c r="I59" s="811">
        <v>0.34564538152747892</v>
      </c>
      <c r="J59" s="811">
        <v>0</v>
      </c>
      <c r="K59" s="811">
        <v>0</v>
      </c>
      <c r="L59" s="811">
        <v>0</v>
      </c>
      <c r="M59" s="811">
        <v>0</v>
      </c>
      <c r="N59" s="811">
        <v>722.24</v>
      </c>
      <c r="O59" s="811">
        <v>29.480266622039181</v>
      </c>
      <c r="P59" s="811">
        <v>0</v>
      </c>
      <c r="Q59" s="811">
        <v>0</v>
      </c>
      <c r="R59" s="811">
        <v>0</v>
      </c>
      <c r="S59" s="811">
        <v>0</v>
      </c>
      <c r="T59" s="811">
        <v>1.73</v>
      </c>
      <c r="U59" s="811">
        <v>1.6129032258064515</v>
      </c>
      <c r="V59" s="811">
        <v>0</v>
      </c>
      <c r="W59" s="811">
        <v>0</v>
      </c>
      <c r="X59" s="811">
        <v>0</v>
      </c>
      <c r="Y59" s="811">
        <v>0</v>
      </c>
      <c r="Z59" s="811">
        <v>0</v>
      </c>
      <c r="AA59" s="811">
        <v>0</v>
      </c>
      <c r="AB59" s="811">
        <v>0</v>
      </c>
      <c r="AC59" s="811">
        <v>0</v>
      </c>
    </row>
    <row r="60" spans="1:29" ht="19.5" customHeight="1">
      <c r="A60" s="330" t="s">
        <v>83</v>
      </c>
      <c r="B60" s="1" t="s">
        <v>116</v>
      </c>
      <c r="C60" s="2" t="s">
        <v>55</v>
      </c>
      <c r="D60" s="811">
        <v>0</v>
      </c>
      <c r="E60" s="811">
        <v>0</v>
      </c>
      <c r="F60" s="811">
        <v>0.26</v>
      </c>
      <c r="G60" s="811">
        <v>3.2706747527810167E-3</v>
      </c>
      <c r="H60" s="811">
        <v>2.3800000000000003</v>
      </c>
      <c r="I60" s="811">
        <v>8.1449109706475231E-2</v>
      </c>
      <c r="J60" s="811">
        <v>0</v>
      </c>
      <c r="K60" s="811">
        <v>0</v>
      </c>
      <c r="L60" s="811">
        <v>0</v>
      </c>
      <c r="M60" s="811">
        <v>0</v>
      </c>
      <c r="N60" s="811">
        <v>0</v>
      </c>
      <c r="O60" s="811">
        <v>0</v>
      </c>
      <c r="P60" s="811">
        <v>0</v>
      </c>
      <c r="Q60" s="811">
        <v>0</v>
      </c>
      <c r="R60" s="811">
        <v>0</v>
      </c>
      <c r="S60" s="811">
        <v>0</v>
      </c>
      <c r="T60" s="811">
        <v>0</v>
      </c>
      <c r="U60" s="811">
        <v>0</v>
      </c>
      <c r="V60" s="811">
        <v>0</v>
      </c>
      <c r="W60" s="811">
        <v>0</v>
      </c>
      <c r="X60" s="811">
        <v>0</v>
      </c>
      <c r="Y60" s="811">
        <v>0</v>
      </c>
      <c r="Z60" s="811">
        <v>0</v>
      </c>
      <c r="AA60" s="811">
        <v>0</v>
      </c>
      <c r="AB60" s="811">
        <v>0</v>
      </c>
      <c r="AC60" s="811">
        <v>0</v>
      </c>
    </row>
    <row r="61" spans="1:29" s="810" customFormat="1" ht="17.100000000000001" customHeight="1">
      <c r="A61" s="328">
        <v>3</v>
      </c>
      <c r="B61" s="429" t="s">
        <v>56</v>
      </c>
      <c r="C61" s="328" t="s">
        <v>81</v>
      </c>
      <c r="D61" s="809">
        <v>0</v>
      </c>
      <c r="E61" s="809">
        <v>0</v>
      </c>
      <c r="F61" s="809">
        <v>150.13</v>
      </c>
      <c r="G61" s="809">
        <v>1.8885630793654387</v>
      </c>
      <c r="H61" s="809">
        <v>38.99</v>
      </c>
      <c r="I61" s="809">
        <v>1.3343280619560793</v>
      </c>
      <c r="J61" s="809">
        <v>0</v>
      </c>
      <c r="K61" s="809">
        <v>0</v>
      </c>
      <c r="L61" s="809">
        <v>0</v>
      </c>
      <c r="M61" s="811">
        <v>0</v>
      </c>
      <c r="N61" s="809">
        <v>2</v>
      </c>
      <c r="O61" s="809">
        <v>8.1635651921907346E-2</v>
      </c>
      <c r="P61" s="809">
        <v>0</v>
      </c>
      <c r="Q61" s="809">
        <v>0</v>
      </c>
      <c r="R61" s="809">
        <v>0</v>
      </c>
      <c r="S61" s="809">
        <v>0</v>
      </c>
      <c r="T61" s="809">
        <v>0</v>
      </c>
      <c r="U61" s="811">
        <v>0</v>
      </c>
      <c r="V61" s="809">
        <v>0</v>
      </c>
      <c r="W61" s="809">
        <v>0</v>
      </c>
      <c r="X61" s="809">
        <v>0</v>
      </c>
      <c r="Y61" s="809">
        <v>0</v>
      </c>
      <c r="Z61" s="809">
        <v>0</v>
      </c>
      <c r="AA61" s="809">
        <v>0</v>
      </c>
      <c r="AB61" s="809">
        <v>0</v>
      </c>
      <c r="AC61" s="809">
        <v>0</v>
      </c>
    </row>
  </sheetData>
  <mergeCells count="19">
    <mergeCell ref="A1:B1"/>
    <mergeCell ref="X4:Y4"/>
    <mergeCell ref="A2:AC2"/>
    <mergeCell ref="A3:AC3"/>
    <mergeCell ref="A4:A5"/>
    <mergeCell ref="B4:B5"/>
    <mergeCell ref="C4:C5"/>
    <mergeCell ref="D4:E4"/>
    <mergeCell ref="Z4:AA4"/>
    <mergeCell ref="AB4:AC4"/>
    <mergeCell ref="L4:M4"/>
    <mergeCell ref="N4:O4"/>
    <mergeCell ref="P4:Q4"/>
    <mergeCell ref="R4:S4"/>
    <mergeCell ref="T4:U4"/>
    <mergeCell ref="V4:W4"/>
    <mergeCell ref="F4:G4"/>
    <mergeCell ref="H4:I4"/>
    <mergeCell ref="J4:K4"/>
  </mergeCells>
  <phoneticPr fontId="107" type="noConversion"/>
  <pageMargins left="0.59055118110236227" right="0.27559055118110237" top="0.39370078740157483" bottom="0.39370078740157483" header="0.31496062992125984" footer="0.31496062992125984"/>
  <pageSetup paperSize="8" scale="73"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L68"/>
  <sheetViews>
    <sheetView showZeros="0" view="pageBreakPreview" zoomScaleNormal="100" zoomScaleSheetLayoutView="100" workbookViewId="0">
      <pane xSplit="4" ySplit="6" topLeftCell="AF65" activePane="bottomRight" state="frozen"/>
      <selection activeCell="C23" sqref="C23"/>
      <selection pane="topRight" activeCell="C23" sqref="C23"/>
      <selection pane="bottomLeft" activeCell="C23" sqref="C23"/>
      <selection pane="bottomRight" activeCell="C23" sqref="C23"/>
    </sheetView>
  </sheetViews>
  <sheetFormatPr defaultColWidth="9" defaultRowHeight="15"/>
  <cols>
    <col min="1" max="1" width="4.125" style="756" bestFit="1" customWidth="1"/>
    <col min="2" max="2" width="28.25" style="756" customWidth="1"/>
    <col min="3" max="3" width="5.375" style="756" customWidth="1"/>
    <col min="4" max="4" width="8.5" style="756" customWidth="1"/>
    <col min="5" max="5" width="8.75" style="756" customWidth="1"/>
    <col min="6" max="6" width="7.5" style="756" customWidth="1"/>
    <col min="7" max="7" width="7.375" style="1514" bestFit="1" customWidth="1"/>
    <col min="8" max="8" width="8" style="756" hidden="1" customWidth="1"/>
    <col min="9" max="9" width="4.875" style="756" hidden="1" customWidth="1"/>
    <col min="10" max="10" width="6.875" style="756" bestFit="1" customWidth="1"/>
    <col min="11" max="11" width="5.625" style="756" bestFit="1" customWidth="1"/>
    <col min="12" max="12" width="6.875" style="756" bestFit="1" customWidth="1"/>
    <col min="13" max="13" width="7.125" style="756" hidden="1" customWidth="1"/>
    <col min="14" max="14" width="7.75" style="756" bestFit="1" customWidth="1"/>
    <col min="15" max="15" width="8.25" style="1514" bestFit="1" customWidth="1"/>
    <col min="16" max="16" width="8" style="756" hidden="1" customWidth="1"/>
    <col min="17" max="17" width="5.375" style="756" hidden="1" customWidth="1"/>
    <col min="18" max="18" width="5.625" style="756" bestFit="1" customWidth="1"/>
    <col min="19" max="19" width="4.625" style="756" hidden="1" customWidth="1"/>
    <col min="20" max="20" width="4.75" style="756" bestFit="1" customWidth="1"/>
    <col min="21" max="21" width="6.875" style="758" bestFit="1" customWidth="1"/>
    <col min="22" max="22" width="4.75" style="756" bestFit="1" customWidth="1"/>
    <col min="23" max="23" width="4.625" style="756" bestFit="1" customWidth="1"/>
    <col min="24" max="24" width="4.625" style="756" hidden="1" customWidth="1"/>
    <col min="25" max="25" width="5.625" style="756" hidden="1" customWidth="1"/>
    <col min="26" max="26" width="4.625" style="756" bestFit="1" customWidth="1"/>
    <col min="27" max="27" width="3.875" style="756" bestFit="1" customWidth="1"/>
    <col min="28" max="28" width="4.75" style="756" bestFit="1" customWidth="1"/>
    <col min="29" max="29" width="6.875" style="756" bestFit="1" customWidth="1"/>
    <col min="30" max="30" width="7.125" style="756" bestFit="1" customWidth="1"/>
    <col min="31" max="31" width="4.75" style="756" bestFit="1" customWidth="1"/>
    <col min="32" max="32" width="4.125" style="756" customWidth="1"/>
    <col min="33" max="33" width="4.625" style="756" hidden="1" customWidth="1"/>
    <col min="34" max="34" width="4.625" style="756" bestFit="1" customWidth="1"/>
    <col min="35" max="35" width="4.125" style="756" customWidth="1"/>
    <col min="36" max="36" width="4.75" style="756" bestFit="1" customWidth="1"/>
    <col min="37" max="37" width="4.625" style="756" bestFit="1" customWidth="1"/>
    <col min="38" max="38" width="4.75" style="756" bestFit="1" customWidth="1"/>
    <col min="39" max="39" width="4.625" style="756" customWidth="1"/>
    <col min="40" max="40" width="5.625" style="756" hidden="1" customWidth="1"/>
    <col min="41" max="42" width="4.25" style="756" bestFit="1" customWidth="1"/>
    <col min="43" max="43" width="4.125" style="756" hidden="1" customWidth="1"/>
    <col min="44" max="44" width="4.75" style="756" bestFit="1" customWidth="1"/>
    <col min="45" max="45" width="4.25" style="756" bestFit="1" customWidth="1"/>
    <col min="46" max="46" width="4.625" style="756" hidden="1" customWidth="1"/>
    <col min="47" max="47" width="4.125" style="756" bestFit="1" customWidth="1"/>
    <col min="48" max="48" width="4.125" style="756" customWidth="1"/>
    <col min="49" max="49" width="4.125" style="756" bestFit="1" customWidth="1"/>
    <col min="50" max="50" width="7" style="756" customWidth="1"/>
    <col min="51" max="51" width="5.875" style="756" bestFit="1" customWidth="1"/>
    <col min="52" max="52" width="4.375" style="756" bestFit="1" customWidth="1"/>
    <col min="53" max="53" width="4.625" style="756" hidden="1" customWidth="1"/>
    <col min="54" max="54" width="4.125" style="756" hidden="1" customWidth="1"/>
    <col min="55" max="55" width="4.625" style="756" hidden="1" customWidth="1"/>
    <col min="56" max="56" width="3.875" style="756" bestFit="1" customWidth="1"/>
    <col min="57" max="57" width="7.125" style="756" bestFit="1" customWidth="1"/>
    <col min="58" max="58" width="4.5" style="756" bestFit="1" customWidth="1"/>
    <col min="59" max="59" width="4.875" style="756" hidden="1" customWidth="1"/>
    <col min="60" max="60" width="5.625" style="756" bestFit="1" customWidth="1"/>
    <col min="61" max="61" width="6.5" style="756" customWidth="1"/>
    <col min="62" max="62" width="8" style="756" hidden="1" customWidth="1"/>
    <col min="63" max="63" width="8.75" style="759" customWidth="1"/>
    <col min="64" max="64" width="9" style="756" hidden="1" customWidth="1"/>
    <col min="65" max="16384" width="9" style="756"/>
  </cols>
  <sheetData>
    <row r="1" spans="1:64" s="739" customFormat="1" ht="21" customHeight="1">
      <c r="A1" s="1546" t="s">
        <v>244</v>
      </c>
      <c r="B1" s="1546"/>
      <c r="C1" s="736"/>
      <c r="D1" s="736"/>
      <c r="E1" s="736"/>
      <c r="F1" s="736"/>
      <c r="G1" s="1493"/>
      <c r="H1" s="736"/>
      <c r="I1" s="736"/>
      <c r="J1" s="736"/>
      <c r="K1" s="736"/>
      <c r="L1" s="736"/>
      <c r="M1" s="736"/>
      <c r="N1" s="736"/>
      <c r="O1" s="1493"/>
      <c r="P1" s="736"/>
      <c r="Q1" s="736"/>
      <c r="R1" s="736"/>
      <c r="S1" s="736"/>
      <c r="T1" s="736"/>
      <c r="U1" s="736"/>
      <c r="V1" s="736"/>
      <c r="W1" s="736"/>
      <c r="X1" s="736"/>
      <c r="Y1" s="736"/>
      <c r="Z1" s="736"/>
      <c r="AA1" s="736"/>
      <c r="AB1" s="736"/>
      <c r="AC1" s="736"/>
      <c r="AD1" s="736"/>
      <c r="AE1" s="736"/>
      <c r="AF1" s="736"/>
      <c r="AG1" s="736"/>
      <c r="AH1" s="736"/>
      <c r="AI1" s="736"/>
      <c r="AJ1" s="736"/>
      <c r="AK1" s="736"/>
      <c r="AL1" s="736"/>
      <c r="AM1" s="736"/>
      <c r="AN1" s="737"/>
      <c r="AO1" s="737"/>
      <c r="AP1" s="737"/>
      <c r="AQ1" s="737"/>
      <c r="AR1" s="737"/>
      <c r="AS1" s="737"/>
      <c r="AT1" s="737"/>
      <c r="AU1" s="737"/>
      <c r="AV1" s="737"/>
      <c r="AW1" s="737"/>
      <c r="AX1" s="737"/>
      <c r="AY1" s="737"/>
      <c r="AZ1" s="737"/>
      <c r="BA1" s="737"/>
      <c r="BB1" s="736"/>
      <c r="BC1" s="737"/>
      <c r="BD1" s="737"/>
      <c r="BE1" s="737"/>
      <c r="BF1" s="737"/>
      <c r="BG1" s="737"/>
      <c r="BH1" s="737"/>
      <c r="BI1" s="737"/>
      <c r="BJ1" s="737"/>
      <c r="BK1" s="738"/>
    </row>
    <row r="2" spans="1:64" s="740" customFormat="1" ht="20.100000000000001" customHeight="1">
      <c r="A2" s="1547" t="s">
        <v>3032</v>
      </c>
      <c r="B2" s="1547"/>
      <c r="C2" s="1547"/>
      <c r="D2" s="1547"/>
      <c r="E2" s="1547"/>
      <c r="F2" s="1547"/>
      <c r="G2" s="1547"/>
      <c r="H2" s="1547"/>
      <c r="I2" s="1547"/>
      <c r="J2" s="1547"/>
      <c r="K2" s="1547"/>
      <c r="L2" s="1547"/>
      <c r="M2" s="1547"/>
      <c r="N2" s="1547"/>
      <c r="O2" s="1547"/>
      <c r="P2" s="1547"/>
      <c r="Q2" s="1547"/>
      <c r="R2" s="1547"/>
      <c r="S2" s="1547"/>
      <c r="T2" s="1547"/>
      <c r="U2" s="1547"/>
      <c r="V2" s="1547"/>
      <c r="W2" s="1547"/>
      <c r="X2" s="1547"/>
      <c r="Y2" s="1547"/>
      <c r="Z2" s="1547"/>
      <c r="AA2" s="1547"/>
      <c r="AB2" s="1547"/>
      <c r="AC2" s="1547"/>
      <c r="AD2" s="1547"/>
      <c r="AE2" s="1547"/>
      <c r="AF2" s="1547"/>
      <c r="AG2" s="1547"/>
      <c r="AH2" s="1547"/>
      <c r="AI2" s="1547"/>
      <c r="AJ2" s="1547"/>
      <c r="AK2" s="1547"/>
      <c r="AL2" s="1547"/>
      <c r="AM2" s="1547"/>
      <c r="AN2" s="1547"/>
      <c r="AO2" s="1547"/>
      <c r="AP2" s="1547"/>
      <c r="AQ2" s="1547"/>
      <c r="AR2" s="1547"/>
      <c r="AS2" s="1547"/>
      <c r="AT2" s="1547"/>
      <c r="AU2" s="1547"/>
      <c r="AV2" s="1547"/>
      <c r="AW2" s="1547"/>
      <c r="AX2" s="1547"/>
      <c r="AY2" s="1547"/>
      <c r="AZ2" s="1547"/>
      <c r="BA2" s="1547"/>
      <c r="BB2" s="1547"/>
      <c r="BC2" s="1547"/>
      <c r="BD2" s="1547"/>
      <c r="BE2" s="1547"/>
      <c r="BF2" s="1547"/>
      <c r="BG2" s="1547"/>
      <c r="BH2" s="1547"/>
      <c r="BI2" s="1547"/>
      <c r="BJ2" s="1547"/>
      <c r="BK2" s="1547"/>
    </row>
    <row r="3" spans="1:64" s="740" customFormat="1" ht="21" hidden="1" customHeight="1">
      <c r="A3" s="1547"/>
      <c r="B3" s="1547"/>
      <c r="C3" s="1547"/>
      <c r="D3" s="1547"/>
      <c r="E3" s="1547"/>
      <c r="F3" s="1547"/>
      <c r="G3" s="1547"/>
      <c r="H3" s="1547"/>
      <c r="I3" s="1547"/>
      <c r="J3" s="1547"/>
      <c r="K3" s="1547"/>
      <c r="L3" s="1547"/>
      <c r="M3" s="1547"/>
      <c r="N3" s="1547"/>
      <c r="O3" s="1547"/>
      <c r="P3" s="1547"/>
      <c r="Q3" s="1547"/>
      <c r="R3" s="1547"/>
      <c r="S3" s="1547"/>
      <c r="T3" s="1547"/>
      <c r="U3" s="1547"/>
      <c r="V3" s="1547"/>
      <c r="W3" s="1547"/>
      <c r="X3" s="1547"/>
      <c r="Y3" s="1547"/>
      <c r="Z3" s="1547"/>
      <c r="AA3" s="1547"/>
      <c r="AB3" s="1547"/>
      <c r="AC3" s="1547"/>
      <c r="AD3" s="1547"/>
      <c r="AE3" s="1547"/>
      <c r="AF3" s="1547"/>
      <c r="AG3" s="1547"/>
      <c r="AH3" s="1547"/>
      <c r="AI3" s="1547"/>
      <c r="AJ3" s="1547"/>
      <c r="AK3" s="1547"/>
      <c r="AL3" s="1547"/>
      <c r="AM3" s="1547"/>
      <c r="AN3" s="1547"/>
      <c r="AO3" s="1547"/>
      <c r="AP3" s="1547"/>
      <c r="AQ3" s="1547"/>
      <c r="AR3" s="1547"/>
      <c r="AS3" s="1547"/>
      <c r="AT3" s="1547"/>
      <c r="AU3" s="1547"/>
      <c r="AV3" s="1547"/>
      <c r="AW3" s="1547"/>
      <c r="AX3" s="1547"/>
      <c r="AY3" s="1547"/>
      <c r="AZ3" s="1547"/>
      <c r="BA3" s="1547"/>
      <c r="BB3" s="1547"/>
      <c r="BC3" s="1547"/>
      <c r="BD3" s="1547"/>
      <c r="BE3" s="1547"/>
      <c r="BF3" s="1547"/>
      <c r="BG3" s="1547"/>
      <c r="BH3" s="1547"/>
      <c r="BI3" s="1547"/>
      <c r="BJ3" s="1547"/>
      <c r="BK3" s="1547"/>
    </row>
    <row r="4" spans="1:64" s="739" customFormat="1" ht="17.25" customHeight="1">
      <c r="B4" s="741"/>
      <c r="C4" s="741"/>
      <c r="D4" s="741"/>
      <c r="E4" s="741"/>
      <c r="F4" s="741"/>
      <c r="G4" s="741"/>
      <c r="H4" s="741"/>
      <c r="I4" s="741"/>
      <c r="J4" s="741"/>
      <c r="K4" s="741"/>
      <c r="L4" s="741"/>
      <c r="M4" s="741"/>
      <c r="N4" s="741"/>
      <c r="O4" s="741"/>
      <c r="P4" s="741"/>
      <c r="Q4" s="741"/>
      <c r="R4" s="741"/>
      <c r="S4" s="741"/>
      <c r="T4" s="741"/>
      <c r="U4" s="741"/>
      <c r="V4" s="741"/>
      <c r="W4" s="741"/>
      <c r="X4" s="741"/>
      <c r="Y4" s="741"/>
      <c r="Z4" s="741"/>
      <c r="AA4" s="741"/>
      <c r="AB4" s="741"/>
      <c r="AC4" s="741"/>
      <c r="AD4" s="741"/>
      <c r="AE4" s="741"/>
      <c r="AF4" s="741"/>
      <c r="AG4" s="741"/>
      <c r="AH4" s="741"/>
      <c r="AI4" s="741"/>
      <c r="AJ4" s="741"/>
      <c r="AK4" s="741"/>
      <c r="AL4" s="741"/>
      <c r="AM4" s="741"/>
      <c r="AN4" s="741"/>
      <c r="AO4" s="741"/>
      <c r="AP4" s="741"/>
      <c r="AQ4" s="741"/>
      <c r="AR4" s="741"/>
      <c r="AS4" s="741"/>
      <c r="AT4" s="741"/>
      <c r="AU4" s="741"/>
      <c r="AV4" s="741"/>
      <c r="AW4" s="741"/>
      <c r="AX4" s="741"/>
      <c r="AY4" s="741"/>
      <c r="AZ4" s="741"/>
      <c r="BA4" s="741"/>
      <c r="BB4" s="741"/>
      <c r="BC4" s="741"/>
      <c r="BD4" s="741"/>
      <c r="BE4" s="741"/>
      <c r="BF4" s="741"/>
      <c r="BG4" s="741"/>
      <c r="BH4" s="741"/>
      <c r="BI4" s="1548" t="s">
        <v>0</v>
      </c>
      <c r="BJ4" s="1548"/>
      <c r="BK4" s="1548"/>
    </row>
    <row r="5" spans="1:64" s="743" customFormat="1" ht="23.25" customHeight="1">
      <c r="A5" s="1551" t="s">
        <v>1</v>
      </c>
      <c r="B5" s="1551" t="s">
        <v>175</v>
      </c>
      <c r="C5" s="1551" t="s">
        <v>172</v>
      </c>
      <c r="D5" s="1551" t="s">
        <v>2991</v>
      </c>
      <c r="E5" s="1545" t="s">
        <v>3039</v>
      </c>
      <c r="F5" s="1545"/>
      <c r="G5" s="1545"/>
      <c r="H5" s="1545"/>
      <c r="I5" s="1545"/>
      <c r="J5" s="1545"/>
      <c r="K5" s="1545"/>
      <c r="L5" s="1545"/>
      <c r="M5" s="1545"/>
      <c r="N5" s="1545"/>
      <c r="O5" s="1545"/>
      <c r="P5" s="1545"/>
      <c r="Q5" s="1545"/>
      <c r="R5" s="1545"/>
      <c r="S5" s="1545"/>
      <c r="T5" s="1545"/>
      <c r="U5" s="1545"/>
      <c r="V5" s="1545"/>
      <c r="W5" s="1545"/>
      <c r="X5" s="1545"/>
      <c r="Y5" s="1545"/>
      <c r="Z5" s="1545"/>
      <c r="AA5" s="1545"/>
      <c r="AB5" s="1545"/>
      <c r="AC5" s="1545"/>
      <c r="AD5" s="1545"/>
      <c r="AE5" s="1545"/>
      <c r="AF5" s="1545"/>
      <c r="AG5" s="1545"/>
      <c r="AH5" s="1545"/>
      <c r="AI5" s="1545"/>
      <c r="AJ5" s="1545"/>
      <c r="AK5" s="1545"/>
      <c r="AL5" s="1545"/>
      <c r="AM5" s="1545"/>
      <c r="AN5" s="1545"/>
      <c r="AO5" s="1545"/>
      <c r="AP5" s="1545"/>
      <c r="AQ5" s="1545"/>
      <c r="AR5" s="1545"/>
      <c r="AS5" s="1545"/>
      <c r="AT5" s="1545"/>
      <c r="AU5" s="1545"/>
      <c r="AV5" s="1545"/>
      <c r="AW5" s="1545"/>
      <c r="AX5" s="1545"/>
      <c r="AY5" s="1545"/>
      <c r="AZ5" s="1545"/>
      <c r="BA5" s="1545"/>
      <c r="BB5" s="1545"/>
      <c r="BC5" s="1545"/>
      <c r="BD5" s="1545"/>
      <c r="BE5" s="1545"/>
      <c r="BF5" s="1545"/>
      <c r="BG5" s="1545"/>
      <c r="BH5" s="1545"/>
      <c r="BI5" s="1545"/>
      <c r="BJ5" s="1639" t="s">
        <v>144</v>
      </c>
      <c r="BK5" s="1545" t="s">
        <v>2993</v>
      </c>
    </row>
    <row r="6" spans="1:64" s="745" customFormat="1" ht="36" customHeight="1">
      <c r="A6" s="1551"/>
      <c r="B6" s="1551"/>
      <c r="C6" s="1551"/>
      <c r="D6" s="1551"/>
      <c r="E6" s="1012" t="s">
        <v>4</v>
      </c>
      <c r="F6" s="313" t="s">
        <v>5</v>
      </c>
      <c r="G6" s="285" t="s">
        <v>7</v>
      </c>
      <c r="H6" s="313" t="s">
        <v>8</v>
      </c>
      <c r="I6" s="313" t="s">
        <v>10</v>
      </c>
      <c r="J6" s="313" t="s">
        <v>12</v>
      </c>
      <c r="K6" s="313" t="s">
        <v>14</v>
      </c>
      <c r="L6" s="313" t="s">
        <v>16</v>
      </c>
      <c r="M6" s="313" t="s">
        <v>17</v>
      </c>
      <c r="N6" s="313" t="s">
        <v>18</v>
      </c>
      <c r="O6" s="285" t="s">
        <v>187</v>
      </c>
      <c r="P6" s="313" t="s">
        <v>188</v>
      </c>
      <c r="Q6" s="313" t="s">
        <v>189</v>
      </c>
      <c r="R6" s="313" t="s">
        <v>19</v>
      </c>
      <c r="S6" s="313" t="s">
        <v>2752</v>
      </c>
      <c r="T6" s="313" t="s">
        <v>20</v>
      </c>
      <c r="U6" s="1012" t="s">
        <v>22</v>
      </c>
      <c r="V6" s="313" t="s">
        <v>26</v>
      </c>
      <c r="W6" s="313" t="s">
        <v>28</v>
      </c>
      <c r="X6" s="313"/>
      <c r="Y6" s="313" t="s">
        <v>91</v>
      </c>
      <c r="Z6" s="313" t="s">
        <v>93</v>
      </c>
      <c r="AA6" s="313" t="s">
        <v>32</v>
      </c>
      <c r="AB6" s="313" t="s">
        <v>35</v>
      </c>
      <c r="AC6" s="313" t="s">
        <v>43</v>
      </c>
      <c r="AD6" s="313" t="s">
        <v>44</v>
      </c>
      <c r="AE6" s="313" t="s">
        <v>45</v>
      </c>
      <c r="AF6" s="313" t="s">
        <v>2771</v>
      </c>
      <c r="AG6" s="313" t="s">
        <v>2773</v>
      </c>
      <c r="AH6" s="313" t="s">
        <v>48</v>
      </c>
      <c r="AI6" s="313" t="s">
        <v>49</v>
      </c>
      <c r="AJ6" s="313" t="s">
        <v>50</v>
      </c>
      <c r="AK6" s="313" t="s">
        <v>51</v>
      </c>
      <c r="AL6" s="313" t="s">
        <v>46</v>
      </c>
      <c r="AM6" s="313" t="s">
        <v>47</v>
      </c>
      <c r="AN6" s="313" t="s">
        <v>2762</v>
      </c>
      <c r="AO6" s="313" t="s">
        <v>2764</v>
      </c>
      <c r="AP6" s="313" t="s">
        <v>37</v>
      </c>
      <c r="AQ6" s="313" t="s">
        <v>38</v>
      </c>
      <c r="AR6" s="313" t="s">
        <v>40</v>
      </c>
      <c r="AS6" s="313" t="s">
        <v>52</v>
      </c>
      <c r="AT6" s="313" t="s">
        <v>53</v>
      </c>
      <c r="AU6" s="313" t="s">
        <v>54</v>
      </c>
      <c r="AV6" s="313" t="s">
        <v>2776</v>
      </c>
      <c r="AW6" s="313" t="s">
        <v>113</v>
      </c>
      <c r="AX6" s="313" t="s">
        <v>59</v>
      </c>
      <c r="AY6" s="313" t="s">
        <v>57</v>
      </c>
      <c r="AZ6" s="313" t="s">
        <v>24</v>
      </c>
      <c r="BA6" s="313" t="s">
        <v>110</v>
      </c>
      <c r="BB6" s="313" t="s">
        <v>137</v>
      </c>
      <c r="BC6" s="313" t="s">
        <v>138</v>
      </c>
      <c r="BD6" s="313" t="s">
        <v>39</v>
      </c>
      <c r="BE6" s="313" t="s">
        <v>42</v>
      </c>
      <c r="BF6" s="313" t="s">
        <v>41</v>
      </c>
      <c r="BG6" s="313" t="s">
        <v>55</v>
      </c>
      <c r="BH6" s="313" t="s">
        <v>81</v>
      </c>
      <c r="BI6" s="1012" t="s">
        <v>143</v>
      </c>
      <c r="BJ6" s="1639"/>
      <c r="BK6" s="1545"/>
    </row>
    <row r="7" spans="1:64" s="746" customFormat="1" ht="25.5" customHeight="1">
      <c r="A7" s="967"/>
      <c r="B7" s="1494" t="s">
        <v>174</v>
      </c>
      <c r="C7" s="967"/>
      <c r="D7" s="1495">
        <v>109415.12</v>
      </c>
      <c r="E7" s="1495">
        <v>105094.58864999999</v>
      </c>
      <c r="F7" s="1495">
        <v>3206.7161500000002</v>
      </c>
      <c r="G7" s="1496">
        <v>2071.0061499999997</v>
      </c>
      <c r="H7" s="1497">
        <v>0</v>
      </c>
      <c r="I7" s="1497">
        <v>0</v>
      </c>
      <c r="J7" s="1497">
        <v>2283.2925</v>
      </c>
      <c r="K7" s="1497">
        <v>664.44499999999994</v>
      </c>
      <c r="L7" s="1497">
        <v>9881.8499999999985</v>
      </c>
      <c r="M7" s="1497">
        <v>0</v>
      </c>
      <c r="N7" s="1497">
        <v>88925.305000000008</v>
      </c>
      <c r="O7" s="1496">
        <v>56466.229999999996</v>
      </c>
      <c r="P7" s="1497">
        <v>0</v>
      </c>
      <c r="Q7" s="1497">
        <v>0</v>
      </c>
      <c r="R7" s="1497">
        <v>105.88999999999999</v>
      </c>
      <c r="S7" s="1497">
        <v>0</v>
      </c>
      <c r="T7" s="1497">
        <v>27.089999999999996</v>
      </c>
      <c r="U7" s="1497">
        <v>3589.7913500000004</v>
      </c>
      <c r="V7" s="1497">
        <v>31.48</v>
      </c>
      <c r="W7" s="1495">
        <v>3.2100000000000004</v>
      </c>
      <c r="X7" s="1495">
        <v>0</v>
      </c>
      <c r="Y7" s="1495">
        <v>30</v>
      </c>
      <c r="Z7" s="1495">
        <v>20.28</v>
      </c>
      <c r="AA7" s="1495">
        <v>2.9000000000000004</v>
      </c>
      <c r="AB7" s="1495">
        <v>17.509999999999998</v>
      </c>
      <c r="AC7" s="1495">
        <v>1535.8926099999999</v>
      </c>
      <c r="AD7" s="1495">
        <v>1346.4429599999999</v>
      </c>
      <c r="AE7" s="1495">
        <v>78.068649999999963</v>
      </c>
      <c r="AF7" s="1495">
        <v>0.19999999999999998</v>
      </c>
      <c r="AG7" s="1495">
        <v>0</v>
      </c>
      <c r="AH7" s="1495">
        <v>2.6900000000000004</v>
      </c>
      <c r="AI7" s="1495">
        <v>4.6300000000000008</v>
      </c>
      <c r="AJ7" s="1495">
        <v>43.77</v>
      </c>
      <c r="AK7" s="1495">
        <v>2.35</v>
      </c>
      <c r="AL7" s="1495">
        <v>15.780999999999999</v>
      </c>
      <c r="AM7" s="1495">
        <v>0.45000000000000018</v>
      </c>
      <c r="AN7" s="1495"/>
      <c r="AO7" s="1495">
        <v>1.9400000000000004</v>
      </c>
      <c r="AP7" s="1495">
        <v>7.87</v>
      </c>
      <c r="AQ7" s="1495">
        <v>0</v>
      </c>
      <c r="AR7" s="1495">
        <v>28.33</v>
      </c>
      <c r="AS7" s="1495">
        <v>0.5</v>
      </c>
      <c r="AT7" s="1495">
        <v>0</v>
      </c>
      <c r="AU7" s="1495">
        <v>2.5099999999999998</v>
      </c>
      <c r="AV7" s="1495">
        <v>0.36</v>
      </c>
      <c r="AW7" s="1495">
        <v>8.4599999999999991</v>
      </c>
      <c r="AX7" s="1495">
        <v>620.88800000000003</v>
      </c>
      <c r="AY7" s="1495">
        <v>105.29056</v>
      </c>
      <c r="AZ7" s="1495">
        <v>9.5401799999999994</v>
      </c>
      <c r="BA7" s="1495">
        <v>0</v>
      </c>
      <c r="BB7" s="1495">
        <v>0</v>
      </c>
      <c r="BC7" s="1495">
        <v>0</v>
      </c>
      <c r="BD7" s="1495">
        <v>3.2399999999999998</v>
      </c>
      <c r="BE7" s="1495">
        <v>1198.95</v>
      </c>
      <c r="BF7" s="1495">
        <v>2.14</v>
      </c>
      <c r="BG7" s="1495">
        <v>0</v>
      </c>
      <c r="BH7" s="1495">
        <v>730.74000000000012</v>
      </c>
      <c r="BI7" s="1495">
        <v>147.09135000000416</v>
      </c>
      <c r="BJ7" s="1495">
        <v>0</v>
      </c>
      <c r="BK7" s="1495">
        <v>109415.12</v>
      </c>
      <c r="BL7" s="746">
        <v>98642.920000000013</v>
      </c>
    </row>
    <row r="8" spans="1:64" s="746" customFormat="1" ht="25.5" customHeight="1">
      <c r="A8" s="967">
        <v>1</v>
      </c>
      <c r="B8" s="1478" t="s">
        <v>3</v>
      </c>
      <c r="C8" s="967" t="s">
        <v>4</v>
      </c>
      <c r="D8" s="1495">
        <v>105229.01</v>
      </c>
      <c r="E8" s="1498">
        <v>105094.58864999999</v>
      </c>
      <c r="F8" s="1495">
        <v>0</v>
      </c>
      <c r="G8" s="1499">
        <v>0</v>
      </c>
      <c r="H8" s="1495">
        <v>0</v>
      </c>
      <c r="I8" s="1495">
        <v>0</v>
      </c>
      <c r="J8" s="1495">
        <v>0</v>
      </c>
      <c r="K8" s="1497">
        <v>0</v>
      </c>
      <c r="L8" s="1495">
        <v>0</v>
      </c>
      <c r="M8" s="1495">
        <v>0</v>
      </c>
      <c r="N8" s="1495">
        <v>0</v>
      </c>
      <c r="O8" s="1499">
        <v>0</v>
      </c>
      <c r="P8" s="1495">
        <v>0</v>
      </c>
      <c r="Q8" s="1495">
        <v>0</v>
      </c>
      <c r="R8" s="1495">
        <v>0</v>
      </c>
      <c r="S8" s="1495">
        <v>0</v>
      </c>
      <c r="T8" s="1495">
        <v>16.689999999999998</v>
      </c>
      <c r="U8" s="1495">
        <v>134.42135000000002</v>
      </c>
      <c r="V8" s="1495">
        <v>16</v>
      </c>
      <c r="W8" s="1495">
        <v>1.32</v>
      </c>
      <c r="X8" s="1495">
        <v>0</v>
      </c>
      <c r="Y8" s="1495">
        <v>27.06</v>
      </c>
      <c r="Z8" s="1495">
        <v>0</v>
      </c>
      <c r="AA8" s="1495">
        <v>0.7</v>
      </c>
      <c r="AB8" s="1495">
        <v>0</v>
      </c>
      <c r="AC8" s="1495">
        <v>62.671350000000004</v>
      </c>
      <c r="AD8" s="1495">
        <v>48.584350000000001</v>
      </c>
      <c r="AE8" s="1495">
        <v>0.52</v>
      </c>
      <c r="AF8" s="1495">
        <v>0.03</v>
      </c>
      <c r="AG8" s="1495">
        <v>0</v>
      </c>
      <c r="AH8" s="1495">
        <v>0.66999999999999993</v>
      </c>
      <c r="AI8" s="1495">
        <v>0</v>
      </c>
      <c r="AJ8" s="1495">
        <v>0.95</v>
      </c>
      <c r="AK8" s="1495">
        <v>0.25</v>
      </c>
      <c r="AL8" s="1495">
        <v>2.5169999999999999</v>
      </c>
      <c r="AM8" s="1495">
        <v>0</v>
      </c>
      <c r="AN8" s="1495"/>
      <c r="AO8" s="1495">
        <v>1.2900000000000003</v>
      </c>
      <c r="AP8" s="1495">
        <v>7.68</v>
      </c>
      <c r="AQ8" s="1495">
        <v>0</v>
      </c>
      <c r="AR8" s="1495">
        <v>0.14000000000000001</v>
      </c>
      <c r="AS8" s="1495"/>
      <c r="AT8" s="1495">
        <v>0</v>
      </c>
      <c r="AU8" s="1495">
        <v>0</v>
      </c>
      <c r="AV8" s="1495">
        <v>0.04</v>
      </c>
      <c r="AW8" s="1495">
        <v>0</v>
      </c>
      <c r="AX8" s="1495">
        <v>15.190000000000001</v>
      </c>
      <c r="AY8" s="1495">
        <v>11.209999999999999</v>
      </c>
      <c r="AZ8" s="1495">
        <v>0.27</v>
      </c>
      <c r="BA8" s="1495">
        <v>0</v>
      </c>
      <c r="BB8" s="1495">
        <v>0</v>
      </c>
      <c r="BC8" s="1495">
        <v>0</v>
      </c>
      <c r="BD8" s="1495">
        <v>0</v>
      </c>
      <c r="BE8" s="1495">
        <v>0</v>
      </c>
      <c r="BF8" s="1495">
        <v>0</v>
      </c>
      <c r="BG8" s="1495">
        <v>0</v>
      </c>
      <c r="BH8" s="1495">
        <v>0</v>
      </c>
      <c r="BI8" s="1495">
        <v>134.42135000000417</v>
      </c>
      <c r="BJ8" s="1495">
        <v>-134.42135000000417</v>
      </c>
      <c r="BK8" s="1495">
        <v>105094.58864999999</v>
      </c>
      <c r="BL8" s="746">
        <v>87277.87268</v>
      </c>
    </row>
    <row r="9" spans="1:64" s="743" customFormat="1" ht="24" customHeight="1">
      <c r="A9" s="284" t="s">
        <v>6</v>
      </c>
      <c r="B9" s="976" t="s">
        <v>85</v>
      </c>
      <c r="C9" s="284" t="s">
        <v>5</v>
      </c>
      <c r="D9" s="1500">
        <v>3228.55</v>
      </c>
      <c r="E9" s="1500">
        <v>0.30000000000000004</v>
      </c>
      <c r="F9" s="1501">
        <v>3206.7161500000002</v>
      </c>
      <c r="G9" s="1502">
        <v>0</v>
      </c>
      <c r="H9" s="1500">
        <v>0</v>
      </c>
      <c r="I9" s="1500">
        <v>0</v>
      </c>
      <c r="J9" s="1500">
        <v>0</v>
      </c>
      <c r="K9" s="1500">
        <v>0</v>
      </c>
      <c r="L9" s="1500">
        <v>0</v>
      </c>
      <c r="M9" s="1500">
        <v>0</v>
      </c>
      <c r="N9" s="1500">
        <v>0</v>
      </c>
      <c r="O9" s="1502">
        <v>0</v>
      </c>
      <c r="P9" s="1500">
        <v>0</v>
      </c>
      <c r="Q9" s="1500">
        <v>0</v>
      </c>
      <c r="R9" s="1500">
        <v>0</v>
      </c>
      <c r="S9" s="1500">
        <v>0</v>
      </c>
      <c r="T9" s="1500">
        <v>0.30000000000000004</v>
      </c>
      <c r="U9" s="1500">
        <v>21.533850000000001</v>
      </c>
      <c r="V9" s="1500">
        <v>0</v>
      </c>
      <c r="W9" s="1500">
        <v>0.33999999999999997</v>
      </c>
      <c r="X9" s="1500">
        <v>0</v>
      </c>
      <c r="Y9" s="1500">
        <v>1.56</v>
      </c>
      <c r="Z9" s="1500">
        <v>0</v>
      </c>
      <c r="AA9" s="1500">
        <v>0</v>
      </c>
      <c r="AB9" s="1500">
        <v>0</v>
      </c>
      <c r="AC9" s="1500">
        <v>9.1538500000000003</v>
      </c>
      <c r="AD9" s="1500">
        <v>7.1228499999999997</v>
      </c>
      <c r="AE9" s="1500">
        <v>0</v>
      </c>
      <c r="AF9" s="1500">
        <v>0</v>
      </c>
      <c r="AG9" s="1500">
        <v>0</v>
      </c>
      <c r="AH9" s="1500">
        <v>0.23</v>
      </c>
      <c r="AI9" s="1500">
        <v>0</v>
      </c>
      <c r="AJ9" s="1500">
        <v>0.41000000000000003</v>
      </c>
      <c r="AK9" s="1500">
        <v>0</v>
      </c>
      <c r="AL9" s="1500">
        <v>0.68100000000000016</v>
      </c>
      <c r="AM9" s="1500">
        <v>0</v>
      </c>
      <c r="AN9" s="1500"/>
      <c r="AO9" s="1500">
        <v>0.68</v>
      </c>
      <c r="AP9" s="1500">
        <v>0.03</v>
      </c>
      <c r="AQ9" s="1500">
        <v>0</v>
      </c>
      <c r="AR9" s="1500">
        <v>0</v>
      </c>
      <c r="AS9" s="1500"/>
      <c r="AT9" s="1500">
        <v>0</v>
      </c>
      <c r="AU9" s="1500">
        <v>0</v>
      </c>
      <c r="AV9" s="1500">
        <v>0</v>
      </c>
      <c r="AW9" s="1500">
        <v>0</v>
      </c>
      <c r="AX9" s="1500">
        <v>5.0500000000000007</v>
      </c>
      <c r="AY9" s="1500">
        <v>5.1599999999999984</v>
      </c>
      <c r="AZ9" s="1500">
        <v>0.27</v>
      </c>
      <c r="BA9" s="1500">
        <v>0</v>
      </c>
      <c r="BB9" s="1500">
        <v>0</v>
      </c>
      <c r="BC9" s="1500">
        <v>0</v>
      </c>
      <c r="BD9" s="1500">
        <v>0</v>
      </c>
      <c r="BE9" s="1500">
        <v>0</v>
      </c>
      <c r="BF9" s="1500">
        <v>0</v>
      </c>
      <c r="BG9" s="1500">
        <v>0</v>
      </c>
      <c r="BH9" s="1500">
        <v>0</v>
      </c>
      <c r="BI9" s="1500">
        <v>21.833850000000002</v>
      </c>
      <c r="BJ9" s="1500">
        <v>-21.833850000000002</v>
      </c>
      <c r="BK9" s="1500">
        <v>3206.7161500000002</v>
      </c>
      <c r="BL9" s="743">
        <v>5896.8519999999999</v>
      </c>
    </row>
    <row r="10" spans="1:64" s="1504" customFormat="1" ht="21" customHeight="1">
      <c r="A10" s="972"/>
      <c r="B10" s="978" t="s">
        <v>2746</v>
      </c>
      <c r="C10" s="972" t="s">
        <v>7</v>
      </c>
      <c r="D10" s="1502">
        <v>2086.2599999999998</v>
      </c>
      <c r="E10" s="1502">
        <v>0.13</v>
      </c>
      <c r="F10" s="1502">
        <v>0</v>
      </c>
      <c r="G10" s="1503">
        <v>2071.0061499999997</v>
      </c>
      <c r="H10" s="1502">
        <v>0</v>
      </c>
      <c r="I10" s="1502">
        <v>0</v>
      </c>
      <c r="J10" s="1502">
        <v>0</v>
      </c>
      <c r="K10" s="1502">
        <v>0</v>
      </c>
      <c r="L10" s="1502">
        <v>0</v>
      </c>
      <c r="M10" s="1502">
        <v>0</v>
      </c>
      <c r="N10" s="1502">
        <v>0</v>
      </c>
      <c r="O10" s="1502">
        <v>0</v>
      </c>
      <c r="P10" s="1502">
        <v>0</v>
      </c>
      <c r="Q10" s="1502">
        <v>0</v>
      </c>
      <c r="R10" s="1502">
        <v>0</v>
      </c>
      <c r="S10" s="1502">
        <v>0</v>
      </c>
      <c r="T10" s="1502">
        <v>0.13</v>
      </c>
      <c r="U10" s="1502">
        <v>15.123849999999999</v>
      </c>
      <c r="V10" s="1502">
        <v>0</v>
      </c>
      <c r="W10" s="1502">
        <v>0.24</v>
      </c>
      <c r="X10" s="1502">
        <v>0</v>
      </c>
      <c r="Y10" s="1502">
        <v>0</v>
      </c>
      <c r="Z10" s="1502">
        <v>0</v>
      </c>
      <c r="AA10" s="1502">
        <v>0</v>
      </c>
      <c r="AB10" s="1502">
        <v>0</v>
      </c>
      <c r="AC10" s="1502">
        <v>6.1538500000000003</v>
      </c>
      <c r="AD10" s="1502">
        <v>5.2928499999999996</v>
      </c>
      <c r="AE10" s="1502">
        <v>0</v>
      </c>
      <c r="AF10" s="1502">
        <v>0</v>
      </c>
      <c r="AG10" s="1502">
        <v>0</v>
      </c>
      <c r="AH10" s="1502">
        <v>0.11000000000000001</v>
      </c>
      <c r="AI10" s="1502">
        <v>0</v>
      </c>
      <c r="AJ10" s="1502">
        <v>0.08</v>
      </c>
      <c r="AK10" s="1502">
        <v>0</v>
      </c>
      <c r="AL10" s="1502">
        <v>0.67100000000000015</v>
      </c>
      <c r="AM10" s="1502">
        <v>0</v>
      </c>
      <c r="AN10" s="1502"/>
      <c r="AO10" s="1502">
        <v>0</v>
      </c>
      <c r="AP10" s="1502">
        <v>0</v>
      </c>
      <c r="AQ10" s="1502">
        <v>0</v>
      </c>
      <c r="AR10" s="1502">
        <v>0</v>
      </c>
      <c r="AS10" s="1502"/>
      <c r="AT10" s="1502">
        <v>0</v>
      </c>
      <c r="AU10" s="1502">
        <v>0</v>
      </c>
      <c r="AV10" s="1502">
        <v>0</v>
      </c>
      <c r="AW10" s="1502">
        <v>0</v>
      </c>
      <c r="AX10" s="1502">
        <v>3.5600000000000009</v>
      </c>
      <c r="AY10" s="1502">
        <v>4.8999999999999986</v>
      </c>
      <c r="AZ10" s="1502">
        <v>0.27</v>
      </c>
      <c r="BA10" s="1502">
        <v>0</v>
      </c>
      <c r="BB10" s="1502">
        <v>0</v>
      </c>
      <c r="BC10" s="1502">
        <v>0</v>
      </c>
      <c r="BD10" s="1502">
        <v>0</v>
      </c>
      <c r="BE10" s="1502">
        <v>0</v>
      </c>
      <c r="BF10" s="1502">
        <v>0</v>
      </c>
      <c r="BG10" s="1502">
        <v>0</v>
      </c>
      <c r="BH10" s="1502">
        <v>0</v>
      </c>
      <c r="BI10" s="1502">
        <v>15.25385</v>
      </c>
      <c r="BJ10" s="1502">
        <v>-15.25385</v>
      </c>
      <c r="BK10" s="1502">
        <v>2071.0061499999997</v>
      </c>
      <c r="BL10" s="1504">
        <v>3221.8519999999999</v>
      </c>
    </row>
    <row r="11" spans="1:64" s="743" customFormat="1" ht="24.95" hidden="1" customHeight="1">
      <c r="A11" s="284"/>
      <c r="B11" s="978" t="s">
        <v>141</v>
      </c>
      <c r="C11" s="284" t="s">
        <v>8</v>
      </c>
      <c r="D11" s="1500"/>
      <c r="E11" s="1500"/>
      <c r="F11" s="1500"/>
      <c r="G11" s="1502"/>
      <c r="H11" s="1500"/>
      <c r="I11" s="1500"/>
      <c r="J11" s="1500"/>
      <c r="K11" s="1500"/>
      <c r="L11" s="1500"/>
      <c r="M11" s="1500"/>
      <c r="N11" s="1500"/>
      <c r="O11" s="1502"/>
      <c r="P11" s="1500"/>
      <c r="Q11" s="1500"/>
      <c r="R11" s="1500"/>
      <c r="S11" s="1500"/>
      <c r="T11" s="1500"/>
      <c r="U11" s="1500"/>
      <c r="V11" s="1500"/>
      <c r="W11" s="1500"/>
      <c r="X11" s="1500">
        <v>0</v>
      </c>
      <c r="Y11" s="1500"/>
      <c r="Z11" s="1500"/>
      <c r="AA11" s="1500"/>
      <c r="AB11" s="1500"/>
      <c r="AC11" s="1500">
        <v>1.1700000000000002</v>
      </c>
      <c r="AD11" s="1500"/>
      <c r="AE11" s="1500"/>
      <c r="AF11" s="1500">
        <v>0</v>
      </c>
      <c r="AG11" s="1500">
        <v>0</v>
      </c>
      <c r="AH11" s="1500">
        <v>0.12</v>
      </c>
      <c r="AI11" s="1500">
        <v>0</v>
      </c>
      <c r="AJ11" s="1500">
        <v>0.33</v>
      </c>
      <c r="AK11" s="1500">
        <v>0</v>
      </c>
      <c r="AL11" s="1500">
        <v>0.01</v>
      </c>
      <c r="AM11" s="1500">
        <v>0</v>
      </c>
      <c r="AN11" s="1500"/>
      <c r="AO11" s="1500">
        <v>0.68</v>
      </c>
      <c r="AP11" s="1500">
        <v>0.03</v>
      </c>
      <c r="AQ11" s="1500">
        <v>0</v>
      </c>
      <c r="AR11" s="1500">
        <v>0</v>
      </c>
      <c r="AS11" s="1500"/>
      <c r="AT11" s="1500">
        <v>0</v>
      </c>
      <c r="AU11" s="1500">
        <v>0</v>
      </c>
      <c r="AV11" s="1500">
        <v>0</v>
      </c>
      <c r="AW11" s="1500">
        <v>0</v>
      </c>
      <c r="AX11" s="1500">
        <v>1.49</v>
      </c>
      <c r="AY11" s="1500">
        <v>0.26</v>
      </c>
      <c r="AZ11" s="1500">
        <v>0</v>
      </c>
      <c r="BA11" s="1500">
        <v>0</v>
      </c>
      <c r="BB11" s="1500">
        <v>0</v>
      </c>
      <c r="BC11" s="1500">
        <v>0</v>
      </c>
      <c r="BD11" s="1500">
        <v>0</v>
      </c>
      <c r="BE11" s="1500">
        <v>0</v>
      </c>
      <c r="BF11" s="1500">
        <v>0</v>
      </c>
      <c r="BG11" s="1500">
        <v>0</v>
      </c>
      <c r="BH11" s="1500">
        <v>0</v>
      </c>
      <c r="BI11" s="1500">
        <v>0</v>
      </c>
      <c r="BJ11" s="1500"/>
      <c r="BK11" s="1500">
        <v>1135.7100000000003</v>
      </c>
      <c r="BL11" s="743">
        <v>2675</v>
      </c>
    </row>
    <row r="12" spans="1:64" s="743" customFormat="1" ht="24.95" hidden="1" customHeight="1">
      <c r="A12" s="284"/>
      <c r="B12" s="978" t="s">
        <v>142</v>
      </c>
      <c r="C12" s="284" t="s">
        <v>10</v>
      </c>
      <c r="D12" s="1500"/>
      <c r="E12" s="1500"/>
      <c r="F12" s="1500"/>
      <c r="G12" s="1502"/>
      <c r="H12" s="1500"/>
      <c r="I12" s="1500"/>
      <c r="J12" s="1500"/>
      <c r="K12" s="1500"/>
      <c r="L12" s="1500"/>
      <c r="M12" s="1500"/>
      <c r="N12" s="1500"/>
      <c r="O12" s="1502"/>
      <c r="P12" s="1500"/>
      <c r="Q12" s="1500"/>
      <c r="R12" s="1500"/>
      <c r="S12" s="1500"/>
      <c r="T12" s="1500"/>
      <c r="U12" s="1500"/>
      <c r="V12" s="1500"/>
      <c r="W12" s="1500"/>
      <c r="X12" s="1500">
        <v>0</v>
      </c>
      <c r="Y12" s="1500"/>
      <c r="Z12" s="1500"/>
      <c r="AA12" s="1500"/>
      <c r="AB12" s="1500"/>
      <c r="AC12" s="1500">
        <v>0</v>
      </c>
      <c r="AD12" s="1500"/>
      <c r="AE12" s="1500"/>
      <c r="AF12" s="1500">
        <v>0</v>
      </c>
      <c r="AG12" s="1500">
        <v>0</v>
      </c>
      <c r="AH12" s="1500">
        <v>0</v>
      </c>
      <c r="AI12" s="1500">
        <v>0</v>
      </c>
      <c r="AJ12" s="1500">
        <v>0</v>
      </c>
      <c r="AK12" s="1500">
        <v>0</v>
      </c>
      <c r="AL12" s="1500">
        <v>0</v>
      </c>
      <c r="AM12" s="1500">
        <v>0</v>
      </c>
      <c r="AN12" s="1500"/>
      <c r="AO12" s="1500">
        <v>0</v>
      </c>
      <c r="AP12" s="1500">
        <v>0</v>
      </c>
      <c r="AQ12" s="1500">
        <v>0</v>
      </c>
      <c r="AR12" s="1500">
        <v>0</v>
      </c>
      <c r="AS12" s="1500"/>
      <c r="AT12" s="1500">
        <v>0</v>
      </c>
      <c r="AU12" s="1500">
        <v>0</v>
      </c>
      <c r="AV12" s="1500">
        <v>0</v>
      </c>
      <c r="AW12" s="1500">
        <v>0</v>
      </c>
      <c r="AX12" s="1500">
        <v>0</v>
      </c>
      <c r="AY12" s="1500">
        <v>0</v>
      </c>
      <c r="AZ12" s="1500">
        <v>0</v>
      </c>
      <c r="BA12" s="1500">
        <v>0</v>
      </c>
      <c r="BB12" s="1500">
        <v>0</v>
      </c>
      <c r="BC12" s="1500">
        <v>0</v>
      </c>
      <c r="BD12" s="1500">
        <v>0</v>
      </c>
      <c r="BE12" s="1500">
        <v>0</v>
      </c>
      <c r="BF12" s="1500">
        <v>0</v>
      </c>
      <c r="BG12" s="1500">
        <v>0</v>
      </c>
      <c r="BH12" s="1500">
        <v>0</v>
      </c>
      <c r="BI12" s="1500">
        <v>0</v>
      </c>
      <c r="BJ12" s="1500"/>
      <c r="BK12" s="1500">
        <v>0</v>
      </c>
      <c r="BL12" s="743">
        <v>0</v>
      </c>
    </row>
    <row r="13" spans="1:64" s="743" customFormat="1" ht="20.45" customHeight="1">
      <c r="A13" s="284" t="s">
        <v>9</v>
      </c>
      <c r="B13" s="976" t="s">
        <v>2747</v>
      </c>
      <c r="C13" s="284" t="s">
        <v>12</v>
      </c>
      <c r="D13" s="1500">
        <v>2313.31</v>
      </c>
      <c r="E13" s="1500">
        <v>4.01</v>
      </c>
      <c r="F13" s="1500">
        <v>0</v>
      </c>
      <c r="G13" s="1502">
        <v>0</v>
      </c>
      <c r="H13" s="1500">
        <v>0</v>
      </c>
      <c r="I13" s="1500">
        <v>0</v>
      </c>
      <c r="J13" s="1505">
        <v>2283.2925</v>
      </c>
      <c r="K13" s="1500">
        <v>0</v>
      </c>
      <c r="L13" s="1500">
        <v>0</v>
      </c>
      <c r="M13" s="1500">
        <v>0</v>
      </c>
      <c r="N13" s="1500">
        <v>0</v>
      </c>
      <c r="O13" s="1502">
        <v>0</v>
      </c>
      <c r="P13" s="1500">
        <v>0</v>
      </c>
      <c r="Q13" s="1500">
        <v>0</v>
      </c>
      <c r="R13" s="1500">
        <v>0</v>
      </c>
      <c r="S13" s="1500">
        <v>0</v>
      </c>
      <c r="T13" s="1500">
        <v>4.01</v>
      </c>
      <c r="U13" s="1500">
        <v>26.0075</v>
      </c>
      <c r="V13" s="1500">
        <v>0.2</v>
      </c>
      <c r="W13" s="1500">
        <v>0.21000000000000002</v>
      </c>
      <c r="X13" s="1500">
        <v>0</v>
      </c>
      <c r="Y13" s="1500">
        <v>12.01</v>
      </c>
      <c r="Z13" s="1500">
        <v>0</v>
      </c>
      <c r="AA13" s="1500">
        <v>0.5</v>
      </c>
      <c r="AB13" s="1500">
        <v>0</v>
      </c>
      <c r="AC13" s="1500">
        <v>6.9575000000000005</v>
      </c>
      <c r="AD13" s="1500">
        <v>5.2214999999999998</v>
      </c>
      <c r="AE13" s="1500">
        <v>7.0000000000000007E-2</v>
      </c>
      <c r="AF13" s="1500">
        <v>0</v>
      </c>
      <c r="AG13" s="1500">
        <v>0</v>
      </c>
      <c r="AH13" s="1500">
        <v>0.03</v>
      </c>
      <c r="AI13" s="1500">
        <v>0</v>
      </c>
      <c r="AJ13" s="1500">
        <v>7.0000000000000007E-2</v>
      </c>
      <c r="AK13" s="1500">
        <v>0.25</v>
      </c>
      <c r="AL13" s="1500">
        <v>0.67600000000000016</v>
      </c>
      <c r="AM13" s="1500">
        <v>0</v>
      </c>
      <c r="AN13" s="1500"/>
      <c r="AO13" s="1500">
        <v>0.5</v>
      </c>
      <c r="AP13" s="1500">
        <v>0</v>
      </c>
      <c r="AQ13" s="1500">
        <v>0</v>
      </c>
      <c r="AR13" s="1500">
        <v>0.14000000000000001</v>
      </c>
      <c r="AS13" s="1500"/>
      <c r="AT13" s="1500">
        <v>0</v>
      </c>
      <c r="AU13" s="1500">
        <v>0</v>
      </c>
      <c r="AV13" s="1500">
        <v>0</v>
      </c>
      <c r="AW13" s="1500">
        <v>0</v>
      </c>
      <c r="AX13" s="1500">
        <v>4.24</v>
      </c>
      <c r="AY13" s="1500">
        <v>1.8900000000000001</v>
      </c>
      <c r="AZ13" s="1500">
        <v>0</v>
      </c>
      <c r="BA13" s="1500">
        <v>0</v>
      </c>
      <c r="BB13" s="1500">
        <v>0</v>
      </c>
      <c r="BC13" s="1500">
        <v>0</v>
      </c>
      <c r="BD13" s="1500">
        <v>0</v>
      </c>
      <c r="BE13" s="1500">
        <v>0</v>
      </c>
      <c r="BF13" s="1500">
        <v>0</v>
      </c>
      <c r="BG13" s="1500">
        <v>0</v>
      </c>
      <c r="BH13" s="1500">
        <v>0</v>
      </c>
      <c r="BI13" s="1500">
        <v>30.017499999999998</v>
      </c>
      <c r="BJ13" s="1500">
        <v>-30.017499999999998</v>
      </c>
      <c r="BK13" s="1500">
        <v>2283.2925</v>
      </c>
      <c r="BL13" s="743">
        <v>4716.2900000000009</v>
      </c>
    </row>
    <row r="14" spans="1:64" s="743" customFormat="1" ht="27.75" customHeight="1">
      <c r="A14" s="284" t="s">
        <v>11</v>
      </c>
      <c r="B14" s="976" t="s">
        <v>60</v>
      </c>
      <c r="C14" s="284" t="s">
        <v>14</v>
      </c>
      <c r="D14" s="1500">
        <v>678.03</v>
      </c>
      <c r="E14" s="1500">
        <v>0</v>
      </c>
      <c r="F14" s="1500">
        <v>0</v>
      </c>
      <c r="G14" s="1502">
        <v>0</v>
      </c>
      <c r="H14" s="1500">
        <v>0</v>
      </c>
      <c r="I14" s="1500">
        <v>0</v>
      </c>
      <c r="J14" s="1500">
        <v>0</v>
      </c>
      <c r="K14" s="1505">
        <v>664.44499999999994</v>
      </c>
      <c r="L14" s="1500">
        <v>0</v>
      </c>
      <c r="M14" s="1500">
        <v>0</v>
      </c>
      <c r="N14" s="1500">
        <v>0</v>
      </c>
      <c r="O14" s="1502">
        <v>0</v>
      </c>
      <c r="P14" s="1500">
        <v>0</v>
      </c>
      <c r="Q14" s="1500">
        <v>0</v>
      </c>
      <c r="R14" s="1500">
        <v>0</v>
      </c>
      <c r="S14" s="1500">
        <v>0</v>
      </c>
      <c r="T14" s="1500">
        <v>0</v>
      </c>
      <c r="U14" s="1500">
        <v>13.585000000000001</v>
      </c>
      <c r="V14" s="1500">
        <v>0</v>
      </c>
      <c r="W14" s="1500">
        <v>0.18000000000000002</v>
      </c>
      <c r="X14" s="1500">
        <v>0</v>
      </c>
      <c r="Y14" s="1500">
        <v>0.79</v>
      </c>
      <c r="Z14" s="1500">
        <v>0</v>
      </c>
      <c r="AA14" s="1500">
        <v>0</v>
      </c>
      <c r="AB14" s="1500">
        <v>0</v>
      </c>
      <c r="AC14" s="1500">
        <v>7.5549999999999997</v>
      </c>
      <c r="AD14" s="1500">
        <v>5.9399999999999986</v>
      </c>
      <c r="AE14" s="1500">
        <v>0.03</v>
      </c>
      <c r="AF14" s="1500">
        <v>0</v>
      </c>
      <c r="AG14" s="1500">
        <v>0</v>
      </c>
      <c r="AH14" s="1500">
        <v>7.0000000000000007E-2</v>
      </c>
      <c r="AI14" s="1500">
        <v>0</v>
      </c>
      <c r="AJ14" s="1500">
        <v>0</v>
      </c>
      <c r="AK14" s="1500">
        <v>0</v>
      </c>
      <c r="AL14" s="1500">
        <v>0.62500000000000011</v>
      </c>
      <c r="AM14" s="1500">
        <v>0</v>
      </c>
      <c r="AN14" s="1500"/>
      <c r="AO14" s="1500">
        <v>0.11</v>
      </c>
      <c r="AP14" s="1500">
        <v>0.78</v>
      </c>
      <c r="AQ14" s="1500">
        <v>0</v>
      </c>
      <c r="AR14" s="1500">
        <v>0</v>
      </c>
      <c r="AS14" s="1500"/>
      <c r="AT14" s="1500">
        <v>0</v>
      </c>
      <c r="AU14" s="1500">
        <v>0</v>
      </c>
      <c r="AV14" s="1500">
        <v>0</v>
      </c>
      <c r="AW14" s="1500">
        <v>0</v>
      </c>
      <c r="AX14" s="1500">
        <v>3.5000000000000004</v>
      </c>
      <c r="AY14" s="1500">
        <v>1.56</v>
      </c>
      <c r="AZ14" s="1500">
        <v>0</v>
      </c>
      <c r="BA14" s="1500">
        <v>0</v>
      </c>
      <c r="BB14" s="1500">
        <v>0</v>
      </c>
      <c r="BC14" s="1500">
        <v>0</v>
      </c>
      <c r="BD14" s="1500">
        <v>0</v>
      </c>
      <c r="BE14" s="1500">
        <v>0</v>
      </c>
      <c r="BF14" s="1500">
        <v>0</v>
      </c>
      <c r="BG14" s="1500">
        <v>0</v>
      </c>
      <c r="BH14" s="1500">
        <v>0</v>
      </c>
      <c r="BI14" s="1500">
        <v>13.585000000000001</v>
      </c>
      <c r="BJ14" s="1500">
        <v>-13.585000000000001</v>
      </c>
      <c r="BK14" s="1500">
        <v>664.44499999999994</v>
      </c>
      <c r="BL14" s="743">
        <v>2565.6721299999999</v>
      </c>
    </row>
    <row r="15" spans="1:64" s="743" customFormat="1" ht="22.5" customHeight="1">
      <c r="A15" s="284" t="s">
        <v>13</v>
      </c>
      <c r="B15" s="976" t="s">
        <v>61</v>
      </c>
      <c r="C15" s="284" t="s">
        <v>16</v>
      </c>
      <c r="D15" s="1500">
        <v>9881.8499999999985</v>
      </c>
      <c r="E15" s="1500">
        <v>0</v>
      </c>
      <c r="F15" s="1500">
        <v>0</v>
      </c>
      <c r="G15" s="1502">
        <v>0</v>
      </c>
      <c r="H15" s="1500">
        <v>0</v>
      </c>
      <c r="I15" s="1500">
        <v>0</v>
      </c>
      <c r="J15" s="1500">
        <v>0</v>
      </c>
      <c r="K15" s="1500">
        <v>0</v>
      </c>
      <c r="L15" s="1505">
        <v>9881.8499999999985</v>
      </c>
      <c r="M15" s="1500">
        <v>0</v>
      </c>
      <c r="N15" s="1500">
        <v>0</v>
      </c>
      <c r="O15" s="1502">
        <v>0</v>
      </c>
      <c r="P15" s="1500">
        <v>0</v>
      </c>
      <c r="Q15" s="1500">
        <v>0</v>
      </c>
      <c r="R15" s="1500">
        <v>0</v>
      </c>
      <c r="S15" s="1500">
        <v>0</v>
      </c>
      <c r="T15" s="1500">
        <v>0</v>
      </c>
      <c r="U15" s="1500">
        <v>0</v>
      </c>
      <c r="V15" s="1500">
        <v>0</v>
      </c>
      <c r="W15" s="1500">
        <v>0</v>
      </c>
      <c r="X15" s="1500">
        <v>0</v>
      </c>
      <c r="Y15" s="1500">
        <v>0</v>
      </c>
      <c r="Z15" s="1500">
        <v>0</v>
      </c>
      <c r="AA15" s="1500">
        <v>0</v>
      </c>
      <c r="AB15" s="1500">
        <v>0</v>
      </c>
      <c r="AC15" s="1500">
        <v>0</v>
      </c>
      <c r="AD15" s="1500">
        <v>0</v>
      </c>
      <c r="AE15" s="1500">
        <v>0</v>
      </c>
      <c r="AF15" s="1500">
        <v>0</v>
      </c>
      <c r="AG15" s="1500">
        <v>0</v>
      </c>
      <c r="AH15" s="1500">
        <v>0</v>
      </c>
      <c r="AI15" s="1500">
        <v>0</v>
      </c>
      <c r="AJ15" s="1500">
        <v>0</v>
      </c>
      <c r="AK15" s="1500">
        <v>0</v>
      </c>
      <c r="AL15" s="1500">
        <v>0</v>
      </c>
      <c r="AM15" s="1500">
        <v>0</v>
      </c>
      <c r="AN15" s="1500"/>
      <c r="AO15" s="1500">
        <v>0</v>
      </c>
      <c r="AP15" s="1500">
        <v>0</v>
      </c>
      <c r="AQ15" s="1500">
        <v>0</v>
      </c>
      <c r="AR15" s="1500">
        <v>0</v>
      </c>
      <c r="AS15" s="1500"/>
      <c r="AT15" s="1500">
        <v>0</v>
      </c>
      <c r="AU15" s="1500">
        <v>0</v>
      </c>
      <c r="AV15" s="1500">
        <v>0</v>
      </c>
      <c r="AW15" s="1500">
        <v>0</v>
      </c>
      <c r="AX15" s="1500">
        <v>0</v>
      </c>
      <c r="AY15" s="1500">
        <v>0</v>
      </c>
      <c r="AZ15" s="1500">
        <v>0</v>
      </c>
      <c r="BA15" s="1500">
        <v>0</v>
      </c>
      <c r="BB15" s="1500">
        <v>0</v>
      </c>
      <c r="BC15" s="1500">
        <v>0</v>
      </c>
      <c r="BD15" s="1500">
        <v>0</v>
      </c>
      <c r="BE15" s="1500">
        <v>0</v>
      </c>
      <c r="BF15" s="1500">
        <v>0</v>
      </c>
      <c r="BG15" s="1500">
        <v>0</v>
      </c>
      <c r="BH15" s="1500">
        <v>0</v>
      </c>
      <c r="BI15" s="1500">
        <v>0</v>
      </c>
      <c r="BJ15" s="1500">
        <v>0</v>
      </c>
      <c r="BK15" s="1500">
        <v>9881.8499999999985</v>
      </c>
      <c r="BL15" s="743">
        <v>9772.4499999999989</v>
      </c>
    </row>
    <row r="16" spans="1:64" s="743" customFormat="1" ht="22.5" hidden="1" customHeight="1">
      <c r="A16" s="284" t="s">
        <v>15</v>
      </c>
      <c r="B16" s="976" t="s">
        <v>62</v>
      </c>
      <c r="C16" s="284" t="s">
        <v>17</v>
      </c>
      <c r="D16" s="1500">
        <v>0</v>
      </c>
      <c r="E16" s="1500">
        <v>0</v>
      </c>
      <c r="F16" s="1500">
        <v>0</v>
      </c>
      <c r="G16" s="1502">
        <v>0</v>
      </c>
      <c r="H16" s="1500">
        <v>0</v>
      </c>
      <c r="I16" s="1500">
        <v>0</v>
      </c>
      <c r="J16" s="1500">
        <v>0</v>
      </c>
      <c r="K16" s="1500">
        <v>0</v>
      </c>
      <c r="L16" s="1500">
        <v>0</v>
      </c>
      <c r="M16" s="1505">
        <v>0</v>
      </c>
      <c r="N16" s="1500">
        <v>0</v>
      </c>
      <c r="O16" s="1502">
        <v>0</v>
      </c>
      <c r="P16" s="1500">
        <v>0</v>
      </c>
      <c r="Q16" s="1500">
        <v>0</v>
      </c>
      <c r="R16" s="1500">
        <v>0</v>
      </c>
      <c r="S16" s="1500">
        <v>0</v>
      </c>
      <c r="T16" s="1500">
        <v>0</v>
      </c>
      <c r="U16" s="1500">
        <v>0</v>
      </c>
      <c r="V16" s="1500">
        <v>0</v>
      </c>
      <c r="W16" s="1500">
        <v>0</v>
      </c>
      <c r="X16" s="1500">
        <v>0</v>
      </c>
      <c r="Y16" s="1500">
        <v>0</v>
      </c>
      <c r="Z16" s="1500">
        <v>0</v>
      </c>
      <c r="AA16" s="1500">
        <v>0</v>
      </c>
      <c r="AB16" s="1500">
        <v>0</v>
      </c>
      <c r="AC16" s="1500">
        <v>0</v>
      </c>
      <c r="AD16" s="1500">
        <v>0</v>
      </c>
      <c r="AE16" s="1500">
        <v>0</v>
      </c>
      <c r="AF16" s="1500">
        <v>0</v>
      </c>
      <c r="AG16" s="1500">
        <v>0</v>
      </c>
      <c r="AH16" s="1500">
        <v>0</v>
      </c>
      <c r="AI16" s="1500">
        <v>0</v>
      </c>
      <c r="AJ16" s="1500">
        <v>0</v>
      </c>
      <c r="AK16" s="1500">
        <v>0</v>
      </c>
      <c r="AL16" s="1500">
        <v>0</v>
      </c>
      <c r="AM16" s="1500">
        <v>0</v>
      </c>
      <c r="AN16" s="1500"/>
      <c r="AO16" s="1500">
        <v>0</v>
      </c>
      <c r="AP16" s="1500">
        <v>0</v>
      </c>
      <c r="AQ16" s="1500">
        <v>0</v>
      </c>
      <c r="AR16" s="1500">
        <v>0</v>
      </c>
      <c r="AS16" s="1500"/>
      <c r="AT16" s="1500">
        <v>0</v>
      </c>
      <c r="AU16" s="1500">
        <v>0</v>
      </c>
      <c r="AV16" s="1500">
        <v>0</v>
      </c>
      <c r="AW16" s="1500">
        <v>0</v>
      </c>
      <c r="AX16" s="1500">
        <v>0</v>
      </c>
      <c r="AY16" s="1500">
        <v>0</v>
      </c>
      <c r="AZ16" s="1500">
        <v>0</v>
      </c>
      <c r="BA16" s="1500">
        <v>0</v>
      </c>
      <c r="BB16" s="1500">
        <v>0</v>
      </c>
      <c r="BC16" s="1500">
        <v>0</v>
      </c>
      <c r="BD16" s="1500">
        <v>0</v>
      </c>
      <c r="BE16" s="1500">
        <v>0</v>
      </c>
      <c r="BF16" s="1500">
        <v>0</v>
      </c>
      <c r="BG16" s="1500">
        <v>0</v>
      </c>
      <c r="BH16" s="1500">
        <v>0</v>
      </c>
      <c r="BI16" s="1500">
        <v>0</v>
      </c>
      <c r="BJ16" s="1500">
        <v>0</v>
      </c>
      <c r="BK16" s="1500">
        <v>0</v>
      </c>
      <c r="BL16" s="743">
        <v>2219</v>
      </c>
    </row>
    <row r="17" spans="1:64" s="743" customFormat="1" ht="22.5" customHeight="1">
      <c r="A17" s="284" t="s">
        <v>15</v>
      </c>
      <c r="B17" s="976" t="s">
        <v>63</v>
      </c>
      <c r="C17" s="284" t="s">
        <v>18</v>
      </c>
      <c r="D17" s="1500">
        <v>89007.890000000014</v>
      </c>
      <c r="E17" s="1500">
        <v>12.379999999999999</v>
      </c>
      <c r="F17" s="1500">
        <v>0</v>
      </c>
      <c r="G17" s="1502">
        <v>0</v>
      </c>
      <c r="H17" s="1500">
        <v>0</v>
      </c>
      <c r="I17" s="1500">
        <v>0</v>
      </c>
      <c r="J17" s="1500">
        <v>0</v>
      </c>
      <c r="K17" s="1506">
        <v>0</v>
      </c>
      <c r="L17" s="1500">
        <v>0</v>
      </c>
      <c r="M17" s="1500">
        <v>0</v>
      </c>
      <c r="N17" s="1501">
        <v>88925.305000000008</v>
      </c>
      <c r="O17" s="1502">
        <v>0</v>
      </c>
      <c r="P17" s="1500">
        <v>0</v>
      </c>
      <c r="Q17" s="1500">
        <v>0</v>
      </c>
      <c r="R17" s="1500">
        <v>0</v>
      </c>
      <c r="S17" s="1500">
        <v>0</v>
      </c>
      <c r="T17" s="1500">
        <v>12.379999999999999</v>
      </c>
      <c r="U17" s="1500">
        <v>70.205000000000013</v>
      </c>
      <c r="V17" s="1500">
        <v>15.8</v>
      </c>
      <c r="W17" s="1500">
        <v>0.56000000000000005</v>
      </c>
      <c r="X17" s="1500">
        <v>0</v>
      </c>
      <c r="Y17" s="1500">
        <v>12.65</v>
      </c>
      <c r="Z17" s="1500">
        <v>0</v>
      </c>
      <c r="AA17" s="1500">
        <v>0.2</v>
      </c>
      <c r="AB17" s="1500">
        <v>0</v>
      </c>
      <c r="AC17" s="1500">
        <v>36.805</v>
      </c>
      <c r="AD17" s="1500">
        <v>28.110000000000003</v>
      </c>
      <c r="AE17" s="1500">
        <v>0.42000000000000004</v>
      </c>
      <c r="AF17" s="1500">
        <v>0.03</v>
      </c>
      <c r="AG17" s="1500">
        <v>0</v>
      </c>
      <c r="AH17" s="1500">
        <v>0.33999999999999997</v>
      </c>
      <c r="AI17" s="1500">
        <v>0</v>
      </c>
      <c r="AJ17" s="1500">
        <v>0.47</v>
      </c>
      <c r="AK17" s="1500">
        <v>0</v>
      </c>
      <c r="AL17" s="1500">
        <v>0.52500000000000002</v>
      </c>
      <c r="AM17" s="1500">
        <v>0</v>
      </c>
      <c r="AN17" s="1500"/>
      <c r="AO17" s="1500">
        <v>0</v>
      </c>
      <c r="AP17" s="1500">
        <v>6.87</v>
      </c>
      <c r="AQ17" s="1500">
        <v>0</v>
      </c>
      <c r="AR17" s="1500">
        <v>0</v>
      </c>
      <c r="AS17" s="1500"/>
      <c r="AT17" s="1500">
        <v>0</v>
      </c>
      <c r="AU17" s="1500">
        <v>0</v>
      </c>
      <c r="AV17" s="1500">
        <v>0.04</v>
      </c>
      <c r="AW17" s="1500">
        <v>0</v>
      </c>
      <c r="AX17" s="1500">
        <v>1.6900000000000002</v>
      </c>
      <c r="AY17" s="1500">
        <v>2.5</v>
      </c>
      <c r="AZ17" s="1500">
        <v>0</v>
      </c>
      <c r="BA17" s="1500">
        <v>0</v>
      </c>
      <c r="BB17" s="1500">
        <v>0</v>
      </c>
      <c r="BC17" s="1500">
        <v>0</v>
      </c>
      <c r="BD17" s="1500">
        <v>0</v>
      </c>
      <c r="BE17" s="1500">
        <v>0</v>
      </c>
      <c r="BF17" s="1500">
        <v>0</v>
      </c>
      <c r="BG17" s="1500">
        <v>0</v>
      </c>
      <c r="BH17" s="1500">
        <v>0</v>
      </c>
      <c r="BI17" s="1500">
        <v>82.585000000000008</v>
      </c>
      <c r="BJ17" s="1500">
        <v>-82.585000000000008</v>
      </c>
      <c r="BK17" s="1500">
        <v>88925.305000000008</v>
      </c>
      <c r="BL17" s="743">
        <v>62070.673999999999</v>
      </c>
    </row>
    <row r="18" spans="1:64" s="1504" customFormat="1" ht="29.45" customHeight="1">
      <c r="A18" s="972"/>
      <c r="B18" s="1492" t="s">
        <v>194</v>
      </c>
      <c r="C18" s="1507" t="s">
        <v>187</v>
      </c>
      <c r="D18" s="1508">
        <v>56466.229999999996</v>
      </c>
      <c r="E18" s="1508">
        <v>0</v>
      </c>
      <c r="F18" s="1508">
        <v>0</v>
      </c>
      <c r="G18" s="1508">
        <v>0</v>
      </c>
      <c r="H18" s="1508">
        <v>0</v>
      </c>
      <c r="I18" s="1508">
        <v>0</v>
      </c>
      <c r="J18" s="1508">
        <v>0</v>
      </c>
      <c r="K18" s="1508">
        <v>0</v>
      </c>
      <c r="L18" s="1508">
        <v>0</v>
      </c>
      <c r="M18" s="1508">
        <v>0</v>
      </c>
      <c r="N18" s="1508">
        <v>0</v>
      </c>
      <c r="O18" s="1509">
        <v>56466.229999999996</v>
      </c>
      <c r="P18" s="1508">
        <v>0</v>
      </c>
      <c r="Q18" s="1508">
        <v>0</v>
      </c>
      <c r="R18" s="1508">
        <v>0</v>
      </c>
      <c r="S18" s="1508">
        <v>0</v>
      </c>
      <c r="T18" s="1508">
        <v>0</v>
      </c>
      <c r="U18" s="1508">
        <v>0</v>
      </c>
      <c r="V18" s="1508">
        <v>0</v>
      </c>
      <c r="W18" s="1508">
        <v>0</v>
      </c>
      <c r="X18" s="1508">
        <v>0</v>
      </c>
      <c r="Y18" s="1508">
        <v>0</v>
      </c>
      <c r="Z18" s="1508">
        <v>0</v>
      </c>
      <c r="AA18" s="1508">
        <v>0</v>
      </c>
      <c r="AB18" s="1508">
        <v>0</v>
      </c>
      <c r="AC18" s="1502">
        <v>0</v>
      </c>
      <c r="AD18" s="1508">
        <v>0</v>
      </c>
      <c r="AE18" s="1508">
        <v>0</v>
      </c>
      <c r="AF18" s="1502">
        <v>0</v>
      </c>
      <c r="AG18" s="1502">
        <v>0</v>
      </c>
      <c r="AH18" s="1502">
        <v>0</v>
      </c>
      <c r="AI18" s="1502">
        <v>0</v>
      </c>
      <c r="AJ18" s="1502">
        <v>0</v>
      </c>
      <c r="AK18" s="1502">
        <v>0</v>
      </c>
      <c r="AL18" s="1502">
        <v>0</v>
      </c>
      <c r="AM18" s="1502">
        <v>0</v>
      </c>
      <c r="AN18" s="1502"/>
      <c r="AO18" s="1502">
        <v>0</v>
      </c>
      <c r="AP18" s="1502">
        <v>0</v>
      </c>
      <c r="AQ18" s="1502">
        <v>0</v>
      </c>
      <c r="AR18" s="1502">
        <v>0</v>
      </c>
      <c r="AS18" s="1502"/>
      <c r="AT18" s="1502">
        <v>0</v>
      </c>
      <c r="AU18" s="1502">
        <v>0</v>
      </c>
      <c r="AV18" s="1502">
        <v>0</v>
      </c>
      <c r="AW18" s="1502">
        <v>0</v>
      </c>
      <c r="AX18" s="1502">
        <v>0</v>
      </c>
      <c r="AY18" s="1502">
        <v>0</v>
      </c>
      <c r="AZ18" s="1502">
        <v>0</v>
      </c>
      <c r="BA18" s="1502">
        <v>0</v>
      </c>
      <c r="BB18" s="1502">
        <v>0</v>
      </c>
      <c r="BC18" s="1502">
        <v>0</v>
      </c>
      <c r="BD18" s="1502">
        <v>0</v>
      </c>
      <c r="BE18" s="1502">
        <v>0</v>
      </c>
      <c r="BF18" s="1502">
        <v>0</v>
      </c>
      <c r="BG18" s="1502">
        <v>0</v>
      </c>
      <c r="BH18" s="1502">
        <v>0</v>
      </c>
      <c r="BI18" s="1502">
        <v>0</v>
      </c>
      <c r="BJ18" s="1508">
        <v>0</v>
      </c>
      <c r="BK18" s="1502">
        <v>56466.229999999996</v>
      </c>
      <c r="BL18" s="1504">
        <v>5359.79</v>
      </c>
    </row>
    <row r="19" spans="1:64" s="743" customFormat="1" ht="24.95" hidden="1" customHeight="1">
      <c r="A19" s="284"/>
      <c r="B19" s="1510"/>
      <c r="C19" s="1511"/>
      <c r="D19" s="1500"/>
      <c r="E19" s="1500"/>
      <c r="F19" s="1500"/>
      <c r="G19" s="1502"/>
      <c r="H19" s="1500"/>
      <c r="I19" s="1500"/>
      <c r="J19" s="1500"/>
      <c r="K19" s="1500"/>
      <c r="L19" s="1500"/>
      <c r="M19" s="1500"/>
      <c r="N19" s="1500"/>
      <c r="O19" s="1502"/>
      <c r="P19" s="1500"/>
      <c r="Q19" s="1500"/>
      <c r="R19" s="1500"/>
      <c r="S19" s="1500"/>
      <c r="T19" s="1500"/>
      <c r="U19" s="1500"/>
      <c r="V19" s="1500"/>
      <c r="W19" s="1500"/>
      <c r="X19" s="1500">
        <v>0</v>
      </c>
      <c r="Y19" s="1500"/>
      <c r="Z19" s="1500"/>
      <c r="AA19" s="1500"/>
      <c r="AB19" s="1500"/>
      <c r="AC19" s="1500">
        <v>7.5750000000000002</v>
      </c>
      <c r="AD19" s="1500"/>
      <c r="AE19" s="1500"/>
      <c r="AF19" s="1500">
        <v>0.03</v>
      </c>
      <c r="AG19" s="1500">
        <v>0</v>
      </c>
      <c r="AH19" s="1500">
        <v>0.33999999999999997</v>
      </c>
      <c r="AI19" s="1500">
        <v>0</v>
      </c>
      <c r="AJ19" s="1500">
        <v>0.47</v>
      </c>
      <c r="AK19" s="1500">
        <v>0</v>
      </c>
      <c r="AL19" s="1500">
        <v>0.52500000000000002</v>
      </c>
      <c r="AM19" s="1500">
        <v>0</v>
      </c>
      <c r="AN19" s="1500"/>
      <c r="AO19" s="1500">
        <v>0</v>
      </c>
      <c r="AP19" s="1500">
        <v>6.17</v>
      </c>
      <c r="AQ19" s="1500">
        <v>0</v>
      </c>
      <c r="AR19" s="1500">
        <v>0</v>
      </c>
      <c r="AS19" s="1500"/>
      <c r="AT19" s="1500">
        <v>0</v>
      </c>
      <c r="AU19" s="1500">
        <v>0</v>
      </c>
      <c r="AV19" s="1500">
        <v>0.04</v>
      </c>
      <c r="AW19" s="1500">
        <v>0</v>
      </c>
      <c r="AX19" s="1500">
        <v>1.6900000000000002</v>
      </c>
      <c r="AY19" s="1500">
        <v>2.5</v>
      </c>
      <c r="AZ19" s="1500">
        <v>0</v>
      </c>
      <c r="BA19" s="1500">
        <v>0</v>
      </c>
      <c r="BB19" s="1500">
        <v>0</v>
      </c>
      <c r="BC19" s="1500">
        <v>0</v>
      </c>
      <c r="BD19" s="1500">
        <v>0</v>
      </c>
      <c r="BE19" s="1500">
        <v>0</v>
      </c>
      <c r="BF19" s="1500">
        <v>0</v>
      </c>
      <c r="BG19" s="1500">
        <v>0</v>
      </c>
      <c r="BH19" s="1500">
        <v>0</v>
      </c>
      <c r="BI19" s="1500">
        <v>0</v>
      </c>
      <c r="BJ19" s="1500"/>
      <c r="BK19" s="1500">
        <v>17772.935000000001</v>
      </c>
      <c r="BL19" s="743">
        <v>56710.884000000005</v>
      </c>
    </row>
    <row r="20" spans="1:64" s="743" customFormat="1" ht="10.5" hidden="1" customHeight="1">
      <c r="A20" s="284"/>
      <c r="B20" s="1510"/>
      <c r="C20" s="1511"/>
      <c r="D20" s="1500"/>
      <c r="E20" s="1500"/>
      <c r="F20" s="1500"/>
      <c r="G20" s="1502"/>
      <c r="H20" s="1500"/>
      <c r="I20" s="1500"/>
      <c r="J20" s="1500"/>
      <c r="K20" s="1500"/>
      <c r="L20" s="1500"/>
      <c r="M20" s="1500"/>
      <c r="N20" s="1500"/>
      <c r="O20" s="1502"/>
      <c r="P20" s="1500"/>
      <c r="Q20" s="1500"/>
      <c r="R20" s="1500"/>
      <c r="S20" s="1500"/>
      <c r="T20" s="1500"/>
      <c r="U20" s="1500"/>
      <c r="V20" s="1500"/>
      <c r="W20" s="1500"/>
      <c r="X20" s="1500">
        <v>0</v>
      </c>
      <c r="Y20" s="1500"/>
      <c r="Z20" s="1500"/>
      <c r="AA20" s="1500"/>
      <c r="AB20" s="1500"/>
      <c r="AC20" s="1500">
        <v>0.7</v>
      </c>
      <c r="AD20" s="1500"/>
      <c r="AE20" s="1500"/>
      <c r="AF20" s="1500">
        <v>0</v>
      </c>
      <c r="AG20" s="1500">
        <v>0</v>
      </c>
      <c r="AH20" s="1500">
        <v>0</v>
      </c>
      <c r="AI20" s="1500">
        <v>0</v>
      </c>
      <c r="AJ20" s="1500">
        <v>0</v>
      </c>
      <c r="AK20" s="1500">
        <v>0</v>
      </c>
      <c r="AL20" s="1500">
        <v>0</v>
      </c>
      <c r="AM20" s="1500">
        <v>0</v>
      </c>
      <c r="AN20" s="1500"/>
      <c r="AO20" s="1500">
        <v>0</v>
      </c>
      <c r="AP20" s="1500">
        <v>0.7</v>
      </c>
      <c r="AQ20" s="1500">
        <v>0</v>
      </c>
      <c r="AR20" s="1500">
        <v>0</v>
      </c>
      <c r="AS20" s="1500"/>
      <c r="AT20" s="1500">
        <v>0</v>
      </c>
      <c r="AU20" s="1500">
        <v>0</v>
      </c>
      <c r="AV20" s="1500">
        <v>0</v>
      </c>
      <c r="AW20" s="1500">
        <v>0</v>
      </c>
      <c r="AX20" s="1500">
        <v>0</v>
      </c>
      <c r="AY20" s="1500">
        <v>0</v>
      </c>
      <c r="AZ20" s="1500">
        <v>0</v>
      </c>
      <c r="BA20" s="1500">
        <v>0</v>
      </c>
      <c r="BB20" s="1500">
        <v>0</v>
      </c>
      <c r="BC20" s="1500">
        <v>0</v>
      </c>
      <c r="BD20" s="1500">
        <v>0</v>
      </c>
      <c r="BE20" s="1500">
        <v>0</v>
      </c>
      <c r="BF20" s="1500">
        <v>0</v>
      </c>
      <c r="BG20" s="1500">
        <v>0</v>
      </c>
      <c r="BH20" s="1500">
        <v>0</v>
      </c>
      <c r="BI20" s="1500">
        <v>0</v>
      </c>
      <c r="BJ20" s="1500"/>
      <c r="BK20" s="1500">
        <v>14686.139999999998</v>
      </c>
      <c r="BL20" s="743">
        <v>0</v>
      </c>
    </row>
    <row r="21" spans="1:64" s="743" customFormat="1" ht="22.35" customHeight="1">
      <c r="A21" s="284" t="s">
        <v>64</v>
      </c>
      <c r="B21" s="976" t="s">
        <v>72</v>
      </c>
      <c r="C21" s="284" t="s">
        <v>19</v>
      </c>
      <c r="D21" s="1500">
        <v>108.97999999999999</v>
      </c>
      <c r="E21" s="1500">
        <v>0</v>
      </c>
      <c r="F21" s="1500">
        <v>0</v>
      </c>
      <c r="G21" s="1502">
        <v>0</v>
      </c>
      <c r="H21" s="1500">
        <v>0</v>
      </c>
      <c r="I21" s="1500">
        <v>0</v>
      </c>
      <c r="J21" s="1500">
        <v>0</v>
      </c>
      <c r="K21" s="1500">
        <v>0</v>
      </c>
      <c r="L21" s="1500">
        <v>0</v>
      </c>
      <c r="M21" s="1500">
        <v>0</v>
      </c>
      <c r="N21" s="1500">
        <v>0</v>
      </c>
      <c r="O21" s="1502">
        <v>0</v>
      </c>
      <c r="P21" s="1500">
        <v>0</v>
      </c>
      <c r="Q21" s="1500">
        <v>0</v>
      </c>
      <c r="R21" s="1501">
        <v>105.88999999999999</v>
      </c>
      <c r="S21" s="1500">
        <v>0</v>
      </c>
      <c r="T21" s="1500">
        <v>0</v>
      </c>
      <c r="U21" s="1500">
        <v>3.0900000000000003</v>
      </c>
      <c r="V21" s="1500">
        <v>0</v>
      </c>
      <c r="W21" s="1500">
        <v>0.03</v>
      </c>
      <c r="X21" s="1500">
        <v>0</v>
      </c>
      <c r="Y21" s="1500">
        <v>0.05</v>
      </c>
      <c r="Z21" s="1500">
        <v>0</v>
      </c>
      <c r="AA21" s="1500">
        <v>0</v>
      </c>
      <c r="AB21" s="1500">
        <v>0</v>
      </c>
      <c r="AC21" s="1500">
        <v>2.2000000000000002</v>
      </c>
      <c r="AD21" s="1500">
        <v>2.1900000000000004</v>
      </c>
      <c r="AE21" s="1500">
        <v>0</v>
      </c>
      <c r="AF21" s="1500">
        <v>0</v>
      </c>
      <c r="AG21" s="1500">
        <v>0</v>
      </c>
      <c r="AH21" s="1500">
        <v>0</v>
      </c>
      <c r="AI21" s="1500">
        <v>0</v>
      </c>
      <c r="AJ21" s="1500">
        <v>0</v>
      </c>
      <c r="AK21" s="1500">
        <v>0</v>
      </c>
      <c r="AL21" s="1500">
        <v>0.01</v>
      </c>
      <c r="AM21" s="1500">
        <v>0</v>
      </c>
      <c r="AN21" s="1500"/>
      <c r="AO21" s="1500">
        <v>0</v>
      </c>
      <c r="AP21" s="1500">
        <v>0</v>
      </c>
      <c r="AQ21" s="1500">
        <v>0</v>
      </c>
      <c r="AR21" s="1500">
        <v>0</v>
      </c>
      <c r="AS21" s="1500"/>
      <c r="AT21" s="1500">
        <v>0</v>
      </c>
      <c r="AU21" s="1500">
        <v>0</v>
      </c>
      <c r="AV21" s="1500">
        <v>0</v>
      </c>
      <c r="AW21" s="1500">
        <v>0</v>
      </c>
      <c r="AX21" s="1500">
        <v>0.71000000000000008</v>
      </c>
      <c r="AY21" s="1500">
        <v>0.1</v>
      </c>
      <c r="AZ21" s="1500">
        <v>0</v>
      </c>
      <c r="BA21" s="1500">
        <v>0</v>
      </c>
      <c r="BB21" s="1500">
        <v>0</v>
      </c>
      <c r="BC21" s="1500">
        <v>0</v>
      </c>
      <c r="BD21" s="1500">
        <v>0</v>
      </c>
      <c r="BE21" s="1500">
        <v>0</v>
      </c>
      <c r="BF21" s="1500">
        <v>0</v>
      </c>
      <c r="BG21" s="1500">
        <v>0</v>
      </c>
      <c r="BH21" s="1500">
        <v>0</v>
      </c>
      <c r="BI21" s="1500">
        <v>3.0900000000000003</v>
      </c>
      <c r="BJ21" s="1500">
        <v>-3.0900000000000003</v>
      </c>
      <c r="BK21" s="1500">
        <v>105.88999999999999</v>
      </c>
      <c r="BL21" s="743">
        <v>280.44000000000005</v>
      </c>
    </row>
    <row r="22" spans="1:64" s="743" customFormat="1" ht="21.6" hidden="1" customHeight="1">
      <c r="A22" s="284" t="s">
        <v>86</v>
      </c>
      <c r="B22" s="976" t="s">
        <v>2749</v>
      </c>
      <c r="C22" s="284" t="s">
        <v>2752</v>
      </c>
      <c r="D22" s="1500">
        <v>0</v>
      </c>
      <c r="E22" s="1500">
        <v>0</v>
      </c>
      <c r="F22" s="1500">
        <v>0</v>
      </c>
      <c r="G22" s="1502">
        <v>0</v>
      </c>
      <c r="H22" s="1500">
        <v>0</v>
      </c>
      <c r="I22" s="1500">
        <v>0</v>
      </c>
      <c r="J22" s="1500">
        <v>0</v>
      </c>
      <c r="K22" s="1500">
        <v>0</v>
      </c>
      <c r="L22" s="1500">
        <v>0</v>
      </c>
      <c r="M22" s="1500">
        <v>0</v>
      </c>
      <c r="N22" s="1500">
        <v>0</v>
      </c>
      <c r="O22" s="1502">
        <v>0</v>
      </c>
      <c r="P22" s="1500">
        <v>0</v>
      </c>
      <c r="Q22" s="1500">
        <v>0</v>
      </c>
      <c r="R22" s="1500">
        <v>0</v>
      </c>
      <c r="S22" s="1500">
        <v>0</v>
      </c>
      <c r="T22" s="1500">
        <v>0</v>
      </c>
      <c r="U22" s="1500">
        <v>0</v>
      </c>
      <c r="V22" s="1500">
        <v>0</v>
      </c>
      <c r="W22" s="1500">
        <v>0</v>
      </c>
      <c r="X22" s="1500">
        <v>0</v>
      </c>
      <c r="Y22" s="1500">
        <v>0</v>
      </c>
      <c r="Z22" s="1500">
        <v>0</v>
      </c>
      <c r="AA22" s="1500">
        <v>0</v>
      </c>
      <c r="AB22" s="1500">
        <v>0</v>
      </c>
      <c r="AC22" s="1500">
        <v>0</v>
      </c>
      <c r="AD22" s="1500">
        <v>0</v>
      </c>
      <c r="AE22" s="1500">
        <v>0</v>
      </c>
      <c r="AF22" s="1500">
        <v>0</v>
      </c>
      <c r="AG22" s="1500">
        <v>0</v>
      </c>
      <c r="AH22" s="1500">
        <v>0</v>
      </c>
      <c r="AI22" s="1500">
        <v>0</v>
      </c>
      <c r="AJ22" s="1500">
        <v>0</v>
      </c>
      <c r="AK22" s="1500">
        <v>0</v>
      </c>
      <c r="AL22" s="1500">
        <v>0</v>
      </c>
      <c r="AM22" s="1500">
        <v>0</v>
      </c>
      <c r="AN22" s="1500"/>
      <c r="AO22" s="1500">
        <v>0</v>
      </c>
      <c r="AP22" s="1500">
        <v>0</v>
      </c>
      <c r="AQ22" s="1500">
        <v>0</v>
      </c>
      <c r="AR22" s="1500">
        <v>0</v>
      </c>
      <c r="AS22" s="1500"/>
      <c r="AT22" s="1500">
        <v>0</v>
      </c>
      <c r="AU22" s="1500">
        <v>0</v>
      </c>
      <c r="AV22" s="1500">
        <v>0</v>
      </c>
      <c r="AW22" s="1500">
        <v>0</v>
      </c>
      <c r="AX22" s="1500">
        <v>0</v>
      </c>
      <c r="AY22" s="1500">
        <v>0</v>
      </c>
      <c r="AZ22" s="1500">
        <v>0</v>
      </c>
      <c r="BA22" s="1500">
        <v>0</v>
      </c>
      <c r="BB22" s="1500">
        <v>0</v>
      </c>
      <c r="BC22" s="1500">
        <v>0</v>
      </c>
      <c r="BD22" s="1500">
        <v>0</v>
      </c>
      <c r="BE22" s="1500">
        <v>0</v>
      </c>
      <c r="BF22" s="1500">
        <v>0</v>
      </c>
      <c r="BG22" s="1500">
        <v>0</v>
      </c>
      <c r="BH22" s="1500">
        <v>0</v>
      </c>
      <c r="BI22" s="1500">
        <v>0</v>
      </c>
      <c r="BJ22" s="1500">
        <v>0</v>
      </c>
      <c r="BK22" s="1500">
        <v>0</v>
      </c>
      <c r="BL22" s="743">
        <v>0</v>
      </c>
    </row>
    <row r="23" spans="1:64" s="743" customFormat="1" ht="24.6" customHeight="1">
      <c r="A23" s="284" t="s">
        <v>73</v>
      </c>
      <c r="B23" s="976" t="s">
        <v>89</v>
      </c>
      <c r="C23" s="284" t="s">
        <v>20</v>
      </c>
      <c r="D23" s="1500">
        <v>10.4</v>
      </c>
      <c r="E23" s="1500">
        <v>0</v>
      </c>
      <c r="F23" s="1500">
        <v>0</v>
      </c>
      <c r="G23" s="1502">
        <v>0</v>
      </c>
      <c r="H23" s="1500">
        <v>0</v>
      </c>
      <c r="I23" s="1500">
        <v>0</v>
      </c>
      <c r="J23" s="1500">
        <v>0</v>
      </c>
      <c r="K23" s="1500">
        <v>0</v>
      </c>
      <c r="L23" s="1500">
        <v>0</v>
      </c>
      <c r="M23" s="1500">
        <v>0</v>
      </c>
      <c r="N23" s="1500">
        <v>0</v>
      </c>
      <c r="O23" s="1502">
        <v>0</v>
      </c>
      <c r="P23" s="1500">
        <v>0</v>
      </c>
      <c r="Q23" s="1500">
        <v>0</v>
      </c>
      <c r="R23" s="1500">
        <v>0</v>
      </c>
      <c r="S23" s="1500">
        <v>0</v>
      </c>
      <c r="T23" s="1501">
        <v>10.4</v>
      </c>
      <c r="U23" s="1500">
        <v>0</v>
      </c>
      <c r="V23" s="1500">
        <v>0</v>
      </c>
      <c r="W23" s="1500">
        <v>0</v>
      </c>
      <c r="X23" s="1500">
        <v>0</v>
      </c>
      <c r="Y23" s="1500">
        <v>0</v>
      </c>
      <c r="Z23" s="1500">
        <v>0</v>
      </c>
      <c r="AA23" s="1500">
        <v>0</v>
      </c>
      <c r="AB23" s="1500">
        <v>0</v>
      </c>
      <c r="AC23" s="1500">
        <v>0</v>
      </c>
      <c r="AD23" s="1500">
        <v>0</v>
      </c>
      <c r="AE23" s="1500">
        <v>0</v>
      </c>
      <c r="AF23" s="1500">
        <v>0</v>
      </c>
      <c r="AG23" s="1500">
        <v>0</v>
      </c>
      <c r="AH23" s="1500">
        <v>0</v>
      </c>
      <c r="AI23" s="1500">
        <v>0</v>
      </c>
      <c r="AJ23" s="1500">
        <v>0</v>
      </c>
      <c r="AK23" s="1500">
        <v>0</v>
      </c>
      <c r="AL23" s="1500">
        <v>0</v>
      </c>
      <c r="AM23" s="1500">
        <v>0</v>
      </c>
      <c r="AN23" s="1500"/>
      <c r="AO23" s="1500">
        <v>0</v>
      </c>
      <c r="AP23" s="1500">
        <v>0</v>
      </c>
      <c r="AQ23" s="1500">
        <v>0</v>
      </c>
      <c r="AR23" s="1500">
        <v>0</v>
      </c>
      <c r="AS23" s="1500"/>
      <c r="AT23" s="1500">
        <v>0</v>
      </c>
      <c r="AU23" s="1500">
        <v>0</v>
      </c>
      <c r="AV23" s="1500">
        <v>0</v>
      </c>
      <c r="AW23" s="1500">
        <v>0</v>
      </c>
      <c r="AX23" s="1500">
        <v>0</v>
      </c>
      <c r="AY23" s="1500">
        <v>0</v>
      </c>
      <c r="AZ23" s="1500">
        <v>0</v>
      </c>
      <c r="BA23" s="1500">
        <v>0</v>
      </c>
      <c r="BB23" s="1500">
        <v>0</v>
      </c>
      <c r="BC23" s="1500">
        <v>0</v>
      </c>
      <c r="BD23" s="1500">
        <v>0</v>
      </c>
      <c r="BE23" s="1500">
        <v>0</v>
      </c>
      <c r="BF23" s="1500">
        <v>0</v>
      </c>
      <c r="BG23" s="1500">
        <v>0</v>
      </c>
      <c r="BH23" s="1500">
        <v>0</v>
      </c>
      <c r="BI23" s="1500">
        <v>0</v>
      </c>
      <c r="BJ23" s="1500">
        <v>16.689999999999998</v>
      </c>
      <c r="BK23" s="1500">
        <v>27.089999999999996</v>
      </c>
      <c r="BL23" s="743">
        <v>561.79999999999995</v>
      </c>
    </row>
    <row r="24" spans="1:64" s="743" customFormat="1" ht="24.95" customHeight="1">
      <c r="A24" s="967">
        <v>2</v>
      </c>
      <c r="B24" s="1478" t="s">
        <v>21</v>
      </c>
      <c r="C24" s="967" t="s">
        <v>22</v>
      </c>
      <c r="D24" s="1495">
        <v>3442.7000000000003</v>
      </c>
      <c r="E24" s="1495">
        <v>0</v>
      </c>
      <c r="F24" s="1495">
        <v>0</v>
      </c>
      <c r="G24" s="1499">
        <v>0</v>
      </c>
      <c r="H24" s="1495">
        <v>0</v>
      </c>
      <c r="I24" s="1495">
        <v>0</v>
      </c>
      <c r="J24" s="1495">
        <v>0</v>
      </c>
      <c r="K24" s="1495">
        <v>0</v>
      </c>
      <c r="L24" s="1495">
        <v>0</v>
      </c>
      <c r="M24" s="1495">
        <v>0</v>
      </c>
      <c r="N24" s="1495">
        <v>0</v>
      </c>
      <c r="O24" s="1499">
        <v>0</v>
      </c>
      <c r="P24" s="1495">
        <v>0</v>
      </c>
      <c r="Q24" s="1495">
        <v>0</v>
      </c>
      <c r="R24" s="1495">
        <v>0</v>
      </c>
      <c r="S24" s="1495">
        <v>0</v>
      </c>
      <c r="T24" s="1495">
        <v>0</v>
      </c>
      <c r="U24" s="1498">
        <v>3442.7000000000003</v>
      </c>
      <c r="V24" s="1495">
        <v>0</v>
      </c>
      <c r="W24" s="1495">
        <v>0.34</v>
      </c>
      <c r="X24" s="1495">
        <v>0</v>
      </c>
      <c r="Y24" s="1495">
        <v>1.62</v>
      </c>
      <c r="Z24" s="1495">
        <v>0</v>
      </c>
      <c r="AA24" s="1495">
        <v>0</v>
      </c>
      <c r="AB24" s="1495">
        <v>0</v>
      </c>
      <c r="AC24" s="1495">
        <v>4.9512600000000004</v>
      </c>
      <c r="AD24" s="1495">
        <v>4.9406100000000004</v>
      </c>
      <c r="AE24" s="1495">
        <v>0</v>
      </c>
      <c r="AF24" s="1495">
        <v>0</v>
      </c>
      <c r="AG24" s="1495">
        <v>0</v>
      </c>
      <c r="AH24" s="1495">
        <v>0.05</v>
      </c>
      <c r="AI24" s="1495">
        <v>0</v>
      </c>
      <c r="AJ24" s="1495">
        <v>0</v>
      </c>
      <c r="AK24" s="1495">
        <v>0</v>
      </c>
      <c r="AL24" s="1495">
        <v>0.45400000000000007</v>
      </c>
      <c r="AM24" s="1495">
        <v>0</v>
      </c>
      <c r="AN24" s="1495"/>
      <c r="AO24" s="1495">
        <v>7.0000000000000007E-2</v>
      </c>
      <c r="AP24" s="1495">
        <v>0</v>
      </c>
      <c r="AQ24" s="1495">
        <v>0</v>
      </c>
      <c r="AR24" s="1495">
        <v>0.01</v>
      </c>
      <c r="AS24" s="1495"/>
      <c r="AT24" s="1495">
        <v>0</v>
      </c>
      <c r="AU24" s="1495">
        <v>0</v>
      </c>
      <c r="AV24" s="1495">
        <v>0</v>
      </c>
      <c r="AW24" s="1495">
        <v>0</v>
      </c>
      <c r="AX24" s="1495">
        <v>0.02</v>
      </c>
      <c r="AY24" s="1495">
        <v>7.0000000000000007E-2</v>
      </c>
      <c r="AZ24" s="1495">
        <v>0</v>
      </c>
      <c r="BA24" s="1495">
        <v>0</v>
      </c>
      <c r="BB24" s="1495">
        <v>0</v>
      </c>
      <c r="BC24" s="1495">
        <v>0</v>
      </c>
      <c r="BD24" s="1495">
        <v>0</v>
      </c>
      <c r="BE24" s="1495">
        <v>0</v>
      </c>
      <c r="BF24" s="1495">
        <v>0</v>
      </c>
      <c r="BG24" s="1495">
        <v>0</v>
      </c>
      <c r="BH24" s="1495">
        <v>0</v>
      </c>
      <c r="BI24" s="1495">
        <v>0</v>
      </c>
      <c r="BJ24" s="1495">
        <v>147.09135000000001</v>
      </c>
      <c r="BK24" s="1495">
        <v>3589.7913500000004</v>
      </c>
      <c r="BL24" s="743">
        <v>9992.8173199999983</v>
      </c>
    </row>
    <row r="25" spans="1:64" s="743" customFormat="1" ht="24.95" customHeight="1">
      <c r="A25" s="284" t="s">
        <v>23</v>
      </c>
      <c r="B25" s="976" t="s">
        <v>65</v>
      </c>
      <c r="C25" s="284" t="s">
        <v>26</v>
      </c>
      <c r="D25" s="1500">
        <v>15.48</v>
      </c>
      <c r="E25" s="1500">
        <v>0</v>
      </c>
      <c r="F25" s="1500">
        <v>0</v>
      </c>
      <c r="G25" s="1502">
        <v>0</v>
      </c>
      <c r="H25" s="1500">
        <v>0</v>
      </c>
      <c r="I25" s="1500">
        <v>0</v>
      </c>
      <c r="J25" s="1500">
        <v>0</v>
      </c>
      <c r="K25" s="1500">
        <v>0</v>
      </c>
      <c r="L25" s="1500">
        <v>0</v>
      </c>
      <c r="M25" s="1500">
        <v>0</v>
      </c>
      <c r="N25" s="1500">
        <v>0</v>
      </c>
      <c r="O25" s="1502">
        <v>0</v>
      </c>
      <c r="P25" s="1500">
        <v>0</v>
      </c>
      <c r="Q25" s="1500">
        <v>0</v>
      </c>
      <c r="R25" s="1500">
        <v>0</v>
      </c>
      <c r="S25" s="1500">
        <v>0</v>
      </c>
      <c r="T25" s="1500">
        <v>0</v>
      </c>
      <c r="U25" s="1500">
        <v>0</v>
      </c>
      <c r="V25" s="1501">
        <v>15.48</v>
      </c>
      <c r="W25" s="1500">
        <v>0</v>
      </c>
      <c r="X25" s="1500">
        <v>0</v>
      </c>
      <c r="Y25" s="1500">
        <v>0</v>
      </c>
      <c r="Z25" s="1500">
        <v>0</v>
      </c>
      <c r="AA25" s="1500">
        <v>0</v>
      </c>
      <c r="AB25" s="1500">
        <v>0</v>
      </c>
      <c r="AC25" s="1500">
        <v>0</v>
      </c>
      <c r="AD25" s="1500">
        <v>0</v>
      </c>
      <c r="AE25" s="1500">
        <v>0</v>
      </c>
      <c r="AF25" s="1500">
        <v>0</v>
      </c>
      <c r="AG25" s="1500">
        <v>0</v>
      </c>
      <c r="AH25" s="1500">
        <v>0</v>
      </c>
      <c r="AI25" s="1500">
        <v>0</v>
      </c>
      <c r="AJ25" s="1500">
        <v>0</v>
      </c>
      <c r="AK25" s="1500">
        <v>0</v>
      </c>
      <c r="AL25" s="1500">
        <v>0</v>
      </c>
      <c r="AM25" s="1500">
        <v>0</v>
      </c>
      <c r="AN25" s="1500"/>
      <c r="AO25" s="1500">
        <v>0</v>
      </c>
      <c r="AP25" s="1500">
        <v>0</v>
      </c>
      <c r="AQ25" s="1500">
        <v>0</v>
      </c>
      <c r="AR25" s="1500">
        <v>0</v>
      </c>
      <c r="AS25" s="1500"/>
      <c r="AT25" s="1500">
        <v>0</v>
      </c>
      <c r="AU25" s="1500">
        <v>0</v>
      </c>
      <c r="AV25" s="1500">
        <v>0</v>
      </c>
      <c r="AW25" s="1500">
        <v>0</v>
      </c>
      <c r="AX25" s="1500">
        <v>0</v>
      </c>
      <c r="AY25" s="1500">
        <v>0</v>
      </c>
      <c r="AZ25" s="1500">
        <v>0</v>
      </c>
      <c r="BA25" s="1500">
        <v>0</v>
      </c>
      <c r="BB25" s="1500">
        <v>0</v>
      </c>
      <c r="BC25" s="1500">
        <v>0</v>
      </c>
      <c r="BD25" s="1500">
        <v>0</v>
      </c>
      <c r="BE25" s="1500">
        <v>0</v>
      </c>
      <c r="BF25" s="1500">
        <v>0</v>
      </c>
      <c r="BG25" s="1500">
        <v>0</v>
      </c>
      <c r="BH25" s="1500">
        <v>0</v>
      </c>
      <c r="BI25" s="1500">
        <v>0</v>
      </c>
      <c r="BJ25" s="1500">
        <v>16</v>
      </c>
      <c r="BK25" s="1500">
        <v>31.48</v>
      </c>
      <c r="BL25" s="743">
        <v>1784.51</v>
      </c>
    </row>
    <row r="26" spans="1:64" s="743" customFormat="1" ht="24.95" customHeight="1">
      <c r="A26" s="284" t="s">
        <v>25</v>
      </c>
      <c r="B26" s="976" t="s">
        <v>66</v>
      </c>
      <c r="C26" s="284" t="s">
        <v>28</v>
      </c>
      <c r="D26" s="1500">
        <v>1.4300000000000002</v>
      </c>
      <c r="E26" s="1500">
        <v>0</v>
      </c>
      <c r="F26" s="1500">
        <v>0</v>
      </c>
      <c r="G26" s="1502">
        <v>0</v>
      </c>
      <c r="H26" s="1500">
        <v>0</v>
      </c>
      <c r="I26" s="1500">
        <v>0</v>
      </c>
      <c r="J26" s="1500">
        <v>0</v>
      </c>
      <c r="K26" s="1500">
        <v>0</v>
      </c>
      <c r="L26" s="1500">
        <v>0</v>
      </c>
      <c r="M26" s="1500">
        <v>0</v>
      </c>
      <c r="N26" s="1500">
        <v>0</v>
      </c>
      <c r="O26" s="1502">
        <v>0</v>
      </c>
      <c r="P26" s="1500">
        <v>0</v>
      </c>
      <c r="Q26" s="1500">
        <v>0</v>
      </c>
      <c r="R26" s="1500">
        <v>0</v>
      </c>
      <c r="S26" s="1500">
        <v>0</v>
      </c>
      <c r="T26" s="1500">
        <v>0</v>
      </c>
      <c r="U26" s="1500">
        <v>0</v>
      </c>
      <c r="V26" s="1500">
        <v>0</v>
      </c>
      <c r="W26" s="1501">
        <v>1.4300000000000002</v>
      </c>
      <c r="X26" s="1501">
        <v>0</v>
      </c>
      <c r="Y26" s="1500">
        <v>0</v>
      </c>
      <c r="Z26" s="1500">
        <v>0</v>
      </c>
      <c r="AA26" s="1500">
        <v>0</v>
      </c>
      <c r="AB26" s="1500">
        <v>0</v>
      </c>
      <c r="AC26" s="1500">
        <v>0</v>
      </c>
      <c r="AD26" s="1500">
        <v>0</v>
      </c>
      <c r="AE26" s="1500">
        <v>0</v>
      </c>
      <c r="AF26" s="1500">
        <v>0</v>
      </c>
      <c r="AG26" s="1500">
        <v>0</v>
      </c>
      <c r="AH26" s="1500">
        <v>0</v>
      </c>
      <c r="AI26" s="1500">
        <v>0</v>
      </c>
      <c r="AJ26" s="1500">
        <v>0</v>
      </c>
      <c r="AK26" s="1500">
        <v>0</v>
      </c>
      <c r="AL26" s="1500">
        <v>0</v>
      </c>
      <c r="AM26" s="1500">
        <v>0</v>
      </c>
      <c r="AN26" s="1500"/>
      <c r="AO26" s="1500">
        <v>0</v>
      </c>
      <c r="AP26" s="1500">
        <v>0</v>
      </c>
      <c r="AQ26" s="1500">
        <v>0</v>
      </c>
      <c r="AR26" s="1500">
        <v>0</v>
      </c>
      <c r="AS26" s="1500"/>
      <c r="AT26" s="1500">
        <v>0</v>
      </c>
      <c r="AU26" s="1500">
        <v>0</v>
      </c>
      <c r="AV26" s="1500">
        <v>0</v>
      </c>
      <c r="AW26" s="1500">
        <v>0</v>
      </c>
      <c r="AX26" s="1500">
        <v>0</v>
      </c>
      <c r="AY26" s="1500">
        <v>0</v>
      </c>
      <c r="AZ26" s="1500">
        <v>0</v>
      </c>
      <c r="BA26" s="1500">
        <v>0</v>
      </c>
      <c r="BB26" s="1500">
        <v>0</v>
      </c>
      <c r="BC26" s="1500">
        <v>0</v>
      </c>
      <c r="BD26" s="1500">
        <v>0</v>
      </c>
      <c r="BE26" s="1500">
        <v>0</v>
      </c>
      <c r="BF26" s="1500">
        <v>0</v>
      </c>
      <c r="BG26" s="1500">
        <v>0</v>
      </c>
      <c r="BH26" s="1500">
        <v>0</v>
      </c>
      <c r="BI26" s="1500">
        <v>0</v>
      </c>
      <c r="BJ26" s="1500">
        <v>1.78</v>
      </c>
      <c r="BK26" s="1500">
        <v>3.21</v>
      </c>
      <c r="BL26" s="743">
        <v>7.6400000000000006</v>
      </c>
    </row>
    <row r="27" spans="1:64" s="743" customFormat="1" ht="24.95" hidden="1" customHeight="1">
      <c r="A27" s="284"/>
      <c r="B27" s="976"/>
      <c r="C27" s="284"/>
      <c r="D27" s="1500">
        <v>0</v>
      </c>
      <c r="E27" s="1500">
        <v>0</v>
      </c>
      <c r="F27" s="1500">
        <v>0</v>
      </c>
      <c r="G27" s="1502">
        <v>0</v>
      </c>
      <c r="H27" s="1500">
        <v>0</v>
      </c>
      <c r="I27" s="1500">
        <v>0</v>
      </c>
      <c r="J27" s="1500">
        <v>0</v>
      </c>
      <c r="K27" s="1500">
        <v>0</v>
      </c>
      <c r="L27" s="1500">
        <v>0</v>
      </c>
      <c r="M27" s="1500">
        <v>0</v>
      </c>
      <c r="N27" s="1500">
        <v>0</v>
      </c>
      <c r="O27" s="1502">
        <v>0</v>
      </c>
      <c r="P27" s="1500">
        <v>0</v>
      </c>
      <c r="Q27" s="1500">
        <v>0</v>
      </c>
      <c r="R27" s="1500">
        <v>0</v>
      </c>
      <c r="S27" s="1500">
        <v>0</v>
      </c>
      <c r="T27" s="1500">
        <v>0</v>
      </c>
      <c r="U27" s="1500">
        <v>0</v>
      </c>
      <c r="V27" s="1500">
        <v>0</v>
      </c>
      <c r="W27" s="1501">
        <v>0</v>
      </c>
      <c r="X27" s="1501">
        <v>0</v>
      </c>
      <c r="Y27" s="1500">
        <v>0</v>
      </c>
      <c r="Z27" s="1500">
        <v>0</v>
      </c>
      <c r="AA27" s="1500">
        <v>0</v>
      </c>
      <c r="AB27" s="1500">
        <v>0</v>
      </c>
      <c r="AC27" s="1500">
        <v>0</v>
      </c>
      <c r="AD27" s="1500">
        <v>0</v>
      </c>
      <c r="AE27" s="1500">
        <v>0</v>
      </c>
      <c r="AF27" s="1500">
        <v>0</v>
      </c>
      <c r="AG27" s="1500">
        <v>0</v>
      </c>
      <c r="AH27" s="1500">
        <v>0</v>
      </c>
      <c r="AI27" s="1500">
        <v>0</v>
      </c>
      <c r="AJ27" s="1500">
        <v>0</v>
      </c>
      <c r="AK27" s="1500">
        <v>0</v>
      </c>
      <c r="AL27" s="1500">
        <v>0</v>
      </c>
      <c r="AM27" s="1500">
        <v>0</v>
      </c>
      <c r="AN27" s="1500">
        <v>0</v>
      </c>
      <c r="AO27" s="1500">
        <v>0</v>
      </c>
      <c r="AP27" s="1500">
        <v>0</v>
      </c>
      <c r="AQ27" s="1500">
        <v>0</v>
      </c>
      <c r="AR27" s="1500">
        <v>0</v>
      </c>
      <c r="AS27" s="1500">
        <v>0</v>
      </c>
      <c r="AT27" s="1500">
        <v>0</v>
      </c>
      <c r="AU27" s="1500">
        <v>0</v>
      </c>
      <c r="AV27" s="1500">
        <v>0</v>
      </c>
      <c r="AW27" s="1500">
        <v>0</v>
      </c>
      <c r="AX27" s="1500">
        <v>0</v>
      </c>
      <c r="AY27" s="1500">
        <v>0</v>
      </c>
      <c r="AZ27" s="1500">
        <v>0</v>
      </c>
      <c r="BA27" s="1500">
        <v>0</v>
      </c>
      <c r="BB27" s="1500">
        <v>0</v>
      </c>
      <c r="BC27" s="1500">
        <v>0</v>
      </c>
      <c r="BD27" s="1500">
        <v>0</v>
      </c>
      <c r="BE27" s="1500">
        <v>0</v>
      </c>
      <c r="BF27" s="1500">
        <v>0</v>
      </c>
      <c r="BG27" s="1500">
        <v>0</v>
      </c>
      <c r="BH27" s="1500">
        <v>0</v>
      </c>
      <c r="BI27" s="1500">
        <v>0</v>
      </c>
      <c r="BJ27" s="1500">
        <v>0</v>
      </c>
      <c r="BK27" s="1500">
        <v>0</v>
      </c>
      <c r="BL27" s="743">
        <v>0</v>
      </c>
    </row>
    <row r="28" spans="1:64" s="743" customFormat="1" ht="24.95" hidden="1" customHeight="1">
      <c r="A28" s="284" t="s">
        <v>27</v>
      </c>
      <c r="B28" s="976" t="s">
        <v>90</v>
      </c>
      <c r="C28" s="284" t="s">
        <v>91</v>
      </c>
      <c r="D28" s="1500">
        <v>0</v>
      </c>
      <c r="E28" s="1500">
        <v>0</v>
      </c>
      <c r="F28" s="1500">
        <v>0</v>
      </c>
      <c r="G28" s="1502">
        <v>0</v>
      </c>
      <c r="H28" s="1500">
        <v>0</v>
      </c>
      <c r="I28" s="1500">
        <v>0</v>
      </c>
      <c r="J28" s="1500">
        <v>0</v>
      </c>
      <c r="K28" s="1500">
        <v>0</v>
      </c>
      <c r="L28" s="1500">
        <v>0</v>
      </c>
      <c r="M28" s="1500">
        <v>0</v>
      </c>
      <c r="N28" s="1500">
        <v>0</v>
      </c>
      <c r="O28" s="1502">
        <v>0</v>
      </c>
      <c r="P28" s="1500">
        <v>0</v>
      </c>
      <c r="Q28" s="1500">
        <v>0</v>
      </c>
      <c r="R28" s="1500">
        <v>0</v>
      </c>
      <c r="S28" s="1500">
        <v>0</v>
      </c>
      <c r="T28" s="1500">
        <v>0</v>
      </c>
      <c r="U28" s="1500">
        <v>0</v>
      </c>
      <c r="V28" s="1500">
        <v>0</v>
      </c>
      <c r="W28" s="1500">
        <v>0</v>
      </c>
      <c r="X28" s="1500">
        <v>0</v>
      </c>
      <c r="Y28" s="1501">
        <v>0</v>
      </c>
      <c r="Z28" s="1500">
        <v>0</v>
      </c>
      <c r="AA28" s="1500">
        <v>0</v>
      </c>
      <c r="AB28" s="1500">
        <v>0</v>
      </c>
      <c r="AC28" s="1500">
        <v>0</v>
      </c>
      <c r="AD28" s="1500">
        <v>0</v>
      </c>
      <c r="AE28" s="1500">
        <v>0</v>
      </c>
      <c r="AF28" s="1500">
        <v>0</v>
      </c>
      <c r="AG28" s="1500">
        <v>0</v>
      </c>
      <c r="AH28" s="1500">
        <v>0</v>
      </c>
      <c r="AI28" s="1500">
        <v>0</v>
      </c>
      <c r="AJ28" s="1500">
        <v>0</v>
      </c>
      <c r="AK28" s="1500">
        <v>0</v>
      </c>
      <c r="AL28" s="1500">
        <v>0</v>
      </c>
      <c r="AM28" s="1500">
        <v>0</v>
      </c>
      <c r="AN28" s="1500"/>
      <c r="AO28" s="1500">
        <v>0</v>
      </c>
      <c r="AP28" s="1500">
        <v>0</v>
      </c>
      <c r="AQ28" s="1500">
        <v>0</v>
      </c>
      <c r="AR28" s="1500">
        <v>0</v>
      </c>
      <c r="AS28" s="1500"/>
      <c r="AT28" s="1500">
        <v>0</v>
      </c>
      <c r="AU28" s="1500">
        <v>0</v>
      </c>
      <c r="AV28" s="1500">
        <v>0</v>
      </c>
      <c r="AW28" s="1500">
        <v>0</v>
      </c>
      <c r="AX28" s="1500">
        <v>0</v>
      </c>
      <c r="AY28" s="1500">
        <v>0</v>
      </c>
      <c r="AZ28" s="1500">
        <v>0</v>
      </c>
      <c r="BA28" s="1500">
        <v>0</v>
      </c>
      <c r="BB28" s="1500">
        <v>0</v>
      </c>
      <c r="BC28" s="1500">
        <v>0</v>
      </c>
      <c r="BD28" s="1500">
        <v>0</v>
      </c>
      <c r="BE28" s="1500">
        <v>0</v>
      </c>
      <c r="BF28" s="1500">
        <v>0</v>
      </c>
      <c r="BG28" s="1500">
        <v>0</v>
      </c>
      <c r="BH28" s="1500">
        <v>0</v>
      </c>
      <c r="BI28" s="1500">
        <v>0</v>
      </c>
      <c r="BJ28" s="1500">
        <v>30</v>
      </c>
      <c r="BK28" s="1500">
        <v>30</v>
      </c>
      <c r="BL28" s="743">
        <v>114.26999999999998</v>
      </c>
    </row>
    <row r="29" spans="1:64" s="743" customFormat="1" ht="24.95" customHeight="1">
      <c r="A29" s="284" t="s">
        <v>29</v>
      </c>
      <c r="B29" s="976" t="s">
        <v>92</v>
      </c>
      <c r="C29" s="284" t="s">
        <v>93</v>
      </c>
      <c r="D29" s="1500">
        <v>16.32</v>
      </c>
      <c r="E29" s="1500">
        <v>0</v>
      </c>
      <c r="F29" s="1500">
        <v>0</v>
      </c>
      <c r="G29" s="1502">
        <v>0</v>
      </c>
      <c r="H29" s="1500">
        <v>0</v>
      </c>
      <c r="I29" s="1500">
        <v>0</v>
      </c>
      <c r="J29" s="1500">
        <v>0</v>
      </c>
      <c r="K29" s="1500">
        <v>0</v>
      </c>
      <c r="L29" s="1500">
        <v>0</v>
      </c>
      <c r="M29" s="1500">
        <v>0</v>
      </c>
      <c r="N29" s="1500">
        <v>0</v>
      </c>
      <c r="O29" s="1502">
        <v>0</v>
      </c>
      <c r="P29" s="1500">
        <v>0</v>
      </c>
      <c r="Q29" s="1500">
        <v>0</v>
      </c>
      <c r="R29" s="1500">
        <v>0</v>
      </c>
      <c r="S29" s="1500">
        <v>0</v>
      </c>
      <c r="T29" s="1500">
        <v>0</v>
      </c>
      <c r="U29" s="1500">
        <v>0.04</v>
      </c>
      <c r="V29" s="1500">
        <v>0</v>
      </c>
      <c r="W29" s="1500">
        <v>0</v>
      </c>
      <c r="X29" s="1500">
        <v>0</v>
      </c>
      <c r="Y29" s="1500">
        <v>0</v>
      </c>
      <c r="Z29" s="1501">
        <v>16.28</v>
      </c>
      <c r="AA29" s="1500">
        <v>0</v>
      </c>
      <c r="AB29" s="1500">
        <v>0</v>
      </c>
      <c r="AC29" s="1500">
        <v>0</v>
      </c>
      <c r="AD29" s="1500">
        <v>0</v>
      </c>
      <c r="AE29" s="1500">
        <v>0</v>
      </c>
      <c r="AF29" s="1500">
        <v>0</v>
      </c>
      <c r="AG29" s="1500">
        <v>0</v>
      </c>
      <c r="AH29" s="1500">
        <v>0</v>
      </c>
      <c r="AI29" s="1500">
        <v>0</v>
      </c>
      <c r="AJ29" s="1500">
        <v>0</v>
      </c>
      <c r="AK29" s="1500">
        <v>0</v>
      </c>
      <c r="AL29" s="1500">
        <v>0</v>
      </c>
      <c r="AM29" s="1500">
        <v>0</v>
      </c>
      <c r="AN29" s="1500"/>
      <c r="AO29" s="1500">
        <v>0</v>
      </c>
      <c r="AP29" s="1500">
        <v>0</v>
      </c>
      <c r="AQ29" s="1500">
        <v>0</v>
      </c>
      <c r="AR29" s="1500">
        <v>0</v>
      </c>
      <c r="AS29" s="1500"/>
      <c r="AT29" s="1500">
        <v>0</v>
      </c>
      <c r="AU29" s="1500">
        <v>0</v>
      </c>
      <c r="AV29" s="1500">
        <v>0</v>
      </c>
      <c r="AW29" s="1500">
        <v>0</v>
      </c>
      <c r="AX29" s="1500">
        <v>0</v>
      </c>
      <c r="AY29" s="1500">
        <v>0.04</v>
      </c>
      <c r="AZ29" s="1500">
        <v>0</v>
      </c>
      <c r="BA29" s="1500">
        <v>0</v>
      </c>
      <c r="BB29" s="1500">
        <v>0</v>
      </c>
      <c r="BC29" s="1500">
        <v>0</v>
      </c>
      <c r="BD29" s="1500">
        <v>0</v>
      </c>
      <c r="BE29" s="1500">
        <v>0</v>
      </c>
      <c r="BF29" s="1500">
        <v>0</v>
      </c>
      <c r="BG29" s="1500">
        <v>0</v>
      </c>
      <c r="BH29" s="1500">
        <v>0</v>
      </c>
      <c r="BI29" s="1500">
        <v>0.04</v>
      </c>
      <c r="BJ29" s="1500">
        <v>3.96</v>
      </c>
      <c r="BK29" s="1500">
        <v>20.28</v>
      </c>
      <c r="BL29" s="743">
        <v>28.519999999999996</v>
      </c>
    </row>
    <row r="30" spans="1:64" s="746" customFormat="1" ht="24.95" customHeight="1">
      <c r="A30" s="284" t="s">
        <v>31</v>
      </c>
      <c r="B30" s="976" t="s">
        <v>94</v>
      </c>
      <c r="C30" s="284" t="s">
        <v>32</v>
      </c>
      <c r="D30" s="1500">
        <v>2.23</v>
      </c>
      <c r="E30" s="1500">
        <v>0</v>
      </c>
      <c r="F30" s="1500">
        <v>0</v>
      </c>
      <c r="G30" s="1502">
        <v>0</v>
      </c>
      <c r="H30" s="1500">
        <v>0</v>
      </c>
      <c r="I30" s="1500">
        <v>0</v>
      </c>
      <c r="J30" s="1500">
        <v>0</v>
      </c>
      <c r="K30" s="1500">
        <v>0</v>
      </c>
      <c r="L30" s="1500">
        <v>0</v>
      </c>
      <c r="M30" s="1500">
        <v>0</v>
      </c>
      <c r="N30" s="1500">
        <v>0</v>
      </c>
      <c r="O30" s="1502">
        <v>0</v>
      </c>
      <c r="P30" s="1500">
        <v>0</v>
      </c>
      <c r="Q30" s="1500">
        <v>0</v>
      </c>
      <c r="R30" s="1500">
        <v>0</v>
      </c>
      <c r="S30" s="1500">
        <v>0</v>
      </c>
      <c r="T30" s="1500">
        <v>0</v>
      </c>
      <c r="U30" s="1500">
        <v>0.03</v>
      </c>
      <c r="V30" s="1500">
        <v>0</v>
      </c>
      <c r="W30" s="1500">
        <v>0.01</v>
      </c>
      <c r="X30" s="1500">
        <v>0</v>
      </c>
      <c r="Y30" s="1500">
        <v>0</v>
      </c>
      <c r="Z30" s="1500">
        <v>0</v>
      </c>
      <c r="AA30" s="1501">
        <v>2.2000000000000002</v>
      </c>
      <c r="AB30" s="1500">
        <v>0</v>
      </c>
      <c r="AC30" s="1500">
        <v>0</v>
      </c>
      <c r="AD30" s="1500">
        <v>0</v>
      </c>
      <c r="AE30" s="1500">
        <v>0</v>
      </c>
      <c r="AF30" s="1500">
        <v>0</v>
      </c>
      <c r="AG30" s="1500">
        <v>0</v>
      </c>
      <c r="AH30" s="1500">
        <v>0</v>
      </c>
      <c r="AI30" s="1500">
        <v>0</v>
      </c>
      <c r="AJ30" s="1500">
        <v>0</v>
      </c>
      <c r="AK30" s="1500">
        <v>0</v>
      </c>
      <c r="AL30" s="1500">
        <v>0</v>
      </c>
      <c r="AM30" s="1500">
        <v>0</v>
      </c>
      <c r="AN30" s="1500"/>
      <c r="AO30" s="1500">
        <v>0</v>
      </c>
      <c r="AP30" s="1500">
        <v>0</v>
      </c>
      <c r="AQ30" s="1500">
        <v>0</v>
      </c>
      <c r="AR30" s="1500">
        <v>0</v>
      </c>
      <c r="AS30" s="1500"/>
      <c r="AT30" s="1500">
        <v>0</v>
      </c>
      <c r="AU30" s="1500">
        <v>0</v>
      </c>
      <c r="AV30" s="1500">
        <v>0</v>
      </c>
      <c r="AW30" s="1500">
        <v>0</v>
      </c>
      <c r="AX30" s="1500">
        <v>0.02</v>
      </c>
      <c r="AY30" s="1500">
        <v>0</v>
      </c>
      <c r="AZ30" s="1500">
        <v>0</v>
      </c>
      <c r="BA30" s="1500">
        <v>0</v>
      </c>
      <c r="BB30" s="1500">
        <v>0</v>
      </c>
      <c r="BC30" s="1500">
        <v>0</v>
      </c>
      <c r="BD30" s="1500">
        <v>0</v>
      </c>
      <c r="BE30" s="1500">
        <v>0</v>
      </c>
      <c r="BF30" s="1500">
        <v>0</v>
      </c>
      <c r="BG30" s="1500">
        <v>0</v>
      </c>
      <c r="BH30" s="1500">
        <v>0</v>
      </c>
      <c r="BI30" s="1500">
        <v>0.03</v>
      </c>
      <c r="BJ30" s="1500">
        <v>0.66999999999999993</v>
      </c>
      <c r="BK30" s="1500">
        <v>2.9</v>
      </c>
      <c r="BL30" s="746">
        <v>61.150000000000013</v>
      </c>
    </row>
    <row r="31" spans="1:64" s="743" customFormat="1" ht="39" customHeight="1">
      <c r="A31" s="284" t="s">
        <v>33</v>
      </c>
      <c r="B31" s="976" t="s">
        <v>106</v>
      </c>
      <c r="C31" s="284" t="s">
        <v>35</v>
      </c>
      <c r="D31" s="1500">
        <v>17.509999999999998</v>
      </c>
      <c r="E31" s="1500">
        <v>0</v>
      </c>
      <c r="F31" s="1500">
        <v>0</v>
      </c>
      <c r="G31" s="1502">
        <v>0</v>
      </c>
      <c r="H31" s="1500">
        <v>0</v>
      </c>
      <c r="I31" s="1500">
        <v>0</v>
      </c>
      <c r="J31" s="1500">
        <v>0</v>
      </c>
      <c r="K31" s="1500">
        <v>0</v>
      </c>
      <c r="L31" s="1500">
        <v>0</v>
      </c>
      <c r="M31" s="1500">
        <v>0</v>
      </c>
      <c r="N31" s="1500">
        <v>0</v>
      </c>
      <c r="O31" s="1502">
        <v>0</v>
      </c>
      <c r="P31" s="1500">
        <v>0</v>
      </c>
      <c r="Q31" s="1500">
        <v>0</v>
      </c>
      <c r="R31" s="1500">
        <v>0</v>
      </c>
      <c r="S31" s="1500">
        <v>0</v>
      </c>
      <c r="T31" s="1500">
        <v>0</v>
      </c>
      <c r="U31" s="1500">
        <v>0</v>
      </c>
      <c r="V31" s="1500">
        <v>0</v>
      </c>
      <c r="W31" s="1500">
        <v>0</v>
      </c>
      <c r="X31" s="1500">
        <v>0</v>
      </c>
      <c r="Y31" s="1500">
        <v>0</v>
      </c>
      <c r="Z31" s="1500">
        <v>0</v>
      </c>
      <c r="AA31" s="1500">
        <v>0</v>
      </c>
      <c r="AB31" s="1501">
        <v>17.509999999999998</v>
      </c>
      <c r="AC31" s="1500">
        <v>0</v>
      </c>
      <c r="AD31" s="1500">
        <v>0</v>
      </c>
      <c r="AE31" s="1500">
        <v>0</v>
      </c>
      <c r="AF31" s="1500">
        <v>0</v>
      </c>
      <c r="AG31" s="1500">
        <v>0</v>
      </c>
      <c r="AH31" s="1500">
        <v>0</v>
      </c>
      <c r="AI31" s="1500">
        <v>0</v>
      </c>
      <c r="AJ31" s="1500">
        <v>0</v>
      </c>
      <c r="AK31" s="1500">
        <v>0</v>
      </c>
      <c r="AL31" s="1500">
        <v>0</v>
      </c>
      <c r="AM31" s="1500">
        <v>0</v>
      </c>
      <c r="AN31" s="1500"/>
      <c r="AO31" s="1500">
        <v>0</v>
      </c>
      <c r="AP31" s="1500">
        <v>0</v>
      </c>
      <c r="AQ31" s="1500">
        <v>0</v>
      </c>
      <c r="AR31" s="1500">
        <v>0</v>
      </c>
      <c r="AS31" s="1500"/>
      <c r="AT31" s="1500">
        <v>0</v>
      </c>
      <c r="AU31" s="1500">
        <v>0</v>
      </c>
      <c r="AV31" s="1500">
        <v>0</v>
      </c>
      <c r="AW31" s="1500">
        <v>0</v>
      </c>
      <c r="AX31" s="1500">
        <v>0</v>
      </c>
      <c r="AY31" s="1500">
        <v>0</v>
      </c>
      <c r="AZ31" s="1500">
        <v>0</v>
      </c>
      <c r="BA31" s="1500">
        <v>0</v>
      </c>
      <c r="BB31" s="1500">
        <v>0</v>
      </c>
      <c r="BC31" s="1500">
        <v>0</v>
      </c>
      <c r="BD31" s="1500">
        <v>0</v>
      </c>
      <c r="BE31" s="1500">
        <v>0</v>
      </c>
      <c r="BF31" s="1500">
        <v>0</v>
      </c>
      <c r="BG31" s="1500">
        <v>0</v>
      </c>
      <c r="BH31" s="1500">
        <v>0</v>
      </c>
      <c r="BI31" s="1500">
        <v>0</v>
      </c>
      <c r="BJ31" s="1500">
        <v>0</v>
      </c>
      <c r="BK31" s="1500">
        <v>17.509999999999998</v>
      </c>
      <c r="BL31" s="743">
        <v>396.5</v>
      </c>
    </row>
    <row r="32" spans="1:64" s="743" customFormat="1" ht="35.1" customHeight="1">
      <c r="A32" s="284" t="s">
        <v>68</v>
      </c>
      <c r="B32" s="976" t="s">
        <v>125</v>
      </c>
      <c r="C32" s="284" t="s">
        <v>43</v>
      </c>
      <c r="D32" s="1500">
        <v>1463.8799999999999</v>
      </c>
      <c r="E32" s="1500">
        <v>0</v>
      </c>
      <c r="F32" s="1500">
        <v>0</v>
      </c>
      <c r="G32" s="1502">
        <v>0</v>
      </c>
      <c r="H32" s="1500">
        <v>0</v>
      </c>
      <c r="I32" s="1500">
        <v>0</v>
      </c>
      <c r="J32" s="1500">
        <v>0</v>
      </c>
      <c r="K32" s="1500">
        <v>0</v>
      </c>
      <c r="L32" s="1500">
        <v>0</v>
      </c>
      <c r="M32" s="1500">
        <v>0</v>
      </c>
      <c r="N32" s="1500">
        <v>0</v>
      </c>
      <c r="O32" s="1502">
        <v>0</v>
      </c>
      <c r="P32" s="1500">
        <v>0</v>
      </c>
      <c r="Q32" s="1500">
        <v>0</v>
      </c>
      <c r="R32" s="1500">
        <v>0</v>
      </c>
      <c r="S32" s="1500">
        <v>0</v>
      </c>
      <c r="T32" s="1500">
        <v>0</v>
      </c>
      <c r="U32" s="1500">
        <v>1.5733500000000002</v>
      </c>
      <c r="V32" s="1500">
        <v>0</v>
      </c>
      <c r="W32" s="1500">
        <v>0.16</v>
      </c>
      <c r="X32" s="1500">
        <v>0</v>
      </c>
      <c r="Y32" s="1500">
        <v>0.84000000000000008</v>
      </c>
      <c r="Z32" s="1500">
        <v>0</v>
      </c>
      <c r="AA32" s="1500">
        <v>0</v>
      </c>
      <c r="AB32" s="1500">
        <v>0</v>
      </c>
      <c r="AC32" s="1501">
        <v>1462.8799999999999</v>
      </c>
      <c r="AD32" s="1500">
        <v>0.35135000000000005</v>
      </c>
      <c r="AE32" s="1500">
        <v>0</v>
      </c>
      <c r="AF32" s="1500">
        <v>0</v>
      </c>
      <c r="AG32" s="1500">
        <v>0</v>
      </c>
      <c r="AH32" s="1500">
        <v>0.05</v>
      </c>
      <c r="AI32" s="1500">
        <v>0</v>
      </c>
      <c r="AJ32" s="1500">
        <v>0</v>
      </c>
      <c r="AK32" s="1500">
        <v>0</v>
      </c>
      <c r="AL32" s="1500">
        <v>0.17200000000000001</v>
      </c>
      <c r="AM32" s="1500">
        <v>0</v>
      </c>
      <c r="AN32" s="1500"/>
      <c r="AO32" s="1500">
        <v>0</v>
      </c>
      <c r="AP32" s="1500">
        <v>0</v>
      </c>
      <c r="AQ32" s="1500">
        <v>0</v>
      </c>
      <c r="AR32" s="1500">
        <v>0</v>
      </c>
      <c r="AS32" s="1500"/>
      <c r="AT32" s="1500">
        <v>0</v>
      </c>
      <c r="AU32" s="1500">
        <v>0</v>
      </c>
      <c r="AV32" s="1500">
        <v>0</v>
      </c>
      <c r="AW32" s="1500">
        <v>0</v>
      </c>
      <c r="AX32" s="1500">
        <v>0</v>
      </c>
      <c r="AY32" s="1500">
        <v>0</v>
      </c>
      <c r="AZ32" s="1500">
        <v>0</v>
      </c>
      <c r="BA32" s="1500">
        <v>0</v>
      </c>
      <c r="BB32" s="1500">
        <v>0</v>
      </c>
      <c r="BC32" s="1500">
        <v>0</v>
      </c>
      <c r="BD32" s="1500">
        <v>0</v>
      </c>
      <c r="BE32" s="1500">
        <v>0</v>
      </c>
      <c r="BF32" s="1500">
        <v>0</v>
      </c>
      <c r="BG32" s="1500">
        <v>0</v>
      </c>
      <c r="BH32" s="1500">
        <v>0</v>
      </c>
      <c r="BI32" s="1500">
        <v>1</v>
      </c>
      <c r="BJ32" s="1500">
        <v>72.012610000000009</v>
      </c>
      <c r="BK32" s="1500">
        <v>1535.8926099999996</v>
      </c>
      <c r="BL32" s="763">
        <v>2994.0720000000001</v>
      </c>
    </row>
    <row r="33" spans="1:64" s="743" customFormat="1" ht="25.5" customHeight="1">
      <c r="A33" s="1512" t="s">
        <v>193</v>
      </c>
      <c r="B33" s="976" t="s">
        <v>2757</v>
      </c>
      <c r="C33" s="284" t="s">
        <v>44</v>
      </c>
      <c r="D33" s="1500">
        <v>1289.4599999999998</v>
      </c>
      <c r="E33" s="1500">
        <v>0</v>
      </c>
      <c r="F33" s="1500">
        <v>0</v>
      </c>
      <c r="G33" s="1502">
        <v>0</v>
      </c>
      <c r="H33" s="1500">
        <v>0</v>
      </c>
      <c r="I33" s="1500">
        <v>0</v>
      </c>
      <c r="J33" s="1500">
        <v>0</v>
      </c>
      <c r="K33" s="1500">
        <v>0</v>
      </c>
      <c r="L33" s="1500">
        <v>0</v>
      </c>
      <c r="M33" s="1500">
        <v>0</v>
      </c>
      <c r="N33" s="1500">
        <v>0</v>
      </c>
      <c r="O33" s="1502">
        <v>0</v>
      </c>
      <c r="P33" s="1500">
        <v>0</v>
      </c>
      <c r="Q33" s="1500">
        <v>0</v>
      </c>
      <c r="R33" s="1500">
        <v>0</v>
      </c>
      <c r="S33" s="1500">
        <v>0</v>
      </c>
      <c r="T33" s="1500">
        <v>0</v>
      </c>
      <c r="U33" s="1500">
        <v>0.92200000000000004</v>
      </c>
      <c r="V33" s="1500">
        <v>0</v>
      </c>
      <c r="W33" s="1500">
        <v>0.01</v>
      </c>
      <c r="X33" s="1500">
        <v>0</v>
      </c>
      <c r="Y33" s="1500">
        <v>0.8</v>
      </c>
      <c r="Z33" s="1500">
        <v>0</v>
      </c>
      <c r="AA33" s="1500">
        <v>0</v>
      </c>
      <c r="AB33" s="1500">
        <v>0</v>
      </c>
      <c r="AC33" s="1500">
        <v>0.112</v>
      </c>
      <c r="AD33" s="1501">
        <v>1288.5379999999998</v>
      </c>
      <c r="AE33" s="1500">
        <v>0</v>
      </c>
      <c r="AF33" s="1500">
        <v>0</v>
      </c>
      <c r="AG33" s="1500">
        <v>0</v>
      </c>
      <c r="AH33" s="1500">
        <v>0</v>
      </c>
      <c r="AI33" s="1500">
        <v>0</v>
      </c>
      <c r="AJ33" s="1500">
        <v>0</v>
      </c>
      <c r="AK33" s="1500">
        <v>0</v>
      </c>
      <c r="AL33" s="1500">
        <v>0.112</v>
      </c>
      <c r="AM33" s="1500">
        <v>0</v>
      </c>
      <c r="AN33" s="1500"/>
      <c r="AO33" s="1500">
        <v>0</v>
      </c>
      <c r="AP33" s="1500">
        <v>0</v>
      </c>
      <c r="AQ33" s="1500">
        <v>0</v>
      </c>
      <c r="AR33" s="1500">
        <v>0</v>
      </c>
      <c r="AS33" s="1500"/>
      <c r="AT33" s="1500">
        <v>0</v>
      </c>
      <c r="AU33" s="1500">
        <v>0</v>
      </c>
      <c r="AV33" s="1500">
        <v>0</v>
      </c>
      <c r="AW33" s="1500">
        <v>0</v>
      </c>
      <c r="AX33" s="1500">
        <v>0</v>
      </c>
      <c r="AY33" s="1500">
        <v>0</v>
      </c>
      <c r="AZ33" s="1500">
        <v>0</v>
      </c>
      <c r="BA33" s="1500">
        <v>0</v>
      </c>
      <c r="BB33" s="1500">
        <v>0</v>
      </c>
      <c r="BC33" s="1500">
        <v>0</v>
      </c>
      <c r="BD33" s="1500">
        <v>0</v>
      </c>
      <c r="BE33" s="1500">
        <v>0</v>
      </c>
      <c r="BF33" s="1500">
        <v>0</v>
      </c>
      <c r="BG33" s="1500">
        <v>0</v>
      </c>
      <c r="BH33" s="1500">
        <v>0</v>
      </c>
      <c r="BI33" s="1500">
        <v>0.92200000000000004</v>
      </c>
      <c r="BJ33" s="1500">
        <v>56.982960000000006</v>
      </c>
      <c r="BK33" s="1500">
        <v>1346.4429599999999</v>
      </c>
      <c r="BL33" s="763">
        <v>1837.6</v>
      </c>
    </row>
    <row r="34" spans="1:64" s="743" customFormat="1" ht="25.5" customHeight="1">
      <c r="A34" s="1512" t="s">
        <v>193</v>
      </c>
      <c r="B34" s="976" t="s">
        <v>2758</v>
      </c>
      <c r="C34" s="284" t="s">
        <v>45</v>
      </c>
      <c r="D34" s="1500">
        <v>77.82999999999997</v>
      </c>
      <c r="E34" s="1500">
        <v>0</v>
      </c>
      <c r="F34" s="1500">
        <v>0</v>
      </c>
      <c r="G34" s="1502">
        <v>0</v>
      </c>
      <c r="H34" s="1500">
        <v>0</v>
      </c>
      <c r="I34" s="1500">
        <v>0</v>
      </c>
      <c r="J34" s="1500">
        <v>0</v>
      </c>
      <c r="K34" s="1500">
        <v>0</v>
      </c>
      <c r="L34" s="1500">
        <v>0</v>
      </c>
      <c r="M34" s="1500">
        <v>0</v>
      </c>
      <c r="N34" s="1500">
        <v>0</v>
      </c>
      <c r="O34" s="1502">
        <v>0</v>
      </c>
      <c r="P34" s="1500">
        <v>0</v>
      </c>
      <c r="Q34" s="1500">
        <v>0</v>
      </c>
      <c r="R34" s="1500">
        <v>0</v>
      </c>
      <c r="S34" s="1500">
        <v>0</v>
      </c>
      <c r="T34" s="1500">
        <v>0</v>
      </c>
      <c r="U34" s="1500">
        <v>0.28135000000000004</v>
      </c>
      <c r="V34" s="1500">
        <v>0</v>
      </c>
      <c r="W34" s="1500">
        <v>0</v>
      </c>
      <c r="X34" s="1500">
        <v>0</v>
      </c>
      <c r="Y34" s="1500">
        <v>0.04</v>
      </c>
      <c r="Z34" s="1500">
        <v>0</v>
      </c>
      <c r="AA34" s="1500">
        <v>0</v>
      </c>
      <c r="AB34" s="1500">
        <v>0</v>
      </c>
      <c r="AC34" s="1500">
        <v>0.24135000000000004</v>
      </c>
      <c r="AD34" s="1500">
        <v>0.24135000000000004</v>
      </c>
      <c r="AE34" s="1501">
        <v>77.548649999999967</v>
      </c>
      <c r="AF34" s="1500">
        <v>0</v>
      </c>
      <c r="AG34" s="1500">
        <v>0</v>
      </c>
      <c r="AH34" s="1500">
        <v>0</v>
      </c>
      <c r="AI34" s="1500">
        <v>0</v>
      </c>
      <c r="AJ34" s="1500">
        <v>0</v>
      </c>
      <c r="AK34" s="1500">
        <v>0</v>
      </c>
      <c r="AL34" s="1500">
        <v>0</v>
      </c>
      <c r="AM34" s="1500">
        <v>0</v>
      </c>
      <c r="AN34" s="1500"/>
      <c r="AO34" s="1500">
        <v>0</v>
      </c>
      <c r="AP34" s="1500">
        <v>0</v>
      </c>
      <c r="AQ34" s="1500">
        <v>0</v>
      </c>
      <c r="AR34" s="1500">
        <v>0</v>
      </c>
      <c r="AS34" s="1500"/>
      <c r="AT34" s="1500">
        <v>0</v>
      </c>
      <c r="AU34" s="1500">
        <v>0</v>
      </c>
      <c r="AV34" s="1500">
        <v>0</v>
      </c>
      <c r="AW34" s="1500">
        <v>0</v>
      </c>
      <c r="AX34" s="1500">
        <v>0</v>
      </c>
      <c r="AY34" s="1500">
        <v>0</v>
      </c>
      <c r="AZ34" s="1500">
        <v>0</v>
      </c>
      <c r="BA34" s="1500">
        <v>0</v>
      </c>
      <c r="BB34" s="1500">
        <v>0</v>
      </c>
      <c r="BC34" s="1500">
        <v>0</v>
      </c>
      <c r="BD34" s="1500">
        <v>0</v>
      </c>
      <c r="BE34" s="1500">
        <v>0</v>
      </c>
      <c r="BF34" s="1500">
        <v>0</v>
      </c>
      <c r="BG34" s="1500">
        <v>0</v>
      </c>
      <c r="BH34" s="1500">
        <v>0</v>
      </c>
      <c r="BI34" s="1500">
        <v>0.28135000000000004</v>
      </c>
      <c r="BJ34" s="1500">
        <v>0.23864999999999997</v>
      </c>
      <c r="BK34" s="1500">
        <v>78.068649999999977</v>
      </c>
      <c r="BL34" s="763">
        <v>148.07</v>
      </c>
    </row>
    <row r="35" spans="1:64" s="743" customFormat="1" ht="23.1" customHeight="1">
      <c r="A35" s="1512" t="s">
        <v>193</v>
      </c>
      <c r="B35" s="286" t="s">
        <v>2770</v>
      </c>
      <c r="C35" s="284" t="s">
        <v>2771</v>
      </c>
      <c r="D35" s="1500">
        <v>0.16999999999999998</v>
      </c>
      <c r="E35" s="1500">
        <v>0</v>
      </c>
      <c r="F35" s="1500">
        <v>0</v>
      </c>
      <c r="G35" s="1502">
        <v>0</v>
      </c>
      <c r="H35" s="1500">
        <v>0</v>
      </c>
      <c r="I35" s="1500">
        <v>0</v>
      </c>
      <c r="J35" s="1500">
        <v>0</v>
      </c>
      <c r="K35" s="1500">
        <v>0</v>
      </c>
      <c r="L35" s="1500">
        <v>0</v>
      </c>
      <c r="M35" s="1500">
        <v>0</v>
      </c>
      <c r="N35" s="1500">
        <v>0</v>
      </c>
      <c r="O35" s="1502">
        <v>0</v>
      </c>
      <c r="P35" s="1500">
        <v>0</v>
      </c>
      <c r="Q35" s="1500">
        <v>0</v>
      </c>
      <c r="R35" s="1500">
        <v>0</v>
      </c>
      <c r="S35" s="1500">
        <v>0</v>
      </c>
      <c r="T35" s="1500">
        <v>0</v>
      </c>
      <c r="U35" s="1500">
        <v>0</v>
      </c>
      <c r="V35" s="1500">
        <v>0</v>
      </c>
      <c r="W35" s="1500">
        <v>0</v>
      </c>
      <c r="X35" s="1500">
        <v>0</v>
      </c>
      <c r="Y35" s="1500">
        <v>0</v>
      </c>
      <c r="Z35" s="1500">
        <v>0</v>
      </c>
      <c r="AA35" s="1500">
        <v>0</v>
      </c>
      <c r="AB35" s="1500">
        <v>0</v>
      </c>
      <c r="AC35" s="1500">
        <v>0</v>
      </c>
      <c r="AD35" s="1500">
        <v>0</v>
      </c>
      <c r="AE35" s="1500">
        <v>0</v>
      </c>
      <c r="AF35" s="1501">
        <v>0.16999999999999998</v>
      </c>
      <c r="AG35" s="1500">
        <v>0</v>
      </c>
      <c r="AH35" s="1500">
        <v>0</v>
      </c>
      <c r="AI35" s="1500">
        <v>0</v>
      </c>
      <c r="AJ35" s="1500">
        <v>0</v>
      </c>
      <c r="AK35" s="1500">
        <v>0</v>
      </c>
      <c r="AL35" s="1500">
        <v>0</v>
      </c>
      <c r="AM35" s="1500">
        <v>0</v>
      </c>
      <c r="AN35" s="1500"/>
      <c r="AO35" s="1500">
        <v>0</v>
      </c>
      <c r="AP35" s="1500">
        <v>0</v>
      </c>
      <c r="AQ35" s="1500">
        <v>0</v>
      </c>
      <c r="AR35" s="1500">
        <v>0</v>
      </c>
      <c r="AS35" s="1500"/>
      <c r="AT35" s="1500">
        <v>0</v>
      </c>
      <c r="AU35" s="1500">
        <v>0</v>
      </c>
      <c r="AV35" s="1500">
        <v>0</v>
      </c>
      <c r="AW35" s="1500">
        <v>0</v>
      </c>
      <c r="AX35" s="1500">
        <v>0</v>
      </c>
      <c r="AY35" s="1500">
        <v>0</v>
      </c>
      <c r="AZ35" s="1500">
        <v>0</v>
      </c>
      <c r="BA35" s="1500">
        <v>0</v>
      </c>
      <c r="BB35" s="1500">
        <v>0</v>
      </c>
      <c r="BC35" s="1500">
        <v>0</v>
      </c>
      <c r="BD35" s="1500">
        <v>0</v>
      </c>
      <c r="BE35" s="1500">
        <v>0</v>
      </c>
      <c r="BF35" s="1500">
        <v>0</v>
      </c>
      <c r="BG35" s="1500">
        <v>0</v>
      </c>
      <c r="BH35" s="1500">
        <v>0</v>
      </c>
      <c r="BI35" s="1500">
        <v>0</v>
      </c>
      <c r="BJ35" s="1500">
        <v>0.03</v>
      </c>
      <c r="BK35" s="1500">
        <v>0.19999999999999998</v>
      </c>
      <c r="BL35" s="743">
        <v>0.38</v>
      </c>
    </row>
    <row r="36" spans="1:64" s="743" customFormat="1" ht="33.950000000000003" hidden="1" customHeight="1">
      <c r="A36" s="1512" t="s">
        <v>193</v>
      </c>
      <c r="B36" s="286" t="s">
        <v>2772</v>
      </c>
      <c r="C36" s="284" t="s">
        <v>2773</v>
      </c>
      <c r="D36" s="1500">
        <v>0</v>
      </c>
      <c r="E36" s="1500">
        <v>0</v>
      </c>
      <c r="F36" s="1500">
        <v>0</v>
      </c>
      <c r="G36" s="1502">
        <v>0</v>
      </c>
      <c r="H36" s="1500">
        <v>0</v>
      </c>
      <c r="I36" s="1500">
        <v>0</v>
      </c>
      <c r="J36" s="1500">
        <v>0</v>
      </c>
      <c r="K36" s="1500">
        <v>0</v>
      </c>
      <c r="L36" s="1500">
        <v>0</v>
      </c>
      <c r="M36" s="1500">
        <v>0</v>
      </c>
      <c r="N36" s="1500">
        <v>0</v>
      </c>
      <c r="O36" s="1502">
        <v>0</v>
      </c>
      <c r="P36" s="1500">
        <v>0</v>
      </c>
      <c r="Q36" s="1500">
        <v>0</v>
      </c>
      <c r="R36" s="1500">
        <v>0</v>
      </c>
      <c r="S36" s="1500">
        <v>0</v>
      </c>
      <c r="T36" s="1500">
        <v>0</v>
      </c>
      <c r="U36" s="1500">
        <v>0</v>
      </c>
      <c r="V36" s="1500">
        <v>0</v>
      </c>
      <c r="W36" s="1500">
        <v>0</v>
      </c>
      <c r="X36" s="1500">
        <v>0</v>
      </c>
      <c r="Y36" s="1500">
        <v>0</v>
      </c>
      <c r="Z36" s="1500">
        <v>0</v>
      </c>
      <c r="AA36" s="1500">
        <v>0</v>
      </c>
      <c r="AB36" s="1500">
        <v>0</v>
      </c>
      <c r="AC36" s="1500">
        <v>0</v>
      </c>
      <c r="AD36" s="1500">
        <v>0</v>
      </c>
      <c r="AE36" s="1500">
        <v>0</v>
      </c>
      <c r="AF36" s="1500">
        <v>0</v>
      </c>
      <c r="AG36" s="1501">
        <v>0</v>
      </c>
      <c r="AH36" s="1500">
        <v>0</v>
      </c>
      <c r="AI36" s="1500">
        <v>0</v>
      </c>
      <c r="AJ36" s="1500">
        <v>0</v>
      </c>
      <c r="AK36" s="1500">
        <v>0</v>
      </c>
      <c r="AL36" s="1500">
        <v>0</v>
      </c>
      <c r="AM36" s="1500">
        <v>0</v>
      </c>
      <c r="AN36" s="1500"/>
      <c r="AO36" s="1500">
        <v>0</v>
      </c>
      <c r="AP36" s="1500">
        <v>0</v>
      </c>
      <c r="AQ36" s="1500">
        <v>0</v>
      </c>
      <c r="AR36" s="1500">
        <v>0</v>
      </c>
      <c r="AS36" s="1500"/>
      <c r="AT36" s="1500">
        <v>0</v>
      </c>
      <c r="AU36" s="1500">
        <v>0</v>
      </c>
      <c r="AV36" s="1500">
        <v>0</v>
      </c>
      <c r="AW36" s="1500">
        <v>0</v>
      </c>
      <c r="AX36" s="1500">
        <v>0</v>
      </c>
      <c r="AY36" s="1500">
        <v>0</v>
      </c>
      <c r="AZ36" s="1500">
        <v>0</v>
      </c>
      <c r="BA36" s="1500">
        <v>0</v>
      </c>
      <c r="BB36" s="1500">
        <v>0</v>
      </c>
      <c r="BC36" s="1500">
        <v>0</v>
      </c>
      <c r="BD36" s="1500">
        <v>0</v>
      </c>
      <c r="BE36" s="1500">
        <v>0</v>
      </c>
      <c r="BF36" s="1500">
        <v>0</v>
      </c>
      <c r="BG36" s="1500">
        <v>0</v>
      </c>
      <c r="BH36" s="1500">
        <v>0</v>
      </c>
      <c r="BI36" s="1500">
        <v>0</v>
      </c>
      <c r="BJ36" s="1500">
        <v>0</v>
      </c>
      <c r="BK36" s="1500">
        <v>0</v>
      </c>
      <c r="BL36" s="743">
        <v>12.5</v>
      </c>
    </row>
    <row r="37" spans="1:64" s="743" customFormat="1" ht="21.6" customHeight="1">
      <c r="A37" s="1512" t="s">
        <v>193</v>
      </c>
      <c r="B37" s="976" t="s">
        <v>127</v>
      </c>
      <c r="C37" s="284" t="s">
        <v>48</v>
      </c>
      <c r="D37" s="1500">
        <v>1.8900000000000003</v>
      </c>
      <c r="E37" s="1500">
        <v>0</v>
      </c>
      <c r="F37" s="1500">
        <v>0</v>
      </c>
      <c r="G37" s="1502">
        <v>0</v>
      </c>
      <c r="H37" s="1500">
        <v>0</v>
      </c>
      <c r="I37" s="1500">
        <v>0</v>
      </c>
      <c r="J37" s="1500">
        <v>0</v>
      </c>
      <c r="K37" s="1500">
        <v>0</v>
      </c>
      <c r="L37" s="1500">
        <v>0</v>
      </c>
      <c r="M37" s="1500">
        <v>0</v>
      </c>
      <c r="N37" s="1500">
        <v>0</v>
      </c>
      <c r="O37" s="1502">
        <v>0</v>
      </c>
      <c r="P37" s="1500">
        <v>0</v>
      </c>
      <c r="Q37" s="1500">
        <v>0</v>
      </c>
      <c r="R37" s="1500">
        <v>0</v>
      </c>
      <c r="S37" s="1500">
        <v>0</v>
      </c>
      <c r="T37" s="1500">
        <v>0</v>
      </c>
      <c r="U37" s="1500">
        <v>0.03</v>
      </c>
      <c r="V37" s="1500">
        <v>0</v>
      </c>
      <c r="W37" s="1500">
        <v>0</v>
      </c>
      <c r="X37" s="1500">
        <v>0</v>
      </c>
      <c r="Y37" s="1500">
        <v>0</v>
      </c>
      <c r="Z37" s="1500">
        <v>0</v>
      </c>
      <c r="AA37" s="1500">
        <v>0</v>
      </c>
      <c r="AB37" s="1500">
        <v>0</v>
      </c>
      <c r="AC37" s="1500">
        <v>0.03</v>
      </c>
      <c r="AD37" s="1500">
        <v>0.03</v>
      </c>
      <c r="AE37" s="1500">
        <v>0</v>
      </c>
      <c r="AF37" s="1500">
        <v>0</v>
      </c>
      <c r="AG37" s="1500">
        <v>0</v>
      </c>
      <c r="AH37" s="1501">
        <v>1.8600000000000003</v>
      </c>
      <c r="AI37" s="1500">
        <v>0</v>
      </c>
      <c r="AJ37" s="1500">
        <v>0</v>
      </c>
      <c r="AK37" s="1500">
        <v>0</v>
      </c>
      <c r="AL37" s="1500">
        <v>0</v>
      </c>
      <c r="AM37" s="1500">
        <v>0</v>
      </c>
      <c r="AN37" s="1500"/>
      <c r="AO37" s="1500">
        <v>0</v>
      </c>
      <c r="AP37" s="1500">
        <v>0</v>
      </c>
      <c r="AQ37" s="1500">
        <v>0</v>
      </c>
      <c r="AR37" s="1500">
        <v>0</v>
      </c>
      <c r="AS37" s="1500"/>
      <c r="AT37" s="1500">
        <v>0</v>
      </c>
      <c r="AU37" s="1500">
        <v>0</v>
      </c>
      <c r="AV37" s="1500">
        <v>0</v>
      </c>
      <c r="AW37" s="1500">
        <v>0</v>
      </c>
      <c r="AX37" s="1500">
        <v>0</v>
      </c>
      <c r="AY37" s="1500">
        <v>0</v>
      </c>
      <c r="AZ37" s="1500">
        <v>0</v>
      </c>
      <c r="BA37" s="1500">
        <v>0</v>
      </c>
      <c r="BB37" s="1500">
        <v>0</v>
      </c>
      <c r="BC37" s="1500">
        <v>0</v>
      </c>
      <c r="BD37" s="1500">
        <v>0</v>
      </c>
      <c r="BE37" s="1500">
        <v>0</v>
      </c>
      <c r="BF37" s="1500">
        <v>0</v>
      </c>
      <c r="BG37" s="1500">
        <v>0</v>
      </c>
      <c r="BH37" s="1500">
        <v>0</v>
      </c>
      <c r="BI37" s="1500">
        <v>0.03</v>
      </c>
      <c r="BJ37" s="1500">
        <v>0.79999999999999993</v>
      </c>
      <c r="BK37" s="1500">
        <v>2.6900000000000004</v>
      </c>
      <c r="BL37" s="743">
        <v>16.765999999999998</v>
      </c>
    </row>
    <row r="38" spans="1:64" s="743" customFormat="1" ht="21.6" customHeight="1">
      <c r="A38" s="1512" t="s">
        <v>193</v>
      </c>
      <c r="B38" s="976" t="s">
        <v>129</v>
      </c>
      <c r="C38" s="284" t="s">
        <v>49</v>
      </c>
      <c r="D38" s="1500">
        <v>4.6900000000000004</v>
      </c>
      <c r="E38" s="1500">
        <v>0</v>
      </c>
      <c r="F38" s="1500">
        <v>0</v>
      </c>
      <c r="G38" s="1502">
        <v>0</v>
      </c>
      <c r="H38" s="1500">
        <v>0</v>
      </c>
      <c r="I38" s="1500">
        <v>0</v>
      </c>
      <c r="J38" s="1500">
        <v>0</v>
      </c>
      <c r="K38" s="1500">
        <v>0</v>
      </c>
      <c r="L38" s="1500">
        <v>0</v>
      </c>
      <c r="M38" s="1500">
        <v>0</v>
      </c>
      <c r="N38" s="1500">
        <v>0</v>
      </c>
      <c r="O38" s="1502">
        <v>0</v>
      </c>
      <c r="P38" s="1500">
        <v>0</v>
      </c>
      <c r="Q38" s="1500">
        <v>0</v>
      </c>
      <c r="R38" s="1500">
        <v>0</v>
      </c>
      <c r="S38" s="1500">
        <v>0</v>
      </c>
      <c r="T38" s="1500">
        <v>0</v>
      </c>
      <c r="U38" s="1500">
        <v>6.0000000000000005E-2</v>
      </c>
      <c r="V38" s="1500">
        <v>0</v>
      </c>
      <c r="W38" s="1500">
        <v>0.01</v>
      </c>
      <c r="X38" s="1500">
        <v>0</v>
      </c>
      <c r="Y38" s="1500">
        <v>0</v>
      </c>
      <c r="Z38" s="1500">
        <v>0</v>
      </c>
      <c r="AA38" s="1500">
        <v>0</v>
      </c>
      <c r="AB38" s="1500">
        <v>0</v>
      </c>
      <c r="AC38" s="1500">
        <v>0.05</v>
      </c>
      <c r="AD38" s="1500">
        <v>0</v>
      </c>
      <c r="AE38" s="1500">
        <v>0</v>
      </c>
      <c r="AF38" s="1500">
        <v>0</v>
      </c>
      <c r="AG38" s="1500">
        <v>0</v>
      </c>
      <c r="AH38" s="1500">
        <v>0.05</v>
      </c>
      <c r="AI38" s="1501">
        <v>4.6300000000000008</v>
      </c>
      <c r="AJ38" s="1500">
        <v>0</v>
      </c>
      <c r="AK38" s="1500">
        <v>0</v>
      </c>
      <c r="AL38" s="1500">
        <v>0</v>
      </c>
      <c r="AM38" s="1500">
        <v>0</v>
      </c>
      <c r="AN38" s="1500"/>
      <c r="AO38" s="1500">
        <v>0</v>
      </c>
      <c r="AP38" s="1500">
        <v>0</v>
      </c>
      <c r="AQ38" s="1500">
        <v>0</v>
      </c>
      <c r="AR38" s="1500">
        <v>0</v>
      </c>
      <c r="AS38" s="1500"/>
      <c r="AT38" s="1500">
        <v>0</v>
      </c>
      <c r="AU38" s="1500">
        <v>0</v>
      </c>
      <c r="AV38" s="1500">
        <v>0</v>
      </c>
      <c r="AW38" s="1500">
        <v>0</v>
      </c>
      <c r="AX38" s="1500">
        <v>0</v>
      </c>
      <c r="AY38" s="1500">
        <v>0</v>
      </c>
      <c r="AZ38" s="1500">
        <v>0</v>
      </c>
      <c r="BA38" s="1500">
        <v>0</v>
      </c>
      <c r="BB38" s="1500">
        <v>0</v>
      </c>
      <c r="BC38" s="1500">
        <v>0</v>
      </c>
      <c r="BD38" s="1500">
        <v>0</v>
      </c>
      <c r="BE38" s="1500">
        <v>0</v>
      </c>
      <c r="BF38" s="1500">
        <v>0</v>
      </c>
      <c r="BG38" s="1500">
        <v>0</v>
      </c>
      <c r="BH38" s="1500">
        <v>0</v>
      </c>
      <c r="BI38" s="1500">
        <v>6.0000000000000005E-2</v>
      </c>
      <c r="BJ38" s="1500">
        <v>-6.0000000000000005E-2</v>
      </c>
      <c r="BK38" s="1500">
        <v>4.6300000000000008</v>
      </c>
      <c r="BL38" s="743">
        <v>7.48</v>
      </c>
    </row>
    <row r="39" spans="1:64" s="743" customFormat="1" ht="33.950000000000003" customHeight="1">
      <c r="A39" s="1512" t="s">
        <v>193</v>
      </c>
      <c r="B39" s="976" t="s">
        <v>220</v>
      </c>
      <c r="C39" s="284" t="s">
        <v>50</v>
      </c>
      <c r="D39" s="1500">
        <v>42.95</v>
      </c>
      <c r="E39" s="1500">
        <v>0</v>
      </c>
      <c r="F39" s="1500">
        <v>0</v>
      </c>
      <c r="G39" s="1502">
        <v>0</v>
      </c>
      <c r="H39" s="1500">
        <v>0</v>
      </c>
      <c r="I39" s="1500">
        <v>0</v>
      </c>
      <c r="J39" s="1500">
        <v>0</v>
      </c>
      <c r="K39" s="1500">
        <v>0</v>
      </c>
      <c r="L39" s="1500">
        <v>0</v>
      </c>
      <c r="M39" s="1500">
        <v>0</v>
      </c>
      <c r="N39" s="1500">
        <v>0</v>
      </c>
      <c r="O39" s="1502">
        <v>0</v>
      </c>
      <c r="P39" s="1500">
        <v>0</v>
      </c>
      <c r="Q39" s="1500">
        <v>0</v>
      </c>
      <c r="R39" s="1500">
        <v>0</v>
      </c>
      <c r="S39" s="1500">
        <v>0</v>
      </c>
      <c r="T39" s="1500">
        <v>0</v>
      </c>
      <c r="U39" s="1500">
        <v>0.2</v>
      </c>
      <c r="V39" s="1500">
        <v>0</v>
      </c>
      <c r="W39" s="1500">
        <v>0.14000000000000001</v>
      </c>
      <c r="X39" s="1500">
        <v>0</v>
      </c>
      <c r="Y39" s="1500">
        <v>0</v>
      </c>
      <c r="Z39" s="1500">
        <v>0</v>
      </c>
      <c r="AA39" s="1500">
        <v>0</v>
      </c>
      <c r="AB39" s="1500">
        <v>0</v>
      </c>
      <c r="AC39" s="1500">
        <v>0.06</v>
      </c>
      <c r="AD39" s="1500">
        <v>0.06</v>
      </c>
      <c r="AE39" s="1500">
        <v>0</v>
      </c>
      <c r="AF39" s="1500">
        <v>0</v>
      </c>
      <c r="AG39" s="1500">
        <v>0</v>
      </c>
      <c r="AH39" s="1500">
        <v>0</v>
      </c>
      <c r="AI39" s="1500">
        <v>0</v>
      </c>
      <c r="AJ39" s="1501">
        <v>42.75</v>
      </c>
      <c r="AK39" s="1500">
        <v>0</v>
      </c>
      <c r="AL39" s="1500">
        <v>0</v>
      </c>
      <c r="AM39" s="1500">
        <v>0</v>
      </c>
      <c r="AN39" s="1500"/>
      <c r="AO39" s="1500">
        <v>0</v>
      </c>
      <c r="AP39" s="1500">
        <v>0</v>
      </c>
      <c r="AQ39" s="1500">
        <v>0</v>
      </c>
      <c r="AR39" s="1500">
        <v>0</v>
      </c>
      <c r="AS39" s="1500"/>
      <c r="AT39" s="1500">
        <v>0</v>
      </c>
      <c r="AU39" s="1500">
        <v>0</v>
      </c>
      <c r="AV39" s="1500">
        <v>0</v>
      </c>
      <c r="AW39" s="1500">
        <v>0</v>
      </c>
      <c r="AX39" s="1500">
        <v>0</v>
      </c>
      <c r="AY39" s="1500">
        <v>0</v>
      </c>
      <c r="AZ39" s="1500">
        <v>0</v>
      </c>
      <c r="BA39" s="1500">
        <v>0</v>
      </c>
      <c r="BB39" s="1500">
        <v>0</v>
      </c>
      <c r="BC39" s="1500">
        <v>0</v>
      </c>
      <c r="BD39" s="1500">
        <v>0</v>
      </c>
      <c r="BE39" s="1500">
        <v>0</v>
      </c>
      <c r="BF39" s="1500">
        <v>0</v>
      </c>
      <c r="BG39" s="1500">
        <v>0</v>
      </c>
      <c r="BH39" s="1500">
        <v>0</v>
      </c>
      <c r="BI39" s="1500">
        <v>0.2</v>
      </c>
      <c r="BJ39" s="1500">
        <v>0.82000000000000006</v>
      </c>
      <c r="BK39" s="1500">
        <v>43.77</v>
      </c>
      <c r="BL39" s="743">
        <v>74.150000000000006</v>
      </c>
    </row>
    <row r="40" spans="1:64" s="743" customFormat="1" ht="23.45" customHeight="1">
      <c r="A40" s="1512" t="s">
        <v>193</v>
      </c>
      <c r="B40" s="976" t="s">
        <v>2307</v>
      </c>
      <c r="C40" s="284" t="s">
        <v>51</v>
      </c>
      <c r="D40" s="1500">
        <v>2.08</v>
      </c>
      <c r="E40" s="1500">
        <v>0</v>
      </c>
      <c r="F40" s="1500">
        <v>0</v>
      </c>
      <c r="G40" s="1502">
        <v>0</v>
      </c>
      <c r="H40" s="1500">
        <v>0</v>
      </c>
      <c r="I40" s="1500">
        <v>0</v>
      </c>
      <c r="J40" s="1500">
        <v>0</v>
      </c>
      <c r="K40" s="1500">
        <v>0</v>
      </c>
      <c r="L40" s="1500">
        <v>0</v>
      </c>
      <c r="M40" s="1500">
        <v>0</v>
      </c>
      <c r="N40" s="1500">
        <v>0</v>
      </c>
      <c r="O40" s="1502">
        <v>0</v>
      </c>
      <c r="P40" s="1500">
        <v>0</v>
      </c>
      <c r="Q40" s="1500">
        <v>0</v>
      </c>
      <c r="R40" s="1500">
        <v>0</v>
      </c>
      <c r="S40" s="1500">
        <v>0</v>
      </c>
      <c r="T40" s="1500">
        <v>0</v>
      </c>
      <c r="U40" s="1500">
        <v>0</v>
      </c>
      <c r="V40" s="1500">
        <v>0</v>
      </c>
      <c r="W40" s="1500">
        <v>0</v>
      </c>
      <c r="X40" s="1500">
        <v>0</v>
      </c>
      <c r="Y40" s="1500">
        <v>0</v>
      </c>
      <c r="Z40" s="1500">
        <v>0</v>
      </c>
      <c r="AA40" s="1500">
        <v>0</v>
      </c>
      <c r="AB40" s="1500">
        <v>0</v>
      </c>
      <c r="AC40" s="1500">
        <v>0</v>
      </c>
      <c r="AD40" s="1500">
        <v>0</v>
      </c>
      <c r="AE40" s="1500">
        <v>0</v>
      </c>
      <c r="AF40" s="1500">
        <v>0</v>
      </c>
      <c r="AG40" s="1500">
        <v>0</v>
      </c>
      <c r="AH40" s="1500">
        <v>0</v>
      </c>
      <c r="AI40" s="1500">
        <v>0</v>
      </c>
      <c r="AJ40" s="1500">
        <v>0</v>
      </c>
      <c r="AK40" s="1501">
        <v>2.08</v>
      </c>
      <c r="AL40" s="1500">
        <v>0</v>
      </c>
      <c r="AM40" s="1500">
        <v>0</v>
      </c>
      <c r="AN40" s="1500"/>
      <c r="AO40" s="1500">
        <v>0</v>
      </c>
      <c r="AP40" s="1500">
        <v>0</v>
      </c>
      <c r="AQ40" s="1500">
        <v>0</v>
      </c>
      <c r="AR40" s="1500">
        <v>0</v>
      </c>
      <c r="AS40" s="1500"/>
      <c r="AT40" s="1500">
        <v>0</v>
      </c>
      <c r="AU40" s="1500">
        <v>0</v>
      </c>
      <c r="AV40" s="1500">
        <v>0</v>
      </c>
      <c r="AW40" s="1500">
        <v>0</v>
      </c>
      <c r="AX40" s="1500">
        <v>0</v>
      </c>
      <c r="AY40" s="1500">
        <v>0</v>
      </c>
      <c r="AZ40" s="1500">
        <v>0</v>
      </c>
      <c r="BA40" s="1500">
        <v>0</v>
      </c>
      <c r="BB40" s="1500">
        <v>0</v>
      </c>
      <c r="BC40" s="1500">
        <v>0</v>
      </c>
      <c r="BD40" s="1500">
        <v>0</v>
      </c>
      <c r="BE40" s="1500">
        <v>0</v>
      </c>
      <c r="BF40" s="1500">
        <v>0</v>
      </c>
      <c r="BG40" s="1500">
        <v>0</v>
      </c>
      <c r="BH40" s="1500">
        <v>0</v>
      </c>
      <c r="BI40" s="1500">
        <v>0</v>
      </c>
      <c r="BJ40" s="1500">
        <v>0.27</v>
      </c>
      <c r="BK40" s="1500">
        <v>2.35</v>
      </c>
      <c r="BL40" s="743">
        <v>23.459999999999997</v>
      </c>
    </row>
    <row r="41" spans="1:64" s="743" customFormat="1" ht="31.35" customHeight="1">
      <c r="A41" s="1512" t="s">
        <v>193</v>
      </c>
      <c r="B41" s="976" t="s">
        <v>2759</v>
      </c>
      <c r="C41" s="284" t="s">
        <v>46</v>
      </c>
      <c r="D41" s="1500">
        <v>12.53</v>
      </c>
      <c r="E41" s="1500">
        <v>0</v>
      </c>
      <c r="F41" s="1500">
        <v>0</v>
      </c>
      <c r="G41" s="1502">
        <v>0</v>
      </c>
      <c r="H41" s="1500">
        <v>0</v>
      </c>
      <c r="I41" s="1500">
        <v>0</v>
      </c>
      <c r="J41" s="1500">
        <v>0</v>
      </c>
      <c r="K41" s="1500">
        <v>0</v>
      </c>
      <c r="L41" s="1500">
        <v>0</v>
      </c>
      <c r="M41" s="1500">
        <v>0</v>
      </c>
      <c r="N41" s="1500">
        <v>0</v>
      </c>
      <c r="O41" s="1502">
        <v>0</v>
      </c>
      <c r="P41" s="1500">
        <v>0</v>
      </c>
      <c r="Q41" s="1500">
        <v>0</v>
      </c>
      <c r="R41" s="1500">
        <v>0</v>
      </c>
      <c r="S41" s="1500">
        <v>0</v>
      </c>
      <c r="T41" s="1500">
        <v>0</v>
      </c>
      <c r="U41" s="1500">
        <v>0</v>
      </c>
      <c r="V41" s="1500">
        <v>0</v>
      </c>
      <c r="W41" s="1500">
        <v>0</v>
      </c>
      <c r="X41" s="1500">
        <v>0</v>
      </c>
      <c r="Y41" s="1500">
        <v>0</v>
      </c>
      <c r="Z41" s="1500">
        <v>0</v>
      </c>
      <c r="AA41" s="1500">
        <v>0</v>
      </c>
      <c r="AB41" s="1500">
        <v>0</v>
      </c>
      <c r="AC41" s="1500">
        <v>0</v>
      </c>
      <c r="AD41" s="1500">
        <v>0</v>
      </c>
      <c r="AE41" s="1500">
        <v>0</v>
      </c>
      <c r="AF41" s="1500">
        <v>0</v>
      </c>
      <c r="AG41" s="1500">
        <v>0</v>
      </c>
      <c r="AH41" s="1500">
        <v>0</v>
      </c>
      <c r="AI41" s="1500">
        <v>0</v>
      </c>
      <c r="AJ41" s="1500">
        <v>0</v>
      </c>
      <c r="AK41" s="1500">
        <v>0</v>
      </c>
      <c r="AL41" s="1501">
        <v>12.53</v>
      </c>
      <c r="AM41" s="1500">
        <v>0</v>
      </c>
      <c r="AN41" s="1500"/>
      <c r="AO41" s="1500">
        <v>0</v>
      </c>
      <c r="AP41" s="1500">
        <v>0</v>
      </c>
      <c r="AQ41" s="1500">
        <v>0</v>
      </c>
      <c r="AR41" s="1500">
        <v>0</v>
      </c>
      <c r="AS41" s="1500"/>
      <c r="AT41" s="1500">
        <v>0</v>
      </c>
      <c r="AU41" s="1500">
        <v>0</v>
      </c>
      <c r="AV41" s="1500">
        <v>0</v>
      </c>
      <c r="AW41" s="1500">
        <v>0</v>
      </c>
      <c r="AX41" s="1500">
        <v>0</v>
      </c>
      <c r="AY41" s="1500">
        <v>0</v>
      </c>
      <c r="AZ41" s="1500">
        <v>0</v>
      </c>
      <c r="BA41" s="1500">
        <v>0</v>
      </c>
      <c r="BB41" s="1500">
        <v>0</v>
      </c>
      <c r="BC41" s="1500">
        <v>0</v>
      </c>
      <c r="BD41" s="1500">
        <v>0</v>
      </c>
      <c r="BE41" s="1500">
        <v>0</v>
      </c>
      <c r="BF41" s="1500">
        <v>0</v>
      </c>
      <c r="BG41" s="1500">
        <v>0</v>
      </c>
      <c r="BH41" s="1500">
        <v>0</v>
      </c>
      <c r="BI41" s="1500">
        <v>0</v>
      </c>
      <c r="BJ41" s="1500">
        <v>3.2510000000000003</v>
      </c>
      <c r="BK41" s="1500">
        <v>15.780999999999999</v>
      </c>
      <c r="BL41" s="743">
        <v>141.43600000000004</v>
      </c>
    </row>
    <row r="42" spans="1:64" s="743" customFormat="1" ht="38.1" customHeight="1">
      <c r="A42" s="1512" t="s">
        <v>193</v>
      </c>
      <c r="B42" s="976" t="s">
        <v>2760</v>
      </c>
      <c r="C42" s="284" t="s">
        <v>47</v>
      </c>
      <c r="D42" s="1500">
        <v>0.45000000000000018</v>
      </c>
      <c r="E42" s="1500">
        <v>0</v>
      </c>
      <c r="F42" s="1500">
        <v>0</v>
      </c>
      <c r="G42" s="1502">
        <v>0</v>
      </c>
      <c r="H42" s="1500">
        <v>0</v>
      </c>
      <c r="I42" s="1500">
        <v>0</v>
      </c>
      <c r="J42" s="1500">
        <v>0</v>
      </c>
      <c r="K42" s="1500">
        <v>0</v>
      </c>
      <c r="L42" s="1500">
        <v>0</v>
      </c>
      <c r="M42" s="1500">
        <v>0</v>
      </c>
      <c r="N42" s="1500">
        <v>0</v>
      </c>
      <c r="O42" s="1502">
        <v>0</v>
      </c>
      <c r="P42" s="1500">
        <v>0</v>
      </c>
      <c r="Q42" s="1500">
        <v>0</v>
      </c>
      <c r="R42" s="1500">
        <v>0</v>
      </c>
      <c r="S42" s="1500">
        <v>0</v>
      </c>
      <c r="T42" s="1500">
        <v>0</v>
      </c>
      <c r="U42" s="1500">
        <v>0</v>
      </c>
      <c r="V42" s="1500">
        <v>0</v>
      </c>
      <c r="W42" s="1500">
        <v>0</v>
      </c>
      <c r="X42" s="1500">
        <v>0</v>
      </c>
      <c r="Y42" s="1500">
        <v>0</v>
      </c>
      <c r="Z42" s="1500">
        <v>0</v>
      </c>
      <c r="AA42" s="1500">
        <v>0</v>
      </c>
      <c r="AB42" s="1500">
        <v>0</v>
      </c>
      <c r="AC42" s="1500">
        <v>0</v>
      </c>
      <c r="AD42" s="1500">
        <v>0</v>
      </c>
      <c r="AE42" s="1500">
        <v>0</v>
      </c>
      <c r="AF42" s="1500">
        <v>0</v>
      </c>
      <c r="AG42" s="1500">
        <v>0</v>
      </c>
      <c r="AH42" s="1500">
        <v>0</v>
      </c>
      <c r="AI42" s="1500">
        <v>0</v>
      </c>
      <c r="AJ42" s="1500">
        <v>0</v>
      </c>
      <c r="AK42" s="1500">
        <v>0</v>
      </c>
      <c r="AL42" s="1500">
        <v>0</v>
      </c>
      <c r="AM42" s="1501">
        <v>0.45000000000000018</v>
      </c>
      <c r="AN42" s="1500"/>
      <c r="AO42" s="1500">
        <v>0</v>
      </c>
      <c r="AP42" s="1500">
        <v>0</v>
      </c>
      <c r="AQ42" s="1500">
        <v>0</v>
      </c>
      <c r="AR42" s="1500">
        <v>0</v>
      </c>
      <c r="AS42" s="1500"/>
      <c r="AT42" s="1500">
        <v>0</v>
      </c>
      <c r="AU42" s="1500">
        <v>0</v>
      </c>
      <c r="AV42" s="1500">
        <v>0</v>
      </c>
      <c r="AW42" s="1500">
        <v>0</v>
      </c>
      <c r="AX42" s="1500">
        <v>0</v>
      </c>
      <c r="AY42" s="1500">
        <v>0</v>
      </c>
      <c r="AZ42" s="1500">
        <v>0</v>
      </c>
      <c r="BA42" s="1500">
        <v>0</v>
      </c>
      <c r="BB42" s="1500">
        <v>0</v>
      </c>
      <c r="BC42" s="1500">
        <v>0</v>
      </c>
      <c r="BD42" s="1500">
        <v>0</v>
      </c>
      <c r="BE42" s="1500">
        <v>0</v>
      </c>
      <c r="BF42" s="1500">
        <v>0</v>
      </c>
      <c r="BG42" s="1500">
        <v>0</v>
      </c>
      <c r="BH42" s="1500">
        <v>0</v>
      </c>
      <c r="BI42" s="1500">
        <v>0</v>
      </c>
      <c r="BJ42" s="1500">
        <v>0</v>
      </c>
      <c r="BK42" s="1500">
        <v>0.45000000000000018</v>
      </c>
      <c r="BL42" s="743">
        <v>1.6</v>
      </c>
    </row>
    <row r="43" spans="1:64" s="743" customFormat="1" ht="2.1" hidden="1" customHeight="1">
      <c r="A43" s="1512" t="s">
        <v>193</v>
      </c>
      <c r="B43" s="976" t="s">
        <v>2761</v>
      </c>
      <c r="C43" s="284" t="s">
        <v>2762</v>
      </c>
      <c r="D43" s="1500">
        <v>0</v>
      </c>
      <c r="E43" s="1500">
        <v>0</v>
      </c>
      <c r="F43" s="1500">
        <v>0</v>
      </c>
      <c r="G43" s="1502">
        <v>0</v>
      </c>
      <c r="H43" s="1500">
        <v>0</v>
      </c>
      <c r="I43" s="1500">
        <v>0</v>
      </c>
      <c r="J43" s="1500">
        <v>0</v>
      </c>
      <c r="K43" s="1500">
        <v>0</v>
      </c>
      <c r="L43" s="1500">
        <v>0</v>
      </c>
      <c r="M43" s="1500">
        <v>0</v>
      </c>
      <c r="N43" s="1500">
        <v>0</v>
      </c>
      <c r="O43" s="1502">
        <v>0</v>
      </c>
      <c r="P43" s="1500">
        <v>0</v>
      </c>
      <c r="Q43" s="1500">
        <v>0</v>
      </c>
      <c r="R43" s="1500">
        <v>0</v>
      </c>
      <c r="S43" s="1500">
        <v>0</v>
      </c>
      <c r="T43" s="1500">
        <v>0</v>
      </c>
      <c r="U43" s="1500">
        <v>0</v>
      </c>
      <c r="V43" s="1500">
        <v>0</v>
      </c>
      <c r="W43" s="1500">
        <v>0</v>
      </c>
      <c r="X43" s="1500">
        <v>0</v>
      </c>
      <c r="Y43" s="1500">
        <v>0</v>
      </c>
      <c r="Z43" s="1500">
        <v>0</v>
      </c>
      <c r="AA43" s="1500">
        <v>0</v>
      </c>
      <c r="AB43" s="1500">
        <v>0</v>
      </c>
      <c r="AC43" s="1500">
        <v>0</v>
      </c>
      <c r="AD43" s="1500">
        <v>0</v>
      </c>
      <c r="AE43" s="1500">
        <v>0</v>
      </c>
      <c r="AF43" s="1500">
        <v>0</v>
      </c>
      <c r="AG43" s="1500">
        <v>0</v>
      </c>
      <c r="AH43" s="1500">
        <v>0</v>
      </c>
      <c r="AI43" s="1500">
        <v>0</v>
      </c>
      <c r="AJ43" s="1500">
        <v>0</v>
      </c>
      <c r="AK43" s="1500">
        <v>0</v>
      </c>
      <c r="AL43" s="1500">
        <v>0</v>
      </c>
      <c r="AM43" s="1500">
        <v>0</v>
      </c>
      <c r="AN43" s="1500"/>
      <c r="AO43" s="1500">
        <v>0</v>
      </c>
      <c r="AP43" s="1500">
        <v>0</v>
      </c>
      <c r="AQ43" s="1500">
        <v>0</v>
      </c>
      <c r="AR43" s="1500">
        <v>0</v>
      </c>
      <c r="AS43" s="1500"/>
      <c r="AT43" s="1500">
        <v>0</v>
      </c>
      <c r="AU43" s="1500">
        <v>0</v>
      </c>
      <c r="AV43" s="1500">
        <v>0</v>
      </c>
      <c r="AW43" s="1500">
        <v>0</v>
      </c>
      <c r="AX43" s="1500">
        <v>0</v>
      </c>
      <c r="AY43" s="1500">
        <v>0</v>
      </c>
      <c r="AZ43" s="1500">
        <v>0</v>
      </c>
      <c r="BA43" s="1500">
        <v>0</v>
      </c>
      <c r="BB43" s="1500">
        <v>0</v>
      </c>
      <c r="BC43" s="1500">
        <v>0</v>
      </c>
      <c r="BD43" s="1500">
        <v>0</v>
      </c>
      <c r="BE43" s="1500">
        <v>0</v>
      </c>
      <c r="BF43" s="1500">
        <v>0</v>
      </c>
      <c r="BG43" s="1500">
        <v>0</v>
      </c>
      <c r="BH43" s="1500">
        <v>0</v>
      </c>
      <c r="BI43" s="1500">
        <v>0</v>
      </c>
      <c r="BJ43" s="1500">
        <v>0</v>
      </c>
      <c r="BK43" s="1500">
        <v>0</v>
      </c>
      <c r="BL43" s="743">
        <v>0</v>
      </c>
    </row>
    <row r="44" spans="1:64" s="743" customFormat="1" ht="45.6" customHeight="1">
      <c r="A44" s="1512" t="s">
        <v>193</v>
      </c>
      <c r="B44" s="976" t="s">
        <v>2763</v>
      </c>
      <c r="C44" s="284" t="s">
        <v>2764</v>
      </c>
      <c r="D44" s="1500">
        <v>6.9999999999999993E-2</v>
      </c>
      <c r="E44" s="1500">
        <v>0</v>
      </c>
      <c r="F44" s="1500">
        <v>0</v>
      </c>
      <c r="G44" s="1502">
        <v>0</v>
      </c>
      <c r="H44" s="1500">
        <v>0</v>
      </c>
      <c r="I44" s="1500">
        <v>0</v>
      </c>
      <c r="J44" s="1500">
        <v>0</v>
      </c>
      <c r="K44" s="1500">
        <v>0</v>
      </c>
      <c r="L44" s="1500">
        <v>0</v>
      </c>
      <c r="M44" s="1500">
        <v>0</v>
      </c>
      <c r="N44" s="1500">
        <v>0</v>
      </c>
      <c r="O44" s="1502">
        <v>0</v>
      </c>
      <c r="P44" s="1500">
        <v>0</v>
      </c>
      <c r="Q44" s="1500">
        <v>0</v>
      </c>
      <c r="R44" s="1500">
        <v>0</v>
      </c>
      <c r="S44" s="1500">
        <v>0</v>
      </c>
      <c r="T44" s="1500">
        <v>0</v>
      </c>
      <c r="U44" s="1500">
        <v>0</v>
      </c>
      <c r="V44" s="1500">
        <v>0</v>
      </c>
      <c r="W44" s="1500">
        <v>0</v>
      </c>
      <c r="X44" s="1500">
        <v>0</v>
      </c>
      <c r="Y44" s="1500">
        <v>0</v>
      </c>
      <c r="Z44" s="1500">
        <v>0</v>
      </c>
      <c r="AA44" s="1500">
        <v>0</v>
      </c>
      <c r="AB44" s="1500">
        <v>0</v>
      </c>
      <c r="AC44" s="1500">
        <v>0</v>
      </c>
      <c r="AD44" s="1500">
        <v>0</v>
      </c>
      <c r="AE44" s="1500">
        <v>0</v>
      </c>
      <c r="AF44" s="1500">
        <v>0</v>
      </c>
      <c r="AG44" s="1500">
        <v>0</v>
      </c>
      <c r="AH44" s="1500">
        <v>0</v>
      </c>
      <c r="AI44" s="1500">
        <v>0</v>
      </c>
      <c r="AJ44" s="1500">
        <v>0</v>
      </c>
      <c r="AK44" s="1500">
        <v>0</v>
      </c>
      <c r="AL44" s="1500">
        <v>0</v>
      </c>
      <c r="AM44" s="1500">
        <v>0</v>
      </c>
      <c r="AN44" s="1500"/>
      <c r="AO44" s="1501">
        <v>6.9999999999999993E-2</v>
      </c>
      <c r="AP44" s="1500">
        <v>0</v>
      </c>
      <c r="AQ44" s="1500">
        <v>0</v>
      </c>
      <c r="AR44" s="1500">
        <v>0</v>
      </c>
      <c r="AS44" s="1500"/>
      <c r="AT44" s="1500">
        <v>0</v>
      </c>
      <c r="AU44" s="1500">
        <v>0</v>
      </c>
      <c r="AV44" s="1500">
        <v>0</v>
      </c>
      <c r="AW44" s="1500">
        <v>0</v>
      </c>
      <c r="AX44" s="1500">
        <v>0</v>
      </c>
      <c r="AY44" s="1500">
        <v>0</v>
      </c>
      <c r="AZ44" s="1500">
        <v>0</v>
      </c>
      <c r="BA44" s="1500">
        <v>0</v>
      </c>
      <c r="BB44" s="1500">
        <v>0</v>
      </c>
      <c r="BC44" s="1500">
        <v>0</v>
      </c>
      <c r="BD44" s="1500">
        <v>0</v>
      </c>
      <c r="BE44" s="1500">
        <v>0</v>
      </c>
      <c r="BF44" s="1500">
        <v>0</v>
      </c>
      <c r="BG44" s="1500">
        <v>0</v>
      </c>
      <c r="BH44" s="1500">
        <v>0</v>
      </c>
      <c r="BI44" s="1500">
        <v>0</v>
      </c>
      <c r="BJ44" s="1500">
        <v>1.8700000000000003</v>
      </c>
      <c r="BK44" s="1500">
        <v>1.9400000000000004</v>
      </c>
      <c r="BL44" s="743">
        <v>87.149999999999991</v>
      </c>
    </row>
    <row r="45" spans="1:64" s="743" customFormat="1" ht="18.600000000000001" customHeight="1">
      <c r="A45" s="1512" t="s">
        <v>193</v>
      </c>
      <c r="B45" s="976" t="s">
        <v>2765</v>
      </c>
      <c r="C45" s="284" t="s">
        <v>37</v>
      </c>
      <c r="D45" s="1500">
        <v>0.19</v>
      </c>
      <c r="E45" s="1500">
        <v>0</v>
      </c>
      <c r="F45" s="1500">
        <v>0</v>
      </c>
      <c r="G45" s="1502">
        <v>0</v>
      </c>
      <c r="H45" s="1500">
        <v>0</v>
      </c>
      <c r="I45" s="1500">
        <v>0</v>
      </c>
      <c r="J45" s="1500">
        <v>0</v>
      </c>
      <c r="K45" s="1500">
        <v>0</v>
      </c>
      <c r="L45" s="1500">
        <v>0</v>
      </c>
      <c r="M45" s="1500">
        <v>0</v>
      </c>
      <c r="N45" s="1500">
        <v>0</v>
      </c>
      <c r="O45" s="1502">
        <v>0</v>
      </c>
      <c r="P45" s="1500">
        <v>0</v>
      </c>
      <c r="Q45" s="1500">
        <v>0</v>
      </c>
      <c r="R45" s="1500">
        <v>0</v>
      </c>
      <c r="S45" s="1500">
        <v>0</v>
      </c>
      <c r="T45" s="1500">
        <v>0</v>
      </c>
      <c r="U45" s="1500">
        <v>0</v>
      </c>
      <c r="V45" s="1500">
        <v>0</v>
      </c>
      <c r="W45" s="1500">
        <v>0</v>
      </c>
      <c r="X45" s="1500">
        <v>0</v>
      </c>
      <c r="Y45" s="1500">
        <v>0</v>
      </c>
      <c r="Z45" s="1500">
        <v>0</v>
      </c>
      <c r="AA45" s="1500">
        <v>0</v>
      </c>
      <c r="AB45" s="1500">
        <v>0</v>
      </c>
      <c r="AC45" s="1500">
        <v>0</v>
      </c>
      <c r="AD45" s="1500">
        <v>0</v>
      </c>
      <c r="AE45" s="1500">
        <v>0</v>
      </c>
      <c r="AF45" s="1500">
        <v>0</v>
      </c>
      <c r="AG45" s="1500">
        <v>0</v>
      </c>
      <c r="AH45" s="1500">
        <v>0</v>
      </c>
      <c r="AI45" s="1500">
        <v>0</v>
      </c>
      <c r="AJ45" s="1500">
        <v>0</v>
      </c>
      <c r="AK45" s="1500">
        <v>0</v>
      </c>
      <c r="AL45" s="1500">
        <v>0</v>
      </c>
      <c r="AM45" s="1500">
        <v>0</v>
      </c>
      <c r="AN45" s="1500"/>
      <c r="AO45" s="1500">
        <v>0</v>
      </c>
      <c r="AP45" s="1501">
        <v>0.19</v>
      </c>
      <c r="AQ45" s="1500">
        <v>0</v>
      </c>
      <c r="AR45" s="1500">
        <v>0</v>
      </c>
      <c r="AS45" s="1500"/>
      <c r="AT45" s="1500">
        <v>0</v>
      </c>
      <c r="AU45" s="1500">
        <v>0</v>
      </c>
      <c r="AV45" s="1500">
        <v>0</v>
      </c>
      <c r="AW45" s="1500">
        <v>0</v>
      </c>
      <c r="AX45" s="1500">
        <v>0</v>
      </c>
      <c r="AY45" s="1500">
        <v>0</v>
      </c>
      <c r="AZ45" s="1500">
        <v>0</v>
      </c>
      <c r="BA45" s="1500">
        <v>0</v>
      </c>
      <c r="BB45" s="1500">
        <v>0</v>
      </c>
      <c r="BC45" s="1500">
        <v>0</v>
      </c>
      <c r="BD45" s="1500">
        <v>0</v>
      </c>
      <c r="BE45" s="1500">
        <v>0</v>
      </c>
      <c r="BF45" s="1500">
        <v>0</v>
      </c>
      <c r="BG45" s="1500">
        <v>0</v>
      </c>
      <c r="BH45" s="1500">
        <v>0</v>
      </c>
      <c r="BI45" s="1500">
        <v>0</v>
      </c>
      <c r="BJ45" s="1500">
        <v>7.68</v>
      </c>
      <c r="BK45" s="1500">
        <v>7.87</v>
      </c>
      <c r="BL45" s="743">
        <v>529.15000000000009</v>
      </c>
    </row>
    <row r="46" spans="1:64" s="743" customFormat="1" ht="20.100000000000001" hidden="1" customHeight="1">
      <c r="A46" s="1512" t="s">
        <v>193</v>
      </c>
      <c r="B46" s="976" t="s">
        <v>2766</v>
      </c>
      <c r="C46" s="284" t="s">
        <v>38</v>
      </c>
      <c r="D46" s="1500">
        <v>0</v>
      </c>
      <c r="E46" s="1500">
        <v>0</v>
      </c>
      <c r="F46" s="1500">
        <v>0</v>
      </c>
      <c r="G46" s="1502">
        <v>0</v>
      </c>
      <c r="H46" s="1500">
        <v>0</v>
      </c>
      <c r="I46" s="1500">
        <v>0</v>
      </c>
      <c r="J46" s="1500">
        <v>0</v>
      </c>
      <c r="K46" s="1500">
        <v>0</v>
      </c>
      <c r="L46" s="1500">
        <v>0</v>
      </c>
      <c r="M46" s="1500">
        <v>0</v>
      </c>
      <c r="N46" s="1500">
        <v>0</v>
      </c>
      <c r="O46" s="1502">
        <v>0</v>
      </c>
      <c r="P46" s="1500">
        <v>0</v>
      </c>
      <c r="Q46" s="1500">
        <v>0</v>
      </c>
      <c r="R46" s="1500">
        <v>0</v>
      </c>
      <c r="S46" s="1500">
        <v>0</v>
      </c>
      <c r="T46" s="1500">
        <v>0</v>
      </c>
      <c r="U46" s="1500">
        <v>0</v>
      </c>
      <c r="V46" s="1500">
        <v>0</v>
      </c>
      <c r="W46" s="1500">
        <v>0</v>
      </c>
      <c r="X46" s="1500">
        <v>0</v>
      </c>
      <c r="Y46" s="1500">
        <v>0</v>
      </c>
      <c r="Z46" s="1500">
        <v>0</v>
      </c>
      <c r="AA46" s="1500">
        <v>0</v>
      </c>
      <c r="AB46" s="1500">
        <v>0</v>
      </c>
      <c r="AC46" s="1500">
        <v>0</v>
      </c>
      <c r="AD46" s="1500">
        <v>0</v>
      </c>
      <c r="AE46" s="1500">
        <v>0</v>
      </c>
      <c r="AF46" s="1500">
        <v>0</v>
      </c>
      <c r="AG46" s="1500">
        <v>0</v>
      </c>
      <c r="AH46" s="1500">
        <v>0</v>
      </c>
      <c r="AI46" s="1500">
        <v>0</v>
      </c>
      <c r="AJ46" s="1500">
        <v>0</v>
      </c>
      <c r="AK46" s="1500">
        <v>0</v>
      </c>
      <c r="AL46" s="1500">
        <v>0</v>
      </c>
      <c r="AM46" s="1500">
        <v>0</v>
      </c>
      <c r="AN46" s="1500"/>
      <c r="AO46" s="1500">
        <v>0</v>
      </c>
      <c r="AP46" s="1500">
        <v>0</v>
      </c>
      <c r="AQ46" s="1501">
        <v>0</v>
      </c>
      <c r="AR46" s="1500">
        <v>0</v>
      </c>
      <c r="AS46" s="1500"/>
      <c r="AT46" s="1500">
        <v>0</v>
      </c>
      <c r="AU46" s="1500">
        <v>0</v>
      </c>
      <c r="AV46" s="1500">
        <v>0</v>
      </c>
      <c r="AW46" s="1500">
        <v>0</v>
      </c>
      <c r="AX46" s="1500">
        <v>0</v>
      </c>
      <c r="AY46" s="1500">
        <v>0</v>
      </c>
      <c r="AZ46" s="1500">
        <v>0</v>
      </c>
      <c r="BA46" s="1500">
        <v>0</v>
      </c>
      <c r="BB46" s="1500">
        <v>0</v>
      </c>
      <c r="BC46" s="1500">
        <v>0</v>
      </c>
      <c r="BD46" s="1500">
        <v>0</v>
      </c>
      <c r="BE46" s="1500">
        <v>0</v>
      </c>
      <c r="BF46" s="1500">
        <v>0</v>
      </c>
      <c r="BG46" s="1500">
        <v>0</v>
      </c>
      <c r="BH46" s="1500">
        <v>0</v>
      </c>
      <c r="BI46" s="1500">
        <v>0</v>
      </c>
      <c r="BJ46" s="1500">
        <v>0</v>
      </c>
      <c r="BK46" s="1500">
        <v>0</v>
      </c>
      <c r="BL46" s="743">
        <v>1.38</v>
      </c>
    </row>
    <row r="47" spans="1:64" s="743" customFormat="1" ht="38.1" customHeight="1">
      <c r="A47" s="1512" t="s">
        <v>193</v>
      </c>
      <c r="B47" s="976" t="s">
        <v>2767</v>
      </c>
      <c r="C47" s="284" t="s">
        <v>40</v>
      </c>
      <c r="D47" s="1500">
        <v>28.239999999999995</v>
      </c>
      <c r="E47" s="1500">
        <v>0</v>
      </c>
      <c r="F47" s="1500">
        <v>0</v>
      </c>
      <c r="G47" s="1502">
        <v>0</v>
      </c>
      <c r="H47" s="1500">
        <v>0</v>
      </c>
      <c r="I47" s="1500">
        <v>0</v>
      </c>
      <c r="J47" s="1500">
        <v>0</v>
      </c>
      <c r="K47" s="1500">
        <v>0</v>
      </c>
      <c r="L47" s="1500">
        <v>0</v>
      </c>
      <c r="M47" s="1500">
        <v>0</v>
      </c>
      <c r="N47" s="1500">
        <v>0</v>
      </c>
      <c r="O47" s="1502">
        <v>0</v>
      </c>
      <c r="P47" s="1500">
        <v>0</v>
      </c>
      <c r="Q47" s="1500">
        <v>0</v>
      </c>
      <c r="R47" s="1500">
        <v>0</v>
      </c>
      <c r="S47" s="1500">
        <v>0</v>
      </c>
      <c r="T47" s="1500">
        <v>0</v>
      </c>
      <c r="U47" s="1500">
        <v>0.08</v>
      </c>
      <c r="V47" s="1500">
        <v>0</v>
      </c>
      <c r="W47" s="1500">
        <v>0</v>
      </c>
      <c r="X47" s="1500">
        <v>0</v>
      </c>
      <c r="Y47" s="1500">
        <v>0</v>
      </c>
      <c r="Z47" s="1500">
        <v>0</v>
      </c>
      <c r="AA47" s="1500">
        <v>0</v>
      </c>
      <c r="AB47" s="1500">
        <v>0</v>
      </c>
      <c r="AC47" s="1500">
        <v>0.08</v>
      </c>
      <c r="AD47" s="1500">
        <v>0.02</v>
      </c>
      <c r="AE47" s="1500">
        <v>0</v>
      </c>
      <c r="AF47" s="1500">
        <v>0</v>
      </c>
      <c r="AG47" s="1500">
        <v>0</v>
      </c>
      <c r="AH47" s="1500">
        <v>0</v>
      </c>
      <c r="AI47" s="1500">
        <v>0</v>
      </c>
      <c r="AJ47" s="1500">
        <v>0</v>
      </c>
      <c r="AK47" s="1500">
        <v>0</v>
      </c>
      <c r="AL47" s="1500">
        <v>6.0000000000000005E-2</v>
      </c>
      <c r="AM47" s="1500">
        <v>0</v>
      </c>
      <c r="AN47" s="1500"/>
      <c r="AO47" s="1500">
        <v>0</v>
      </c>
      <c r="AP47" s="1500">
        <v>0</v>
      </c>
      <c r="AQ47" s="1500">
        <v>0</v>
      </c>
      <c r="AR47" s="1501">
        <v>28.159999999999997</v>
      </c>
      <c r="AS47" s="1500"/>
      <c r="AT47" s="1500">
        <v>0</v>
      </c>
      <c r="AU47" s="1500">
        <v>0</v>
      </c>
      <c r="AV47" s="1500">
        <v>0</v>
      </c>
      <c r="AW47" s="1500">
        <v>0</v>
      </c>
      <c r="AX47" s="1500">
        <v>0</v>
      </c>
      <c r="AY47" s="1500">
        <v>0</v>
      </c>
      <c r="AZ47" s="1500">
        <v>0</v>
      </c>
      <c r="BA47" s="1500">
        <v>0</v>
      </c>
      <c r="BB47" s="1500">
        <v>0</v>
      </c>
      <c r="BC47" s="1500">
        <v>0</v>
      </c>
      <c r="BD47" s="1500">
        <v>0</v>
      </c>
      <c r="BE47" s="1500">
        <v>0</v>
      </c>
      <c r="BF47" s="1500">
        <v>0</v>
      </c>
      <c r="BG47" s="1500">
        <v>0</v>
      </c>
      <c r="BH47" s="1500">
        <v>0</v>
      </c>
      <c r="BI47" s="1500">
        <v>0.08</v>
      </c>
      <c r="BJ47" s="1500">
        <v>9.0000000000000011E-2</v>
      </c>
      <c r="BK47" s="1500">
        <v>28.329999999999995</v>
      </c>
      <c r="BL47" s="743">
        <v>106.83</v>
      </c>
    </row>
    <row r="48" spans="1:64" s="743" customFormat="1" ht="34.5" customHeight="1">
      <c r="A48" s="1512" t="s">
        <v>193</v>
      </c>
      <c r="B48" s="976" t="s">
        <v>132</v>
      </c>
      <c r="C48" s="284" t="s">
        <v>52</v>
      </c>
      <c r="D48" s="1500">
        <v>0.5</v>
      </c>
      <c r="E48" s="1500">
        <v>0</v>
      </c>
      <c r="F48" s="1500">
        <v>0</v>
      </c>
      <c r="G48" s="1502">
        <v>0</v>
      </c>
      <c r="H48" s="1500">
        <v>0</v>
      </c>
      <c r="I48" s="1500">
        <v>0</v>
      </c>
      <c r="J48" s="1500">
        <v>0</v>
      </c>
      <c r="K48" s="1500">
        <v>0</v>
      </c>
      <c r="L48" s="1500">
        <v>0</v>
      </c>
      <c r="M48" s="1500">
        <v>0</v>
      </c>
      <c r="N48" s="1500">
        <v>0</v>
      </c>
      <c r="O48" s="1502">
        <v>0</v>
      </c>
      <c r="P48" s="1500">
        <v>0</v>
      </c>
      <c r="Q48" s="1500">
        <v>0</v>
      </c>
      <c r="R48" s="1500">
        <v>0</v>
      </c>
      <c r="S48" s="1500">
        <v>0</v>
      </c>
      <c r="T48" s="1500">
        <v>0</v>
      </c>
      <c r="U48" s="1500">
        <v>0</v>
      </c>
      <c r="V48" s="1500">
        <v>0</v>
      </c>
      <c r="W48" s="1500">
        <v>0</v>
      </c>
      <c r="X48" s="1500"/>
      <c r="Y48" s="1500">
        <v>0</v>
      </c>
      <c r="Z48" s="1500">
        <v>0</v>
      </c>
      <c r="AA48" s="1500">
        <v>0</v>
      </c>
      <c r="AB48" s="1500">
        <v>0</v>
      </c>
      <c r="AC48" s="1500">
        <v>0</v>
      </c>
      <c r="AD48" s="1500">
        <v>0</v>
      </c>
      <c r="AE48" s="1500">
        <v>0</v>
      </c>
      <c r="AF48" s="1500">
        <v>0</v>
      </c>
      <c r="AG48" s="1500">
        <v>0</v>
      </c>
      <c r="AH48" s="1500">
        <v>0</v>
      </c>
      <c r="AI48" s="1500">
        <v>0</v>
      </c>
      <c r="AJ48" s="1500">
        <v>0</v>
      </c>
      <c r="AK48" s="1500">
        <v>0</v>
      </c>
      <c r="AL48" s="1500">
        <v>0</v>
      </c>
      <c r="AM48" s="1500">
        <v>0</v>
      </c>
      <c r="AN48" s="1500"/>
      <c r="AO48" s="1500">
        <v>0</v>
      </c>
      <c r="AP48" s="1500">
        <v>0</v>
      </c>
      <c r="AQ48" s="1500">
        <v>0</v>
      </c>
      <c r="AR48" s="1500">
        <v>0</v>
      </c>
      <c r="AS48" s="1501">
        <v>0.5</v>
      </c>
      <c r="AT48" s="1500">
        <v>0</v>
      </c>
      <c r="AU48" s="1500">
        <v>0</v>
      </c>
      <c r="AV48" s="1500">
        <v>0</v>
      </c>
      <c r="AW48" s="1500">
        <v>0</v>
      </c>
      <c r="AX48" s="1500">
        <v>0</v>
      </c>
      <c r="AY48" s="1500">
        <v>0</v>
      </c>
      <c r="AZ48" s="1500">
        <v>0</v>
      </c>
      <c r="BA48" s="1500">
        <v>0</v>
      </c>
      <c r="BB48" s="1500">
        <v>0</v>
      </c>
      <c r="BC48" s="1500">
        <v>0</v>
      </c>
      <c r="BD48" s="1500">
        <v>0</v>
      </c>
      <c r="BE48" s="1500">
        <v>0</v>
      </c>
      <c r="BF48" s="1500">
        <v>0</v>
      </c>
      <c r="BG48" s="1500">
        <v>0</v>
      </c>
      <c r="BH48" s="1500">
        <v>0</v>
      </c>
      <c r="BI48" s="1500">
        <v>0</v>
      </c>
      <c r="BJ48" s="1500">
        <v>0</v>
      </c>
      <c r="BK48" s="1500">
        <v>0.5</v>
      </c>
      <c r="BL48" s="743">
        <v>0</v>
      </c>
    </row>
    <row r="49" spans="1:64" s="743" customFormat="1" ht="20.100000000000001" hidden="1" customHeight="1">
      <c r="A49" s="1512" t="s">
        <v>193</v>
      </c>
      <c r="B49" s="976" t="s">
        <v>2768</v>
      </c>
      <c r="C49" s="284" t="s">
        <v>53</v>
      </c>
      <c r="D49" s="1500">
        <v>0</v>
      </c>
      <c r="E49" s="1500">
        <v>0</v>
      </c>
      <c r="F49" s="1500">
        <v>0</v>
      </c>
      <c r="G49" s="1502">
        <v>0</v>
      </c>
      <c r="H49" s="1500">
        <v>0</v>
      </c>
      <c r="I49" s="1500">
        <v>0</v>
      </c>
      <c r="J49" s="1500">
        <v>0</v>
      </c>
      <c r="K49" s="1500">
        <v>0</v>
      </c>
      <c r="L49" s="1500">
        <v>0</v>
      </c>
      <c r="M49" s="1500">
        <v>0</v>
      </c>
      <c r="N49" s="1500">
        <v>0</v>
      </c>
      <c r="O49" s="1502">
        <v>0</v>
      </c>
      <c r="P49" s="1500">
        <v>0</v>
      </c>
      <c r="Q49" s="1500">
        <v>0</v>
      </c>
      <c r="R49" s="1500">
        <v>0</v>
      </c>
      <c r="S49" s="1500">
        <v>0</v>
      </c>
      <c r="T49" s="1500">
        <v>0</v>
      </c>
      <c r="U49" s="1500">
        <v>0</v>
      </c>
      <c r="V49" s="1500">
        <v>0</v>
      </c>
      <c r="W49" s="1500">
        <v>0</v>
      </c>
      <c r="X49" s="1500">
        <v>0</v>
      </c>
      <c r="Y49" s="1500">
        <v>0</v>
      </c>
      <c r="Z49" s="1500">
        <v>0</v>
      </c>
      <c r="AA49" s="1500">
        <v>0</v>
      </c>
      <c r="AB49" s="1500">
        <v>0</v>
      </c>
      <c r="AC49" s="1500">
        <v>0</v>
      </c>
      <c r="AD49" s="1500">
        <v>0</v>
      </c>
      <c r="AE49" s="1500">
        <v>0</v>
      </c>
      <c r="AF49" s="1500">
        <v>0</v>
      </c>
      <c r="AG49" s="1500">
        <v>0</v>
      </c>
      <c r="AH49" s="1500">
        <v>0</v>
      </c>
      <c r="AI49" s="1500">
        <v>0</v>
      </c>
      <c r="AJ49" s="1500">
        <v>0</v>
      </c>
      <c r="AK49" s="1500">
        <v>0</v>
      </c>
      <c r="AL49" s="1500">
        <v>0</v>
      </c>
      <c r="AM49" s="1500">
        <v>0</v>
      </c>
      <c r="AN49" s="1500"/>
      <c r="AO49" s="1500">
        <v>0</v>
      </c>
      <c r="AP49" s="1500">
        <v>0</v>
      </c>
      <c r="AQ49" s="1500">
        <v>0</v>
      </c>
      <c r="AR49" s="1500">
        <v>0</v>
      </c>
      <c r="AS49" s="1500"/>
      <c r="AT49" s="1501">
        <v>0</v>
      </c>
      <c r="AU49" s="1500">
        <v>0</v>
      </c>
      <c r="AV49" s="1500">
        <v>0</v>
      </c>
      <c r="AW49" s="1500">
        <v>0</v>
      </c>
      <c r="AX49" s="1500">
        <v>0</v>
      </c>
      <c r="AY49" s="1500">
        <v>0</v>
      </c>
      <c r="AZ49" s="1500">
        <v>0</v>
      </c>
      <c r="BA49" s="1500">
        <v>0</v>
      </c>
      <c r="BB49" s="1500">
        <v>0</v>
      </c>
      <c r="BC49" s="1500">
        <v>0</v>
      </c>
      <c r="BD49" s="1500">
        <v>0</v>
      </c>
      <c r="BE49" s="1500">
        <v>0</v>
      </c>
      <c r="BF49" s="1500">
        <v>0</v>
      </c>
      <c r="BG49" s="1500">
        <v>0</v>
      </c>
      <c r="BH49" s="1500">
        <v>0</v>
      </c>
      <c r="BI49" s="1500">
        <v>0</v>
      </c>
      <c r="BJ49" s="1500">
        <v>0</v>
      </c>
      <c r="BK49" s="1500">
        <v>0</v>
      </c>
      <c r="BL49" s="743">
        <v>0</v>
      </c>
    </row>
    <row r="50" spans="1:64" s="743" customFormat="1" ht="20.100000000000001" customHeight="1">
      <c r="A50" s="1512" t="s">
        <v>193</v>
      </c>
      <c r="B50" s="976" t="s">
        <v>2769</v>
      </c>
      <c r="C50" s="284" t="s">
        <v>54</v>
      </c>
      <c r="D50" s="1500">
        <v>2.5099999999999998</v>
      </c>
      <c r="E50" s="1500">
        <v>0</v>
      </c>
      <c r="F50" s="1500">
        <v>0</v>
      </c>
      <c r="G50" s="1502">
        <v>0</v>
      </c>
      <c r="H50" s="1500">
        <v>0</v>
      </c>
      <c r="I50" s="1500">
        <v>0</v>
      </c>
      <c r="J50" s="1500">
        <v>0</v>
      </c>
      <c r="K50" s="1500">
        <v>0</v>
      </c>
      <c r="L50" s="1500">
        <v>0</v>
      </c>
      <c r="M50" s="1500">
        <v>0</v>
      </c>
      <c r="N50" s="1500">
        <v>0</v>
      </c>
      <c r="O50" s="1502">
        <v>0</v>
      </c>
      <c r="P50" s="1500">
        <v>0</v>
      </c>
      <c r="Q50" s="1500">
        <v>0</v>
      </c>
      <c r="R50" s="1500">
        <v>0</v>
      </c>
      <c r="S50" s="1500">
        <v>0</v>
      </c>
      <c r="T50" s="1500">
        <v>0</v>
      </c>
      <c r="U50" s="1500">
        <v>0</v>
      </c>
      <c r="V50" s="1500">
        <v>0</v>
      </c>
      <c r="W50" s="1500">
        <v>0</v>
      </c>
      <c r="X50" s="1500">
        <v>0</v>
      </c>
      <c r="Y50" s="1500">
        <v>0</v>
      </c>
      <c r="Z50" s="1500">
        <v>0</v>
      </c>
      <c r="AA50" s="1500">
        <v>0</v>
      </c>
      <c r="AB50" s="1500">
        <v>0</v>
      </c>
      <c r="AC50" s="1500">
        <v>0</v>
      </c>
      <c r="AD50" s="1500">
        <v>0</v>
      </c>
      <c r="AE50" s="1500">
        <v>0</v>
      </c>
      <c r="AF50" s="1500">
        <v>0</v>
      </c>
      <c r="AG50" s="1500">
        <v>0</v>
      </c>
      <c r="AH50" s="1500">
        <v>0</v>
      </c>
      <c r="AI50" s="1500">
        <v>0</v>
      </c>
      <c r="AJ50" s="1500">
        <v>0</v>
      </c>
      <c r="AK50" s="1500">
        <v>0</v>
      </c>
      <c r="AL50" s="1500">
        <v>0</v>
      </c>
      <c r="AM50" s="1500">
        <v>0</v>
      </c>
      <c r="AN50" s="1500"/>
      <c r="AO50" s="1500">
        <v>0</v>
      </c>
      <c r="AP50" s="1500">
        <v>0</v>
      </c>
      <c r="AQ50" s="1500">
        <v>0</v>
      </c>
      <c r="AR50" s="1500">
        <v>0</v>
      </c>
      <c r="AS50" s="1500"/>
      <c r="AT50" s="1500">
        <v>0</v>
      </c>
      <c r="AU50" s="1501">
        <v>2.5099999999999998</v>
      </c>
      <c r="AV50" s="1500">
        <v>0</v>
      </c>
      <c r="AW50" s="1500">
        <v>0</v>
      </c>
      <c r="AX50" s="1500">
        <v>0</v>
      </c>
      <c r="AY50" s="1500">
        <v>0</v>
      </c>
      <c r="AZ50" s="1500">
        <v>0</v>
      </c>
      <c r="BA50" s="1500">
        <v>0</v>
      </c>
      <c r="BB50" s="1500">
        <v>0</v>
      </c>
      <c r="BC50" s="1500">
        <v>0</v>
      </c>
      <c r="BD50" s="1500">
        <v>0</v>
      </c>
      <c r="BE50" s="1500">
        <v>0</v>
      </c>
      <c r="BF50" s="1500">
        <v>0</v>
      </c>
      <c r="BG50" s="1500">
        <v>0</v>
      </c>
      <c r="BH50" s="1500">
        <v>0</v>
      </c>
      <c r="BI50" s="1500">
        <v>0</v>
      </c>
      <c r="BJ50" s="1500">
        <v>0</v>
      </c>
      <c r="BK50" s="1500">
        <v>2.5099999999999998</v>
      </c>
      <c r="BL50" s="743">
        <v>4.4400000000000004</v>
      </c>
    </row>
    <row r="51" spans="1:64" s="743" customFormat="1" ht="30" customHeight="1">
      <c r="A51" s="1512" t="s">
        <v>193</v>
      </c>
      <c r="B51" s="286" t="s">
        <v>2775</v>
      </c>
      <c r="C51" s="284" t="s">
        <v>2776</v>
      </c>
      <c r="D51" s="1500">
        <v>0.32</v>
      </c>
      <c r="E51" s="1500">
        <v>0</v>
      </c>
      <c r="F51" s="1500">
        <v>0</v>
      </c>
      <c r="G51" s="1502">
        <v>0</v>
      </c>
      <c r="H51" s="1500">
        <v>0</v>
      </c>
      <c r="I51" s="1500">
        <v>0</v>
      </c>
      <c r="J51" s="1500">
        <v>0</v>
      </c>
      <c r="K51" s="1500">
        <v>0</v>
      </c>
      <c r="L51" s="1500">
        <v>0</v>
      </c>
      <c r="M51" s="1500">
        <v>0</v>
      </c>
      <c r="N51" s="1500">
        <v>0</v>
      </c>
      <c r="O51" s="1502">
        <v>0</v>
      </c>
      <c r="P51" s="1500">
        <v>0</v>
      </c>
      <c r="Q51" s="1500">
        <v>0</v>
      </c>
      <c r="R51" s="1500">
        <v>0</v>
      </c>
      <c r="S51" s="1500">
        <v>0</v>
      </c>
      <c r="T51" s="1500">
        <v>0</v>
      </c>
      <c r="U51" s="1500">
        <v>0</v>
      </c>
      <c r="V51" s="1500">
        <v>0</v>
      </c>
      <c r="W51" s="1500">
        <v>0</v>
      </c>
      <c r="X51" s="1500">
        <v>0</v>
      </c>
      <c r="Y51" s="1500">
        <v>0</v>
      </c>
      <c r="Z51" s="1500">
        <v>0</v>
      </c>
      <c r="AA51" s="1500">
        <v>0</v>
      </c>
      <c r="AB51" s="1500">
        <v>0</v>
      </c>
      <c r="AC51" s="1500">
        <v>0</v>
      </c>
      <c r="AD51" s="1500">
        <v>0</v>
      </c>
      <c r="AE51" s="1500">
        <v>0</v>
      </c>
      <c r="AF51" s="1500">
        <v>0</v>
      </c>
      <c r="AG51" s="1500">
        <v>0</v>
      </c>
      <c r="AH51" s="1500">
        <v>0</v>
      </c>
      <c r="AI51" s="1500">
        <v>0</v>
      </c>
      <c r="AJ51" s="1500">
        <v>0</v>
      </c>
      <c r="AK51" s="1500">
        <v>0</v>
      </c>
      <c r="AL51" s="1500">
        <v>0</v>
      </c>
      <c r="AM51" s="1500">
        <v>0</v>
      </c>
      <c r="AN51" s="1500"/>
      <c r="AO51" s="1500">
        <v>0</v>
      </c>
      <c r="AP51" s="1500">
        <v>0</v>
      </c>
      <c r="AQ51" s="1500">
        <v>0</v>
      </c>
      <c r="AR51" s="1500">
        <v>0</v>
      </c>
      <c r="AS51" s="1500"/>
      <c r="AT51" s="1500">
        <v>0</v>
      </c>
      <c r="AU51" s="1500">
        <v>0</v>
      </c>
      <c r="AV51" s="1501">
        <v>0.32</v>
      </c>
      <c r="AW51" s="1500">
        <v>0</v>
      </c>
      <c r="AX51" s="1500">
        <v>0</v>
      </c>
      <c r="AY51" s="1500">
        <v>0</v>
      </c>
      <c r="AZ51" s="1500">
        <v>0</v>
      </c>
      <c r="BA51" s="1500">
        <v>0</v>
      </c>
      <c r="BB51" s="1500">
        <v>0</v>
      </c>
      <c r="BC51" s="1500">
        <v>0</v>
      </c>
      <c r="BD51" s="1500">
        <v>0</v>
      </c>
      <c r="BE51" s="1500">
        <v>0</v>
      </c>
      <c r="BF51" s="1500">
        <v>0</v>
      </c>
      <c r="BG51" s="1500">
        <v>0</v>
      </c>
      <c r="BH51" s="1500">
        <v>0</v>
      </c>
      <c r="BI51" s="1500">
        <v>0</v>
      </c>
      <c r="BJ51" s="1500">
        <v>0.04</v>
      </c>
      <c r="BK51" s="1500">
        <v>0.36</v>
      </c>
      <c r="BL51" s="743">
        <v>1.68</v>
      </c>
    </row>
    <row r="52" spans="1:64" s="743" customFormat="1" ht="32.1" customHeight="1">
      <c r="A52" s="284" t="s">
        <v>69</v>
      </c>
      <c r="B52" s="286" t="s">
        <v>2774</v>
      </c>
      <c r="C52" s="284" t="s">
        <v>113</v>
      </c>
      <c r="D52" s="1500">
        <v>8.4599999999999991</v>
      </c>
      <c r="E52" s="1500">
        <v>0</v>
      </c>
      <c r="F52" s="1500">
        <v>0</v>
      </c>
      <c r="G52" s="1502">
        <v>0</v>
      </c>
      <c r="H52" s="1500">
        <v>0</v>
      </c>
      <c r="I52" s="1500">
        <v>0</v>
      </c>
      <c r="J52" s="1500">
        <v>0</v>
      </c>
      <c r="K52" s="1500">
        <v>0</v>
      </c>
      <c r="L52" s="1500">
        <v>0</v>
      </c>
      <c r="M52" s="1500">
        <v>0</v>
      </c>
      <c r="N52" s="1500">
        <v>0</v>
      </c>
      <c r="O52" s="1502">
        <v>0</v>
      </c>
      <c r="P52" s="1500">
        <v>0</v>
      </c>
      <c r="Q52" s="1500">
        <v>0</v>
      </c>
      <c r="R52" s="1500">
        <v>0</v>
      </c>
      <c r="S52" s="1500">
        <v>0</v>
      </c>
      <c r="T52" s="1500">
        <v>0</v>
      </c>
      <c r="U52" s="1500">
        <v>0</v>
      </c>
      <c r="V52" s="1500">
        <v>0</v>
      </c>
      <c r="W52" s="1500">
        <v>0</v>
      </c>
      <c r="X52" s="1500">
        <v>0</v>
      </c>
      <c r="Y52" s="1500">
        <v>0</v>
      </c>
      <c r="Z52" s="1500">
        <v>0</v>
      </c>
      <c r="AA52" s="1500">
        <v>0</v>
      </c>
      <c r="AB52" s="1500">
        <v>0</v>
      </c>
      <c r="AC52" s="1500">
        <v>0</v>
      </c>
      <c r="AD52" s="1500">
        <v>0</v>
      </c>
      <c r="AE52" s="1500">
        <v>0</v>
      </c>
      <c r="AF52" s="1500">
        <v>0</v>
      </c>
      <c r="AG52" s="1500">
        <v>0</v>
      </c>
      <c r="AH52" s="1500">
        <v>0</v>
      </c>
      <c r="AI52" s="1500">
        <v>0</v>
      </c>
      <c r="AJ52" s="1500">
        <v>0</v>
      </c>
      <c r="AK52" s="1500">
        <v>0</v>
      </c>
      <c r="AL52" s="1500">
        <v>0</v>
      </c>
      <c r="AM52" s="1500">
        <v>0</v>
      </c>
      <c r="AN52" s="1500"/>
      <c r="AO52" s="1500">
        <v>0</v>
      </c>
      <c r="AP52" s="1500">
        <v>0</v>
      </c>
      <c r="AQ52" s="1500">
        <v>0</v>
      </c>
      <c r="AR52" s="1500">
        <v>0</v>
      </c>
      <c r="AS52" s="1500"/>
      <c r="AT52" s="1500">
        <v>0</v>
      </c>
      <c r="AU52" s="1500">
        <v>0</v>
      </c>
      <c r="AV52" s="1500">
        <v>0</v>
      </c>
      <c r="AW52" s="1501">
        <v>8.4599999999999991</v>
      </c>
      <c r="AX52" s="1500">
        <v>0</v>
      </c>
      <c r="AY52" s="1500">
        <v>0</v>
      </c>
      <c r="AZ52" s="1500">
        <v>0</v>
      </c>
      <c r="BA52" s="1500">
        <v>0</v>
      </c>
      <c r="BB52" s="1500">
        <v>0</v>
      </c>
      <c r="BC52" s="1500">
        <v>0</v>
      </c>
      <c r="BD52" s="1500">
        <v>0</v>
      </c>
      <c r="BE52" s="1500">
        <v>0</v>
      </c>
      <c r="BF52" s="1500">
        <v>0</v>
      </c>
      <c r="BG52" s="1500">
        <v>0</v>
      </c>
      <c r="BH52" s="1500">
        <v>0</v>
      </c>
      <c r="BI52" s="1500">
        <v>0</v>
      </c>
      <c r="BJ52" s="1500">
        <v>0</v>
      </c>
      <c r="BK52" s="1500">
        <v>8.4599999999999991</v>
      </c>
      <c r="BL52" s="743">
        <v>8.27</v>
      </c>
    </row>
    <row r="53" spans="1:64" s="743" customFormat="1" ht="20.100000000000001" customHeight="1">
      <c r="A53" s="284" t="s">
        <v>70</v>
      </c>
      <c r="B53" s="286" t="s">
        <v>107</v>
      </c>
      <c r="C53" s="284" t="s">
        <v>59</v>
      </c>
      <c r="D53" s="1500">
        <v>606.87</v>
      </c>
      <c r="E53" s="1500">
        <v>0</v>
      </c>
      <c r="F53" s="1500">
        <v>0</v>
      </c>
      <c r="G53" s="1502">
        <v>0</v>
      </c>
      <c r="H53" s="1500">
        <v>0</v>
      </c>
      <c r="I53" s="1500">
        <v>0</v>
      </c>
      <c r="J53" s="1500">
        <v>0</v>
      </c>
      <c r="K53" s="1500">
        <v>0</v>
      </c>
      <c r="L53" s="1500">
        <v>0</v>
      </c>
      <c r="M53" s="1500">
        <v>0</v>
      </c>
      <c r="N53" s="1500">
        <v>0</v>
      </c>
      <c r="O53" s="1502">
        <v>0</v>
      </c>
      <c r="P53" s="1500">
        <v>0</v>
      </c>
      <c r="Q53" s="1500">
        <v>0</v>
      </c>
      <c r="R53" s="1500">
        <v>0</v>
      </c>
      <c r="S53" s="1500">
        <v>0</v>
      </c>
      <c r="T53" s="1500">
        <v>0</v>
      </c>
      <c r="U53" s="1500">
        <v>1.482</v>
      </c>
      <c r="V53" s="1500">
        <v>0</v>
      </c>
      <c r="W53" s="1500">
        <v>0.02</v>
      </c>
      <c r="X53" s="1500">
        <v>0</v>
      </c>
      <c r="Y53" s="1500">
        <v>0.78</v>
      </c>
      <c r="Z53" s="1500">
        <v>0</v>
      </c>
      <c r="AA53" s="1500">
        <v>0</v>
      </c>
      <c r="AB53" s="1500">
        <v>0</v>
      </c>
      <c r="AC53" s="1500">
        <v>0.68199999999999994</v>
      </c>
      <c r="AD53" s="1500">
        <v>0.51</v>
      </c>
      <c r="AE53" s="1500">
        <v>0</v>
      </c>
      <c r="AF53" s="1500">
        <v>0</v>
      </c>
      <c r="AG53" s="1500">
        <v>0</v>
      </c>
      <c r="AH53" s="1500">
        <v>0</v>
      </c>
      <c r="AI53" s="1500">
        <v>0</v>
      </c>
      <c r="AJ53" s="1500">
        <v>0</v>
      </c>
      <c r="AK53" s="1500">
        <v>0</v>
      </c>
      <c r="AL53" s="1500">
        <v>0.10199999999999999</v>
      </c>
      <c r="AM53" s="1500">
        <v>0</v>
      </c>
      <c r="AN53" s="1500"/>
      <c r="AO53" s="1500">
        <v>7.0000000000000007E-2</v>
      </c>
      <c r="AP53" s="1500">
        <v>0</v>
      </c>
      <c r="AQ53" s="1500">
        <v>0</v>
      </c>
      <c r="AR53" s="1500">
        <v>0</v>
      </c>
      <c r="AS53" s="1500"/>
      <c r="AT53" s="1500">
        <v>0</v>
      </c>
      <c r="AU53" s="1500">
        <v>0</v>
      </c>
      <c r="AV53" s="1500">
        <v>0</v>
      </c>
      <c r="AW53" s="1500">
        <v>0</v>
      </c>
      <c r="AX53" s="1501">
        <v>605.38800000000003</v>
      </c>
      <c r="AY53" s="1500">
        <v>0</v>
      </c>
      <c r="AZ53" s="1500">
        <v>0</v>
      </c>
      <c r="BA53" s="1500">
        <v>0</v>
      </c>
      <c r="BB53" s="1500">
        <v>0</v>
      </c>
      <c r="BC53" s="1500">
        <v>0</v>
      </c>
      <c r="BD53" s="1500">
        <v>0</v>
      </c>
      <c r="BE53" s="1500">
        <v>0</v>
      </c>
      <c r="BF53" s="1500">
        <v>0</v>
      </c>
      <c r="BG53" s="1500">
        <v>0</v>
      </c>
      <c r="BH53" s="1500">
        <v>0</v>
      </c>
      <c r="BI53" s="1500">
        <v>1.482</v>
      </c>
      <c r="BJ53" s="1500">
        <v>14.018000000000002</v>
      </c>
      <c r="BK53" s="1500">
        <v>620.88800000000003</v>
      </c>
      <c r="BL53" s="743">
        <v>999.8040000000002</v>
      </c>
    </row>
    <row r="54" spans="1:64" s="743" customFormat="1" ht="21" customHeight="1">
      <c r="A54" s="284" t="s">
        <v>71</v>
      </c>
      <c r="B54" s="286" t="s">
        <v>108</v>
      </c>
      <c r="C54" s="284" t="s">
        <v>57</v>
      </c>
      <c r="D54" s="1500">
        <v>93.449999999999989</v>
      </c>
      <c r="E54" s="1500">
        <v>0</v>
      </c>
      <c r="F54" s="1500">
        <v>0</v>
      </c>
      <c r="G54" s="1502">
        <v>0</v>
      </c>
      <c r="H54" s="1500">
        <v>0</v>
      </c>
      <c r="I54" s="1500">
        <v>0</v>
      </c>
      <c r="J54" s="1500">
        <v>0</v>
      </c>
      <c r="K54" s="1500">
        <v>0</v>
      </c>
      <c r="L54" s="1500">
        <v>0</v>
      </c>
      <c r="M54" s="1500">
        <v>0</v>
      </c>
      <c r="N54" s="1500">
        <v>0</v>
      </c>
      <c r="O54" s="1502">
        <v>0</v>
      </c>
      <c r="P54" s="1500">
        <v>0</v>
      </c>
      <c r="Q54" s="1500">
        <v>0</v>
      </c>
      <c r="R54" s="1500">
        <v>0</v>
      </c>
      <c r="S54" s="1500">
        <v>0</v>
      </c>
      <c r="T54" s="1500">
        <v>0</v>
      </c>
      <c r="U54" s="1500">
        <v>0.88944000000000001</v>
      </c>
      <c r="V54" s="1500">
        <v>0</v>
      </c>
      <c r="W54" s="1500">
        <v>0</v>
      </c>
      <c r="X54" s="1500">
        <v>0</v>
      </c>
      <c r="Y54" s="1500">
        <v>0</v>
      </c>
      <c r="Z54" s="1500">
        <v>0</v>
      </c>
      <c r="AA54" s="1500">
        <v>0</v>
      </c>
      <c r="AB54" s="1500">
        <v>0</v>
      </c>
      <c r="AC54" s="1500">
        <v>0.88944000000000001</v>
      </c>
      <c r="AD54" s="1500">
        <v>0.83943999999999996</v>
      </c>
      <c r="AE54" s="1500">
        <v>0</v>
      </c>
      <c r="AF54" s="1500">
        <v>0</v>
      </c>
      <c r="AG54" s="1500">
        <v>0</v>
      </c>
      <c r="AH54" s="1500">
        <v>0</v>
      </c>
      <c r="AI54" s="1500">
        <v>0</v>
      </c>
      <c r="AJ54" s="1500">
        <v>0</v>
      </c>
      <c r="AK54" s="1500">
        <v>0</v>
      </c>
      <c r="AL54" s="1500">
        <v>0.04</v>
      </c>
      <c r="AM54" s="1500">
        <v>0</v>
      </c>
      <c r="AN54" s="1500"/>
      <c r="AO54" s="1500">
        <v>0</v>
      </c>
      <c r="AP54" s="1500">
        <v>0</v>
      </c>
      <c r="AQ54" s="1500">
        <v>0</v>
      </c>
      <c r="AR54" s="1500">
        <v>0.01</v>
      </c>
      <c r="AS54" s="1500"/>
      <c r="AT54" s="1500">
        <v>0</v>
      </c>
      <c r="AU54" s="1500">
        <v>0</v>
      </c>
      <c r="AV54" s="1500">
        <v>0</v>
      </c>
      <c r="AW54" s="1500">
        <v>0</v>
      </c>
      <c r="AX54" s="1500">
        <v>0</v>
      </c>
      <c r="AY54" s="1501">
        <v>92.560559999999995</v>
      </c>
      <c r="AZ54" s="1500">
        <v>0</v>
      </c>
      <c r="BA54" s="1500">
        <v>0</v>
      </c>
      <c r="BB54" s="1500">
        <v>0</v>
      </c>
      <c r="BC54" s="1500">
        <v>0</v>
      </c>
      <c r="BD54" s="1500">
        <v>0</v>
      </c>
      <c r="BE54" s="1500">
        <v>0</v>
      </c>
      <c r="BF54" s="1500">
        <v>0</v>
      </c>
      <c r="BG54" s="1500">
        <v>0</v>
      </c>
      <c r="BH54" s="1500">
        <v>0</v>
      </c>
      <c r="BI54" s="1500">
        <v>0.88944000000000001</v>
      </c>
      <c r="BJ54" s="1500">
        <v>11.840559999999998</v>
      </c>
      <c r="BK54" s="1500">
        <v>105.29055999999999</v>
      </c>
      <c r="BL54" s="743">
        <v>197.05399999999997</v>
      </c>
    </row>
    <row r="55" spans="1:64" s="743" customFormat="1" ht="21" customHeight="1">
      <c r="A55" s="284" t="s">
        <v>74</v>
      </c>
      <c r="B55" s="286" t="s">
        <v>95</v>
      </c>
      <c r="C55" s="284" t="s">
        <v>24</v>
      </c>
      <c r="D55" s="1500">
        <v>9.5400000000000009</v>
      </c>
      <c r="E55" s="1500">
        <v>0</v>
      </c>
      <c r="F55" s="1500">
        <v>0</v>
      </c>
      <c r="G55" s="1502">
        <v>0</v>
      </c>
      <c r="H55" s="1500">
        <v>0</v>
      </c>
      <c r="I55" s="1500">
        <v>0</v>
      </c>
      <c r="J55" s="1500">
        <v>0</v>
      </c>
      <c r="K55" s="1500">
        <v>0</v>
      </c>
      <c r="L55" s="1500">
        <v>0</v>
      </c>
      <c r="M55" s="1500">
        <v>0</v>
      </c>
      <c r="N55" s="1500">
        <v>0</v>
      </c>
      <c r="O55" s="1502">
        <v>0</v>
      </c>
      <c r="P55" s="1500">
        <v>0</v>
      </c>
      <c r="Q55" s="1500">
        <v>0</v>
      </c>
      <c r="R55" s="1500">
        <v>0</v>
      </c>
      <c r="S55" s="1500">
        <v>0</v>
      </c>
      <c r="T55" s="1500">
        <v>0</v>
      </c>
      <c r="U55" s="1500">
        <v>0.36982000000000004</v>
      </c>
      <c r="V55" s="1500">
        <v>0</v>
      </c>
      <c r="W55" s="1500">
        <v>0.15000000000000002</v>
      </c>
      <c r="X55" s="1500">
        <v>0</v>
      </c>
      <c r="Y55" s="1500">
        <v>0</v>
      </c>
      <c r="Z55" s="1500">
        <v>0</v>
      </c>
      <c r="AA55" s="1500">
        <v>0</v>
      </c>
      <c r="AB55" s="1500">
        <v>0</v>
      </c>
      <c r="AC55" s="1500">
        <v>0.18982000000000002</v>
      </c>
      <c r="AD55" s="1500">
        <v>0.18982000000000002</v>
      </c>
      <c r="AE55" s="1500">
        <v>0</v>
      </c>
      <c r="AF55" s="1500">
        <v>0</v>
      </c>
      <c r="AG55" s="1500">
        <v>0</v>
      </c>
      <c r="AH55" s="1500">
        <v>0</v>
      </c>
      <c r="AI55" s="1500">
        <v>0</v>
      </c>
      <c r="AJ55" s="1500">
        <v>0</v>
      </c>
      <c r="AK55" s="1500">
        <v>0</v>
      </c>
      <c r="AL55" s="1500">
        <v>0</v>
      </c>
      <c r="AM55" s="1500">
        <v>0</v>
      </c>
      <c r="AN55" s="1500"/>
      <c r="AO55" s="1500">
        <v>0</v>
      </c>
      <c r="AP55" s="1500">
        <v>0</v>
      </c>
      <c r="AQ55" s="1500">
        <v>0</v>
      </c>
      <c r="AR55" s="1500">
        <v>0</v>
      </c>
      <c r="AS55" s="1500"/>
      <c r="AT55" s="1500">
        <v>0</v>
      </c>
      <c r="AU55" s="1500">
        <v>0</v>
      </c>
      <c r="AV55" s="1500">
        <v>0</v>
      </c>
      <c r="AW55" s="1500">
        <v>0</v>
      </c>
      <c r="AX55" s="1500">
        <v>0</v>
      </c>
      <c r="AY55" s="1500">
        <v>0.03</v>
      </c>
      <c r="AZ55" s="1501">
        <v>9.1701800000000002</v>
      </c>
      <c r="BA55" s="1500">
        <v>0</v>
      </c>
      <c r="BB55" s="1500">
        <v>0</v>
      </c>
      <c r="BC55" s="1500">
        <v>0</v>
      </c>
      <c r="BD55" s="1500">
        <v>0</v>
      </c>
      <c r="BE55" s="1500">
        <v>0</v>
      </c>
      <c r="BF55" s="1500">
        <v>0</v>
      </c>
      <c r="BG55" s="1500">
        <v>0</v>
      </c>
      <c r="BH55" s="1500">
        <v>0</v>
      </c>
      <c r="BI55" s="1500">
        <v>0.36982000000000004</v>
      </c>
      <c r="BJ55" s="1500">
        <v>1.7999999999995797E-4</v>
      </c>
      <c r="BK55" s="1500">
        <v>9.5401800000000012</v>
      </c>
      <c r="BL55" s="743">
        <v>18.930000000000003</v>
      </c>
    </row>
    <row r="56" spans="1:64" s="743" customFormat="1" ht="27" hidden="1" customHeight="1">
      <c r="A56" s="284" t="s">
        <v>100</v>
      </c>
      <c r="B56" s="286" t="s">
        <v>109</v>
      </c>
      <c r="C56" s="284" t="s">
        <v>110</v>
      </c>
      <c r="D56" s="1500"/>
      <c r="E56" s="1500"/>
      <c r="F56" s="1500"/>
      <c r="G56" s="1502"/>
      <c r="H56" s="1500"/>
      <c r="I56" s="1500"/>
      <c r="J56" s="1500"/>
      <c r="K56" s="1500"/>
      <c r="L56" s="1500"/>
      <c r="M56" s="1500"/>
      <c r="N56" s="1500"/>
      <c r="O56" s="1502"/>
      <c r="P56" s="1500"/>
      <c r="Q56" s="1500"/>
      <c r="R56" s="1500"/>
      <c r="S56" s="1500"/>
      <c r="T56" s="1500"/>
      <c r="U56" s="1500"/>
      <c r="V56" s="1500"/>
      <c r="W56" s="1500"/>
      <c r="X56" s="1500">
        <v>0</v>
      </c>
      <c r="Y56" s="1500"/>
      <c r="Z56" s="1500"/>
      <c r="AA56" s="1500"/>
      <c r="AB56" s="1500"/>
      <c r="AC56" s="1500"/>
      <c r="AD56" s="1500"/>
      <c r="AE56" s="1500"/>
      <c r="AF56" s="1500"/>
      <c r="AG56" s="1500"/>
      <c r="AH56" s="1500"/>
      <c r="AI56" s="1500"/>
      <c r="AJ56" s="1500"/>
      <c r="AK56" s="1500"/>
      <c r="AL56" s="1500"/>
      <c r="AM56" s="1500"/>
      <c r="AN56" s="1500"/>
      <c r="AO56" s="1500"/>
      <c r="AP56" s="1500"/>
      <c r="AQ56" s="1500"/>
      <c r="AR56" s="1500"/>
      <c r="AS56" s="1500"/>
      <c r="AT56" s="1500"/>
      <c r="AU56" s="1500"/>
      <c r="AV56" s="1500"/>
      <c r="AW56" s="1500"/>
      <c r="AX56" s="1500"/>
      <c r="AY56" s="1500"/>
      <c r="AZ56" s="1500"/>
      <c r="BA56" s="1500"/>
      <c r="BB56" s="1500"/>
      <c r="BC56" s="1500"/>
      <c r="BD56" s="1500"/>
      <c r="BE56" s="1500"/>
      <c r="BF56" s="1500"/>
      <c r="BG56" s="1500"/>
      <c r="BH56" s="1500"/>
      <c r="BI56" s="1500"/>
      <c r="BJ56" s="1500"/>
      <c r="BK56" s="1500"/>
    </row>
    <row r="57" spans="1:64" s="743" customFormat="1" ht="30" hidden="1" customHeight="1">
      <c r="A57" s="284" t="s">
        <v>101</v>
      </c>
      <c r="B57" s="976" t="s">
        <v>133</v>
      </c>
      <c r="C57" s="284" t="s">
        <v>137</v>
      </c>
      <c r="D57" s="1500"/>
      <c r="E57" s="1500"/>
      <c r="F57" s="1500"/>
      <c r="G57" s="1502"/>
      <c r="H57" s="1500"/>
      <c r="I57" s="1500"/>
      <c r="J57" s="1500"/>
      <c r="K57" s="1500"/>
      <c r="L57" s="1500"/>
      <c r="M57" s="1500"/>
      <c r="N57" s="1500"/>
      <c r="O57" s="1502"/>
      <c r="P57" s="1500"/>
      <c r="Q57" s="1500"/>
      <c r="R57" s="1500"/>
      <c r="S57" s="1500"/>
      <c r="T57" s="1500"/>
      <c r="U57" s="1500"/>
      <c r="V57" s="1500"/>
      <c r="W57" s="1500"/>
      <c r="X57" s="1500">
        <v>0</v>
      </c>
      <c r="Y57" s="1500"/>
      <c r="Z57" s="1500"/>
      <c r="AA57" s="1500"/>
      <c r="AB57" s="1500"/>
      <c r="AC57" s="1500"/>
      <c r="AD57" s="1500"/>
      <c r="AE57" s="1500"/>
      <c r="AF57" s="1500"/>
      <c r="AG57" s="1500"/>
      <c r="AH57" s="1500"/>
      <c r="AI57" s="1500"/>
      <c r="AJ57" s="1500"/>
      <c r="AK57" s="1500"/>
      <c r="AL57" s="1500"/>
      <c r="AM57" s="1500"/>
      <c r="AN57" s="1500"/>
      <c r="AO57" s="1500"/>
      <c r="AP57" s="1500"/>
      <c r="AQ57" s="1500"/>
      <c r="AR57" s="1500"/>
      <c r="AS57" s="1500"/>
      <c r="AT57" s="1500"/>
      <c r="AU57" s="1500"/>
      <c r="AV57" s="1500"/>
      <c r="AW57" s="1500"/>
      <c r="AX57" s="1500"/>
      <c r="AY57" s="1500"/>
      <c r="AZ57" s="1500"/>
      <c r="BA57" s="1500"/>
      <c r="BB57" s="1500"/>
      <c r="BC57" s="1500"/>
      <c r="BD57" s="1500"/>
      <c r="BE57" s="1500"/>
      <c r="BF57" s="1500"/>
      <c r="BG57" s="1500"/>
      <c r="BH57" s="1500"/>
      <c r="BI57" s="1500"/>
      <c r="BJ57" s="1500"/>
      <c r="BK57" s="1500">
        <v>0</v>
      </c>
      <c r="BL57" s="743">
        <v>0.02</v>
      </c>
    </row>
    <row r="58" spans="1:64" s="743" customFormat="1" ht="27" hidden="1" customHeight="1">
      <c r="A58" s="284" t="s">
        <v>102</v>
      </c>
      <c r="B58" s="976" t="s">
        <v>136</v>
      </c>
      <c r="C58" s="284" t="s">
        <v>138</v>
      </c>
      <c r="D58" s="1500"/>
      <c r="E58" s="1500"/>
      <c r="F58" s="1500"/>
      <c r="G58" s="1502"/>
      <c r="H58" s="1500"/>
      <c r="I58" s="1500"/>
      <c r="J58" s="1500"/>
      <c r="K58" s="1500"/>
      <c r="L58" s="1500"/>
      <c r="M58" s="1500"/>
      <c r="N58" s="1500"/>
      <c r="O58" s="1502"/>
      <c r="P58" s="1500"/>
      <c r="Q58" s="1500"/>
      <c r="R58" s="1500"/>
      <c r="S58" s="1500"/>
      <c r="T58" s="1500"/>
      <c r="U58" s="1500">
        <v>0</v>
      </c>
      <c r="V58" s="1500"/>
      <c r="W58" s="1500"/>
      <c r="X58" s="1500">
        <v>0</v>
      </c>
      <c r="Y58" s="1500"/>
      <c r="Z58" s="1500"/>
      <c r="AA58" s="1500"/>
      <c r="AB58" s="1500"/>
      <c r="AC58" s="1500">
        <v>0</v>
      </c>
      <c r="AD58" s="1500"/>
      <c r="AE58" s="1500"/>
      <c r="AF58" s="1500">
        <v>0</v>
      </c>
      <c r="AG58" s="1500">
        <v>0</v>
      </c>
      <c r="AH58" s="1500">
        <v>0</v>
      </c>
      <c r="AI58" s="1500">
        <v>0</v>
      </c>
      <c r="AJ58" s="1500">
        <v>0</v>
      </c>
      <c r="AK58" s="1500">
        <v>0</v>
      </c>
      <c r="AL58" s="1500">
        <v>0</v>
      </c>
      <c r="AM58" s="1500">
        <v>0</v>
      </c>
      <c r="AN58" s="1500"/>
      <c r="AO58" s="1500">
        <v>0</v>
      </c>
      <c r="AP58" s="1500">
        <v>0</v>
      </c>
      <c r="AQ58" s="1500">
        <v>0</v>
      </c>
      <c r="AR58" s="1500">
        <v>0</v>
      </c>
      <c r="AS58" s="1500"/>
      <c r="AT58" s="1500">
        <v>0</v>
      </c>
      <c r="AU58" s="1500">
        <v>0</v>
      </c>
      <c r="AV58" s="1500">
        <v>0</v>
      </c>
      <c r="AW58" s="1500">
        <v>0</v>
      </c>
      <c r="AX58" s="1500">
        <v>0</v>
      </c>
      <c r="AY58" s="1500">
        <v>0</v>
      </c>
      <c r="AZ58" s="1500">
        <v>0</v>
      </c>
      <c r="BA58" s="1500">
        <v>0</v>
      </c>
      <c r="BB58" s="1500">
        <v>0</v>
      </c>
      <c r="BC58" s="1500">
        <v>0</v>
      </c>
      <c r="BD58" s="1500">
        <v>0</v>
      </c>
      <c r="BE58" s="1500">
        <v>0</v>
      </c>
      <c r="BF58" s="1500">
        <v>0</v>
      </c>
      <c r="BG58" s="1500">
        <v>0</v>
      </c>
      <c r="BH58" s="1500">
        <v>0</v>
      </c>
      <c r="BI58" s="1500"/>
      <c r="BJ58" s="1500"/>
      <c r="BK58" s="1500">
        <v>0.01</v>
      </c>
      <c r="BL58" s="743">
        <v>0.86</v>
      </c>
    </row>
    <row r="59" spans="1:64" s="743" customFormat="1" ht="23.45" customHeight="1">
      <c r="A59" s="284" t="s">
        <v>75</v>
      </c>
      <c r="B59" s="286" t="s">
        <v>2777</v>
      </c>
      <c r="C59" s="284" t="s">
        <v>39</v>
      </c>
      <c r="D59" s="1500">
        <v>3.3499999999999996</v>
      </c>
      <c r="E59" s="1500">
        <v>0</v>
      </c>
      <c r="F59" s="1500">
        <v>0</v>
      </c>
      <c r="G59" s="1502">
        <v>0</v>
      </c>
      <c r="H59" s="1500">
        <v>0</v>
      </c>
      <c r="I59" s="1500">
        <v>0</v>
      </c>
      <c r="J59" s="1500">
        <v>0</v>
      </c>
      <c r="K59" s="1500">
        <v>0</v>
      </c>
      <c r="L59" s="1500">
        <v>0</v>
      </c>
      <c r="M59" s="1500">
        <v>0</v>
      </c>
      <c r="N59" s="1500">
        <v>0</v>
      </c>
      <c r="O59" s="1502">
        <v>0</v>
      </c>
      <c r="P59" s="1500">
        <v>0</v>
      </c>
      <c r="Q59" s="1500">
        <v>0</v>
      </c>
      <c r="R59" s="1500">
        <v>0</v>
      </c>
      <c r="S59" s="1500">
        <v>0</v>
      </c>
      <c r="T59" s="1500">
        <v>0</v>
      </c>
      <c r="U59" s="1500">
        <v>0.11</v>
      </c>
      <c r="V59" s="1500">
        <v>0</v>
      </c>
      <c r="W59" s="1500">
        <v>0</v>
      </c>
      <c r="X59" s="1500">
        <v>0</v>
      </c>
      <c r="Y59" s="1500">
        <v>0</v>
      </c>
      <c r="Z59" s="1500">
        <v>0</v>
      </c>
      <c r="AA59" s="1500">
        <v>0</v>
      </c>
      <c r="AB59" s="1500">
        <v>0</v>
      </c>
      <c r="AC59" s="1500">
        <v>0.11</v>
      </c>
      <c r="AD59" s="1500">
        <v>0.11</v>
      </c>
      <c r="AE59" s="1500">
        <v>0</v>
      </c>
      <c r="AF59" s="1500">
        <v>0</v>
      </c>
      <c r="AG59" s="1500">
        <v>0</v>
      </c>
      <c r="AH59" s="1500">
        <v>0</v>
      </c>
      <c r="AI59" s="1500">
        <v>0</v>
      </c>
      <c r="AJ59" s="1500">
        <v>0</v>
      </c>
      <c r="AK59" s="1500">
        <v>0</v>
      </c>
      <c r="AL59" s="1500">
        <v>0</v>
      </c>
      <c r="AM59" s="1500">
        <v>0</v>
      </c>
      <c r="AN59" s="1500"/>
      <c r="AO59" s="1500">
        <v>0</v>
      </c>
      <c r="AP59" s="1500">
        <v>0</v>
      </c>
      <c r="AQ59" s="1500">
        <v>0</v>
      </c>
      <c r="AR59" s="1500">
        <v>0</v>
      </c>
      <c r="AS59" s="1500"/>
      <c r="AT59" s="1500">
        <v>0</v>
      </c>
      <c r="AU59" s="1500">
        <v>0</v>
      </c>
      <c r="AV59" s="1500">
        <v>0</v>
      </c>
      <c r="AW59" s="1500">
        <v>0</v>
      </c>
      <c r="AX59" s="1500">
        <v>0</v>
      </c>
      <c r="AY59" s="1500">
        <v>0</v>
      </c>
      <c r="AZ59" s="1500">
        <v>0</v>
      </c>
      <c r="BA59" s="1500">
        <v>0</v>
      </c>
      <c r="BB59" s="1500">
        <v>0</v>
      </c>
      <c r="BC59" s="1500">
        <v>0</v>
      </c>
      <c r="BD59" s="1501">
        <v>3.2399999999999998</v>
      </c>
      <c r="BE59" s="1500">
        <v>0</v>
      </c>
      <c r="BF59" s="1500">
        <v>0</v>
      </c>
      <c r="BG59" s="1500">
        <v>0</v>
      </c>
      <c r="BH59" s="1500">
        <v>0</v>
      </c>
      <c r="BI59" s="1500">
        <v>0.11</v>
      </c>
      <c r="BJ59" s="1500">
        <v>-0.11</v>
      </c>
      <c r="BK59" s="1500">
        <v>3.2399999999999998</v>
      </c>
      <c r="BL59" s="743">
        <v>22.64</v>
      </c>
    </row>
    <row r="60" spans="1:64" s="743" customFormat="1" ht="33" customHeight="1">
      <c r="A60" s="1512" t="s">
        <v>76</v>
      </c>
      <c r="B60" s="286" t="s">
        <v>2778</v>
      </c>
      <c r="C60" s="284" t="s">
        <v>42</v>
      </c>
      <c r="D60" s="1500">
        <v>1202.03</v>
      </c>
      <c r="E60" s="1500">
        <v>0</v>
      </c>
      <c r="F60" s="1500">
        <v>0</v>
      </c>
      <c r="G60" s="1502">
        <v>0</v>
      </c>
      <c r="H60" s="1500">
        <v>0</v>
      </c>
      <c r="I60" s="1500">
        <v>0</v>
      </c>
      <c r="J60" s="1500">
        <v>0</v>
      </c>
      <c r="K60" s="1500">
        <v>0</v>
      </c>
      <c r="L60" s="1500">
        <v>0</v>
      </c>
      <c r="M60" s="1500">
        <v>0</v>
      </c>
      <c r="N60" s="1500">
        <v>0</v>
      </c>
      <c r="O60" s="1502">
        <v>0</v>
      </c>
      <c r="P60" s="1500">
        <v>0</v>
      </c>
      <c r="Q60" s="1500">
        <v>0</v>
      </c>
      <c r="R60" s="1500">
        <v>0</v>
      </c>
      <c r="S60" s="1500">
        <v>0</v>
      </c>
      <c r="T60" s="1500">
        <v>0</v>
      </c>
      <c r="U60" s="1500">
        <v>3.0800000000000005</v>
      </c>
      <c r="V60" s="1500">
        <v>0</v>
      </c>
      <c r="W60" s="1500">
        <v>0</v>
      </c>
      <c r="X60" s="1500">
        <v>0</v>
      </c>
      <c r="Y60" s="1500">
        <v>0</v>
      </c>
      <c r="Z60" s="1500">
        <v>0</v>
      </c>
      <c r="AA60" s="1500">
        <v>0</v>
      </c>
      <c r="AB60" s="1500">
        <v>0</v>
      </c>
      <c r="AC60" s="1500">
        <v>3.0800000000000005</v>
      </c>
      <c r="AD60" s="1500">
        <v>2.9400000000000004</v>
      </c>
      <c r="AE60" s="1500">
        <v>0</v>
      </c>
      <c r="AF60" s="1500">
        <v>0</v>
      </c>
      <c r="AG60" s="1500">
        <v>0</v>
      </c>
      <c r="AH60" s="1500">
        <v>0</v>
      </c>
      <c r="AI60" s="1500">
        <v>0</v>
      </c>
      <c r="AJ60" s="1500">
        <v>0</v>
      </c>
      <c r="AK60" s="1500">
        <v>0</v>
      </c>
      <c r="AL60" s="1500">
        <v>0.14000000000000001</v>
      </c>
      <c r="AM60" s="1500">
        <v>0</v>
      </c>
      <c r="AN60" s="1500"/>
      <c r="AO60" s="1500">
        <v>0</v>
      </c>
      <c r="AP60" s="1500">
        <v>0</v>
      </c>
      <c r="AQ60" s="1500">
        <v>0</v>
      </c>
      <c r="AR60" s="1500">
        <v>0</v>
      </c>
      <c r="AS60" s="1500"/>
      <c r="AT60" s="1500">
        <v>0</v>
      </c>
      <c r="AU60" s="1500">
        <v>0</v>
      </c>
      <c r="AV60" s="1500">
        <v>0</v>
      </c>
      <c r="AW60" s="1500">
        <v>0</v>
      </c>
      <c r="AX60" s="1500">
        <v>0</v>
      </c>
      <c r="AY60" s="1500">
        <v>0</v>
      </c>
      <c r="AZ60" s="1500">
        <v>0</v>
      </c>
      <c r="BA60" s="1500">
        <v>0</v>
      </c>
      <c r="BB60" s="1500">
        <v>0</v>
      </c>
      <c r="BC60" s="1500">
        <v>0</v>
      </c>
      <c r="BD60" s="1500">
        <v>0</v>
      </c>
      <c r="BE60" s="1501">
        <v>1198.95</v>
      </c>
      <c r="BF60" s="1500">
        <v>0</v>
      </c>
      <c r="BG60" s="1500">
        <v>0</v>
      </c>
      <c r="BH60" s="1500">
        <v>0</v>
      </c>
      <c r="BI60" s="1500">
        <v>3.0800000000000005</v>
      </c>
      <c r="BJ60" s="1500">
        <v>-3.0800000000000005</v>
      </c>
      <c r="BK60" s="1500">
        <v>1198.95</v>
      </c>
      <c r="BL60" s="743">
        <v>1402.1299999999999</v>
      </c>
    </row>
    <row r="61" spans="1:64" s="743" customFormat="1" ht="36.950000000000003" customHeight="1">
      <c r="A61" s="1512" t="s">
        <v>82</v>
      </c>
      <c r="B61" s="286" t="s">
        <v>2779</v>
      </c>
      <c r="C61" s="284" t="s">
        <v>41</v>
      </c>
      <c r="D61" s="1500">
        <v>2.14</v>
      </c>
      <c r="E61" s="1500">
        <v>0</v>
      </c>
      <c r="F61" s="1500">
        <v>0</v>
      </c>
      <c r="G61" s="1502">
        <v>0</v>
      </c>
      <c r="H61" s="1500">
        <v>0</v>
      </c>
      <c r="I61" s="1500">
        <v>0</v>
      </c>
      <c r="J61" s="1500">
        <v>0</v>
      </c>
      <c r="K61" s="1500">
        <v>0</v>
      </c>
      <c r="L61" s="1500">
        <v>0</v>
      </c>
      <c r="M61" s="1500">
        <v>0</v>
      </c>
      <c r="N61" s="1500">
        <v>0</v>
      </c>
      <c r="O61" s="1502">
        <v>0</v>
      </c>
      <c r="P61" s="1500">
        <v>0</v>
      </c>
      <c r="Q61" s="1500">
        <v>0</v>
      </c>
      <c r="R61" s="1500">
        <v>0</v>
      </c>
      <c r="S61" s="1500">
        <v>0</v>
      </c>
      <c r="T61" s="1500">
        <v>0</v>
      </c>
      <c r="U61" s="1500">
        <v>0</v>
      </c>
      <c r="V61" s="1500">
        <v>0</v>
      </c>
      <c r="W61" s="1500">
        <v>0</v>
      </c>
      <c r="X61" s="1500">
        <v>0</v>
      </c>
      <c r="Y61" s="1500">
        <v>0</v>
      </c>
      <c r="Z61" s="1500">
        <v>0</v>
      </c>
      <c r="AA61" s="1500">
        <v>0</v>
      </c>
      <c r="AB61" s="1500">
        <v>0</v>
      </c>
      <c r="AC61" s="1500">
        <v>0</v>
      </c>
      <c r="AD61" s="1500">
        <v>0</v>
      </c>
      <c r="AE61" s="1500">
        <v>0</v>
      </c>
      <c r="AF61" s="1500">
        <v>0</v>
      </c>
      <c r="AG61" s="1500">
        <v>0</v>
      </c>
      <c r="AH61" s="1500">
        <v>0</v>
      </c>
      <c r="AI61" s="1500">
        <v>0</v>
      </c>
      <c r="AJ61" s="1500">
        <v>0</v>
      </c>
      <c r="AK61" s="1500">
        <v>0</v>
      </c>
      <c r="AL61" s="1500">
        <v>0</v>
      </c>
      <c r="AM61" s="1500">
        <v>0</v>
      </c>
      <c r="AN61" s="1500"/>
      <c r="AO61" s="1500">
        <v>0</v>
      </c>
      <c r="AP61" s="1500">
        <v>0</v>
      </c>
      <c r="AQ61" s="1500">
        <v>0</v>
      </c>
      <c r="AR61" s="1500">
        <v>0</v>
      </c>
      <c r="AS61" s="1500"/>
      <c r="AT61" s="1500">
        <v>0</v>
      </c>
      <c r="AU61" s="1500">
        <v>0</v>
      </c>
      <c r="AV61" s="1500">
        <v>0</v>
      </c>
      <c r="AW61" s="1500">
        <v>0</v>
      </c>
      <c r="AX61" s="1500">
        <v>0</v>
      </c>
      <c r="AY61" s="1500">
        <v>0</v>
      </c>
      <c r="AZ61" s="1500">
        <v>0</v>
      </c>
      <c r="BA61" s="1500">
        <v>0</v>
      </c>
      <c r="BB61" s="1500">
        <v>0</v>
      </c>
      <c r="BC61" s="1500">
        <v>0</v>
      </c>
      <c r="BD61" s="1500">
        <v>0</v>
      </c>
      <c r="BE61" s="1500">
        <v>0</v>
      </c>
      <c r="BF61" s="1501">
        <v>2.14</v>
      </c>
      <c r="BG61" s="1500">
        <v>0</v>
      </c>
      <c r="BH61" s="1500">
        <v>0</v>
      </c>
      <c r="BI61" s="1500">
        <v>0</v>
      </c>
      <c r="BJ61" s="1500">
        <v>0</v>
      </c>
      <c r="BK61" s="1500">
        <v>2.14</v>
      </c>
      <c r="BL61" s="743">
        <v>967.3399999999998</v>
      </c>
    </row>
    <row r="62" spans="1:64" s="743" customFormat="1" ht="26.45" hidden="1" customHeight="1">
      <c r="A62" s="284" t="s">
        <v>83</v>
      </c>
      <c r="B62" s="286" t="s">
        <v>116</v>
      </c>
      <c r="C62" s="284" t="s">
        <v>55</v>
      </c>
      <c r="D62" s="1500">
        <v>0</v>
      </c>
      <c r="E62" s="1500">
        <v>0</v>
      </c>
      <c r="F62" s="1500">
        <v>0</v>
      </c>
      <c r="G62" s="1502">
        <v>0</v>
      </c>
      <c r="H62" s="1500">
        <v>0</v>
      </c>
      <c r="I62" s="1500">
        <v>0</v>
      </c>
      <c r="J62" s="1500">
        <v>0</v>
      </c>
      <c r="K62" s="1500">
        <v>0</v>
      </c>
      <c r="L62" s="1500">
        <v>0</v>
      </c>
      <c r="M62" s="1500">
        <v>0</v>
      </c>
      <c r="N62" s="1500">
        <v>0</v>
      </c>
      <c r="O62" s="1502">
        <v>0</v>
      </c>
      <c r="P62" s="1500">
        <v>0</v>
      </c>
      <c r="Q62" s="1500">
        <v>0</v>
      </c>
      <c r="R62" s="1500">
        <v>0</v>
      </c>
      <c r="S62" s="1500">
        <v>0</v>
      </c>
      <c r="T62" s="1500">
        <v>0</v>
      </c>
      <c r="U62" s="1500">
        <v>0</v>
      </c>
      <c r="V62" s="1500">
        <v>0</v>
      </c>
      <c r="W62" s="1500">
        <v>0</v>
      </c>
      <c r="X62" s="1500">
        <v>0</v>
      </c>
      <c r="Y62" s="1500">
        <v>0</v>
      </c>
      <c r="Z62" s="1500">
        <v>0</v>
      </c>
      <c r="AA62" s="1500">
        <v>0</v>
      </c>
      <c r="AB62" s="1500">
        <v>0</v>
      </c>
      <c r="AC62" s="1500">
        <v>0</v>
      </c>
      <c r="AD62" s="1500">
        <v>0</v>
      </c>
      <c r="AE62" s="1500">
        <v>0</v>
      </c>
      <c r="AF62" s="1500">
        <v>0</v>
      </c>
      <c r="AG62" s="1500">
        <v>0</v>
      </c>
      <c r="AH62" s="1500">
        <v>0</v>
      </c>
      <c r="AI62" s="1500">
        <v>0</v>
      </c>
      <c r="AJ62" s="1500">
        <v>0</v>
      </c>
      <c r="AK62" s="1500">
        <v>0</v>
      </c>
      <c r="AL62" s="1500">
        <v>0</v>
      </c>
      <c r="AM62" s="1500">
        <v>0</v>
      </c>
      <c r="AN62" s="1500"/>
      <c r="AO62" s="1500">
        <v>0</v>
      </c>
      <c r="AP62" s="1500">
        <v>0</v>
      </c>
      <c r="AQ62" s="1500">
        <v>0</v>
      </c>
      <c r="AR62" s="1500">
        <v>0</v>
      </c>
      <c r="AS62" s="1500"/>
      <c r="AT62" s="1500">
        <v>0</v>
      </c>
      <c r="AU62" s="1500">
        <v>0</v>
      </c>
      <c r="AV62" s="1500">
        <v>0</v>
      </c>
      <c r="AW62" s="1500">
        <v>0</v>
      </c>
      <c r="AX62" s="1500">
        <v>0</v>
      </c>
      <c r="AY62" s="1500">
        <v>0</v>
      </c>
      <c r="AZ62" s="1500">
        <v>0</v>
      </c>
      <c r="BA62" s="1500">
        <v>0</v>
      </c>
      <c r="BB62" s="1500">
        <v>0</v>
      </c>
      <c r="BC62" s="1500">
        <v>0</v>
      </c>
      <c r="BD62" s="1500">
        <v>0</v>
      </c>
      <c r="BE62" s="1500">
        <v>0</v>
      </c>
      <c r="BF62" s="1500">
        <v>0</v>
      </c>
      <c r="BG62" s="1501">
        <v>0</v>
      </c>
      <c r="BH62" s="1500">
        <v>0</v>
      </c>
      <c r="BI62" s="1500">
        <v>0</v>
      </c>
      <c r="BJ62" s="1500">
        <v>0</v>
      </c>
      <c r="BK62" s="1500">
        <v>0</v>
      </c>
      <c r="BL62" s="743">
        <v>10.569999999999999</v>
      </c>
    </row>
    <row r="63" spans="1:64" s="743" customFormat="1" ht="20.45" customHeight="1">
      <c r="A63" s="967">
        <v>3</v>
      </c>
      <c r="B63" s="1478" t="s">
        <v>56</v>
      </c>
      <c r="C63" s="967" t="s">
        <v>81</v>
      </c>
      <c r="D63" s="1495">
        <v>743.41000000000008</v>
      </c>
      <c r="E63" s="1495">
        <v>0</v>
      </c>
      <c r="F63" s="1495">
        <v>0</v>
      </c>
      <c r="G63" s="1499">
        <v>0</v>
      </c>
      <c r="H63" s="1495">
        <v>0</v>
      </c>
      <c r="I63" s="1495">
        <v>0</v>
      </c>
      <c r="J63" s="1495">
        <v>0</v>
      </c>
      <c r="K63" s="1495">
        <v>0</v>
      </c>
      <c r="L63" s="1495">
        <v>0</v>
      </c>
      <c r="M63" s="1495">
        <v>0</v>
      </c>
      <c r="N63" s="1495">
        <v>0</v>
      </c>
      <c r="O63" s="1499">
        <v>0</v>
      </c>
      <c r="P63" s="1495">
        <v>0</v>
      </c>
      <c r="Q63" s="1495">
        <v>0</v>
      </c>
      <c r="R63" s="1495">
        <v>0</v>
      </c>
      <c r="S63" s="1495">
        <v>0</v>
      </c>
      <c r="T63" s="1495">
        <v>0</v>
      </c>
      <c r="U63" s="1495">
        <v>12.67</v>
      </c>
      <c r="V63" s="1495">
        <v>0</v>
      </c>
      <c r="W63" s="1495">
        <v>0.12000000000000001</v>
      </c>
      <c r="X63" s="1495">
        <v>0</v>
      </c>
      <c r="Y63" s="1495">
        <v>1.32</v>
      </c>
      <c r="Z63" s="1495">
        <v>4</v>
      </c>
      <c r="AA63" s="1495">
        <v>0</v>
      </c>
      <c r="AB63" s="1495">
        <v>0</v>
      </c>
      <c r="AC63" s="1495">
        <v>5.39</v>
      </c>
      <c r="AD63" s="1495">
        <v>4.38</v>
      </c>
      <c r="AE63" s="1495">
        <v>0</v>
      </c>
      <c r="AF63" s="1495">
        <v>0</v>
      </c>
      <c r="AG63" s="1495">
        <v>0</v>
      </c>
      <c r="AH63" s="1495">
        <v>0.11</v>
      </c>
      <c r="AI63" s="1495">
        <v>0</v>
      </c>
      <c r="AJ63" s="1495">
        <v>7.0000000000000007E-2</v>
      </c>
      <c r="AK63" s="1495">
        <v>0.02</v>
      </c>
      <c r="AL63" s="1495">
        <v>0.28000000000000008</v>
      </c>
      <c r="AM63" s="1495">
        <v>0</v>
      </c>
      <c r="AN63" s="1495"/>
      <c r="AO63" s="1495">
        <v>0.51</v>
      </c>
      <c r="AP63" s="1495">
        <v>0</v>
      </c>
      <c r="AQ63" s="1495">
        <v>0</v>
      </c>
      <c r="AR63" s="1495">
        <v>0.02</v>
      </c>
      <c r="AS63" s="1495"/>
      <c r="AT63" s="1495">
        <v>0</v>
      </c>
      <c r="AU63" s="1495">
        <v>0</v>
      </c>
      <c r="AV63" s="1495">
        <v>0</v>
      </c>
      <c r="AW63" s="1495">
        <v>0</v>
      </c>
      <c r="AX63" s="1495">
        <v>0.29000000000000004</v>
      </c>
      <c r="AY63" s="1495">
        <v>1.45</v>
      </c>
      <c r="AZ63" s="1495">
        <v>0.1</v>
      </c>
      <c r="BA63" s="1495">
        <v>0</v>
      </c>
      <c r="BB63" s="1495">
        <v>0</v>
      </c>
      <c r="BC63" s="1495">
        <v>0</v>
      </c>
      <c r="BD63" s="1495">
        <v>0</v>
      </c>
      <c r="BE63" s="1495">
        <v>0</v>
      </c>
      <c r="BF63" s="1495">
        <v>0</v>
      </c>
      <c r="BG63" s="1495">
        <v>0</v>
      </c>
      <c r="BH63" s="1513">
        <v>730.74000000000012</v>
      </c>
      <c r="BI63" s="1495">
        <v>12.67</v>
      </c>
      <c r="BJ63" s="1495">
        <v>-12.67</v>
      </c>
      <c r="BK63" s="1495">
        <v>730.74000000000012</v>
      </c>
      <c r="BL63" s="743">
        <v>1372.23</v>
      </c>
    </row>
    <row r="64" spans="1:64" s="746" customFormat="1" ht="18" customHeight="1">
      <c r="A64" s="1638" t="s">
        <v>145</v>
      </c>
      <c r="B64" s="1638"/>
      <c r="C64" s="1478"/>
      <c r="D64" s="1495">
        <v>0</v>
      </c>
      <c r="E64" s="1495">
        <v>0</v>
      </c>
      <c r="F64" s="1495">
        <v>0</v>
      </c>
      <c r="G64" s="1499">
        <v>0</v>
      </c>
      <c r="H64" s="1495">
        <v>0</v>
      </c>
      <c r="I64" s="1495">
        <v>0</v>
      </c>
      <c r="J64" s="1495">
        <v>0</v>
      </c>
      <c r="K64" s="1495">
        <v>0</v>
      </c>
      <c r="L64" s="1495">
        <v>0</v>
      </c>
      <c r="M64" s="1495">
        <v>0</v>
      </c>
      <c r="N64" s="1495">
        <v>0</v>
      </c>
      <c r="O64" s="1499">
        <v>0</v>
      </c>
      <c r="P64" s="1495">
        <v>0</v>
      </c>
      <c r="Q64" s="1495">
        <v>0</v>
      </c>
      <c r="R64" s="1495">
        <v>0</v>
      </c>
      <c r="S64" s="1495">
        <v>0</v>
      </c>
      <c r="T64" s="1495">
        <v>16.689999999999998</v>
      </c>
      <c r="U64" s="1495">
        <v>147.09135000000001</v>
      </c>
      <c r="V64" s="1495">
        <v>16</v>
      </c>
      <c r="W64" s="1495">
        <v>1.7800000000000002</v>
      </c>
      <c r="X64" s="1495">
        <v>0</v>
      </c>
      <c r="Y64" s="1495">
        <v>30</v>
      </c>
      <c r="Z64" s="1495">
        <v>4</v>
      </c>
      <c r="AA64" s="1495">
        <v>0.7</v>
      </c>
      <c r="AB64" s="1495">
        <v>0</v>
      </c>
      <c r="AC64" s="1495">
        <v>73.012610000000009</v>
      </c>
      <c r="AD64" s="1495">
        <v>57.904960000000003</v>
      </c>
      <c r="AE64" s="1495">
        <v>0.52</v>
      </c>
      <c r="AF64" s="1495">
        <v>0.03</v>
      </c>
      <c r="AG64" s="1495">
        <v>0</v>
      </c>
      <c r="AH64" s="1495">
        <v>0.83</v>
      </c>
      <c r="AI64" s="1495">
        <v>0</v>
      </c>
      <c r="AJ64" s="1495">
        <v>1.02</v>
      </c>
      <c r="AK64" s="1495">
        <v>0.27</v>
      </c>
      <c r="AL64" s="1495">
        <v>3.2510000000000003</v>
      </c>
      <c r="AM64" s="1495">
        <v>0</v>
      </c>
      <c r="AN64" s="1495"/>
      <c r="AO64" s="1495">
        <v>1.8700000000000003</v>
      </c>
      <c r="AP64" s="1495">
        <v>7.68</v>
      </c>
      <c r="AQ64" s="1495">
        <v>0</v>
      </c>
      <c r="AR64" s="1495">
        <v>0.17</v>
      </c>
      <c r="AS64" s="1495"/>
      <c r="AT64" s="1495">
        <v>0</v>
      </c>
      <c r="AU64" s="1495">
        <v>0</v>
      </c>
      <c r="AV64" s="1495">
        <v>0.04</v>
      </c>
      <c r="AW64" s="1495">
        <v>0</v>
      </c>
      <c r="AX64" s="1495">
        <v>15.5</v>
      </c>
      <c r="AY64" s="1495">
        <v>12.729999999999999</v>
      </c>
      <c r="AZ64" s="1495">
        <v>0.37</v>
      </c>
      <c r="BA64" s="1495">
        <v>0</v>
      </c>
      <c r="BB64" s="1495">
        <v>0</v>
      </c>
      <c r="BC64" s="1495">
        <v>0</v>
      </c>
      <c r="BD64" s="1495">
        <v>0</v>
      </c>
      <c r="BE64" s="1495">
        <v>0</v>
      </c>
      <c r="BF64" s="1495">
        <v>0</v>
      </c>
      <c r="BG64" s="1497">
        <v>0</v>
      </c>
      <c r="BH64" s="1495">
        <v>0</v>
      </c>
      <c r="BI64" s="1495">
        <v>147.09135000000001</v>
      </c>
      <c r="BJ64" s="1495">
        <v>0</v>
      </c>
      <c r="BK64" s="1500">
        <v>0</v>
      </c>
      <c r="BL64" s="746">
        <v>0</v>
      </c>
    </row>
    <row r="65" spans="1:64" s="746" customFormat="1" ht="20.100000000000001" customHeight="1">
      <c r="A65" s="1638" t="s">
        <v>2992</v>
      </c>
      <c r="B65" s="1638"/>
      <c r="C65" s="1478"/>
      <c r="D65" s="1495">
        <v>0</v>
      </c>
      <c r="E65" s="1495">
        <v>105094.58864999999</v>
      </c>
      <c r="F65" s="1495">
        <v>3206.7161500000002</v>
      </c>
      <c r="G65" s="1499">
        <v>2071.0061499999997</v>
      </c>
      <c r="H65" s="1495">
        <v>1135.7100000000003</v>
      </c>
      <c r="I65" s="1495">
        <v>0</v>
      </c>
      <c r="J65" s="1495">
        <v>2283.2925</v>
      </c>
      <c r="K65" s="1495">
        <v>664.44499999999994</v>
      </c>
      <c r="L65" s="1495">
        <v>9881.8499999999985</v>
      </c>
      <c r="M65" s="1495">
        <v>0</v>
      </c>
      <c r="N65" s="1495">
        <v>88925.305000000008</v>
      </c>
      <c r="O65" s="1499">
        <v>56466.229999999996</v>
      </c>
      <c r="P65" s="1495">
        <v>17772.935000000001</v>
      </c>
      <c r="Q65" s="1495">
        <v>14686.139999999998</v>
      </c>
      <c r="R65" s="1495">
        <v>105.88999999999999</v>
      </c>
      <c r="S65" s="1495">
        <v>0</v>
      </c>
      <c r="T65" s="1495">
        <v>27.089999999999996</v>
      </c>
      <c r="U65" s="1495">
        <v>3589.7913500000004</v>
      </c>
      <c r="V65" s="1495">
        <v>31.48</v>
      </c>
      <c r="W65" s="1495">
        <v>3.21</v>
      </c>
      <c r="X65" s="1495">
        <v>0</v>
      </c>
      <c r="Y65" s="1495">
        <v>30</v>
      </c>
      <c r="Z65" s="1495">
        <v>20.28</v>
      </c>
      <c r="AA65" s="1495">
        <v>2.9000000000000004</v>
      </c>
      <c r="AB65" s="1495">
        <v>17.509999999999998</v>
      </c>
      <c r="AC65" s="1495">
        <v>1535.8926099999996</v>
      </c>
      <c r="AD65" s="1495">
        <v>1346.4429599999999</v>
      </c>
      <c r="AE65" s="1495">
        <v>78.068649999999963</v>
      </c>
      <c r="AF65" s="1495">
        <v>0.19999999999999998</v>
      </c>
      <c r="AG65" s="1495">
        <v>0</v>
      </c>
      <c r="AH65" s="1495">
        <v>2.6900000000000004</v>
      </c>
      <c r="AI65" s="1495">
        <v>4.6300000000000008</v>
      </c>
      <c r="AJ65" s="1495">
        <v>43.77</v>
      </c>
      <c r="AK65" s="1495">
        <v>2.35</v>
      </c>
      <c r="AL65" s="1495">
        <v>15.780999999999999</v>
      </c>
      <c r="AM65" s="1495">
        <v>0.45000000000000018</v>
      </c>
      <c r="AN65" s="1495"/>
      <c r="AO65" s="1495">
        <v>1.9400000000000004</v>
      </c>
      <c r="AP65" s="1495">
        <v>7.87</v>
      </c>
      <c r="AQ65" s="1495">
        <v>0</v>
      </c>
      <c r="AR65" s="1495">
        <v>28.33</v>
      </c>
      <c r="AS65" s="1495">
        <v>0.5</v>
      </c>
      <c r="AT65" s="1495">
        <v>0</v>
      </c>
      <c r="AU65" s="1495">
        <v>2.5099999999999998</v>
      </c>
      <c r="AV65" s="1495">
        <v>0.36</v>
      </c>
      <c r="AW65" s="1495">
        <v>8.4599999999999991</v>
      </c>
      <c r="AX65" s="1495">
        <v>620.88800000000003</v>
      </c>
      <c r="AY65" s="1497">
        <v>105.29056</v>
      </c>
      <c r="AZ65" s="1497">
        <v>9.5401799999999994</v>
      </c>
      <c r="BA65" s="1497">
        <v>0</v>
      </c>
      <c r="BB65" s="1497">
        <v>0</v>
      </c>
      <c r="BC65" s="1497">
        <v>0.01</v>
      </c>
      <c r="BD65" s="1497">
        <v>3.2399999999999998</v>
      </c>
      <c r="BE65" s="1497">
        <v>1198.95</v>
      </c>
      <c r="BF65" s="1497">
        <v>2.14</v>
      </c>
      <c r="BG65" s="1497">
        <v>0</v>
      </c>
      <c r="BH65" s="1497">
        <v>0</v>
      </c>
      <c r="BI65" s="1495">
        <v>0</v>
      </c>
      <c r="BJ65" s="1495">
        <v>0</v>
      </c>
      <c r="BK65" s="1500">
        <v>0</v>
      </c>
      <c r="BL65" s="746">
        <v>0</v>
      </c>
    </row>
    <row r="66" spans="1:64">
      <c r="D66" s="757"/>
    </row>
    <row r="67" spans="1:64">
      <c r="U67" s="756"/>
      <c r="BI67" s="757"/>
    </row>
    <row r="68" spans="1:64">
      <c r="AC68" s="759"/>
      <c r="AL68" s="759"/>
    </row>
  </sheetData>
  <mergeCells count="13">
    <mergeCell ref="A64:B64"/>
    <mergeCell ref="A65:B65"/>
    <mergeCell ref="BI4:BK4"/>
    <mergeCell ref="A1:B1"/>
    <mergeCell ref="A2:BK2"/>
    <mergeCell ref="A3:BK3"/>
    <mergeCell ref="A5:A6"/>
    <mergeCell ref="B5:B6"/>
    <mergeCell ref="C5:C6"/>
    <mergeCell ref="D5:D6"/>
    <mergeCell ref="E5:BI5"/>
    <mergeCell ref="BJ5:BJ6"/>
    <mergeCell ref="BK5:BK6"/>
  </mergeCells>
  <phoneticPr fontId="107" type="noConversion"/>
  <printOptions horizontalCentered="1"/>
  <pageMargins left="0.55118110236220474" right="0.23622047244094491" top="0.39370078740157483" bottom="0.19685039370078741" header="0.31496062992125984" footer="0.31496062992125984"/>
  <pageSetup paperSize="8" scale="65"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53"/>
  <sheetViews>
    <sheetView workbookViewId="0">
      <selection activeCell="E3" sqref="E3"/>
    </sheetView>
  </sheetViews>
  <sheetFormatPr defaultRowHeight="14.25"/>
  <cols>
    <col min="2" max="2" width="42.375" customWidth="1"/>
    <col min="4" max="4" width="13.375" customWidth="1"/>
    <col min="5" max="5" width="12.375" customWidth="1"/>
    <col min="6" max="6" width="12" customWidth="1"/>
  </cols>
  <sheetData>
    <row r="1" spans="1:6" ht="28.5">
      <c r="A1" s="339" t="s">
        <v>1</v>
      </c>
      <c r="B1" s="328" t="s">
        <v>175</v>
      </c>
      <c r="C1" s="328" t="s">
        <v>172</v>
      </c>
      <c r="D1" s="339" t="s">
        <v>2828</v>
      </c>
      <c r="E1" s="339" t="s">
        <v>2829</v>
      </c>
      <c r="F1" s="339" t="s">
        <v>2830</v>
      </c>
    </row>
    <row r="2" spans="1:6">
      <c r="A2" s="339"/>
      <c r="B2" s="426" t="s">
        <v>174</v>
      </c>
      <c r="C2" s="439"/>
      <c r="D2" s="441">
        <v>98642.92</v>
      </c>
      <c r="E2" s="427">
        <f>'01CH'!D8</f>
        <v>109415.11999999998</v>
      </c>
      <c r="F2" s="428">
        <v>0</v>
      </c>
    </row>
    <row r="3" spans="1:6">
      <c r="A3" s="339">
        <v>1</v>
      </c>
      <c r="B3" s="429" t="s">
        <v>3</v>
      </c>
      <c r="C3" s="328" t="s">
        <v>4</v>
      </c>
      <c r="D3" s="427">
        <v>89017.39</v>
      </c>
      <c r="E3" s="427">
        <f>'01CH'!D9</f>
        <v>105229.01</v>
      </c>
      <c r="F3" s="427">
        <f>E3-D3</f>
        <v>16211.619999999995</v>
      </c>
    </row>
    <row r="4" spans="1:6" ht="15">
      <c r="A4" s="430"/>
      <c r="B4" s="337" t="s">
        <v>190</v>
      </c>
      <c r="C4" s="439"/>
      <c r="D4" s="439"/>
      <c r="E4" s="439"/>
      <c r="F4" s="439"/>
    </row>
    <row r="5" spans="1:6" ht="15">
      <c r="A5" s="2" t="s">
        <v>6</v>
      </c>
      <c r="B5" s="336" t="s">
        <v>85</v>
      </c>
      <c r="C5" s="330" t="s">
        <v>5</v>
      </c>
      <c r="D5" s="431">
        <v>6119.39</v>
      </c>
      <c r="E5" s="432">
        <f>'01CH'!D11</f>
        <v>3228.55</v>
      </c>
      <c r="F5" s="432">
        <f>E5-D5</f>
        <v>-2890.84</v>
      </c>
    </row>
    <row r="6" spans="1:6" ht="15">
      <c r="A6" s="430"/>
      <c r="B6" s="337" t="s">
        <v>2831</v>
      </c>
      <c r="C6" s="329" t="s">
        <v>7</v>
      </c>
      <c r="D6" s="434">
        <v>3355.45</v>
      </c>
      <c r="E6" s="435">
        <f>'01CH'!D12</f>
        <v>2086.2599999999998</v>
      </c>
      <c r="F6" s="435">
        <f>E6-D6</f>
        <v>-1269.19</v>
      </c>
    </row>
    <row r="7" spans="1:6" ht="15">
      <c r="A7" s="2" t="s">
        <v>9</v>
      </c>
      <c r="B7" s="336" t="s">
        <v>88</v>
      </c>
      <c r="C7" s="330" t="s">
        <v>12</v>
      </c>
      <c r="D7" s="431">
        <v>4800.0600000000004</v>
      </c>
      <c r="E7" s="432">
        <f>'01CH'!D13</f>
        <v>2313.31</v>
      </c>
      <c r="F7" s="432">
        <f>E7-D7</f>
        <v>-2486.7500000000005</v>
      </c>
    </row>
    <row r="8" spans="1:6" ht="15">
      <c r="A8" s="2" t="s">
        <v>11</v>
      </c>
      <c r="B8" s="336" t="s">
        <v>60</v>
      </c>
      <c r="C8" s="330" t="s">
        <v>14</v>
      </c>
      <c r="D8" s="431">
        <v>1668.25</v>
      </c>
      <c r="E8" s="432">
        <f>'01CH'!D14</f>
        <v>678.03</v>
      </c>
      <c r="F8" s="432">
        <f t="shared" ref="F8:F15" si="0">E8-D8</f>
        <v>-990.22</v>
      </c>
    </row>
    <row r="9" spans="1:6" ht="15">
      <c r="A9" s="2" t="s">
        <v>13</v>
      </c>
      <c r="B9" s="336" t="s">
        <v>61</v>
      </c>
      <c r="C9" s="330" t="s">
        <v>16</v>
      </c>
      <c r="D9" s="431">
        <v>9815.68</v>
      </c>
      <c r="E9" s="432">
        <f>'01CH'!D15</f>
        <v>9881.8499999999985</v>
      </c>
      <c r="F9" s="432">
        <f t="shared" si="0"/>
        <v>66.169999999998254</v>
      </c>
    </row>
    <row r="10" spans="1:6" ht="15">
      <c r="A10" s="2" t="s">
        <v>15</v>
      </c>
      <c r="B10" s="336" t="s">
        <v>62</v>
      </c>
      <c r="C10" s="330" t="s">
        <v>17</v>
      </c>
      <c r="D10" s="431">
        <v>2219</v>
      </c>
      <c r="E10" s="432">
        <f>'01CH'!D16</f>
        <v>0</v>
      </c>
      <c r="F10" s="432">
        <f t="shared" si="0"/>
        <v>-2219</v>
      </c>
    </row>
    <row r="11" spans="1:6" ht="15">
      <c r="A11" s="2" t="s">
        <v>64</v>
      </c>
      <c r="B11" s="336" t="s">
        <v>63</v>
      </c>
      <c r="C11" s="330" t="s">
        <v>18</v>
      </c>
      <c r="D11" s="431">
        <v>64103.71</v>
      </c>
      <c r="E11" s="432">
        <f>'01CH'!D17</f>
        <v>89007.890000000014</v>
      </c>
      <c r="F11" s="432">
        <f t="shared" si="0"/>
        <v>24904.180000000015</v>
      </c>
    </row>
    <row r="12" spans="1:6" ht="15">
      <c r="A12" s="430"/>
      <c r="B12" s="337" t="s">
        <v>198</v>
      </c>
      <c r="C12" s="329" t="s">
        <v>187</v>
      </c>
      <c r="D12" s="434">
        <v>5538.96</v>
      </c>
      <c r="E12" s="432">
        <f>'01CH'!D18</f>
        <v>56466.229999999996</v>
      </c>
      <c r="F12" s="432">
        <f t="shared" si="0"/>
        <v>50927.27</v>
      </c>
    </row>
    <row r="13" spans="1:6" ht="15">
      <c r="A13" s="2" t="s">
        <v>73</v>
      </c>
      <c r="B13" s="336" t="s">
        <v>72</v>
      </c>
      <c r="C13" s="330" t="s">
        <v>19</v>
      </c>
      <c r="D13" s="436">
        <v>291.18</v>
      </c>
      <c r="E13" s="432">
        <f>'01CH'!D19</f>
        <v>108.97999999999999</v>
      </c>
      <c r="F13" s="432">
        <f t="shared" si="0"/>
        <v>-182.20000000000002</v>
      </c>
    </row>
    <row r="14" spans="1:6" ht="15">
      <c r="A14" s="2" t="s">
        <v>86</v>
      </c>
      <c r="B14" s="331" t="s">
        <v>2749</v>
      </c>
      <c r="C14" s="280" t="s">
        <v>2752</v>
      </c>
      <c r="D14" s="436"/>
      <c r="E14" s="432"/>
      <c r="F14" s="432"/>
    </row>
    <row r="15" spans="1:6" ht="15">
      <c r="A15" s="2" t="s">
        <v>2756</v>
      </c>
      <c r="B15" s="336" t="s">
        <v>89</v>
      </c>
      <c r="C15" s="330" t="s">
        <v>20</v>
      </c>
      <c r="D15" s="433">
        <v>0.12</v>
      </c>
      <c r="E15" s="432">
        <f>'01CH'!D21</f>
        <v>10.4</v>
      </c>
      <c r="F15" s="432">
        <f t="shared" si="0"/>
        <v>10.280000000000001</v>
      </c>
    </row>
    <row r="16" spans="1:6">
      <c r="A16" s="339">
        <v>2</v>
      </c>
      <c r="B16" s="429" t="s">
        <v>21</v>
      </c>
      <c r="C16" s="328" t="s">
        <v>22</v>
      </c>
      <c r="D16" s="427">
        <v>8112.71</v>
      </c>
      <c r="E16" s="427">
        <f>'01CH'!D22</f>
        <v>3442.7</v>
      </c>
      <c r="F16" s="427">
        <f>E16-D16</f>
        <v>-4670.01</v>
      </c>
    </row>
    <row r="17" spans="1:6" ht="15">
      <c r="A17" s="430"/>
      <c r="B17" s="337" t="s">
        <v>190</v>
      </c>
      <c r="C17" s="439"/>
      <c r="D17" s="440"/>
      <c r="E17" s="439"/>
      <c r="F17" s="439"/>
    </row>
    <row r="18" spans="1:6" ht="15">
      <c r="A18" s="2" t="s">
        <v>23</v>
      </c>
      <c r="B18" s="336" t="s">
        <v>65</v>
      </c>
      <c r="C18" s="330" t="s">
        <v>26</v>
      </c>
      <c r="D18" s="431">
        <v>1722.88</v>
      </c>
      <c r="E18" s="432">
        <f>'01CH'!D24</f>
        <v>15.48</v>
      </c>
      <c r="F18" s="432">
        <f>E18-D18</f>
        <v>-1707.4</v>
      </c>
    </row>
    <row r="19" spans="1:6" ht="15">
      <c r="A19" s="2" t="s">
        <v>25</v>
      </c>
      <c r="B19" s="336" t="s">
        <v>66</v>
      </c>
      <c r="C19" s="330" t="s">
        <v>28</v>
      </c>
      <c r="D19" s="436">
        <v>5.97</v>
      </c>
      <c r="E19" s="432">
        <f>'01CH'!D25</f>
        <v>1.4300000000000002</v>
      </c>
      <c r="F19" s="432">
        <f t="shared" ref="F19:F52" si="1">E19-D19</f>
        <v>-4.5399999999999991</v>
      </c>
    </row>
    <row r="20" spans="1:6" ht="15">
      <c r="A20" s="2" t="s">
        <v>27</v>
      </c>
      <c r="B20" s="336" t="s">
        <v>90</v>
      </c>
      <c r="C20" s="330" t="s">
        <v>91</v>
      </c>
      <c r="D20" s="436">
        <v>24.41</v>
      </c>
      <c r="E20" s="432">
        <f>'01CH'!D27</f>
        <v>0</v>
      </c>
      <c r="F20" s="432">
        <f t="shared" si="1"/>
        <v>-24.41</v>
      </c>
    </row>
    <row r="21" spans="1:6" ht="15">
      <c r="A21" s="2" t="s">
        <v>29</v>
      </c>
      <c r="B21" s="336" t="s">
        <v>379</v>
      </c>
      <c r="C21" s="330" t="s">
        <v>93</v>
      </c>
      <c r="D21" s="436">
        <v>17.86</v>
      </c>
      <c r="E21" s="432">
        <f>'01CH'!D28</f>
        <v>16.32</v>
      </c>
      <c r="F21" s="432">
        <f t="shared" si="1"/>
        <v>-1.5399999999999991</v>
      </c>
    </row>
    <row r="22" spans="1:6" ht="15">
      <c r="A22" s="2" t="s">
        <v>31</v>
      </c>
      <c r="B22" s="336" t="s">
        <v>94</v>
      </c>
      <c r="C22" s="330" t="s">
        <v>32</v>
      </c>
      <c r="D22" s="436">
        <v>32.94</v>
      </c>
      <c r="E22" s="432">
        <f>'01CH'!D29</f>
        <v>2.23</v>
      </c>
      <c r="F22" s="432">
        <f t="shared" si="1"/>
        <v>-30.709999999999997</v>
      </c>
    </row>
    <row r="23" spans="1:6" ht="15">
      <c r="A23" s="2" t="s">
        <v>33</v>
      </c>
      <c r="B23" s="336" t="s">
        <v>106</v>
      </c>
      <c r="C23" s="330" t="s">
        <v>35</v>
      </c>
      <c r="D23" s="436">
        <f>240.68+7.66</f>
        <v>248.34</v>
      </c>
      <c r="E23" s="432">
        <f>'01CH'!D30</f>
        <v>17.509999999999998</v>
      </c>
      <c r="F23" s="432">
        <f t="shared" si="1"/>
        <v>-230.83</v>
      </c>
    </row>
    <row r="24" spans="1:6" ht="30">
      <c r="A24" s="2" t="s">
        <v>68</v>
      </c>
      <c r="B24" s="336" t="s">
        <v>125</v>
      </c>
      <c r="C24" s="330" t="s">
        <v>43</v>
      </c>
      <c r="D24" s="432">
        <f>SUM(D26:D44)</f>
        <v>2561.87</v>
      </c>
      <c r="E24" s="432">
        <f>'01CH'!D31</f>
        <v>1463.8799999999999</v>
      </c>
      <c r="F24" s="432">
        <f t="shared" si="1"/>
        <v>-1097.99</v>
      </c>
    </row>
    <row r="25" spans="1:6" ht="15">
      <c r="A25" s="2"/>
      <c r="B25" s="336" t="s">
        <v>190</v>
      </c>
      <c r="C25" s="439"/>
      <c r="D25" s="440"/>
      <c r="E25" s="439"/>
      <c r="F25" s="432">
        <f t="shared" si="1"/>
        <v>0</v>
      </c>
    </row>
    <row r="26" spans="1:6" ht="15">
      <c r="A26" s="2" t="s">
        <v>193</v>
      </c>
      <c r="B26" s="331" t="s">
        <v>2757</v>
      </c>
      <c r="C26" s="2" t="s">
        <v>44</v>
      </c>
      <c r="D26" s="431">
        <v>1713.37</v>
      </c>
      <c r="E26" s="432">
        <f>'01CH'!D33</f>
        <v>1289.4599999999998</v>
      </c>
      <c r="F26" s="432">
        <f t="shared" si="1"/>
        <v>-423.91000000000008</v>
      </c>
    </row>
    <row r="27" spans="1:6" ht="15">
      <c r="A27" s="2" t="s">
        <v>193</v>
      </c>
      <c r="B27" s="331" t="s">
        <v>2758</v>
      </c>
      <c r="C27" s="2" t="s">
        <v>45</v>
      </c>
      <c r="D27" s="436">
        <v>114.15</v>
      </c>
      <c r="E27" s="432">
        <f>'01CH'!D34</f>
        <v>77.82999999999997</v>
      </c>
      <c r="F27" s="432">
        <f t="shared" si="1"/>
        <v>-36.320000000000036</v>
      </c>
    </row>
    <row r="28" spans="1:6" ht="15">
      <c r="A28" s="2" t="s">
        <v>193</v>
      </c>
      <c r="B28" s="332" t="s">
        <v>2770</v>
      </c>
      <c r="C28" s="338" t="s">
        <v>2771</v>
      </c>
      <c r="D28" s="436"/>
      <c r="E28" s="432">
        <f>'01CH'!D35</f>
        <v>0.16999999999999998</v>
      </c>
      <c r="F28" s="432">
        <f t="shared" si="1"/>
        <v>0.16999999999999998</v>
      </c>
    </row>
    <row r="29" spans="1:6" ht="15">
      <c r="A29" s="2" t="s">
        <v>193</v>
      </c>
      <c r="B29" s="332" t="s">
        <v>2772</v>
      </c>
      <c r="C29" s="338" t="s">
        <v>2773</v>
      </c>
      <c r="D29" s="436"/>
      <c r="E29" s="432">
        <f>'01CH'!D36</f>
        <v>0</v>
      </c>
      <c r="F29" s="432">
        <f t="shared" si="1"/>
        <v>0</v>
      </c>
    </row>
    <row r="30" spans="1:6" ht="15">
      <c r="A30" s="2" t="s">
        <v>193</v>
      </c>
      <c r="B30" s="336" t="s">
        <v>127</v>
      </c>
      <c r="C30" s="2" t="s">
        <v>48</v>
      </c>
      <c r="D30" s="436">
        <v>0</v>
      </c>
      <c r="E30" s="432">
        <f>'01CH'!D37</f>
        <v>1.8900000000000003</v>
      </c>
      <c r="F30" s="432">
        <f t="shared" si="1"/>
        <v>1.8900000000000003</v>
      </c>
    </row>
    <row r="31" spans="1:6" ht="15">
      <c r="A31" s="2" t="s">
        <v>193</v>
      </c>
      <c r="B31" s="336" t="s">
        <v>129</v>
      </c>
      <c r="C31" s="2" t="s">
        <v>49</v>
      </c>
      <c r="D31" s="436">
        <v>6.86</v>
      </c>
      <c r="E31" s="432">
        <f>'01CH'!D38</f>
        <v>4.6900000000000004</v>
      </c>
      <c r="F31" s="432">
        <f t="shared" si="1"/>
        <v>-2.17</v>
      </c>
    </row>
    <row r="32" spans="1:6" ht="15">
      <c r="A32" s="2" t="s">
        <v>193</v>
      </c>
      <c r="B32" s="331" t="s">
        <v>220</v>
      </c>
      <c r="C32" s="2" t="s">
        <v>50</v>
      </c>
      <c r="D32" s="433">
        <v>54.6</v>
      </c>
      <c r="E32" s="432">
        <f>'01CH'!D39</f>
        <v>42.95</v>
      </c>
      <c r="F32" s="432">
        <f t="shared" si="1"/>
        <v>-11.649999999999999</v>
      </c>
    </row>
    <row r="33" spans="1:6" ht="15">
      <c r="A33" s="2" t="s">
        <v>193</v>
      </c>
      <c r="B33" s="331" t="s">
        <v>2307</v>
      </c>
      <c r="C33" s="2" t="s">
        <v>51</v>
      </c>
      <c r="D33" s="433">
        <v>17.690000000000001</v>
      </c>
      <c r="E33" s="432">
        <f>'01CH'!D40</f>
        <v>2.08</v>
      </c>
      <c r="F33" s="432">
        <f t="shared" si="1"/>
        <v>-15.610000000000001</v>
      </c>
    </row>
    <row r="34" spans="1:6" ht="15">
      <c r="A34" s="2" t="s">
        <v>193</v>
      </c>
      <c r="B34" s="331" t="s">
        <v>2759</v>
      </c>
      <c r="C34" s="2" t="s">
        <v>46</v>
      </c>
      <c r="D34" s="433">
        <v>30.13</v>
      </c>
      <c r="E34" s="432">
        <f>'01CH'!D41</f>
        <v>12.53</v>
      </c>
      <c r="F34" s="432">
        <f t="shared" si="1"/>
        <v>-17.600000000000001</v>
      </c>
    </row>
    <row r="35" spans="1:6" ht="30">
      <c r="A35" s="2" t="s">
        <v>193</v>
      </c>
      <c r="B35" s="331" t="s">
        <v>2760</v>
      </c>
      <c r="C35" s="2" t="s">
        <v>47</v>
      </c>
      <c r="D35" s="433">
        <v>1.41</v>
      </c>
      <c r="E35" s="432">
        <f>'01CH'!D42</f>
        <v>0.45000000000000018</v>
      </c>
      <c r="F35" s="432">
        <f t="shared" si="1"/>
        <v>-0.95999999999999974</v>
      </c>
    </row>
    <row r="36" spans="1:6" ht="15">
      <c r="A36" s="2" t="s">
        <v>193</v>
      </c>
      <c r="B36" s="331" t="s">
        <v>2761</v>
      </c>
      <c r="C36" s="280" t="s">
        <v>2762</v>
      </c>
      <c r="D36" s="433"/>
      <c r="E36" s="432">
        <f>'01CH'!D43</f>
        <v>0</v>
      </c>
      <c r="F36" s="432">
        <f t="shared" si="1"/>
        <v>0</v>
      </c>
    </row>
    <row r="37" spans="1:6" ht="30">
      <c r="A37" s="2" t="s">
        <v>193</v>
      </c>
      <c r="B37" s="331" t="s">
        <v>2763</v>
      </c>
      <c r="C37" s="280" t="s">
        <v>2764</v>
      </c>
      <c r="D37" s="433">
        <f>0.11+12.51</f>
        <v>12.62</v>
      </c>
      <c r="E37" s="432">
        <f>'01CH'!D44</f>
        <v>6.9999999999999993E-2</v>
      </c>
      <c r="F37" s="432">
        <f t="shared" si="1"/>
        <v>-12.549999999999999</v>
      </c>
    </row>
    <row r="38" spans="1:6" ht="15">
      <c r="A38" s="2" t="s">
        <v>193</v>
      </c>
      <c r="B38" s="331" t="s">
        <v>2765</v>
      </c>
      <c r="C38" s="330" t="s">
        <v>37</v>
      </c>
      <c r="D38" s="436">
        <v>501.11</v>
      </c>
      <c r="E38" s="432">
        <f>'01CH'!D45</f>
        <v>0.19</v>
      </c>
      <c r="F38" s="432">
        <f t="shared" si="1"/>
        <v>-500.92</v>
      </c>
    </row>
    <row r="39" spans="1:6" ht="15">
      <c r="A39" s="2" t="s">
        <v>193</v>
      </c>
      <c r="B39" s="331" t="s">
        <v>2766</v>
      </c>
      <c r="C39" s="2" t="s">
        <v>38</v>
      </c>
      <c r="D39" s="433">
        <v>1.38</v>
      </c>
      <c r="E39" s="432">
        <f>'01CH'!D46</f>
        <v>0</v>
      </c>
      <c r="F39" s="432">
        <f t="shared" si="1"/>
        <v>-1.38</v>
      </c>
    </row>
    <row r="40" spans="1:6" ht="30">
      <c r="A40" s="2" t="s">
        <v>193</v>
      </c>
      <c r="B40" s="331" t="s">
        <v>2767</v>
      </c>
      <c r="C40" s="2" t="s">
        <v>40</v>
      </c>
      <c r="D40" s="433">
        <v>106.1</v>
      </c>
      <c r="E40" s="432">
        <f>'01CH'!D47</f>
        <v>28.239999999999995</v>
      </c>
      <c r="F40" s="432">
        <f t="shared" si="1"/>
        <v>-77.86</v>
      </c>
    </row>
    <row r="41" spans="1:6" ht="15">
      <c r="A41" s="2"/>
      <c r="B41" s="336" t="s">
        <v>132</v>
      </c>
      <c r="C41" s="2" t="s">
        <v>52</v>
      </c>
      <c r="D41" s="433"/>
      <c r="E41" s="432">
        <f>'01CH'!D48</f>
        <v>0.5</v>
      </c>
      <c r="F41" s="432">
        <f t="shared" si="1"/>
        <v>0.5</v>
      </c>
    </row>
    <row r="42" spans="1:6" ht="15">
      <c r="A42" s="2" t="s">
        <v>193</v>
      </c>
      <c r="B42" s="331" t="s">
        <v>2768</v>
      </c>
      <c r="C42" s="330" t="s">
        <v>53</v>
      </c>
      <c r="D42" s="436"/>
      <c r="E42" s="432">
        <f>'01CH'!D49</f>
        <v>0</v>
      </c>
      <c r="F42" s="432">
        <f t="shared" si="1"/>
        <v>0</v>
      </c>
    </row>
    <row r="43" spans="1:6" ht="15">
      <c r="A43" s="2" t="s">
        <v>193</v>
      </c>
      <c r="B43" s="331" t="s">
        <v>2769</v>
      </c>
      <c r="C43" s="330" t="s">
        <v>54</v>
      </c>
      <c r="D43" s="436">
        <v>2.27</v>
      </c>
      <c r="E43" s="432">
        <f>'01CH'!D50</f>
        <v>2.5099999999999998</v>
      </c>
      <c r="F43" s="432">
        <f t="shared" si="1"/>
        <v>0.23999999999999977</v>
      </c>
    </row>
    <row r="44" spans="1:6" ht="15">
      <c r="A44" s="2" t="s">
        <v>193</v>
      </c>
      <c r="B44" s="332" t="s">
        <v>2775</v>
      </c>
      <c r="C44" s="338" t="s">
        <v>2776</v>
      </c>
      <c r="D44" s="436">
        <v>0.18</v>
      </c>
      <c r="E44" s="432">
        <f>'01CH'!D51</f>
        <v>0.32</v>
      </c>
      <c r="F44" s="432">
        <f t="shared" si="1"/>
        <v>0.14000000000000001</v>
      </c>
    </row>
    <row r="45" spans="1:6" ht="30">
      <c r="A45" s="2" t="s">
        <v>69</v>
      </c>
      <c r="B45" s="279" t="s">
        <v>2774</v>
      </c>
      <c r="C45" s="280" t="s">
        <v>113</v>
      </c>
      <c r="D45" s="436">
        <f>0.12+10.85</f>
        <v>10.969999999999999</v>
      </c>
      <c r="E45" s="432">
        <f>'01CH'!D52</f>
        <v>8.4599999999999991</v>
      </c>
      <c r="F45" s="432">
        <f t="shared" si="1"/>
        <v>-2.5099999999999998</v>
      </c>
    </row>
    <row r="46" spans="1:6" ht="15">
      <c r="A46" s="2" t="s">
        <v>70</v>
      </c>
      <c r="B46" s="437" t="s">
        <v>107</v>
      </c>
      <c r="C46" s="330" t="s">
        <v>59</v>
      </c>
      <c r="D46" s="436">
        <v>940.59</v>
      </c>
      <c r="E46" s="432">
        <f>'01CH'!D53</f>
        <v>606.87</v>
      </c>
      <c r="F46" s="432">
        <f t="shared" si="1"/>
        <v>-333.72</v>
      </c>
    </row>
    <row r="47" spans="1:6" ht="15">
      <c r="A47" s="2" t="s">
        <v>71</v>
      </c>
      <c r="B47" s="437" t="s">
        <v>108</v>
      </c>
      <c r="C47" s="330" t="s">
        <v>57</v>
      </c>
      <c r="D47" s="436">
        <v>167.57</v>
      </c>
      <c r="E47" s="432">
        <f>'01CH'!D54</f>
        <v>93.449999999999989</v>
      </c>
      <c r="F47" s="432">
        <f t="shared" si="1"/>
        <v>-74.12</v>
      </c>
    </row>
    <row r="48" spans="1:6" ht="15">
      <c r="A48" s="2" t="s">
        <v>74</v>
      </c>
      <c r="B48" s="437" t="s">
        <v>95</v>
      </c>
      <c r="C48" s="330" t="s">
        <v>24</v>
      </c>
      <c r="D48" s="436">
        <f>11.98+2.73</f>
        <v>14.71</v>
      </c>
      <c r="E48" s="432">
        <f>'01CH'!D55</f>
        <v>9.5400000000000009</v>
      </c>
      <c r="F48" s="432">
        <f t="shared" si="1"/>
        <v>-5.17</v>
      </c>
    </row>
    <row r="49" spans="1:6" ht="15">
      <c r="A49" s="2" t="s">
        <v>75</v>
      </c>
      <c r="B49" s="279" t="s">
        <v>2777</v>
      </c>
      <c r="C49" s="330" t="s">
        <v>39</v>
      </c>
      <c r="D49" s="436">
        <v>23.74</v>
      </c>
      <c r="E49" s="432">
        <f>'01CH'!D58</f>
        <v>3.3499999999999996</v>
      </c>
      <c r="F49" s="432">
        <f t="shared" si="1"/>
        <v>-20.39</v>
      </c>
    </row>
    <row r="50" spans="1:6" ht="15">
      <c r="A50" s="2" t="s">
        <v>76</v>
      </c>
      <c r="B50" s="332" t="s">
        <v>2778</v>
      </c>
      <c r="C50" s="330" t="s">
        <v>42</v>
      </c>
      <c r="D50" s="431">
        <v>1374.65</v>
      </c>
      <c r="E50" s="432">
        <f>'01CH'!D60</f>
        <v>1202.03</v>
      </c>
      <c r="F50" s="432">
        <f t="shared" si="1"/>
        <v>-172.62000000000012</v>
      </c>
    </row>
    <row r="51" spans="1:6" ht="15">
      <c r="A51" s="2" t="s">
        <v>82</v>
      </c>
      <c r="B51" s="332" t="s">
        <v>2779</v>
      </c>
      <c r="C51" s="330" t="s">
        <v>41</v>
      </c>
      <c r="D51" s="436">
        <v>964.68</v>
      </c>
      <c r="E51" s="432">
        <f>'01CH'!D61</f>
        <v>2.14</v>
      </c>
      <c r="F51" s="432">
        <f t="shared" si="1"/>
        <v>-962.54</v>
      </c>
    </row>
    <row r="52" spans="1:6" ht="15">
      <c r="A52" s="2" t="s">
        <v>83</v>
      </c>
      <c r="B52" s="437" t="s">
        <v>116</v>
      </c>
      <c r="C52" s="330" t="s">
        <v>55</v>
      </c>
      <c r="D52" s="436">
        <f>0.28+1.23</f>
        <v>1.51</v>
      </c>
      <c r="E52" s="432">
        <f>'01CH'!D62</f>
        <v>0</v>
      </c>
      <c r="F52" s="432">
        <f t="shared" si="1"/>
        <v>-1.51</v>
      </c>
    </row>
    <row r="53" spans="1:6">
      <c r="A53" s="339">
        <v>3</v>
      </c>
      <c r="B53" s="426" t="s">
        <v>56</v>
      </c>
      <c r="C53" s="328" t="s">
        <v>81</v>
      </c>
      <c r="D53" s="438">
        <v>1512.82</v>
      </c>
      <c r="E53" s="427">
        <f>'01CH'!D63</f>
        <v>743.41000000000008</v>
      </c>
      <c r="F53" s="427">
        <f>E53-D53</f>
        <v>-769.40999999999985</v>
      </c>
    </row>
  </sheetData>
  <phoneticPr fontId="107"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120"/>
  <sheetViews>
    <sheetView topLeftCell="A47" workbookViewId="0">
      <selection activeCell="C62" sqref="C62"/>
    </sheetView>
  </sheetViews>
  <sheetFormatPr defaultRowHeight="14.25"/>
  <cols>
    <col min="1" max="1" width="6.625" customWidth="1"/>
    <col min="2" max="2" width="24.625" customWidth="1"/>
    <col min="3" max="3" width="6.625" customWidth="1"/>
    <col min="4" max="4" width="11.125" customWidth="1"/>
    <col min="5" max="5" width="12.375" customWidth="1"/>
    <col min="6" max="6" width="13" customWidth="1"/>
    <col min="7" max="7" width="13.125" customWidth="1"/>
    <col min="8" max="8" width="10.5" customWidth="1"/>
    <col min="9" max="10" width="14" customWidth="1"/>
  </cols>
  <sheetData>
    <row r="1" spans="1:10" s="779" customFormat="1" ht="84" customHeight="1">
      <c r="A1" s="1640" t="s">
        <v>1</v>
      </c>
      <c r="B1" s="1640" t="s">
        <v>175</v>
      </c>
      <c r="C1" s="1640" t="s">
        <v>172</v>
      </c>
      <c r="D1" s="1640" t="s">
        <v>2906</v>
      </c>
      <c r="E1" s="1640" t="s">
        <v>2907</v>
      </c>
      <c r="F1" s="1640" t="s">
        <v>2901</v>
      </c>
      <c r="G1" s="1640" t="s">
        <v>2902</v>
      </c>
      <c r="H1" s="1640"/>
      <c r="I1" s="1640" t="s">
        <v>2903</v>
      </c>
      <c r="J1" s="1640"/>
    </row>
    <row r="2" spans="1:10" s="779" customFormat="1" ht="24">
      <c r="A2" s="1640"/>
      <c r="B2" s="1640"/>
      <c r="C2" s="1640"/>
      <c r="D2" s="1640"/>
      <c r="E2" s="1640"/>
      <c r="F2" s="1640"/>
      <c r="G2" s="772" t="s">
        <v>147</v>
      </c>
      <c r="H2" s="772" t="s">
        <v>2822</v>
      </c>
      <c r="I2" s="772" t="s">
        <v>147</v>
      </c>
      <c r="J2" s="772" t="s">
        <v>2822</v>
      </c>
    </row>
    <row r="3" spans="1:10" s="779" customFormat="1" ht="12">
      <c r="A3" s="780">
        <v>-1</v>
      </c>
      <c r="B3" s="780">
        <v>-2</v>
      </c>
      <c r="C3" s="780">
        <v>-3</v>
      </c>
      <c r="D3" s="780">
        <v>-4</v>
      </c>
      <c r="E3" s="780">
        <v>-5</v>
      </c>
      <c r="F3" s="773" t="s">
        <v>2744</v>
      </c>
      <c r="G3" s="780">
        <v>-7</v>
      </c>
      <c r="H3" s="773" t="s">
        <v>2904</v>
      </c>
      <c r="I3" s="780">
        <v>-9</v>
      </c>
      <c r="J3" s="773" t="s">
        <v>2905</v>
      </c>
    </row>
    <row r="4" spans="1:10" s="779" customFormat="1" ht="12">
      <c r="A4" s="788"/>
      <c r="B4" s="775" t="s">
        <v>174</v>
      </c>
      <c r="C4" s="774"/>
      <c r="D4" s="776">
        <v>98642.91</v>
      </c>
      <c r="E4" s="798"/>
      <c r="F4" s="776">
        <v>98642.92</v>
      </c>
      <c r="G4" s="776">
        <v>98642.92</v>
      </c>
      <c r="H4" s="798"/>
      <c r="I4" s="776">
        <v>98642.92</v>
      </c>
      <c r="J4" s="798"/>
    </row>
    <row r="5" spans="1:10" s="779" customFormat="1" ht="12">
      <c r="A5" s="788">
        <v>1</v>
      </c>
      <c r="B5" s="781" t="s">
        <v>3</v>
      </c>
      <c r="C5" s="792" t="s">
        <v>4</v>
      </c>
      <c r="D5" s="776">
        <f>'06CH'!D9</f>
        <v>87326.82</v>
      </c>
      <c r="E5" s="776">
        <f>F5-D5</f>
        <v>17767.768649999998</v>
      </c>
      <c r="F5" s="776">
        <f>'06CH'!F9</f>
        <v>105094.58865000001</v>
      </c>
      <c r="G5" s="776">
        <f>'02CH'!D8</f>
        <v>105164.20000000001</v>
      </c>
      <c r="H5" s="776">
        <f>F5-G5</f>
        <v>-69.611350000006496</v>
      </c>
      <c r="I5" s="776">
        <f>'02CH'!E8</f>
        <v>105229.01</v>
      </c>
      <c r="J5" s="776">
        <f>F5-I5</f>
        <v>-134.42134999998962</v>
      </c>
    </row>
    <row r="6" spans="1:10" s="779" customFormat="1" ht="12">
      <c r="A6" s="789"/>
      <c r="B6" s="782" t="s">
        <v>190</v>
      </c>
      <c r="C6" s="793"/>
      <c r="D6" s="777"/>
      <c r="E6" s="798"/>
      <c r="F6" s="777"/>
      <c r="G6" s="798"/>
      <c r="H6" s="777"/>
      <c r="I6" s="798"/>
      <c r="J6" s="777"/>
    </row>
    <row r="7" spans="1:10" s="779" customFormat="1" ht="12">
      <c r="A7" s="790" t="s">
        <v>6</v>
      </c>
      <c r="B7" s="783" t="s">
        <v>85</v>
      </c>
      <c r="C7" s="794" t="s">
        <v>5</v>
      </c>
      <c r="D7" s="777">
        <f>'06CH'!D11</f>
        <v>5851.5</v>
      </c>
      <c r="E7" s="777">
        <f>F7-D7</f>
        <v>-2644.7838500000003</v>
      </c>
      <c r="F7" s="777">
        <f>'06CH'!F11</f>
        <v>3206.7161499999997</v>
      </c>
      <c r="G7" s="777">
        <f>'02CH'!D10</f>
        <v>3208.84</v>
      </c>
      <c r="H7" s="777">
        <f t="shared" ref="H7:H59" si="0">F7-G7</f>
        <v>-2.1238500000004024</v>
      </c>
      <c r="I7" s="777">
        <f>'02CH'!E10</f>
        <v>3228.55</v>
      </c>
      <c r="J7" s="777">
        <f t="shared" ref="J7:J59" si="1">F7-I7</f>
        <v>-21.833850000000439</v>
      </c>
    </row>
    <row r="8" spans="1:10" s="799" customFormat="1" ht="12">
      <c r="A8" s="789"/>
      <c r="B8" s="784" t="s">
        <v>2746</v>
      </c>
      <c r="C8" s="793" t="s">
        <v>7</v>
      </c>
      <c r="D8" s="778">
        <f>'06CH'!D12</f>
        <v>3201.3</v>
      </c>
      <c r="E8" s="778">
        <f t="shared" ref="E8:E59" si="2">F8-D8</f>
        <v>-1130.29385</v>
      </c>
      <c r="F8" s="778">
        <f>'06CH'!F12</f>
        <v>2071.0061500000002</v>
      </c>
      <c r="G8" s="778">
        <f>'02CH'!D11</f>
        <v>2070.0100000000002</v>
      </c>
      <c r="H8" s="778">
        <f t="shared" si="0"/>
        <v>0.99614999999994325</v>
      </c>
      <c r="I8" s="778">
        <f>'02CH'!E11</f>
        <v>2086.2599999999998</v>
      </c>
      <c r="J8" s="778">
        <f t="shared" si="1"/>
        <v>-15.253849999999602</v>
      </c>
    </row>
    <row r="9" spans="1:10" s="779" customFormat="1" ht="12">
      <c r="A9" s="790" t="s">
        <v>9</v>
      </c>
      <c r="B9" s="783" t="s">
        <v>2747</v>
      </c>
      <c r="C9" s="794" t="s">
        <v>12</v>
      </c>
      <c r="D9" s="777">
        <f>'06CH'!D13</f>
        <v>0</v>
      </c>
      <c r="E9" s="777">
        <f t="shared" si="2"/>
        <v>2283.2925</v>
      </c>
      <c r="F9" s="777">
        <f>'06CH'!F13</f>
        <v>2283.2925</v>
      </c>
      <c r="G9" s="777">
        <f>'02CH'!D12</f>
        <v>2292.6</v>
      </c>
      <c r="H9" s="777">
        <f t="shared" si="0"/>
        <v>-9.3074999999998909</v>
      </c>
      <c r="I9" s="777">
        <f>'02CH'!E12</f>
        <v>2313.31</v>
      </c>
      <c r="J9" s="777">
        <f t="shared" si="1"/>
        <v>-30.017499999999927</v>
      </c>
    </row>
    <row r="10" spans="1:10" s="779" customFormat="1" ht="12">
      <c r="A10" s="790" t="s">
        <v>11</v>
      </c>
      <c r="B10" s="783" t="s">
        <v>60</v>
      </c>
      <c r="C10" s="794" t="s">
        <v>14</v>
      </c>
      <c r="D10" s="777">
        <f>'06CH'!D14</f>
        <v>2566.4</v>
      </c>
      <c r="E10" s="777">
        <f t="shared" si="2"/>
        <v>-1901.9550000000002</v>
      </c>
      <c r="F10" s="777">
        <f>'06CH'!F14</f>
        <v>664.44499999999994</v>
      </c>
      <c r="G10" s="777">
        <f>'02CH'!D13</f>
        <v>735.41000000000008</v>
      </c>
      <c r="H10" s="777">
        <f t="shared" si="0"/>
        <v>-70.965000000000146</v>
      </c>
      <c r="I10" s="777">
        <f>'02CH'!E13</f>
        <v>678.03</v>
      </c>
      <c r="J10" s="777">
        <f t="shared" si="1"/>
        <v>-13.585000000000036</v>
      </c>
    </row>
    <row r="11" spans="1:10" s="779" customFormat="1" ht="12">
      <c r="A11" s="790" t="s">
        <v>13</v>
      </c>
      <c r="B11" s="783" t="s">
        <v>61</v>
      </c>
      <c r="C11" s="794" t="s">
        <v>16</v>
      </c>
      <c r="D11" s="777">
        <f>'06CH'!D15</f>
        <v>9729.9</v>
      </c>
      <c r="E11" s="777">
        <f t="shared" si="2"/>
        <v>151.94999999999891</v>
      </c>
      <c r="F11" s="777">
        <f>'06CH'!F15</f>
        <v>9881.8499999999985</v>
      </c>
      <c r="G11" s="777">
        <f>'02CH'!D14</f>
        <v>9881.8499999999985</v>
      </c>
      <c r="H11" s="777">
        <f t="shared" si="0"/>
        <v>0</v>
      </c>
      <c r="I11" s="777">
        <f>'02CH'!E14</f>
        <v>9881.8499999999985</v>
      </c>
      <c r="J11" s="777">
        <f t="shared" si="1"/>
        <v>0</v>
      </c>
    </row>
    <row r="12" spans="1:10" s="779" customFormat="1" ht="12">
      <c r="A12" s="790" t="s">
        <v>15</v>
      </c>
      <c r="B12" s="783" t="s">
        <v>62</v>
      </c>
      <c r="C12" s="790" t="s">
        <v>17</v>
      </c>
      <c r="D12" s="777">
        <f>'06CH'!D16</f>
        <v>2211.8000000000002</v>
      </c>
      <c r="E12" s="777">
        <f t="shared" si="2"/>
        <v>-2211.8000000000002</v>
      </c>
      <c r="F12" s="777">
        <f>'06CH'!F16</f>
        <v>0</v>
      </c>
      <c r="G12" s="777">
        <f>'02CH'!D15</f>
        <v>0</v>
      </c>
      <c r="H12" s="777">
        <f t="shared" si="0"/>
        <v>0</v>
      </c>
      <c r="I12" s="777">
        <f>'02CH'!E15</f>
        <v>0</v>
      </c>
      <c r="J12" s="777">
        <f t="shared" si="1"/>
        <v>0</v>
      </c>
    </row>
    <row r="13" spans="1:10" s="779" customFormat="1" ht="12">
      <c r="A13" s="790" t="s">
        <v>64</v>
      </c>
      <c r="B13" s="783" t="s">
        <v>63</v>
      </c>
      <c r="C13" s="790" t="s">
        <v>18</v>
      </c>
      <c r="D13" s="777">
        <f>'06CH'!D17</f>
        <v>61783.799999999996</v>
      </c>
      <c r="E13" s="777">
        <f t="shared" si="2"/>
        <v>27141.505000000012</v>
      </c>
      <c r="F13" s="777">
        <f>'06CH'!F17</f>
        <v>88925.305000000008</v>
      </c>
      <c r="G13" s="777">
        <f>'02CH'!D16</f>
        <v>88886.25</v>
      </c>
      <c r="H13" s="777">
        <f t="shared" si="0"/>
        <v>39.055000000007567</v>
      </c>
      <c r="I13" s="778">
        <f>'02CH'!E16</f>
        <v>89007.890000000014</v>
      </c>
      <c r="J13" s="777">
        <f t="shared" si="1"/>
        <v>-82.585000000006403</v>
      </c>
    </row>
    <row r="14" spans="1:10" s="799" customFormat="1" ht="24">
      <c r="A14" s="789"/>
      <c r="B14" s="784" t="s">
        <v>198</v>
      </c>
      <c r="C14" s="789" t="s">
        <v>187</v>
      </c>
      <c r="D14" s="778">
        <f>'06CH'!D18</f>
        <v>5532.4</v>
      </c>
      <c r="E14" s="778">
        <f t="shared" si="2"/>
        <v>50933.829999999994</v>
      </c>
      <c r="F14" s="778">
        <f>'06CH'!F18</f>
        <v>56466.229999999996</v>
      </c>
      <c r="G14" s="778">
        <f>'02CH'!E17</f>
        <v>56466.229999999996</v>
      </c>
      <c r="H14" s="778">
        <f t="shared" si="0"/>
        <v>0</v>
      </c>
      <c r="I14" s="778">
        <f>'02CH'!E17</f>
        <v>56466.229999999996</v>
      </c>
      <c r="J14" s="778">
        <f t="shared" si="1"/>
        <v>0</v>
      </c>
    </row>
    <row r="15" spans="1:10" s="779" customFormat="1" ht="12">
      <c r="A15" s="790" t="s">
        <v>73</v>
      </c>
      <c r="B15" s="783" t="s">
        <v>72</v>
      </c>
      <c r="C15" s="790" t="s">
        <v>19</v>
      </c>
      <c r="D15" s="777">
        <f>'06CH'!D19</f>
        <v>0</v>
      </c>
      <c r="E15" s="777">
        <f t="shared" si="2"/>
        <v>105.89</v>
      </c>
      <c r="F15" s="777">
        <f>'06CH'!F19</f>
        <v>105.89</v>
      </c>
      <c r="G15" s="777">
        <f>'02CH'!D18</f>
        <v>108.34</v>
      </c>
      <c r="H15" s="777">
        <f t="shared" si="0"/>
        <v>-2.4500000000000028</v>
      </c>
      <c r="I15" s="777">
        <f>'02CH'!E18</f>
        <v>108.97999999999999</v>
      </c>
      <c r="J15" s="777">
        <f t="shared" si="1"/>
        <v>-3.0899999999999892</v>
      </c>
    </row>
    <row r="16" spans="1:10" s="779" customFormat="1" ht="12" hidden="1">
      <c r="A16" s="791" t="s">
        <v>86</v>
      </c>
      <c r="B16" s="783" t="s">
        <v>2749</v>
      </c>
      <c r="C16" s="791" t="s">
        <v>2752</v>
      </c>
      <c r="D16" s="777">
        <f>'06CH'!D20</f>
        <v>0</v>
      </c>
      <c r="E16" s="777">
        <f t="shared" si="2"/>
        <v>0</v>
      </c>
      <c r="F16" s="777">
        <f>'06CH'!F20</f>
        <v>0</v>
      </c>
      <c r="G16" s="777">
        <f>'02CH'!D19</f>
        <v>0</v>
      </c>
      <c r="H16" s="777">
        <f t="shared" si="0"/>
        <v>0</v>
      </c>
      <c r="I16" s="776">
        <v>8214.6200000000008</v>
      </c>
      <c r="J16" s="777">
        <f t="shared" si="1"/>
        <v>-8214.6200000000008</v>
      </c>
    </row>
    <row r="17" spans="1:10" s="779" customFormat="1" ht="12">
      <c r="A17" s="790" t="s">
        <v>86</v>
      </c>
      <c r="B17" s="783" t="s">
        <v>89</v>
      </c>
      <c r="C17" s="790" t="s">
        <v>20</v>
      </c>
      <c r="D17" s="777">
        <f>'06CH'!D21</f>
        <v>0</v>
      </c>
      <c r="E17" s="777">
        <f t="shared" si="2"/>
        <v>27.09</v>
      </c>
      <c r="F17" s="777">
        <f>'06CH'!F21</f>
        <v>27.09</v>
      </c>
      <c r="G17" s="777">
        <f>'02CH'!D20</f>
        <v>50.910000000000004</v>
      </c>
      <c r="H17" s="777">
        <f t="shared" si="0"/>
        <v>-23.820000000000004</v>
      </c>
      <c r="I17" s="798">
        <f>'02CH'!E20</f>
        <v>10.4</v>
      </c>
      <c r="J17" s="777">
        <f t="shared" si="1"/>
        <v>16.689999999999998</v>
      </c>
    </row>
    <row r="18" spans="1:10" s="779" customFormat="1" ht="12">
      <c r="A18" s="788">
        <v>2</v>
      </c>
      <c r="B18" s="781" t="s">
        <v>21</v>
      </c>
      <c r="C18" s="795" t="s">
        <v>22</v>
      </c>
      <c r="D18" s="776">
        <f>'06CH'!D22</f>
        <v>9943.7900000000009</v>
      </c>
      <c r="E18" s="776">
        <f t="shared" si="2"/>
        <v>-6353.9886500000011</v>
      </c>
      <c r="F18" s="776">
        <f>'06CH'!F22</f>
        <v>3589.8013500000002</v>
      </c>
      <c r="G18" s="776">
        <f>'02CH'!D21</f>
        <v>3516.07</v>
      </c>
      <c r="H18" s="776">
        <f t="shared" si="0"/>
        <v>73.73135000000002</v>
      </c>
      <c r="I18" s="777">
        <f>'02CH'!E21</f>
        <v>3442.7</v>
      </c>
      <c r="J18" s="776">
        <f t="shared" si="1"/>
        <v>147.10135000000037</v>
      </c>
    </row>
    <row r="19" spans="1:10" s="779" customFormat="1" ht="12">
      <c r="A19" s="790"/>
      <c r="B19" s="782" t="s">
        <v>190</v>
      </c>
      <c r="C19" s="790"/>
      <c r="D19" s="777"/>
      <c r="E19" s="777"/>
      <c r="F19" s="777"/>
      <c r="G19" s="777"/>
      <c r="H19" s="777"/>
      <c r="I19" s="777"/>
      <c r="J19" s="777">
        <f t="shared" si="1"/>
        <v>0</v>
      </c>
    </row>
    <row r="20" spans="1:10" s="779" customFormat="1" ht="12">
      <c r="A20" s="790" t="s">
        <v>23</v>
      </c>
      <c r="B20" s="783" t="s">
        <v>65</v>
      </c>
      <c r="C20" s="790" t="s">
        <v>26</v>
      </c>
      <c r="D20" s="777">
        <f>'06CH'!D24</f>
        <v>1835.3</v>
      </c>
      <c r="E20" s="777">
        <f t="shared" si="2"/>
        <v>-1803.82</v>
      </c>
      <c r="F20" s="777">
        <f>'06CH'!F24</f>
        <v>31.48</v>
      </c>
      <c r="G20" s="777">
        <f>'02CH'!D23</f>
        <v>31.48</v>
      </c>
      <c r="H20" s="777">
        <f t="shared" si="0"/>
        <v>0</v>
      </c>
      <c r="I20" s="777">
        <f>'02CH'!E23</f>
        <v>15.48</v>
      </c>
      <c r="J20" s="777">
        <f t="shared" si="1"/>
        <v>16</v>
      </c>
    </row>
    <row r="21" spans="1:10" s="779" customFormat="1" ht="12">
      <c r="A21" s="790" t="s">
        <v>25</v>
      </c>
      <c r="B21" s="783" t="s">
        <v>66</v>
      </c>
      <c r="C21" s="790" t="s">
        <v>28</v>
      </c>
      <c r="D21" s="777">
        <f>'06CH'!D25</f>
        <v>16.080000000000002</v>
      </c>
      <c r="E21" s="777">
        <f t="shared" si="2"/>
        <v>-12.870000000000001</v>
      </c>
      <c r="F21" s="777">
        <f>'06CH'!F25</f>
        <v>3.21</v>
      </c>
      <c r="G21" s="777">
        <f>'02CH'!D24</f>
        <v>4.1100000000000012</v>
      </c>
      <c r="H21" s="777">
        <f t="shared" si="0"/>
        <v>-0.90000000000000124</v>
      </c>
      <c r="I21" s="777">
        <f>'02CH'!E24</f>
        <v>1.4300000000000002</v>
      </c>
      <c r="J21" s="777">
        <f t="shared" si="1"/>
        <v>1.7799999999999998</v>
      </c>
    </row>
    <row r="22" spans="1:10" s="779" customFormat="1" ht="12">
      <c r="A22" s="790" t="s">
        <v>27</v>
      </c>
      <c r="B22" s="783" t="s">
        <v>67</v>
      </c>
      <c r="C22" s="790" t="s">
        <v>30</v>
      </c>
      <c r="D22" s="777"/>
      <c r="E22" s="777"/>
      <c r="F22" s="777"/>
      <c r="G22" s="777"/>
      <c r="H22" s="777"/>
      <c r="I22" s="777"/>
      <c r="J22" s="777">
        <f t="shared" si="1"/>
        <v>0</v>
      </c>
    </row>
    <row r="23" spans="1:10" s="779" customFormat="1" ht="12">
      <c r="A23" s="790" t="s">
        <v>27</v>
      </c>
      <c r="B23" s="783" t="s">
        <v>90</v>
      </c>
      <c r="C23" s="790" t="s">
        <v>91</v>
      </c>
      <c r="D23" s="777">
        <f>'06CH'!D27</f>
        <v>125.35</v>
      </c>
      <c r="E23" s="777">
        <f t="shared" si="2"/>
        <v>-95.35</v>
      </c>
      <c r="F23" s="777">
        <f>'06CH'!F27</f>
        <v>30</v>
      </c>
      <c r="G23" s="777">
        <f>'02CH'!D26</f>
        <v>0</v>
      </c>
      <c r="H23" s="777">
        <f t="shared" si="0"/>
        <v>30</v>
      </c>
      <c r="I23" s="777">
        <f>'02CH'!E26</f>
        <v>0</v>
      </c>
      <c r="J23" s="777">
        <f t="shared" si="1"/>
        <v>30</v>
      </c>
    </row>
    <row r="24" spans="1:10" s="779" customFormat="1" ht="12">
      <c r="A24" s="790" t="s">
        <v>29</v>
      </c>
      <c r="B24" s="783" t="s">
        <v>92</v>
      </c>
      <c r="C24" s="790" t="s">
        <v>93</v>
      </c>
      <c r="D24" s="777">
        <f>'06CH'!D28</f>
        <v>63.2</v>
      </c>
      <c r="E24" s="777">
        <f t="shared" si="2"/>
        <v>-42.92</v>
      </c>
      <c r="F24" s="777">
        <f>'06CH'!F28</f>
        <v>20.28</v>
      </c>
      <c r="G24" s="777">
        <f>'02CH'!D27</f>
        <v>20.28</v>
      </c>
      <c r="H24" s="777">
        <f t="shared" si="0"/>
        <v>0</v>
      </c>
      <c r="I24" s="777">
        <f>'02CH'!E27</f>
        <v>16.32</v>
      </c>
      <c r="J24" s="777">
        <f t="shared" si="1"/>
        <v>3.9600000000000009</v>
      </c>
    </row>
    <row r="25" spans="1:10" s="779" customFormat="1" ht="12">
      <c r="A25" s="790" t="s">
        <v>31</v>
      </c>
      <c r="B25" s="783" t="s">
        <v>94</v>
      </c>
      <c r="C25" s="790" t="s">
        <v>32</v>
      </c>
      <c r="D25" s="777">
        <f>'06CH'!D29</f>
        <v>83</v>
      </c>
      <c r="E25" s="777">
        <f t="shared" si="2"/>
        <v>-80.099999999999994</v>
      </c>
      <c r="F25" s="777">
        <f>'06CH'!F29</f>
        <v>2.9</v>
      </c>
      <c r="G25" s="777">
        <f>'02CH'!D28</f>
        <v>4.5900000000000007</v>
      </c>
      <c r="H25" s="777">
        <f t="shared" si="0"/>
        <v>-1.6900000000000008</v>
      </c>
      <c r="I25" s="777">
        <f>'02CH'!E28</f>
        <v>2.23</v>
      </c>
      <c r="J25" s="777">
        <f t="shared" si="1"/>
        <v>0.66999999999999993</v>
      </c>
    </row>
    <row r="26" spans="1:10" s="779" customFormat="1" ht="12">
      <c r="A26" s="790" t="s">
        <v>33</v>
      </c>
      <c r="B26" s="783" t="s">
        <v>106</v>
      </c>
      <c r="C26" s="790" t="s">
        <v>35</v>
      </c>
      <c r="D26" s="777">
        <f>'06CH'!D30</f>
        <v>413.3</v>
      </c>
      <c r="E26" s="777">
        <f t="shared" si="2"/>
        <v>-395.79</v>
      </c>
      <c r="F26" s="777">
        <f>'06CH'!F30</f>
        <v>17.509999999999998</v>
      </c>
      <c r="G26" s="798">
        <f>'02CH'!D29</f>
        <v>19.88</v>
      </c>
      <c r="H26" s="777">
        <f t="shared" si="0"/>
        <v>-2.370000000000001</v>
      </c>
      <c r="I26" s="798">
        <f>'02CH'!E29</f>
        <v>17.509999999999998</v>
      </c>
      <c r="J26" s="777">
        <f t="shared" si="1"/>
        <v>0</v>
      </c>
    </row>
    <row r="27" spans="1:10" s="779" customFormat="1" ht="24">
      <c r="A27" s="790" t="s">
        <v>68</v>
      </c>
      <c r="B27" s="783" t="s">
        <v>125</v>
      </c>
      <c r="C27" s="790" t="s">
        <v>43</v>
      </c>
      <c r="D27" s="777">
        <f>'06CH'!D31</f>
        <v>3638.46</v>
      </c>
      <c r="E27" s="777">
        <f t="shared" si="2"/>
        <v>-2102.5673900000002</v>
      </c>
      <c r="F27" s="777">
        <f>'06CH'!F31</f>
        <v>1535.8926099999999</v>
      </c>
      <c r="G27" s="777">
        <f>'02CH'!D30</f>
        <v>1482.61</v>
      </c>
      <c r="H27" s="777">
        <f t="shared" si="0"/>
        <v>53.282609999999977</v>
      </c>
      <c r="I27" s="777">
        <f>'02CH'!E30</f>
        <v>1463.8799999999999</v>
      </c>
      <c r="J27" s="777">
        <f t="shared" si="1"/>
        <v>72.012609999999995</v>
      </c>
    </row>
    <row r="28" spans="1:10" s="779" customFormat="1" ht="12">
      <c r="A28" s="789"/>
      <c r="B28" s="782" t="s">
        <v>190</v>
      </c>
      <c r="C28" s="789"/>
      <c r="D28" s="777"/>
      <c r="E28" s="777"/>
      <c r="F28" s="777"/>
      <c r="G28" s="777"/>
      <c r="H28" s="777"/>
      <c r="I28" s="777"/>
      <c r="J28" s="777"/>
    </row>
    <row r="29" spans="1:10" s="779" customFormat="1" ht="12">
      <c r="A29" s="790" t="s">
        <v>193</v>
      </c>
      <c r="B29" s="783" t="s">
        <v>2757</v>
      </c>
      <c r="C29" s="790" t="s">
        <v>44</v>
      </c>
      <c r="D29" s="777">
        <f>'06CH'!D33</f>
        <v>2028.9</v>
      </c>
      <c r="E29" s="777">
        <f t="shared" si="2"/>
        <v>-682.45704000000001</v>
      </c>
      <c r="F29" s="777">
        <f>'06CH'!F33</f>
        <v>1346.4429600000001</v>
      </c>
      <c r="G29" s="777">
        <f>'02CH'!D32</f>
        <v>1293.9000000000001</v>
      </c>
      <c r="H29" s="777">
        <f t="shared" si="0"/>
        <v>52.542959999999994</v>
      </c>
      <c r="I29" s="777">
        <f>'02CH'!E32</f>
        <v>1289.4599999999998</v>
      </c>
      <c r="J29" s="777">
        <f t="shared" si="1"/>
        <v>56.982960000000276</v>
      </c>
    </row>
    <row r="30" spans="1:10" s="779" customFormat="1" ht="12">
      <c r="A30" s="790" t="s">
        <v>193</v>
      </c>
      <c r="B30" s="783" t="s">
        <v>2758</v>
      </c>
      <c r="C30" s="790" t="s">
        <v>45</v>
      </c>
      <c r="D30" s="777">
        <f>'06CH'!D34</f>
        <v>172.2</v>
      </c>
      <c r="E30" s="777">
        <f t="shared" si="2"/>
        <v>-94.131350000000012</v>
      </c>
      <c r="F30" s="777">
        <f>'06CH'!F34</f>
        <v>78.068649999999977</v>
      </c>
      <c r="G30" s="777">
        <f>'02CH'!D33</f>
        <v>78.75</v>
      </c>
      <c r="H30" s="777">
        <f t="shared" si="0"/>
        <v>-0.68135000000002321</v>
      </c>
      <c r="I30" s="777">
        <f>'02CH'!E33</f>
        <v>77.82999999999997</v>
      </c>
      <c r="J30" s="777">
        <f t="shared" si="1"/>
        <v>0.23865000000000691</v>
      </c>
    </row>
    <row r="31" spans="1:10" s="779" customFormat="1" ht="12">
      <c r="A31" s="790" t="s">
        <v>193</v>
      </c>
      <c r="B31" s="785" t="s">
        <v>2770</v>
      </c>
      <c r="C31" s="794" t="s">
        <v>2771</v>
      </c>
      <c r="D31" s="777">
        <f>'06CH'!D35</f>
        <v>0</v>
      </c>
      <c r="E31" s="777">
        <f t="shared" si="2"/>
        <v>0.2</v>
      </c>
      <c r="F31" s="777">
        <f>'06CH'!F35</f>
        <v>0.2</v>
      </c>
      <c r="G31" s="777">
        <f>'02CH'!D34</f>
        <v>0.17</v>
      </c>
      <c r="H31" s="777">
        <f t="shared" si="0"/>
        <v>0.03</v>
      </c>
      <c r="I31" s="777">
        <f>'02CH'!E34</f>
        <v>0.16999999999999998</v>
      </c>
      <c r="J31" s="777">
        <f t="shared" si="1"/>
        <v>3.0000000000000027E-2</v>
      </c>
    </row>
    <row r="32" spans="1:10" s="779" customFormat="1" ht="12">
      <c r="A32" s="790" t="s">
        <v>193</v>
      </c>
      <c r="B32" s="785" t="s">
        <v>2772</v>
      </c>
      <c r="C32" s="794" t="s">
        <v>2773</v>
      </c>
      <c r="D32" s="777">
        <f>'06CH'!D36</f>
        <v>0</v>
      </c>
      <c r="E32" s="777">
        <f t="shared" si="2"/>
        <v>0</v>
      </c>
      <c r="F32" s="777">
        <f>'06CH'!F36</f>
        <v>0</v>
      </c>
      <c r="G32" s="777">
        <f>'02CH'!D35</f>
        <v>0</v>
      </c>
      <c r="H32" s="777">
        <f t="shared" si="0"/>
        <v>0</v>
      </c>
      <c r="I32" s="777">
        <f>'02CH'!E35</f>
        <v>0</v>
      </c>
      <c r="J32" s="777">
        <f t="shared" si="1"/>
        <v>0</v>
      </c>
    </row>
    <row r="33" spans="1:10" s="779" customFormat="1" ht="12">
      <c r="A33" s="790" t="s">
        <v>193</v>
      </c>
      <c r="B33" s="783" t="s">
        <v>127</v>
      </c>
      <c r="C33" s="790" t="s">
        <v>48</v>
      </c>
      <c r="D33" s="777">
        <f>'06CH'!D37</f>
        <v>5.0599999999999996</v>
      </c>
      <c r="E33" s="777">
        <f t="shared" si="2"/>
        <v>-2.3699999999999992</v>
      </c>
      <c r="F33" s="777">
        <f>'06CH'!F37</f>
        <v>2.6900000000000004</v>
      </c>
      <c r="G33" s="777">
        <f>'02CH'!D36</f>
        <v>3.7899999999999996</v>
      </c>
      <c r="H33" s="777">
        <f t="shared" si="0"/>
        <v>-1.0999999999999992</v>
      </c>
      <c r="I33" s="777">
        <f>'02CH'!E36</f>
        <v>1.8900000000000003</v>
      </c>
      <c r="J33" s="777">
        <f t="shared" si="1"/>
        <v>0.8</v>
      </c>
    </row>
    <row r="34" spans="1:10" s="779" customFormat="1" ht="12">
      <c r="A34" s="790" t="s">
        <v>193</v>
      </c>
      <c r="B34" s="783" t="s">
        <v>129</v>
      </c>
      <c r="C34" s="790" t="s">
        <v>49</v>
      </c>
      <c r="D34" s="777">
        <f>'06CH'!D38</f>
        <v>10.9</v>
      </c>
      <c r="E34" s="777">
        <f t="shared" si="2"/>
        <v>-6.27</v>
      </c>
      <c r="F34" s="777">
        <f>'06CH'!F38</f>
        <v>4.6300000000000008</v>
      </c>
      <c r="G34" s="777">
        <f>'02CH'!D37</f>
        <v>4.6800000000000006</v>
      </c>
      <c r="H34" s="777">
        <f t="shared" si="0"/>
        <v>-4.9999999999999822E-2</v>
      </c>
      <c r="I34" s="777">
        <f>'02CH'!E37</f>
        <v>4.6900000000000004</v>
      </c>
      <c r="J34" s="777">
        <f t="shared" si="1"/>
        <v>-5.9999999999999609E-2</v>
      </c>
    </row>
    <row r="35" spans="1:10" s="779" customFormat="1" ht="12">
      <c r="A35" s="790" t="s">
        <v>193</v>
      </c>
      <c r="B35" s="783" t="s">
        <v>220</v>
      </c>
      <c r="C35" s="790" t="s">
        <v>50</v>
      </c>
      <c r="D35" s="777">
        <f>'06CH'!D39</f>
        <v>82.6</v>
      </c>
      <c r="E35" s="777">
        <f t="shared" si="2"/>
        <v>-38.829999999999991</v>
      </c>
      <c r="F35" s="777">
        <f>'06CH'!F39</f>
        <v>43.77</v>
      </c>
      <c r="G35" s="777">
        <f>'02CH'!D38</f>
        <v>45.34</v>
      </c>
      <c r="H35" s="777">
        <f t="shared" si="0"/>
        <v>-1.5700000000000003</v>
      </c>
      <c r="I35" s="777">
        <f>'02CH'!E38</f>
        <v>42.95</v>
      </c>
      <c r="J35" s="777">
        <f t="shared" si="1"/>
        <v>0.82000000000000028</v>
      </c>
    </row>
    <row r="36" spans="1:10" s="779" customFormat="1" ht="12">
      <c r="A36" s="790" t="s">
        <v>193</v>
      </c>
      <c r="B36" s="783" t="s">
        <v>2307</v>
      </c>
      <c r="C36" s="790" t="s">
        <v>51</v>
      </c>
      <c r="D36" s="777">
        <f>'06CH'!D40</f>
        <v>31.3</v>
      </c>
      <c r="E36" s="777">
        <f t="shared" si="2"/>
        <v>-28.95</v>
      </c>
      <c r="F36" s="777">
        <f>'06CH'!F40</f>
        <v>2.35</v>
      </c>
      <c r="G36" s="777">
        <f>'02CH'!D39</f>
        <v>2.42</v>
      </c>
      <c r="H36" s="777">
        <f t="shared" si="0"/>
        <v>-6.999999999999984E-2</v>
      </c>
      <c r="I36" s="777">
        <f>'02CH'!E39</f>
        <v>2.08</v>
      </c>
      <c r="J36" s="777">
        <f t="shared" si="1"/>
        <v>0.27</v>
      </c>
    </row>
    <row r="37" spans="1:10" s="779" customFormat="1" ht="24">
      <c r="A37" s="790" t="s">
        <v>193</v>
      </c>
      <c r="B37" s="783" t="s">
        <v>2759</v>
      </c>
      <c r="C37" s="794" t="s">
        <v>46</v>
      </c>
      <c r="D37" s="777">
        <f>'06CH'!D41</f>
        <v>174.9</v>
      </c>
      <c r="E37" s="777">
        <f t="shared" si="2"/>
        <v>-159.119</v>
      </c>
      <c r="F37" s="777">
        <f>'06CH'!F41</f>
        <v>15.780999999999999</v>
      </c>
      <c r="G37" s="777">
        <f>'02CH'!D40</f>
        <v>16.079999999999998</v>
      </c>
      <c r="H37" s="777">
        <f t="shared" si="0"/>
        <v>-0.29899999999999949</v>
      </c>
      <c r="I37" s="777">
        <f>'02CH'!E40</f>
        <v>12.53</v>
      </c>
      <c r="J37" s="777">
        <f t="shared" si="1"/>
        <v>3.2509999999999994</v>
      </c>
    </row>
    <row r="38" spans="1:10" s="779" customFormat="1" ht="24">
      <c r="A38" s="790" t="s">
        <v>193</v>
      </c>
      <c r="B38" s="783" t="s">
        <v>2760</v>
      </c>
      <c r="C38" s="794" t="s">
        <v>47</v>
      </c>
      <c r="D38" s="777">
        <f>'06CH'!D42</f>
        <v>4</v>
      </c>
      <c r="E38" s="777">
        <f t="shared" si="2"/>
        <v>-3.55</v>
      </c>
      <c r="F38" s="777">
        <f>'06CH'!F42</f>
        <v>0.45000000000000018</v>
      </c>
      <c r="G38" s="777">
        <f>'02CH'!D41</f>
        <v>0.45000000000000007</v>
      </c>
      <c r="H38" s="777">
        <f t="shared" si="0"/>
        <v>0</v>
      </c>
      <c r="I38" s="777">
        <f>'02CH'!E41</f>
        <v>0.45000000000000018</v>
      </c>
      <c r="J38" s="777">
        <f t="shared" si="1"/>
        <v>0</v>
      </c>
    </row>
    <row r="39" spans="1:10" s="779" customFormat="1" ht="12">
      <c r="A39" s="790" t="s">
        <v>193</v>
      </c>
      <c r="B39" s="783" t="s">
        <v>2761</v>
      </c>
      <c r="C39" s="794" t="s">
        <v>2762</v>
      </c>
      <c r="D39" s="777">
        <f>'06CH'!D43</f>
        <v>0</v>
      </c>
      <c r="E39" s="777">
        <f t="shared" si="2"/>
        <v>0</v>
      </c>
      <c r="F39" s="777">
        <f>'06CH'!F43</f>
        <v>0</v>
      </c>
      <c r="G39" s="777">
        <f>'02CH'!D42</f>
        <v>3.3899999999999997</v>
      </c>
      <c r="H39" s="777">
        <f t="shared" si="0"/>
        <v>-3.3899999999999997</v>
      </c>
      <c r="I39" s="777">
        <f>'02CH'!E42</f>
        <v>0.19</v>
      </c>
      <c r="J39" s="777">
        <f t="shared" si="1"/>
        <v>-0.19</v>
      </c>
    </row>
    <row r="40" spans="1:10" s="779" customFormat="1" ht="24">
      <c r="A40" s="790" t="s">
        <v>193</v>
      </c>
      <c r="B40" s="783" t="s">
        <v>2763</v>
      </c>
      <c r="C40" s="794" t="s">
        <v>2764</v>
      </c>
      <c r="D40" s="777">
        <f>'06CH'!D44</f>
        <v>459.2</v>
      </c>
      <c r="E40" s="777">
        <f t="shared" si="2"/>
        <v>-457.26</v>
      </c>
      <c r="F40" s="777">
        <f>'06CH'!F44</f>
        <v>1.9400000000000004</v>
      </c>
      <c r="G40" s="777">
        <f>'02CH'!D43</f>
        <v>2.16</v>
      </c>
      <c r="H40" s="777">
        <f t="shared" si="0"/>
        <v>-0.21999999999999975</v>
      </c>
      <c r="I40" s="777">
        <f>'02CH'!E43</f>
        <v>6.9999999999999993E-2</v>
      </c>
      <c r="J40" s="777">
        <f t="shared" si="1"/>
        <v>1.8700000000000003</v>
      </c>
    </row>
    <row r="41" spans="1:10" s="779" customFormat="1" ht="12">
      <c r="A41" s="790" t="s">
        <v>193</v>
      </c>
      <c r="B41" s="783" t="s">
        <v>2765</v>
      </c>
      <c r="C41" s="794" t="s">
        <v>37</v>
      </c>
      <c r="D41" s="777">
        <f>'06CH'!D45</f>
        <v>535</v>
      </c>
      <c r="E41" s="777">
        <f t="shared" si="2"/>
        <v>-527.13</v>
      </c>
      <c r="F41" s="777">
        <f>'06CH'!F45</f>
        <v>7.87</v>
      </c>
      <c r="G41" s="777">
        <f>'02CH'!D44</f>
        <v>3.3899999999999997</v>
      </c>
      <c r="H41" s="777">
        <f t="shared" si="0"/>
        <v>4.4800000000000004</v>
      </c>
      <c r="I41" s="777">
        <f>'02CH'!E44</f>
        <v>0.19</v>
      </c>
      <c r="J41" s="777">
        <f t="shared" si="1"/>
        <v>7.68</v>
      </c>
    </row>
    <row r="42" spans="1:10" s="779" customFormat="1" ht="12">
      <c r="A42" s="790" t="s">
        <v>193</v>
      </c>
      <c r="B42" s="783" t="s">
        <v>2766</v>
      </c>
      <c r="C42" s="794" t="s">
        <v>38</v>
      </c>
      <c r="D42" s="777">
        <f>'06CH'!D46</f>
        <v>1.4</v>
      </c>
      <c r="E42" s="777">
        <f t="shared" si="2"/>
        <v>-1.4</v>
      </c>
      <c r="F42" s="777">
        <f>'06CH'!F46</f>
        <v>0</v>
      </c>
      <c r="G42" s="777">
        <f>'02CH'!D45</f>
        <v>0</v>
      </c>
      <c r="H42" s="777">
        <f t="shared" si="0"/>
        <v>0</v>
      </c>
      <c r="I42" s="777">
        <f>'02CH'!E45</f>
        <v>0</v>
      </c>
      <c r="J42" s="777">
        <f t="shared" si="1"/>
        <v>0</v>
      </c>
    </row>
    <row r="43" spans="1:10" s="779" customFormat="1" ht="24">
      <c r="A43" s="790" t="s">
        <v>193</v>
      </c>
      <c r="B43" s="783" t="s">
        <v>2767</v>
      </c>
      <c r="C43" s="794" t="s">
        <v>40</v>
      </c>
      <c r="D43" s="777">
        <f>'06CH'!D47</f>
        <v>116.3</v>
      </c>
      <c r="E43" s="777">
        <f t="shared" si="2"/>
        <v>-87.97</v>
      </c>
      <c r="F43" s="777">
        <f>'06CH'!F47</f>
        <v>28.33</v>
      </c>
      <c r="G43" s="777">
        <f>'02CH'!D46</f>
        <v>28.149999999999995</v>
      </c>
      <c r="H43" s="777">
        <f t="shared" si="0"/>
        <v>0.18000000000000327</v>
      </c>
      <c r="I43" s="777">
        <f>'02CH'!E46</f>
        <v>28.239999999999995</v>
      </c>
      <c r="J43" s="777">
        <f t="shared" si="1"/>
        <v>9.0000000000003411E-2</v>
      </c>
    </row>
    <row r="44" spans="1:10" s="779" customFormat="1" ht="24">
      <c r="A44" s="790" t="s">
        <v>193</v>
      </c>
      <c r="B44" s="783" t="s">
        <v>132</v>
      </c>
      <c r="C44" s="794" t="s">
        <v>52</v>
      </c>
      <c r="D44" s="777">
        <f>'06CH'!D48</f>
        <v>0</v>
      </c>
      <c r="E44" s="777">
        <f t="shared" si="2"/>
        <v>0.5</v>
      </c>
      <c r="F44" s="777">
        <f>'06CH'!F48</f>
        <v>0.5</v>
      </c>
      <c r="G44" s="777">
        <f>'02CH'!D47</f>
        <v>0.5</v>
      </c>
      <c r="H44" s="777">
        <f t="shared" si="0"/>
        <v>0</v>
      </c>
      <c r="I44" s="777">
        <f>'02CH'!E47</f>
        <v>0.5</v>
      </c>
      <c r="J44" s="777">
        <f t="shared" si="1"/>
        <v>0</v>
      </c>
    </row>
    <row r="45" spans="1:10" s="779" customFormat="1" ht="12">
      <c r="A45" s="790" t="s">
        <v>193</v>
      </c>
      <c r="B45" s="783" t="s">
        <v>2768</v>
      </c>
      <c r="C45" s="794" t="s">
        <v>53</v>
      </c>
      <c r="D45" s="777">
        <f>'06CH'!D49</f>
        <v>0</v>
      </c>
      <c r="E45" s="777">
        <f t="shared" si="2"/>
        <v>0</v>
      </c>
      <c r="F45" s="777">
        <f>'06CH'!F49</f>
        <v>0</v>
      </c>
      <c r="G45" s="777">
        <f>'02CH'!D48</f>
        <v>0</v>
      </c>
      <c r="H45" s="777">
        <f t="shared" si="0"/>
        <v>0</v>
      </c>
      <c r="I45" s="777">
        <f>'02CH'!E48</f>
        <v>0</v>
      </c>
      <c r="J45" s="777">
        <f t="shared" si="1"/>
        <v>0</v>
      </c>
    </row>
    <row r="46" spans="1:10" s="779" customFormat="1" ht="12">
      <c r="A46" s="790" t="s">
        <v>193</v>
      </c>
      <c r="B46" s="783" t="s">
        <v>2769</v>
      </c>
      <c r="C46" s="794" t="s">
        <v>54</v>
      </c>
      <c r="D46" s="777">
        <f>'06CH'!D50</f>
        <v>0</v>
      </c>
      <c r="E46" s="777">
        <f t="shared" si="2"/>
        <v>2.5099999999999998</v>
      </c>
      <c r="F46" s="777">
        <f>'06CH'!F50</f>
        <v>2.5099999999999998</v>
      </c>
      <c r="G46" s="777">
        <f>'02CH'!D49</f>
        <v>2.5099999999999998</v>
      </c>
      <c r="H46" s="777">
        <f t="shared" si="0"/>
        <v>0</v>
      </c>
      <c r="I46" s="777">
        <f>'02CH'!E49</f>
        <v>2.5099999999999998</v>
      </c>
      <c r="J46" s="777">
        <f t="shared" si="1"/>
        <v>0</v>
      </c>
    </row>
    <row r="47" spans="1:10" s="779" customFormat="1" ht="24">
      <c r="A47" s="790" t="s">
        <v>193</v>
      </c>
      <c r="B47" s="785" t="s">
        <v>2775</v>
      </c>
      <c r="C47" s="794" t="s">
        <v>2776</v>
      </c>
      <c r="D47" s="777">
        <f>'06CH'!D51</f>
        <v>0</v>
      </c>
      <c r="E47" s="777">
        <f t="shared" si="2"/>
        <v>0.36</v>
      </c>
      <c r="F47" s="777">
        <f>'06CH'!F51</f>
        <v>0.36</v>
      </c>
      <c r="G47" s="777">
        <f>'02CH'!D50</f>
        <v>0.32</v>
      </c>
      <c r="H47" s="777">
        <f t="shared" si="0"/>
        <v>3.999999999999998E-2</v>
      </c>
      <c r="I47" s="777">
        <f>'02CH'!E50</f>
        <v>0.32</v>
      </c>
      <c r="J47" s="777">
        <f t="shared" si="1"/>
        <v>3.999999999999998E-2</v>
      </c>
    </row>
    <row r="48" spans="1:10" s="779" customFormat="1" ht="24">
      <c r="A48" s="790" t="s">
        <v>69</v>
      </c>
      <c r="B48" s="785" t="s">
        <v>2774</v>
      </c>
      <c r="C48" s="794" t="s">
        <v>113</v>
      </c>
      <c r="D48" s="777">
        <f>'06CH'!D52</f>
        <v>0</v>
      </c>
      <c r="E48" s="777">
        <f t="shared" si="2"/>
        <v>8.4599999999999991</v>
      </c>
      <c r="F48" s="777">
        <f>'06CH'!F52</f>
        <v>8.4599999999999991</v>
      </c>
      <c r="G48" s="777">
        <f>'02CH'!D51</f>
        <v>7.8900000000000006</v>
      </c>
      <c r="H48" s="777">
        <f t="shared" si="0"/>
        <v>0.56999999999999851</v>
      </c>
      <c r="I48" s="777">
        <f>'02CH'!E51</f>
        <v>8.4599999999999991</v>
      </c>
      <c r="J48" s="777">
        <f t="shared" si="1"/>
        <v>0</v>
      </c>
    </row>
    <row r="49" spans="1:13" s="779" customFormat="1" ht="12">
      <c r="A49" s="790" t="s">
        <v>70</v>
      </c>
      <c r="B49" s="785" t="s">
        <v>107</v>
      </c>
      <c r="C49" s="794" t="s">
        <v>59</v>
      </c>
      <c r="D49" s="777">
        <f>'06CH'!D53</f>
        <v>1011.8</v>
      </c>
      <c r="E49" s="777">
        <f t="shared" si="2"/>
        <v>-390.91199999999992</v>
      </c>
      <c r="F49" s="777">
        <f>'06CH'!F53</f>
        <v>620.88800000000003</v>
      </c>
      <c r="G49" s="777">
        <f>'02CH'!D52</f>
        <v>623.69999999999993</v>
      </c>
      <c r="H49" s="777">
        <f t="shared" si="0"/>
        <v>-2.8119999999998981</v>
      </c>
      <c r="I49" s="777">
        <f>'02CH'!E52</f>
        <v>606.87</v>
      </c>
      <c r="J49" s="777">
        <f t="shared" si="1"/>
        <v>14.018000000000029</v>
      </c>
    </row>
    <row r="50" spans="1:13" s="779" customFormat="1" ht="12">
      <c r="A50" s="790" t="s">
        <v>71</v>
      </c>
      <c r="B50" s="785" t="s">
        <v>108</v>
      </c>
      <c r="C50" s="794" t="s">
        <v>57</v>
      </c>
      <c r="D50" s="777">
        <f>'06CH'!D54</f>
        <v>217</v>
      </c>
      <c r="E50" s="777">
        <f t="shared" si="2"/>
        <v>-111.70944000000001</v>
      </c>
      <c r="F50" s="777">
        <f>'06CH'!F54</f>
        <v>105.29055999999999</v>
      </c>
      <c r="G50" s="777">
        <f>'02CH'!D53</f>
        <v>105.47000000000001</v>
      </c>
      <c r="H50" s="777">
        <f t="shared" si="0"/>
        <v>-0.17944000000002802</v>
      </c>
      <c r="I50" s="777">
        <f>'02CH'!E53</f>
        <v>93.449999999999989</v>
      </c>
      <c r="J50" s="777">
        <f t="shared" si="1"/>
        <v>11.840559999999996</v>
      </c>
    </row>
    <row r="51" spans="1:13" s="779" customFormat="1" ht="12">
      <c r="A51" s="790" t="s">
        <v>74</v>
      </c>
      <c r="B51" s="785" t="s">
        <v>95</v>
      </c>
      <c r="C51" s="794" t="s">
        <v>24</v>
      </c>
      <c r="D51" s="777">
        <f>'06CH'!D55</f>
        <v>22.8</v>
      </c>
      <c r="E51" s="777">
        <f t="shared" si="2"/>
        <v>-13.259819999999999</v>
      </c>
      <c r="F51" s="777">
        <f>'06CH'!F55</f>
        <v>9.5401800000000012</v>
      </c>
      <c r="G51" s="777">
        <f>'02CH'!D54</f>
        <v>8.94</v>
      </c>
      <c r="H51" s="777">
        <f t="shared" si="0"/>
        <v>0.60018000000000171</v>
      </c>
      <c r="I51" s="777">
        <f>'02CH'!E54</f>
        <v>9.5400000000000009</v>
      </c>
      <c r="J51" s="777">
        <f t="shared" si="1"/>
        <v>1.8000000000029104E-4</v>
      </c>
    </row>
    <row r="52" spans="1:13" s="779" customFormat="1" ht="12">
      <c r="A52" s="790" t="s">
        <v>100</v>
      </c>
      <c r="B52" s="785" t="s">
        <v>109</v>
      </c>
      <c r="C52" s="794" t="s">
        <v>110</v>
      </c>
      <c r="D52" s="777">
        <f>'06CH'!D56</f>
        <v>0</v>
      </c>
      <c r="E52" s="777">
        <f t="shared" si="2"/>
        <v>0</v>
      </c>
      <c r="F52" s="777">
        <f>'06CH'!F56</f>
        <v>0</v>
      </c>
      <c r="G52" s="777">
        <f>'02CH'!D55</f>
        <v>0</v>
      </c>
      <c r="H52" s="777">
        <f t="shared" si="0"/>
        <v>0</v>
      </c>
      <c r="I52" s="777">
        <f>'02CH'!E55</f>
        <v>0</v>
      </c>
      <c r="J52" s="777">
        <f t="shared" si="1"/>
        <v>0</v>
      </c>
    </row>
    <row r="53" spans="1:13" s="779" customFormat="1" ht="24">
      <c r="A53" s="790" t="s">
        <v>101</v>
      </c>
      <c r="B53" s="783" t="s">
        <v>133</v>
      </c>
      <c r="C53" s="794" t="s">
        <v>137</v>
      </c>
      <c r="D53" s="777">
        <f>'06CH'!D57</f>
        <v>0</v>
      </c>
      <c r="E53" s="777">
        <f t="shared" si="2"/>
        <v>0.02</v>
      </c>
      <c r="F53" s="777">
        <f>'06CH'!F57</f>
        <v>0.02</v>
      </c>
      <c r="G53" s="777">
        <f>'02CH'!D56</f>
        <v>0</v>
      </c>
      <c r="H53" s="777">
        <f t="shared" si="0"/>
        <v>0.02</v>
      </c>
      <c r="I53" s="777">
        <f>'02CH'!E56</f>
        <v>0</v>
      </c>
      <c r="J53" s="777">
        <f t="shared" si="1"/>
        <v>0.02</v>
      </c>
    </row>
    <row r="54" spans="1:13" s="779" customFormat="1" ht="12">
      <c r="A54" s="790" t="s">
        <v>102</v>
      </c>
      <c r="B54" s="783" t="s">
        <v>136</v>
      </c>
      <c r="C54" s="794" t="s">
        <v>138</v>
      </c>
      <c r="D54" s="777">
        <f>'06CH'!D58</f>
        <v>0</v>
      </c>
      <c r="E54" s="777">
        <f t="shared" si="2"/>
        <v>0</v>
      </c>
      <c r="F54" s="777">
        <f>'06CH'!F58</f>
        <v>0</v>
      </c>
      <c r="G54" s="777">
        <f>'02CH'!D57</f>
        <v>0</v>
      </c>
      <c r="H54" s="777">
        <f t="shared" si="0"/>
        <v>0</v>
      </c>
      <c r="I54" s="777">
        <f>'02CH'!E57</f>
        <v>0</v>
      </c>
      <c r="J54" s="777">
        <f t="shared" si="1"/>
        <v>0</v>
      </c>
    </row>
    <row r="55" spans="1:13">
      <c r="A55" s="790" t="s">
        <v>75</v>
      </c>
      <c r="B55" s="785" t="s">
        <v>2777</v>
      </c>
      <c r="C55" s="794" t="s">
        <v>39</v>
      </c>
      <c r="D55" s="777">
        <f>'06CH'!D59</f>
        <v>0</v>
      </c>
      <c r="E55" s="777">
        <f t="shared" si="2"/>
        <v>3.2399999999999993</v>
      </c>
      <c r="F55" s="777">
        <f>'06CH'!F59</f>
        <v>3.2399999999999993</v>
      </c>
      <c r="G55" s="777">
        <f>'02CH'!D58</f>
        <v>3.2399999999999993</v>
      </c>
      <c r="H55" s="777">
        <f t="shared" si="0"/>
        <v>0</v>
      </c>
      <c r="I55" s="777">
        <f>'02CH'!E58</f>
        <v>3.3499999999999996</v>
      </c>
      <c r="J55" s="777">
        <f t="shared" si="1"/>
        <v>-0.11000000000000032</v>
      </c>
    </row>
    <row r="56" spans="1:13" ht="24">
      <c r="A56" s="790" t="s">
        <v>76</v>
      </c>
      <c r="B56" s="785" t="s">
        <v>2778</v>
      </c>
      <c r="C56" s="794" t="s">
        <v>42</v>
      </c>
      <c r="D56" s="777">
        <f>'06CH'!D60</f>
        <v>0</v>
      </c>
      <c r="E56" s="777">
        <f t="shared" si="2"/>
        <v>1198.95</v>
      </c>
      <c r="F56" s="777">
        <f>'06CH'!F60</f>
        <v>1198.95</v>
      </c>
      <c r="G56" s="777">
        <f>'02CH'!D59</f>
        <v>1201.73</v>
      </c>
      <c r="H56" s="777">
        <f t="shared" si="0"/>
        <v>-2.7799999999999727</v>
      </c>
      <c r="I56" s="777">
        <f>'02CH'!E59</f>
        <v>1202.03</v>
      </c>
      <c r="J56" s="777">
        <f t="shared" si="1"/>
        <v>-3.0799999999999272</v>
      </c>
    </row>
    <row r="57" spans="1:13" ht="24">
      <c r="A57" s="790" t="s">
        <v>82</v>
      </c>
      <c r="B57" s="785" t="s">
        <v>2779</v>
      </c>
      <c r="C57" s="794" t="s">
        <v>41</v>
      </c>
      <c r="D57" s="777">
        <f>'06CH'!D61</f>
        <v>0</v>
      </c>
      <c r="E57" s="777">
        <f t="shared" si="2"/>
        <v>2.14</v>
      </c>
      <c r="F57" s="777">
        <f>'06CH'!F61</f>
        <v>2.14</v>
      </c>
      <c r="G57" s="777">
        <f>'02CH'!D60</f>
        <v>2.14</v>
      </c>
      <c r="H57" s="777">
        <f t="shared" si="0"/>
        <v>0</v>
      </c>
      <c r="I57" s="777">
        <f>'02CH'!E60</f>
        <v>2.14</v>
      </c>
      <c r="J57" s="777">
        <f t="shared" si="1"/>
        <v>0</v>
      </c>
    </row>
    <row r="58" spans="1:13">
      <c r="A58" s="790" t="s">
        <v>83</v>
      </c>
      <c r="B58" s="786" t="s">
        <v>116</v>
      </c>
      <c r="C58" s="796" t="s">
        <v>55</v>
      </c>
      <c r="D58" s="777">
        <f>'06CH'!D62</f>
        <v>0</v>
      </c>
      <c r="E58" s="777">
        <f t="shared" si="2"/>
        <v>0</v>
      </c>
      <c r="F58" s="777">
        <f>'06CH'!F62</f>
        <v>0</v>
      </c>
      <c r="G58" s="777">
        <f>'02CH'!D61</f>
        <v>0</v>
      </c>
      <c r="H58" s="777">
        <f t="shared" si="0"/>
        <v>0</v>
      </c>
      <c r="I58" s="777">
        <f>'02CH'!E61</f>
        <v>0</v>
      </c>
      <c r="J58" s="777">
        <f t="shared" si="1"/>
        <v>0</v>
      </c>
    </row>
    <row r="59" spans="1:13">
      <c r="A59" s="792">
        <v>3</v>
      </c>
      <c r="B59" s="787" t="s">
        <v>56</v>
      </c>
      <c r="C59" s="797" t="s">
        <v>81</v>
      </c>
      <c r="D59" s="776">
        <f>'06CH'!D63</f>
        <v>1372.3</v>
      </c>
      <c r="E59" s="776">
        <f t="shared" si="2"/>
        <v>-641.56000000000017</v>
      </c>
      <c r="F59" s="776">
        <f>'06CH'!F63</f>
        <v>730.73999999999978</v>
      </c>
      <c r="G59" s="776">
        <f>'02CH'!D62</f>
        <v>734.84999999999991</v>
      </c>
      <c r="H59" s="776">
        <f t="shared" si="0"/>
        <v>-4.1100000000001273</v>
      </c>
      <c r="I59" s="776">
        <f>'02CH'!E62</f>
        <v>743.41000000000008</v>
      </c>
      <c r="J59" s="776">
        <f t="shared" si="1"/>
        <v>-12.6700000000003</v>
      </c>
    </row>
    <row r="63" spans="1:13" ht="34.35" customHeight="1">
      <c r="A63" s="1641" t="s">
        <v>1</v>
      </c>
      <c r="B63" s="1641" t="s">
        <v>175</v>
      </c>
      <c r="C63" s="1641" t="s">
        <v>172</v>
      </c>
      <c r="D63" s="1641" t="s">
        <v>2837</v>
      </c>
      <c r="E63" s="1641"/>
      <c r="F63" s="1641" t="s">
        <v>2902</v>
      </c>
      <c r="G63" s="1641"/>
      <c r="H63" s="1641" t="s">
        <v>2839</v>
      </c>
      <c r="I63" s="1641" t="s">
        <v>2840</v>
      </c>
      <c r="J63" s="1641"/>
      <c r="K63" s="1641" t="s">
        <v>2739</v>
      </c>
      <c r="L63" s="1641"/>
      <c r="M63" s="1641"/>
    </row>
    <row r="64" spans="1:13" ht="60">
      <c r="A64" s="1641"/>
      <c r="B64" s="1641"/>
      <c r="C64" s="1641"/>
      <c r="D64" s="901" t="s">
        <v>147</v>
      </c>
      <c r="E64" s="901" t="s">
        <v>173</v>
      </c>
      <c r="F64" s="901" t="s">
        <v>147</v>
      </c>
      <c r="G64" s="901" t="s">
        <v>173</v>
      </c>
      <c r="H64" s="1641"/>
      <c r="I64" s="901" t="s">
        <v>147</v>
      </c>
      <c r="J64" s="901" t="s">
        <v>173</v>
      </c>
      <c r="K64" s="901" t="s">
        <v>2932</v>
      </c>
      <c r="L64" s="901" t="s">
        <v>2844</v>
      </c>
      <c r="M64" s="901" t="s">
        <v>2845</v>
      </c>
    </row>
    <row r="65" spans="1:13">
      <c r="A65" s="902">
        <v>-1</v>
      </c>
      <c r="B65" s="902">
        <v>-2</v>
      </c>
      <c r="C65" s="902">
        <v>-3</v>
      </c>
      <c r="D65" s="902">
        <v>-4</v>
      </c>
      <c r="E65" s="902">
        <v>-5</v>
      </c>
      <c r="F65" s="902">
        <v>-6</v>
      </c>
      <c r="G65" s="902">
        <v>-7</v>
      </c>
      <c r="H65" s="902">
        <v>-8</v>
      </c>
      <c r="I65" s="902">
        <v>-9</v>
      </c>
      <c r="J65" s="902">
        <v>-10</v>
      </c>
      <c r="K65" s="902" t="s">
        <v>2846</v>
      </c>
      <c r="L65" s="902" t="s">
        <v>2847</v>
      </c>
      <c r="M65" s="902" t="s">
        <v>2848</v>
      </c>
    </row>
    <row r="66" spans="1:13">
      <c r="A66" s="903"/>
      <c r="B66" s="904" t="s">
        <v>174</v>
      </c>
      <c r="C66" s="905"/>
      <c r="D66" s="869">
        <v>98642.92</v>
      </c>
      <c r="E66" s="870">
        <v>100</v>
      </c>
      <c r="F66" s="869">
        <v>98642.92</v>
      </c>
      <c r="G66" s="870">
        <v>100</v>
      </c>
      <c r="H66" s="906">
        <v>98642.9</v>
      </c>
      <c r="I66" s="869">
        <v>98642.92</v>
      </c>
      <c r="J66" s="870">
        <v>100</v>
      </c>
      <c r="K66" s="870"/>
      <c r="L66" s="870"/>
      <c r="M66" s="870"/>
    </row>
    <row r="67" spans="1:13">
      <c r="A67" s="903">
        <v>1</v>
      </c>
      <c r="B67" s="904" t="s">
        <v>2933</v>
      </c>
      <c r="C67" s="901" t="s">
        <v>4</v>
      </c>
      <c r="D67" s="869">
        <v>88916.34</v>
      </c>
      <c r="E67" s="870">
        <v>90.14</v>
      </c>
      <c r="F67" s="869">
        <v>87326.82</v>
      </c>
      <c r="G67" s="870">
        <v>88.53</v>
      </c>
      <c r="H67" s="906">
        <v>87313.9</v>
      </c>
      <c r="I67" s="869">
        <v>87283.73</v>
      </c>
      <c r="J67" s="870">
        <v>88.48</v>
      </c>
      <c r="K67" s="869">
        <v>-1632.61</v>
      </c>
      <c r="L67" s="870">
        <v>-43.09</v>
      </c>
      <c r="M67" s="870">
        <v>-30.13</v>
      </c>
    </row>
    <row r="68" spans="1:13">
      <c r="A68" s="907"/>
      <c r="B68" s="908" t="s">
        <v>2934</v>
      </c>
      <c r="C68" s="909"/>
      <c r="D68" s="879"/>
      <c r="E68" s="870"/>
      <c r="F68" s="879"/>
      <c r="G68" s="870"/>
      <c r="H68" s="910"/>
      <c r="I68" s="874"/>
      <c r="J68" s="870"/>
      <c r="K68" s="879"/>
      <c r="L68" s="879"/>
      <c r="M68" s="879"/>
    </row>
    <row r="69" spans="1:13">
      <c r="A69" s="911" t="s">
        <v>2935</v>
      </c>
      <c r="B69" s="905" t="s">
        <v>85</v>
      </c>
      <c r="C69" s="902" t="s">
        <v>5</v>
      </c>
      <c r="D69" s="884">
        <v>6091.24</v>
      </c>
      <c r="E69" s="879">
        <v>6.18</v>
      </c>
      <c r="F69" s="884">
        <v>5851.5</v>
      </c>
      <c r="G69" s="879">
        <v>5.93</v>
      </c>
      <c r="H69" s="912">
        <v>5851.5</v>
      </c>
      <c r="I69" s="884">
        <v>5851.45</v>
      </c>
      <c r="J69" s="879">
        <v>5.93</v>
      </c>
      <c r="K69" s="879">
        <v>-239.79</v>
      </c>
      <c r="L69" s="879">
        <v>-0.05</v>
      </c>
      <c r="M69" s="879">
        <v>-0.05</v>
      </c>
    </row>
    <row r="70" spans="1:13">
      <c r="A70" s="907"/>
      <c r="B70" s="908" t="s">
        <v>2746</v>
      </c>
      <c r="C70" s="909" t="s">
        <v>7</v>
      </c>
      <c r="D70" s="913">
        <v>3338.46</v>
      </c>
      <c r="E70" s="879">
        <v>3.38</v>
      </c>
      <c r="F70" s="913">
        <v>3201.3</v>
      </c>
      <c r="G70" s="879">
        <v>3.25</v>
      </c>
      <c r="H70" s="914">
        <v>3201.3</v>
      </c>
      <c r="I70" s="913">
        <v>3201.35</v>
      </c>
      <c r="J70" s="879">
        <v>3.25</v>
      </c>
      <c r="K70" s="879">
        <v>-137.11000000000001</v>
      </c>
      <c r="L70" s="879">
        <v>0.05</v>
      </c>
      <c r="M70" s="879">
        <v>0.05</v>
      </c>
    </row>
    <row r="71" spans="1:13">
      <c r="A71" s="911" t="s">
        <v>2936</v>
      </c>
      <c r="B71" s="905" t="s">
        <v>2747</v>
      </c>
      <c r="C71" s="902" t="s">
        <v>12</v>
      </c>
      <c r="D71" s="884">
        <v>4777.9399999999996</v>
      </c>
      <c r="E71" s="879">
        <v>4.84</v>
      </c>
      <c r="F71" s="884">
        <v>4602.3500000000004</v>
      </c>
      <c r="G71" s="879">
        <v>4.67</v>
      </c>
      <c r="H71" s="910">
        <v>0</v>
      </c>
      <c r="I71" s="884">
        <v>4526.32</v>
      </c>
      <c r="J71" s="879">
        <v>4.59</v>
      </c>
      <c r="K71" s="879">
        <v>-251.62</v>
      </c>
      <c r="L71" s="879">
        <v>-76.03</v>
      </c>
      <c r="M71" s="884">
        <v>4526.32</v>
      </c>
    </row>
    <row r="72" spans="1:13">
      <c r="A72" s="911" t="s">
        <v>2937</v>
      </c>
      <c r="B72" s="905" t="s">
        <v>60</v>
      </c>
      <c r="C72" s="902" t="s">
        <v>14</v>
      </c>
      <c r="D72" s="884">
        <v>1692.25</v>
      </c>
      <c r="E72" s="879">
        <v>1.72</v>
      </c>
      <c r="F72" s="884">
        <v>2569.4</v>
      </c>
      <c r="G72" s="879">
        <v>2.6</v>
      </c>
      <c r="H72" s="912">
        <v>2566.4</v>
      </c>
      <c r="I72" s="884">
        <v>2566.42</v>
      </c>
      <c r="J72" s="879">
        <v>2.6</v>
      </c>
      <c r="K72" s="879">
        <v>874.17</v>
      </c>
      <c r="L72" s="879">
        <v>-2.98</v>
      </c>
      <c r="M72" s="879">
        <v>0.02</v>
      </c>
    </row>
    <row r="73" spans="1:13">
      <c r="A73" s="911" t="s">
        <v>2938</v>
      </c>
      <c r="B73" s="905" t="s">
        <v>61</v>
      </c>
      <c r="C73" s="902" t="s">
        <v>16</v>
      </c>
      <c r="D73" s="884">
        <v>9814.9500000000007</v>
      </c>
      <c r="E73" s="879">
        <v>9.9499999999999993</v>
      </c>
      <c r="F73" s="884">
        <v>9729.9</v>
      </c>
      <c r="G73" s="879">
        <v>9.86</v>
      </c>
      <c r="H73" s="912">
        <v>9729.9</v>
      </c>
      <c r="I73" s="884">
        <v>9729.93</v>
      </c>
      <c r="J73" s="879">
        <v>9.86</v>
      </c>
      <c r="K73" s="879">
        <v>-85.02</v>
      </c>
      <c r="L73" s="879">
        <v>0.03</v>
      </c>
      <c r="M73" s="879">
        <v>0.03</v>
      </c>
    </row>
    <row r="74" spans="1:13">
      <c r="A74" s="911" t="s">
        <v>2939</v>
      </c>
      <c r="B74" s="905" t="s">
        <v>62</v>
      </c>
      <c r="C74" s="911" t="s">
        <v>2940</v>
      </c>
      <c r="D74" s="884">
        <v>2219</v>
      </c>
      <c r="E74" s="879">
        <v>2.25</v>
      </c>
      <c r="F74" s="884">
        <v>2211.8000000000002</v>
      </c>
      <c r="G74" s="879">
        <v>2.2400000000000002</v>
      </c>
      <c r="H74" s="912">
        <v>2211.8000000000002</v>
      </c>
      <c r="I74" s="884">
        <v>2208.1999999999998</v>
      </c>
      <c r="J74" s="879">
        <v>2.2400000000000002</v>
      </c>
      <c r="K74" s="879">
        <v>-10.8</v>
      </c>
      <c r="L74" s="879">
        <v>-3.6</v>
      </c>
      <c r="M74" s="879">
        <v>-3.6</v>
      </c>
    </row>
    <row r="75" spans="1:13">
      <c r="A75" s="911" t="s">
        <v>2941</v>
      </c>
      <c r="B75" s="905" t="s">
        <v>63</v>
      </c>
      <c r="C75" s="911" t="s">
        <v>2942</v>
      </c>
      <c r="D75" s="884">
        <v>64030.86</v>
      </c>
      <c r="E75" s="879">
        <v>64.91</v>
      </c>
      <c r="F75" s="884">
        <v>61792.7</v>
      </c>
      <c r="G75" s="879">
        <v>62.64</v>
      </c>
      <c r="H75" s="912">
        <v>61783.8</v>
      </c>
      <c r="I75" s="884">
        <v>61783.839999999997</v>
      </c>
      <c r="J75" s="879">
        <v>62.63</v>
      </c>
      <c r="K75" s="884">
        <v>-2247.02</v>
      </c>
      <c r="L75" s="879">
        <v>-8.86</v>
      </c>
      <c r="M75" s="879">
        <v>0.04</v>
      </c>
    </row>
    <row r="76" spans="1:13" ht="24">
      <c r="A76" s="907"/>
      <c r="B76" s="908" t="s">
        <v>198</v>
      </c>
      <c r="C76" s="907" t="s">
        <v>2943</v>
      </c>
      <c r="D76" s="913">
        <v>5538.4</v>
      </c>
      <c r="E76" s="879">
        <v>5.61</v>
      </c>
      <c r="F76" s="913">
        <v>5538.4</v>
      </c>
      <c r="G76" s="879">
        <v>5.61</v>
      </c>
      <c r="H76" s="914">
        <v>5532.4</v>
      </c>
      <c r="I76" s="913">
        <v>5532.4</v>
      </c>
      <c r="J76" s="879">
        <v>5.61</v>
      </c>
      <c r="K76" s="879">
        <v>-6</v>
      </c>
      <c r="L76" s="879">
        <v>-6</v>
      </c>
      <c r="M76" s="879">
        <v>0</v>
      </c>
    </row>
    <row r="77" spans="1:13">
      <c r="A77" s="911" t="s">
        <v>2944</v>
      </c>
      <c r="B77" s="905" t="s">
        <v>72</v>
      </c>
      <c r="C77" s="911" t="s">
        <v>2945</v>
      </c>
      <c r="D77" s="879">
        <v>288.79000000000002</v>
      </c>
      <c r="E77" s="879">
        <v>0.28999999999999998</v>
      </c>
      <c r="F77" s="879">
        <v>275.01</v>
      </c>
      <c r="G77" s="879">
        <v>0.28000000000000003</v>
      </c>
      <c r="H77" s="910">
        <v>0</v>
      </c>
      <c r="I77" s="879">
        <v>275.47000000000003</v>
      </c>
      <c r="J77" s="879">
        <v>0.28000000000000003</v>
      </c>
      <c r="K77" s="879">
        <v>-13.32</v>
      </c>
      <c r="L77" s="879">
        <v>0.46</v>
      </c>
      <c r="M77" s="879">
        <v>275.47000000000003</v>
      </c>
    </row>
    <row r="78" spans="1:13">
      <c r="A78" s="911" t="s">
        <v>2946</v>
      </c>
      <c r="B78" s="905" t="s">
        <v>89</v>
      </c>
      <c r="C78" s="911" t="s">
        <v>2947</v>
      </c>
      <c r="D78" s="879">
        <v>1.31</v>
      </c>
      <c r="E78" s="879">
        <v>0</v>
      </c>
      <c r="F78" s="879">
        <v>294.16000000000003</v>
      </c>
      <c r="G78" s="879">
        <v>0.3</v>
      </c>
      <c r="H78" s="910">
        <v>0</v>
      </c>
      <c r="I78" s="879">
        <v>342.09</v>
      </c>
      <c r="J78" s="879">
        <v>0.35</v>
      </c>
      <c r="K78" s="879">
        <v>340.78</v>
      </c>
      <c r="L78" s="879">
        <v>47.93</v>
      </c>
      <c r="M78" s="879">
        <v>342.09</v>
      </c>
    </row>
    <row r="79" spans="1:13">
      <c r="A79" s="903">
        <v>2</v>
      </c>
      <c r="B79" s="904" t="s">
        <v>2948</v>
      </c>
      <c r="C79" s="903" t="s">
        <v>2949</v>
      </c>
      <c r="D79" s="869">
        <v>8216.66</v>
      </c>
      <c r="E79" s="870">
        <v>8.33</v>
      </c>
      <c r="F79" s="869">
        <v>9961.7999999999993</v>
      </c>
      <c r="G79" s="870">
        <v>10.1</v>
      </c>
      <c r="H79" s="906">
        <v>9956.7999999999993</v>
      </c>
      <c r="I79" s="869">
        <v>9986.9699999999993</v>
      </c>
      <c r="J79" s="870">
        <v>10.119999999999999</v>
      </c>
      <c r="K79" s="869">
        <v>1770.31</v>
      </c>
      <c r="L79" s="870">
        <v>25.17</v>
      </c>
      <c r="M79" s="870">
        <v>30.13</v>
      </c>
    </row>
    <row r="80" spans="1:13">
      <c r="A80" s="911"/>
      <c r="B80" s="908" t="s">
        <v>2934</v>
      </c>
      <c r="C80" s="911"/>
      <c r="D80" s="879"/>
      <c r="E80" s="870"/>
      <c r="F80" s="870"/>
      <c r="G80" s="870"/>
      <c r="H80" s="910"/>
      <c r="I80" s="879"/>
      <c r="J80" s="870"/>
      <c r="K80" s="879">
        <v>0</v>
      </c>
      <c r="L80" s="879">
        <v>0</v>
      </c>
      <c r="M80" s="879">
        <v>0</v>
      </c>
    </row>
    <row r="81" spans="1:13">
      <c r="A81" s="911" t="s">
        <v>2950</v>
      </c>
      <c r="B81" s="905" t="s">
        <v>65</v>
      </c>
      <c r="C81" s="911" t="s">
        <v>2951</v>
      </c>
      <c r="D81" s="884">
        <v>1736.52</v>
      </c>
      <c r="E81" s="879">
        <v>1.76</v>
      </c>
      <c r="F81" s="884">
        <v>1835.3</v>
      </c>
      <c r="G81" s="879">
        <v>1.86</v>
      </c>
      <c r="H81" s="912">
        <v>1835.3</v>
      </c>
      <c r="I81" s="884">
        <v>1852.35</v>
      </c>
      <c r="J81" s="879">
        <v>1.88</v>
      </c>
      <c r="K81" s="879">
        <v>115.83</v>
      </c>
      <c r="L81" s="879">
        <v>17.05</v>
      </c>
      <c r="M81" s="879">
        <v>17.05</v>
      </c>
    </row>
    <row r="82" spans="1:13">
      <c r="A82" s="911" t="s">
        <v>2952</v>
      </c>
      <c r="B82" s="905" t="s">
        <v>66</v>
      </c>
      <c r="C82" s="911" t="s">
        <v>2953</v>
      </c>
      <c r="D82" s="879">
        <v>8.02</v>
      </c>
      <c r="E82" s="879">
        <v>0.01</v>
      </c>
      <c r="F82" s="879">
        <v>12.41</v>
      </c>
      <c r="G82" s="879">
        <v>0.01</v>
      </c>
      <c r="H82" s="910">
        <v>16.100000000000001</v>
      </c>
      <c r="I82" s="879">
        <v>16.05</v>
      </c>
      <c r="J82" s="879">
        <v>0.02</v>
      </c>
      <c r="K82" s="879">
        <v>8.0299999999999994</v>
      </c>
      <c r="L82" s="879">
        <v>3.64</v>
      </c>
      <c r="M82" s="879">
        <v>-0.03</v>
      </c>
    </row>
    <row r="83" spans="1:13">
      <c r="A83" s="911" t="s">
        <v>2954</v>
      </c>
      <c r="B83" s="905" t="s">
        <v>67</v>
      </c>
      <c r="C83" s="911" t="s">
        <v>2955</v>
      </c>
      <c r="D83" s="879"/>
      <c r="E83" s="879">
        <v>0</v>
      </c>
      <c r="F83" s="879"/>
      <c r="G83" s="879">
        <v>0</v>
      </c>
      <c r="H83" s="910"/>
      <c r="I83" s="879"/>
      <c r="J83" s="879">
        <v>0</v>
      </c>
      <c r="K83" s="879">
        <v>0</v>
      </c>
      <c r="L83" s="879">
        <v>0</v>
      </c>
      <c r="M83" s="879">
        <v>0</v>
      </c>
    </row>
    <row r="84" spans="1:13">
      <c r="A84" s="911" t="s">
        <v>2954</v>
      </c>
      <c r="B84" s="905" t="s">
        <v>90</v>
      </c>
      <c r="C84" s="911" t="s">
        <v>2956</v>
      </c>
      <c r="D84" s="879">
        <v>3.25</v>
      </c>
      <c r="E84" s="879">
        <v>0</v>
      </c>
      <c r="F84" s="879">
        <v>128.84</v>
      </c>
      <c r="G84" s="879">
        <v>0.13</v>
      </c>
      <c r="H84" s="910">
        <v>125.4</v>
      </c>
      <c r="I84" s="879">
        <v>125.35</v>
      </c>
      <c r="J84" s="879">
        <v>0.13</v>
      </c>
      <c r="K84" s="879">
        <v>122.1</v>
      </c>
      <c r="L84" s="879">
        <v>-3.49</v>
      </c>
      <c r="M84" s="879">
        <v>0</v>
      </c>
    </row>
    <row r="85" spans="1:13">
      <c r="A85" s="911" t="s">
        <v>2957</v>
      </c>
      <c r="B85" s="905" t="s">
        <v>92</v>
      </c>
      <c r="C85" s="911" t="s">
        <v>2958</v>
      </c>
      <c r="D85" s="879">
        <v>19.97</v>
      </c>
      <c r="E85" s="879">
        <v>0.02</v>
      </c>
      <c r="F85" s="879">
        <v>63.2</v>
      </c>
      <c r="G85" s="879">
        <v>0.06</v>
      </c>
      <c r="H85" s="910">
        <v>63.2</v>
      </c>
      <c r="I85" s="879">
        <v>72.06</v>
      </c>
      <c r="J85" s="879">
        <v>7.0000000000000007E-2</v>
      </c>
      <c r="K85" s="879">
        <v>52.09</v>
      </c>
      <c r="L85" s="879">
        <v>8.86</v>
      </c>
      <c r="M85" s="879">
        <v>8.86</v>
      </c>
    </row>
    <row r="86" spans="1:13">
      <c r="A86" s="911" t="s">
        <v>2959</v>
      </c>
      <c r="B86" s="905" t="s">
        <v>94</v>
      </c>
      <c r="C86" s="911" t="s">
        <v>2960</v>
      </c>
      <c r="D86" s="879">
        <v>54.08</v>
      </c>
      <c r="E86" s="879">
        <v>0.05</v>
      </c>
      <c r="F86" s="879">
        <v>122.16</v>
      </c>
      <c r="G86" s="879">
        <v>0.12</v>
      </c>
      <c r="H86" s="910">
        <v>83</v>
      </c>
      <c r="I86" s="879">
        <v>142.84</v>
      </c>
      <c r="J86" s="879">
        <v>0.14000000000000001</v>
      </c>
      <c r="K86" s="879">
        <v>88.76</v>
      </c>
      <c r="L86" s="879">
        <v>20.68</v>
      </c>
      <c r="M86" s="879">
        <v>59.84</v>
      </c>
    </row>
    <row r="87" spans="1:13" ht="24">
      <c r="A87" s="911" t="s">
        <v>2961</v>
      </c>
      <c r="B87" s="905" t="s">
        <v>106</v>
      </c>
      <c r="C87" s="911" t="s">
        <v>2962</v>
      </c>
      <c r="D87" s="879">
        <v>255.28</v>
      </c>
      <c r="E87" s="879">
        <v>0.26</v>
      </c>
      <c r="F87" s="879">
        <v>525.82000000000005</v>
      </c>
      <c r="G87" s="879">
        <v>0.53</v>
      </c>
      <c r="H87" s="910">
        <v>413.3</v>
      </c>
      <c r="I87" s="879">
        <v>458.75</v>
      </c>
      <c r="J87" s="879">
        <v>0.47</v>
      </c>
      <c r="K87" s="879">
        <v>203.47</v>
      </c>
      <c r="L87" s="879">
        <v>-67.069999999999993</v>
      </c>
      <c r="M87" s="879">
        <v>45.45</v>
      </c>
    </row>
    <row r="88" spans="1:13" ht="24">
      <c r="A88" s="911" t="s">
        <v>2963</v>
      </c>
      <c r="B88" s="905" t="s">
        <v>125</v>
      </c>
      <c r="C88" s="911" t="s">
        <v>2964</v>
      </c>
      <c r="D88" s="884">
        <v>2629.67</v>
      </c>
      <c r="E88" s="879">
        <v>2.67</v>
      </c>
      <c r="F88" s="884">
        <v>3643.07</v>
      </c>
      <c r="G88" s="879">
        <v>3.69</v>
      </c>
      <c r="H88" s="912">
        <v>3638.5</v>
      </c>
      <c r="I88" s="884">
        <v>3652.7</v>
      </c>
      <c r="J88" s="879">
        <v>3.7</v>
      </c>
      <c r="K88" s="884">
        <v>1023.03</v>
      </c>
      <c r="L88" s="879">
        <v>9.6300000000000008</v>
      </c>
      <c r="M88" s="879">
        <v>14.24</v>
      </c>
    </row>
    <row r="89" spans="1:13">
      <c r="A89" s="907"/>
      <c r="B89" s="908" t="s">
        <v>2934</v>
      </c>
      <c r="C89" s="907"/>
      <c r="D89" s="879"/>
      <c r="E89" s="879">
        <v>0</v>
      </c>
      <c r="F89" s="879"/>
      <c r="G89" s="879">
        <v>0</v>
      </c>
      <c r="H89" s="910"/>
      <c r="I89" s="879"/>
      <c r="J89" s="879">
        <v>0</v>
      </c>
      <c r="K89" s="879">
        <v>0</v>
      </c>
      <c r="L89" s="879">
        <v>0</v>
      </c>
      <c r="M89" s="879">
        <v>0</v>
      </c>
    </row>
    <row r="90" spans="1:13">
      <c r="A90" s="911" t="s">
        <v>2965</v>
      </c>
      <c r="B90" s="905" t="s">
        <v>2757</v>
      </c>
      <c r="C90" s="911" t="s">
        <v>2966</v>
      </c>
      <c r="D90" s="884">
        <v>1751.56</v>
      </c>
      <c r="E90" s="879">
        <v>1.78</v>
      </c>
      <c r="F90" s="884">
        <v>2028.9</v>
      </c>
      <c r="G90" s="879">
        <v>2.06</v>
      </c>
      <c r="H90" s="912">
        <v>2028.9</v>
      </c>
      <c r="I90" s="884">
        <v>2028.93</v>
      </c>
      <c r="J90" s="879">
        <v>2.06</v>
      </c>
      <c r="K90" s="879">
        <v>277.37</v>
      </c>
      <c r="L90" s="879">
        <v>0.03</v>
      </c>
      <c r="M90" s="879">
        <v>0.03</v>
      </c>
    </row>
    <row r="91" spans="1:13">
      <c r="A91" s="911" t="s">
        <v>2965</v>
      </c>
      <c r="B91" s="905" t="s">
        <v>2758</v>
      </c>
      <c r="C91" s="911" t="s">
        <v>2967</v>
      </c>
      <c r="D91" s="879">
        <v>129.74</v>
      </c>
      <c r="E91" s="879">
        <v>0.13</v>
      </c>
      <c r="F91" s="879">
        <v>172.2</v>
      </c>
      <c r="G91" s="879">
        <v>0.17</v>
      </c>
      <c r="H91" s="910">
        <v>172.2</v>
      </c>
      <c r="I91" s="879">
        <v>148.07</v>
      </c>
      <c r="J91" s="879">
        <v>0.15</v>
      </c>
      <c r="K91" s="879">
        <v>18.329999999999998</v>
      </c>
      <c r="L91" s="879">
        <v>-24.13</v>
      </c>
      <c r="M91" s="879">
        <v>-24.13</v>
      </c>
    </row>
    <row r="92" spans="1:13">
      <c r="A92" s="911" t="s">
        <v>2965</v>
      </c>
      <c r="B92" s="905" t="s">
        <v>2770</v>
      </c>
      <c r="C92" s="902" t="s">
        <v>2771</v>
      </c>
      <c r="D92" s="879">
        <v>0.33</v>
      </c>
      <c r="E92" s="879">
        <v>0</v>
      </c>
      <c r="F92" s="879">
        <v>0</v>
      </c>
      <c r="G92" s="879">
        <v>0</v>
      </c>
      <c r="H92" s="910">
        <v>0</v>
      </c>
      <c r="I92" s="879">
        <v>3.26</v>
      </c>
      <c r="J92" s="879">
        <v>0</v>
      </c>
      <c r="K92" s="879">
        <v>2.93</v>
      </c>
      <c r="L92" s="879">
        <v>3.26</v>
      </c>
      <c r="M92" s="879">
        <v>3.26</v>
      </c>
    </row>
    <row r="93" spans="1:13">
      <c r="A93" s="911" t="s">
        <v>2965</v>
      </c>
      <c r="B93" s="905" t="s">
        <v>2772</v>
      </c>
      <c r="C93" s="902" t="s">
        <v>2773</v>
      </c>
      <c r="D93" s="879">
        <v>0</v>
      </c>
      <c r="E93" s="879">
        <v>0</v>
      </c>
      <c r="F93" s="879">
        <v>0</v>
      </c>
      <c r="G93" s="879">
        <v>0</v>
      </c>
      <c r="H93" s="910">
        <v>0</v>
      </c>
      <c r="I93" s="879">
        <v>18.350000000000001</v>
      </c>
      <c r="J93" s="879">
        <v>0.02</v>
      </c>
      <c r="K93" s="879">
        <v>18.350000000000001</v>
      </c>
      <c r="L93" s="879">
        <v>18.350000000000001</v>
      </c>
      <c r="M93" s="879">
        <v>18.350000000000001</v>
      </c>
    </row>
    <row r="94" spans="1:13">
      <c r="A94" s="911" t="s">
        <v>2965</v>
      </c>
      <c r="B94" s="905" t="s">
        <v>127</v>
      </c>
      <c r="C94" s="911" t="s">
        <v>2968</v>
      </c>
      <c r="D94" s="879">
        <v>14.56</v>
      </c>
      <c r="E94" s="879">
        <v>0.01</v>
      </c>
      <c r="F94" s="879">
        <v>21.64</v>
      </c>
      <c r="G94" s="879">
        <v>0.02</v>
      </c>
      <c r="H94" s="910">
        <v>5.0999999999999996</v>
      </c>
      <c r="I94" s="879">
        <v>22.72</v>
      </c>
      <c r="J94" s="879">
        <v>0.02</v>
      </c>
      <c r="K94" s="879">
        <v>8.16</v>
      </c>
      <c r="L94" s="879">
        <v>1.08</v>
      </c>
      <c r="M94" s="879">
        <v>17.66</v>
      </c>
    </row>
    <row r="95" spans="1:13">
      <c r="A95" s="911" t="s">
        <v>2965</v>
      </c>
      <c r="B95" s="905" t="s">
        <v>129</v>
      </c>
      <c r="C95" s="911" t="s">
        <v>2969</v>
      </c>
      <c r="D95" s="879">
        <v>8</v>
      </c>
      <c r="E95" s="879">
        <v>0.01</v>
      </c>
      <c r="F95" s="879">
        <v>10.9</v>
      </c>
      <c r="G95" s="879">
        <v>0.01</v>
      </c>
      <c r="H95" s="910">
        <v>10.9</v>
      </c>
      <c r="I95" s="879">
        <v>7.52</v>
      </c>
      <c r="J95" s="879">
        <v>0.01</v>
      </c>
      <c r="K95" s="879">
        <v>-0.48</v>
      </c>
      <c r="L95" s="879">
        <v>-3.38</v>
      </c>
      <c r="M95" s="879">
        <v>-3.38</v>
      </c>
    </row>
    <row r="96" spans="1:13" ht="24">
      <c r="A96" s="911" t="s">
        <v>2965</v>
      </c>
      <c r="B96" s="905" t="s">
        <v>220</v>
      </c>
      <c r="C96" s="911" t="s">
        <v>2970</v>
      </c>
      <c r="D96" s="879">
        <v>60.67</v>
      </c>
      <c r="E96" s="879">
        <v>0.06</v>
      </c>
      <c r="F96" s="879">
        <v>82.6</v>
      </c>
      <c r="G96" s="879">
        <v>0.08</v>
      </c>
      <c r="H96" s="910">
        <v>82.6</v>
      </c>
      <c r="I96" s="879">
        <v>85.44</v>
      </c>
      <c r="J96" s="879">
        <v>0.09</v>
      </c>
      <c r="K96" s="879">
        <v>24.77</v>
      </c>
      <c r="L96" s="879">
        <v>2.84</v>
      </c>
      <c r="M96" s="879">
        <v>2.84</v>
      </c>
    </row>
    <row r="97" spans="1:13">
      <c r="A97" s="911" t="s">
        <v>2965</v>
      </c>
      <c r="B97" s="905" t="s">
        <v>2307</v>
      </c>
      <c r="C97" s="911" t="s">
        <v>2971</v>
      </c>
      <c r="D97" s="879">
        <v>21.15</v>
      </c>
      <c r="E97" s="879">
        <v>0.02</v>
      </c>
      <c r="F97" s="879">
        <v>31.3</v>
      </c>
      <c r="G97" s="879">
        <v>0.03</v>
      </c>
      <c r="H97" s="910">
        <v>31.3</v>
      </c>
      <c r="I97" s="879">
        <v>35.549999999999997</v>
      </c>
      <c r="J97" s="879">
        <v>0.04</v>
      </c>
      <c r="K97" s="879">
        <v>14.4</v>
      </c>
      <c r="L97" s="879">
        <v>4.25</v>
      </c>
      <c r="M97" s="879">
        <v>4.25</v>
      </c>
    </row>
    <row r="98" spans="1:13" ht="24">
      <c r="A98" s="911" t="s">
        <v>2965</v>
      </c>
      <c r="B98" s="905" t="s">
        <v>2759</v>
      </c>
      <c r="C98" s="902" t="s">
        <v>46</v>
      </c>
      <c r="D98" s="879">
        <v>30.37</v>
      </c>
      <c r="E98" s="879">
        <v>0.03</v>
      </c>
      <c r="F98" s="879">
        <v>174.9</v>
      </c>
      <c r="G98" s="879">
        <v>0.18</v>
      </c>
      <c r="H98" s="910">
        <v>174.9</v>
      </c>
      <c r="I98" s="879">
        <v>177.95</v>
      </c>
      <c r="J98" s="879">
        <v>0.18</v>
      </c>
      <c r="K98" s="879">
        <v>147.58000000000001</v>
      </c>
      <c r="L98" s="879">
        <v>3.05</v>
      </c>
      <c r="M98" s="879">
        <v>3.05</v>
      </c>
    </row>
    <row r="99" spans="1:13" ht="24">
      <c r="A99" s="911" t="s">
        <v>2965</v>
      </c>
      <c r="B99" s="905" t="s">
        <v>2760</v>
      </c>
      <c r="C99" s="902" t="s">
        <v>47</v>
      </c>
      <c r="D99" s="879">
        <v>1.44</v>
      </c>
      <c r="E99" s="879">
        <v>0</v>
      </c>
      <c r="F99" s="879">
        <v>4.04</v>
      </c>
      <c r="G99" s="879">
        <v>0</v>
      </c>
      <c r="H99" s="910">
        <v>4</v>
      </c>
      <c r="I99" s="879">
        <v>1.79</v>
      </c>
      <c r="J99" s="879">
        <v>0</v>
      </c>
      <c r="K99" s="879">
        <v>0.35</v>
      </c>
      <c r="L99" s="879">
        <v>-2.25</v>
      </c>
      <c r="M99" s="879">
        <v>-2.21</v>
      </c>
    </row>
    <row r="100" spans="1:13">
      <c r="A100" s="911" t="s">
        <v>2965</v>
      </c>
      <c r="B100" s="905" t="s">
        <v>2761</v>
      </c>
      <c r="C100" s="902" t="s">
        <v>2762</v>
      </c>
      <c r="D100" s="879">
        <v>500.91</v>
      </c>
      <c r="E100" s="879">
        <v>0.51</v>
      </c>
      <c r="F100" s="879">
        <v>526.1</v>
      </c>
      <c r="G100" s="879">
        <v>0.53</v>
      </c>
      <c r="H100" s="910">
        <v>0</v>
      </c>
      <c r="I100" s="879">
        <v>0</v>
      </c>
      <c r="J100" s="879">
        <v>0</v>
      </c>
      <c r="K100" s="879">
        <v>-500.91</v>
      </c>
      <c r="L100" s="879">
        <v>-526.1</v>
      </c>
      <c r="M100" s="879">
        <v>0</v>
      </c>
    </row>
    <row r="101" spans="1:13" ht="24">
      <c r="A101" s="911" t="s">
        <v>2965</v>
      </c>
      <c r="B101" s="905" t="s">
        <v>2763</v>
      </c>
      <c r="C101" s="902" t="s">
        <v>2764</v>
      </c>
      <c r="D101" s="879">
        <v>1.17</v>
      </c>
      <c r="E101" s="879">
        <v>0</v>
      </c>
      <c r="F101" s="879">
        <v>459.21</v>
      </c>
      <c r="G101" s="879">
        <v>0.47</v>
      </c>
      <c r="H101" s="910">
        <v>459.2</v>
      </c>
      <c r="I101" s="879">
        <v>452.4</v>
      </c>
      <c r="J101" s="879">
        <v>0.46</v>
      </c>
      <c r="K101" s="879">
        <v>451.23</v>
      </c>
      <c r="L101" s="879">
        <v>-6.81</v>
      </c>
      <c r="M101" s="879">
        <v>-6.8</v>
      </c>
    </row>
    <row r="102" spans="1:13">
      <c r="A102" s="911" t="s">
        <v>2965</v>
      </c>
      <c r="B102" s="905" t="s">
        <v>2765</v>
      </c>
      <c r="C102" s="902" t="s">
        <v>37</v>
      </c>
      <c r="D102" s="879">
        <v>500.91</v>
      </c>
      <c r="E102" s="879">
        <v>0.51</v>
      </c>
      <c r="F102" s="879">
        <v>526.1</v>
      </c>
      <c r="G102" s="879">
        <v>0.53</v>
      </c>
      <c r="H102" s="910">
        <v>535</v>
      </c>
      <c r="I102" s="879">
        <v>529.15</v>
      </c>
      <c r="J102" s="879">
        <v>0.54</v>
      </c>
      <c r="K102" s="879">
        <v>28.24</v>
      </c>
      <c r="L102" s="879">
        <v>3.05</v>
      </c>
      <c r="M102" s="879">
        <v>-5.85</v>
      </c>
    </row>
    <row r="103" spans="1:13">
      <c r="A103" s="911" t="s">
        <v>2965</v>
      </c>
      <c r="B103" s="905" t="s">
        <v>2766</v>
      </c>
      <c r="C103" s="902" t="s">
        <v>38</v>
      </c>
      <c r="D103" s="879">
        <v>1.38</v>
      </c>
      <c r="E103" s="879">
        <v>0</v>
      </c>
      <c r="F103" s="879">
        <v>1.38</v>
      </c>
      <c r="G103" s="879">
        <v>0</v>
      </c>
      <c r="H103" s="910">
        <v>1.4</v>
      </c>
      <c r="I103" s="879">
        <v>1.38</v>
      </c>
      <c r="J103" s="879">
        <v>0</v>
      </c>
      <c r="K103" s="879">
        <v>0</v>
      </c>
      <c r="L103" s="879">
        <v>0</v>
      </c>
      <c r="M103" s="879">
        <v>-0.02</v>
      </c>
    </row>
    <row r="104" spans="1:13" ht="24">
      <c r="A104" s="911" t="s">
        <v>2965</v>
      </c>
      <c r="B104" s="905" t="s">
        <v>2767</v>
      </c>
      <c r="C104" s="902" t="s">
        <v>40</v>
      </c>
      <c r="D104" s="879">
        <v>105.94</v>
      </c>
      <c r="E104" s="879">
        <v>0.11</v>
      </c>
      <c r="F104" s="879">
        <v>116.3</v>
      </c>
      <c r="G104" s="879">
        <v>0.12</v>
      </c>
      <c r="H104" s="910">
        <v>116.3</v>
      </c>
      <c r="I104" s="879">
        <v>122.35</v>
      </c>
      <c r="J104" s="879">
        <v>0.12</v>
      </c>
      <c r="K104" s="879">
        <v>16.41</v>
      </c>
      <c r="L104" s="879">
        <v>6.05</v>
      </c>
      <c r="M104" s="879">
        <v>6.05</v>
      </c>
    </row>
    <row r="105" spans="1:13" ht="24">
      <c r="A105" s="911" t="s">
        <v>2965</v>
      </c>
      <c r="B105" s="905" t="s">
        <v>132</v>
      </c>
      <c r="C105" s="902" t="s">
        <v>52</v>
      </c>
      <c r="D105" s="879">
        <v>0</v>
      </c>
      <c r="E105" s="879">
        <v>0</v>
      </c>
      <c r="F105" s="879">
        <v>1.5</v>
      </c>
      <c r="G105" s="879">
        <v>0</v>
      </c>
      <c r="H105" s="910">
        <v>0</v>
      </c>
      <c r="I105" s="879">
        <v>0</v>
      </c>
      <c r="J105" s="879">
        <v>0</v>
      </c>
      <c r="K105" s="879">
        <v>0</v>
      </c>
      <c r="L105" s="879">
        <v>-1.5</v>
      </c>
      <c r="M105" s="879">
        <v>0</v>
      </c>
    </row>
    <row r="106" spans="1:13">
      <c r="A106" s="911" t="s">
        <v>2965</v>
      </c>
      <c r="B106" s="905" t="s">
        <v>2768</v>
      </c>
      <c r="C106" s="902" t="s">
        <v>53</v>
      </c>
      <c r="D106" s="879">
        <v>0</v>
      </c>
      <c r="E106" s="879">
        <v>0</v>
      </c>
      <c r="F106" s="879">
        <v>3.3</v>
      </c>
      <c r="G106" s="879">
        <v>0</v>
      </c>
      <c r="H106" s="910">
        <v>0</v>
      </c>
      <c r="I106" s="879">
        <v>3.3</v>
      </c>
      <c r="J106" s="879">
        <v>0</v>
      </c>
      <c r="K106" s="879">
        <v>3.3</v>
      </c>
      <c r="L106" s="879">
        <v>0</v>
      </c>
      <c r="M106" s="879">
        <v>3.3</v>
      </c>
    </row>
    <row r="107" spans="1:13">
      <c r="A107" s="911" t="s">
        <v>2965</v>
      </c>
      <c r="B107" s="905" t="s">
        <v>2769</v>
      </c>
      <c r="C107" s="902" t="s">
        <v>54</v>
      </c>
      <c r="D107" s="879">
        <v>2.27</v>
      </c>
      <c r="E107" s="879">
        <v>0</v>
      </c>
      <c r="F107" s="879">
        <v>8.8000000000000007</v>
      </c>
      <c r="G107" s="879">
        <v>0.01</v>
      </c>
      <c r="H107" s="910">
        <v>0</v>
      </c>
      <c r="I107" s="879">
        <v>14.34</v>
      </c>
      <c r="J107" s="879">
        <v>0.01</v>
      </c>
      <c r="K107" s="879">
        <v>12.07</v>
      </c>
      <c r="L107" s="879">
        <v>5.54</v>
      </c>
      <c r="M107" s="879">
        <v>14.34</v>
      </c>
    </row>
    <row r="108" spans="1:13" ht="24">
      <c r="A108" s="911" t="s">
        <v>2965</v>
      </c>
      <c r="B108" s="905" t="s">
        <v>2775</v>
      </c>
      <c r="C108" s="902" t="s">
        <v>2776</v>
      </c>
      <c r="D108" s="879">
        <v>0.18</v>
      </c>
      <c r="E108" s="879">
        <v>0</v>
      </c>
      <c r="F108" s="879">
        <v>0</v>
      </c>
      <c r="G108" s="879">
        <v>0</v>
      </c>
      <c r="H108" s="910">
        <v>0</v>
      </c>
      <c r="I108" s="879">
        <v>0.2</v>
      </c>
      <c r="J108" s="879">
        <v>0</v>
      </c>
      <c r="K108" s="879">
        <v>0.02</v>
      </c>
      <c r="L108" s="879">
        <v>0.2</v>
      </c>
      <c r="M108" s="879">
        <v>0.2</v>
      </c>
    </row>
    <row r="109" spans="1:13" ht="24">
      <c r="A109" s="911" t="s">
        <v>2972</v>
      </c>
      <c r="B109" s="905" t="s">
        <v>2774</v>
      </c>
      <c r="C109" s="902" t="s">
        <v>113</v>
      </c>
      <c r="D109" s="879">
        <v>2.08</v>
      </c>
      <c r="E109" s="879">
        <v>0</v>
      </c>
      <c r="F109" s="879">
        <v>8.86</v>
      </c>
      <c r="G109" s="879">
        <v>0.01</v>
      </c>
      <c r="H109" s="910">
        <v>0</v>
      </c>
      <c r="I109" s="879">
        <v>15.85</v>
      </c>
      <c r="J109" s="879">
        <v>0.02</v>
      </c>
      <c r="K109" s="879">
        <v>13.77</v>
      </c>
      <c r="L109" s="879">
        <v>6.99</v>
      </c>
      <c r="M109" s="879">
        <v>15.85</v>
      </c>
    </row>
    <row r="110" spans="1:13">
      <c r="A110" s="911" t="s">
        <v>2973</v>
      </c>
      <c r="B110" s="905" t="s">
        <v>107</v>
      </c>
      <c r="C110" s="902" t="s">
        <v>59</v>
      </c>
      <c r="D110" s="879">
        <v>955.13</v>
      </c>
      <c r="E110" s="879">
        <v>0.97</v>
      </c>
      <c r="F110" s="884">
        <v>1011.8</v>
      </c>
      <c r="G110" s="879">
        <v>1.03</v>
      </c>
      <c r="H110" s="912">
        <v>1011.8</v>
      </c>
      <c r="I110" s="884">
        <v>1018.18</v>
      </c>
      <c r="J110" s="879">
        <v>1.03</v>
      </c>
      <c r="K110" s="879">
        <v>63.05</v>
      </c>
      <c r="L110" s="879">
        <v>6.38</v>
      </c>
      <c r="M110" s="879">
        <v>6.38</v>
      </c>
    </row>
    <row r="111" spans="1:13">
      <c r="A111" s="911" t="s">
        <v>2974</v>
      </c>
      <c r="B111" s="905" t="s">
        <v>108</v>
      </c>
      <c r="C111" s="902" t="s">
        <v>57</v>
      </c>
      <c r="D111" s="879">
        <v>170.34</v>
      </c>
      <c r="E111" s="879">
        <v>0.17</v>
      </c>
      <c r="F111" s="879">
        <v>217</v>
      </c>
      <c r="G111" s="879">
        <v>0.22</v>
      </c>
      <c r="H111" s="910">
        <v>217</v>
      </c>
      <c r="I111" s="879">
        <v>217</v>
      </c>
      <c r="J111" s="879">
        <v>0.22</v>
      </c>
      <c r="K111" s="879">
        <v>46.66</v>
      </c>
      <c r="L111" s="879">
        <v>0</v>
      </c>
      <c r="M111" s="879">
        <v>0</v>
      </c>
    </row>
    <row r="112" spans="1:13">
      <c r="A112" s="911" t="s">
        <v>2975</v>
      </c>
      <c r="B112" s="905" t="s">
        <v>95</v>
      </c>
      <c r="C112" s="902" t="s">
        <v>24</v>
      </c>
      <c r="D112" s="879">
        <v>15.44</v>
      </c>
      <c r="E112" s="879">
        <v>0.02</v>
      </c>
      <c r="F112" s="879">
        <v>24.39</v>
      </c>
      <c r="G112" s="879">
        <v>0.02</v>
      </c>
      <c r="H112" s="910">
        <v>22.8</v>
      </c>
      <c r="I112" s="879">
        <v>24.47</v>
      </c>
      <c r="J112" s="879">
        <v>0.02</v>
      </c>
      <c r="K112" s="879">
        <v>9.0299999999999994</v>
      </c>
      <c r="L112" s="879">
        <v>0.08</v>
      </c>
      <c r="M112" s="879">
        <v>1.67</v>
      </c>
    </row>
    <row r="113" spans="1:13">
      <c r="A113" s="911" t="s">
        <v>2976</v>
      </c>
      <c r="B113" s="905" t="s">
        <v>109</v>
      </c>
      <c r="C113" s="902" t="s">
        <v>110</v>
      </c>
      <c r="D113" s="879">
        <v>0</v>
      </c>
      <c r="E113" s="879">
        <v>0</v>
      </c>
      <c r="F113" s="879">
        <v>0</v>
      </c>
      <c r="G113" s="879">
        <v>0</v>
      </c>
      <c r="H113" s="910">
        <v>0</v>
      </c>
      <c r="I113" s="879">
        <v>0</v>
      </c>
      <c r="J113" s="879">
        <v>0</v>
      </c>
      <c r="K113" s="879">
        <v>0</v>
      </c>
      <c r="L113" s="879">
        <v>0</v>
      </c>
      <c r="M113" s="879">
        <v>0</v>
      </c>
    </row>
    <row r="114" spans="1:13" ht="24">
      <c r="A114" s="911" t="s">
        <v>2977</v>
      </c>
      <c r="B114" s="905" t="s">
        <v>133</v>
      </c>
      <c r="C114" s="902" t="s">
        <v>137</v>
      </c>
      <c r="D114" s="879">
        <v>0.02</v>
      </c>
      <c r="E114" s="879">
        <v>0</v>
      </c>
      <c r="F114" s="879">
        <v>0.02</v>
      </c>
      <c r="G114" s="879">
        <v>0</v>
      </c>
      <c r="H114" s="910">
        <v>0</v>
      </c>
      <c r="I114" s="879">
        <v>0.02</v>
      </c>
      <c r="J114" s="879">
        <v>0</v>
      </c>
      <c r="K114" s="879">
        <v>0</v>
      </c>
      <c r="L114" s="879">
        <v>0</v>
      </c>
      <c r="M114" s="879">
        <v>0.02</v>
      </c>
    </row>
    <row r="115" spans="1:13">
      <c r="A115" s="911" t="s">
        <v>2978</v>
      </c>
      <c r="B115" s="905" t="s">
        <v>136</v>
      </c>
      <c r="C115" s="902" t="s">
        <v>138</v>
      </c>
      <c r="D115" s="879">
        <v>0</v>
      </c>
      <c r="E115" s="879">
        <v>0</v>
      </c>
      <c r="F115" s="879">
        <v>0</v>
      </c>
      <c r="G115" s="879">
        <v>0</v>
      </c>
      <c r="H115" s="910">
        <v>0</v>
      </c>
      <c r="I115" s="879">
        <v>0</v>
      </c>
      <c r="J115" s="879">
        <v>0</v>
      </c>
      <c r="K115" s="879">
        <v>0</v>
      </c>
      <c r="L115" s="879">
        <v>0</v>
      </c>
      <c r="M115" s="879">
        <v>0</v>
      </c>
    </row>
    <row r="116" spans="1:13">
      <c r="A116" s="911" t="s">
        <v>2979</v>
      </c>
      <c r="B116" s="905" t="s">
        <v>2777</v>
      </c>
      <c r="C116" s="902" t="s">
        <v>39</v>
      </c>
      <c r="D116" s="879">
        <v>23.46</v>
      </c>
      <c r="E116" s="879">
        <v>0.02</v>
      </c>
      <c r="F116" s="879">
        <v>22.57</v>
      </c>
      <c r="G116" s="879">
        <v>0.02</v>
      </c>
      <c r="H116" s="910">
        <v>0</v>
      </c>
      <c r="I116" s="879">
        <v>23.84</v>
      </c>
      <c r="J116" s="879">
        <v>0.02</v>
      </c>
      <c r="K116" s="879">
        <v>0.38</v>
      </c>
      <c r="L116" s="879">
        <v>1.27</v>
      </c>
      <c r="M116" s="879">
        <v>23.84</v>
      </c>
    </row>
    <row r="117" spans="1:13" ht="24">
      <c r="A117" s="911" t="s">
        <v>2980</v>
      </c>
      <c r="B117" s="905" t="s">
        <v>2778</v>
      </c>
      <c r="C117" s="902" t="s">
        <v>42</v>
      </c>
      <c r="D117" s="884">
        <v>1376.2</v>
      </c>
      <c r="E117" s="879">
        <v>1.4</v>
      </c>
      <c r="F117" s="884">
        <v>1362.82</v>
      </c>
      <c r="G117" s="879">
        <v>1.38</v>
      </c>
      <c r="H117" s="910">
        <v>0</v>
      </c>
      <c r="I117" s="884">
        <v>1385.59</v>
      </c>
      <c r="J117" s="879">
        <v>1.4</v>
      </c>
      <c r="K117" s="879">
        <v>9.39</v>
      </c>
      <c r="L117" s="879">
        <v>22.77</v>
      </c>
      <c r="M117" s="884">
        <v>1385.59</v>
      </c>
    </row>
    <row r="118" spans="1:13" ht="24">
      <c r="A118" s="911" t="s">
        <v>2981</v>
      </c>
      <c r="B118" s="905" t="s">
        <v>2779</v>
      </c>
      <c r="C118" s="902" t="s">
        <v>41</v>
      </c>
      <c r="D118" s="879">
        <v>965.69</v>
      </c>
      <c r="E118" s="879">
        <v>0.98</v>
      </c>
      <c r="F118" s="879">
        <v>965.81</v>
      </c>
      <c r="G118" s="879">
        <v>0.98</v>
      </c>
      <c r="H118" s="910">
        <v>0</v>
      </c>
      <c r="I118" s="879">
        <v>967.92</v>
      </c>
      <c r="J118" s="879">
        <v>0.98</v>
      </c>
      <c r="K118" s="879">
        <v>2.23</v>
      </c>
      <c r="L118" s="879">
        <v>2.11</v>
      </c>
      <c r="M118" s="879">
        <v>967.92</v>
      </c>
    </row>
    <row r="119" spans="1:13">
      <c r="A119" s="911" t="s">
        <v>2982</v>
      </c>
      <c r="B119" s="905" t="s">
        <v>2983</v>
      </c>
      <c r="C119" s="902" t="s">
        <v>2984</v>
      </c>
      <c r="D119" s="879">
        <v>1.51</v>
      </c>
      <c r="E119" s="879">
        <v>0</v>
      </c>
      <c r="F119" s="879">
        <v>17.73</v>
      </c>
      <c r="G119" s="879">
        <v>0.02</v>
      </c>
      <c r="H119" s="910">
        <v>0</v>
      </c>
      <c r="I119" s="879">
        <v>14</v>
      </c>
      <c r="J119" s="879">
        <v>0.01</v>
      </c>
      <c r="K119" s="879">
        <v>12.49</v>
      </c>
      <c r="L119" s="879">
        <v>-3.73</v>
      </c>
      <c r="M119" s="879">
        <v>14</v>
      </c>
    </row>
    <row r="120" spans="1:13">
      <c r="A120" s="901">
        <v>3</v>
      </c>
      <c r="B120" s="904" t="s">
        <v>2985</v>
      </c>
      <c r="C120" s="901" t="s">
        <v>2986</v>
      </c>
      <c r="D120" s="893">
        <v>1509.92</v>
      </c>
      <c r="E120" s="870">
        <v>1.53</v>
      </c>
      <c r="F120" s="893">
        <v>1354.3</v>
      </c>
      <c r="G120" s="870">
        <v>1.37</v>
      </c>
      <c r="H120" s="906">
        <v>1372.2</v>
      </c>
      <c r="I120" s="906">
        <v>1372.22</v>
      </c>
      <c r="J120" s="915">
        <v>1.39</v>
      </c>
      <c r="K120" s="870">
        <v>-137.69999999999999</v>
      </c>
      <c r="L120" s="870">
        <v>17.920000000000002</v>
      </c>
      <c r="M120" s="870">
        <v>0.02</v>
      </c>
    </row>
  </sheetData>
  <mergeCells count="16">
    <mergeCell ref="H63:H64"/>
    <mergeCell ref="I63:J63"/>
    <mergeCell ref="K63:M63"/>
    <mergeCell ref="A63:A64"/>
    <mergeCell ref="B63:B64"/>
    <mergeCell ref="C63:C64"/>
    <mergeCell ref="D63:E63"/>
    <mergeCell ref="F63:G63"/>
    <mergeCell ref="G1:H1"/>
    <mergeCell ref="I1:J1"/>
    <mergeCell ref="A1:A2"/>
    <mergeCell ref="B1:B2"/>
    <mergeCell ref="C1:C2"/>
    <mergeCell ref="D1:D2"/>
    <mergeCell ref="E1:E2"/>
    <mergeCell ref="F1:F2"/>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00"/>
  <sheetViews>
    <sheetView topLeftCell="A120" workbookViewId="0">
      <selection activeCell="C62" sqref="C62"/>
    </sheetView>
  </sheetViews>
  <sheetFormatPr defaultRowHeight="14.25"/>
  <cols>
    <col min="2" max="2" width="39.875" customWidth="1"/>
    <col min="4" max="4" width="13" style="861" customWidth="1"/>
    <col min="5" max="5" width="10.375" bestFit="1" customWidth="1"/>
    <col min="6" max="6" width="15.5" customWidth="1"/>
    <col min="7" max="7" width="13.625" customWidth="1"/>
    <col min="8" max="8" width="12.5" customWidth="1"/>
    <col min="9" max="9" width="10.875" customWidth="1"/>
  </cols>
  <sheetData>
    <row r="1" spans="1:9">
      <c r="A1" s="1642" t="s">
        <v>170</v>
      </c>
      <c r="B1" s="1642" t="s">
        <v>175</v>
      </c>
      <c r="C1" s="1642" t="s">
        <v>172</v>
      </c>
      <c r="D1" s="1637" t="s">
        <v>2837</v>
      </c>
      <c r="E1" s="1637"/>
      <c r="F1" s="1637" t="s">
        <v>2840</v>
      </c>
      <c r="G1" s="1637"/>
      <c r="H1" s="1637"/>
      <c r="I1" s="1637"/>
    </row>
    <row r="2" spans="1:9" ht="42.75">
      <c r="A2" s="1642"/>
      <c r="B2" s="1642"/>
      <c r="C2" s="1642"/>
      <c r="D2" s="916" t="s">
        <v>147</v>
      </c>
      <c r="E2" s="339" t="s">
        <v>173</v>
      </c>
      <c r="F2" s="339" t="s">
        <v>2906</v>
      </c>
      <c r="G2" s="339" t="s">
        <v>2907</v>
      </c>
      <c r="H2" s="339" t="s">
        <v>147</v>
      </c>
      <c r="I2" s="339" t="s">
        <v>173</v>
      </c>
    </row>
    <row r="3" spans="1:9" ht="15">
      <c r="A3" s="852">
        <v>-1</v>
      </c>
      <c r="B3" s="852">
        <v>-2</v>
      </c>
      <c r="C3" s="852">
        <v>-3</v>
      </c>
      <c r="D3" s="917">
        <v>-4</v>
      </c>
      <c r="E3" s="852">
        <v>-5</v>
      </c>
      <c r="F3" s="852">
        <v>-6</v>
      </c>
      <c r="G3" s="330" t="s">
        <v>2913</v>
      </c>
      <c r="H3" s="852">
        <v>-8</v>
      </c>
      <c r="I3" s="852">
        <v>-9</v>
      </c>
    </row>
    <row r="4" spans="1:9" ht="15">
      <c r="A4" s="339" t="s">
        <v>78</v>
      </c>
      <c r="B4" s="429" t="s">
        <v>2851</v>
      </c>
      <c r="C4" s="2"/>
      <c r="D4" s="438">
        <v>98642.92</v>
      </c>
      <c r="E4" s="438">
        <v>100</v>
      </c>
      <c r="F4" s="438">
        <v>98642.9</v>
      </c>
      <c r="G4" s="438"/>
      <c r="H4" s="438">
        <v>98642.92</v>
      </c>
      <c r="I4" s="438">
        <v>100</v>
      </c>
    </row>
    <row r="5" spans="1:9">
      <c r="A5" s="339">
        <v>1</v>
      </c>
      <c r="B5" s="848" t="s">
        <v>3</v>
      </c>
      <c r="C5" s="339" t="s">
        <v>4</v>
      </c>
      <c r="D5" s="438">
        <f>'01CH'!D9</f>
        <v>105229.01</v>
      </c>
      <c r="E5" s="438">
        <f>D5/$D$4*100</f>
        <v>106.67669813505114</v>
      </c>
      <c r="F5" s="438">
        <f>'06CH'!D9</f>
        <v>87326.82</v>
      </c>
      <c r="G5" s="438">
        <f>H5-F5</f>
        <v>17767.768649999998</v>
      </c>
      <c r="H5" s="438">
        <f>'06CH'!F9</f>
        <v>105094.58865000001</v>
      </c>
      <c r="I5" s="438">
        <f>H5/$H$4*100</f>
        <v>106.54042748329024</v>
      </c>
    </row>
    <row r="6" spans="1:9" ht="15">
      <c r="A6" s="822"/>
      <c r="B6" s="849" t="s">
        <v>2815</v>
      </c>
      <c r="C6" s="822"/>
      <c r="D6" s="860"/>
      <c r="E6" s="860"/>
      <c r="F6" s="434"/>
      <c r="G6" s="834"/>
      <c r="H6" s="434"/>
      <c r="I6" s="860"/>
    </row>
    <row r="7" spans="1:9" ht="15">
      <c r="A7" s="2" t="s">
        <v>6</v>
      </c>
      <c r="B7" s="850" t="s">
        <v>85</v>
      </c>
      <c r="C7" s="2" t="s">
        <v>5</v>
      </c>
      <c r="D7" s="431">
        <f>'01CH'!D11</f>
        <v>3228.55</v>
      </c>
      <c r="E7" s="431">
        <f t="shared" ref="E7:E16" si="0">D7/$D$4*100</f>
        <v>3.2729667775447036</v>
      </c>
      <c r="F7" s="431">
        <f>'06CH'!D11</f>
        <v>5851.5</v>
      </c>
      <c r="G7" s="431">
        <f t="shared" ref="G7:G16" si="1">H7-F7</f>
        <v>-2644.7838500000003</v>
      </c>
      <c r="H7" s="431">
        <f>'06CH'!F11</f>
        <v>3206.7161499999997</v>
      </c>
      <c r="I7" s="438">
        <f t="shared" ref="I7:I53" si="2">H7/$H$4*100</f>
        <v>3.2508325483471086</v>
      </c>
    </row>
    <row r="8" spans="1:9" s="856" customFormat="1" ht="15">
      <c r="A8" s="853" t="s">
        <v>193</v>
      </c>
      <c r="B8" s="854" t="s">
        <v>2746</v>
      </c>
      <c r="C8" s="853" t="s">
        <v>7</v>
      </c>
      <c r="D8" s="855">
        <f>'01CH'!D12</f>
        <v>2086.2599999999998</v>
      </c>
      <c r="E8" s="855">
        <f t="shared" si="0"/>
        <v>2.114961722544304</v>
      </c>
      <c r="F8" s="855">
        <f>'06CH'!D12</f>
        <v>3201.3</v>
      </c>
      <c r="G8" s="855">
        <f t="shared" si="1"/>
        <v>-1130.29385</v>
      </c>
      <c r="H8" s="855">
        <f>'06CH'!F12</f>
        <v>2071.0061500000002</v>
      </c>
      <c r="I8" s="855">
        <f t="shared" si="2"/>
        <v>2.0994980176985845</v>
      </c>
    </row>
    <row r="9" spans="1:9" ht="15">
      <c r="A9" s="2" t="s">
        <v>9</v>
      </c>
      <c r="B9" s="850" t="s">
        <v>2747</v>
      </c>
      <c r="C9" s="2" t="s">
        <v>12</v>
      </c>
      <c r="D9" s="431">
        <f>'01CH'!D13</f>
        <v>2313.31</v>
      </c>
      <c r="E9" s="431">
        <f t="shared" si="0"/>
        <v>2.3451353629839833</v>
      </c>
      <c r="F9" s="431">
        <f>'06CH'!D13</f>
        <v>0</v>
      </c>
      <c r="G9" s="431">
        <f t="shared" si="1"/>
        <v>2283.2925</v>
      </c>
      <c r="H9" s="431">
        <f>'06CH'!F13</f>
        <v>2283.2925</v>
      </c>
      <c r="I9" s="431">
        <f t="shared" si="2"/>
        <v>2.3147048972191819</v>
      </c>
    </row>
    <row r="10" spans="1:9" ht="15">
      <c r="A10" s="2" t="s">
        <v>11</v>
      </c>
      <c r="B10" s="850" t="s">
        <v>60</v>
      </c>
      <c r="C10" s="2" t="s">
        <v>14</v>
      </c>
      <c r="D10" s="431">
        <f>'01CH'!D14</f>
        <v>678.03</v>
      </c>
      <c r="E10" s="431">
        <f t="shared" si="0"/>
        <v>0.68735799791814756</v>
      </c>
      <c r="F10" s="431">
        <f>'06CH'!D14</f>
        <v>2566.4</v>
      </c>
      <c r="G10" s="431">
        <f t="shared" si="1"/>
        <v>-1901.9550000000002</v>
      </c>
      <c r="H10" s="431">
        <f>'06CH'!F14</f>
        <v>664.44499999999994</v>
      </c>
      <c r="I10" s="431">
        <f t="shared" si="2"/>
        <v>0.67358610227677762</v>
      </c>
    </row>
    <row r="11" spans="1:9" ht="15">
      <c r="A11" s="2" t="s">
        <v>13</v>
      </c>
      <c r="B11" s="850" t="s">
        <v>61</v>
      </c>
      <c r="C11" s="2" t="s">
        <v>16</v>
      </c>
      <c r="D11" s="431">
        <f>'01CH'!D15</f>
        <v>9881.8499999999985</v>
      </c>
      <c r="E11" s="431">
        <f t="shared" si="0"/>
        <v>10.017799554190001</v>
      </c>
      <c r="F11" s="431">
        <f>'06CH'!D15</f>
        <v>9729.9</v>
      </c>
      <c r="G11" s="431">
        <f t="shared" si="1"/>
        <v>151.94999999999891</v>
      </c>
      <c r="H11" s="431">
        <f>'06CH'!F15</f>
        <v>9881.8499999999985</v>
      </c>
      <c r="I11" s="431">
        <f t="shared" si="2"/>
        <v>10.017799554190001</v>
      </c>
    </row>
    <row r="12" spans="1:9" ht="15">
      <c r="A12" s="2" t="s">
        <v>15</v>
      </c>
      <c r="B12" s="850" t="s">
        <v>62</v>
      </c>
      <c r="C12" s="2" t="s">
        <v>17</v>
      </c>
      <c r="D12" s="431">
        <f>'01CH'!D16</f>
        <v>0</v>
      </c>
      <c r="E12" s="431">
        <f t="shared" si="0"/>
        <v>0</v>
      </c>
      <c r="F12" s="431">
        <f>'06CH'!D16</f>
        <v>2211.8000000000002</v>
      </c>
      <c r="G12" s="431">
        <f t="shared" si="1"/>
        <v>-2211.8000000000002</v>
      </c>
      <c r="H12" s="431">
        <f>'06CH'!F16</f>
        <v>0</v>
      </c>
      <c r="I12" s="431">
        <f t="shared" si="2"/>
        <v>0</v>
      </c>
    </row>
    <row r="13" spans="1:9" ht="15">
      <c r="A13" s="2" t="s">
        <v>64</v>
      </c>
      <c r="B13" s="850" t="s">
        <v>63</v>
      </c>
      <c r="C13" s="2" t="s">
        <v>18</v>
      </c>
      <c r="D13" s="431">
        <f>'01CH'!D17</f>
        <v>89007.890000000014</v>
      </c>
      <c r="E13" s="431">
        <f t="shared" si="0"/>
        <v>90.232416072030318</v>
      </c>
      <c r="F13" s="431">
        <f>'06CH'!D17</f>
        <v>61783.799999999996</v>
      </c>
      <c r="G13" s="431">
        <f t="shared" si="1"/>
        <v>27141.505000000012</v>
      </c>
      <c r="H13" s="431">
        <f>'06CH'!F17</f>
        <v>88925.305000000008</v>
      </c>
      <c r="I13" s="431">
        <f t="shared" si="2"/>
        <v>90.148694908869302</v>
      </c>
    </row>
    <row r="14" spans="1:9" s="856" customFormat="1" ht="15">
      <c r="A14" s="853" t="s">
        <v>193</v>
      </c>
      <c r="B14" s="857" t="s">
        <v>2912</v>
      </c>
      <c r="C14" s="853" t="s">
        <v>187</v>
      </c>
      <c r="D14" s="855">
        <f>'01CH'!D18</f>
        <v>56466.229999999996</v>
      </c>
      <c r="E14" s="855">
        <f t="shared" si="0"/>
        <v>57.243064175310302</v>
      </c>
      <c r="F14" s="855">
        <f>'06CH'!D18</f>
        <v>5532.4</v>
      </c>
      <c r="G14" s="855">
        <f t="shared" si="1"/>
        <v>50933.829999999994</v>
      </c>
      <c r="H14" s="855">
        <f>'06CH'!F18</f>
        <v>56466.229999999996</v>
      </c>
      <c r="I14" s="855">
        <f t="shared" si="2"/>
        <v>57.243064175310302</v>
      </c>
    </row>
    <row r="15" spans="1:9" ht="15">
      <c r="A15" s="2" t="s">
        <v>73</v>
      </c>
      <c r="B15" s="850" t="s">
        <v>72</v>
      </c>
      <c r="C15" s="2" t="s">
        <v>19</v>
      </c>
      <c r="D15" s="431">
        <f>'01CH'!D19</f>
        <v>108.97999999999999</v>
      </c>
      <c r="E15" s="431">
        <f t="shared" si="0"/>
        <v>0.11047929238104467</v>
      </c>
      <c r="F15" s="431">
        <f>'06CH'!D19</f>
        <v>0</v>
      </c>
      <c r="G15" s="431">
        <f t="shared" si="1"/>
        <v>105.89</v>
      </c>
      <c r="H15" s="431">
        <f>'06CH'!F19</f>
        <v>105.89</v>
      </c>
      <c r="I15" s="431">
        <f t="shared" si="2"/>
        <v>0.10734678170516444</v>
      </c>
    </row>
    <row r="16" spans="1:9" ht="15">
      <c r="A16" s="2" t="s">
        <v>86</v>
      </c>
      <c r="B16" s="850" t="s">
        <v>89</v>
      </c>
      <c r="C16" s="2" t="s">
        <v>20</v>
      </c>
      <c r="D16" s="431">
        <f>'01CH'!D21</f>
        <v>10.4</v>
      </c>
      <c r="E16" s="431">
        <f t="shared" si="0"/>
        <v>1.0543078002962605E-2</v>
      </c>
      <c r="F16" s="431">
        <f>'06CH'!D21</f>
        <v>0</v>
      </c>
      <c r="G16" s="431">
        <f t="shared" si="1"/>
        <v>27.09</v>
      </c>
      <c r="H16" s="431">
        <f>'06CH'!F21</f>
        <v>27.09</v>
      </c>
      <c r="I16" s="431">
        <f t="shared" si="2"/>
        <v>2.7462690682717013E-2</v>
      </c>
    </row>
    <row r="17" spans="1:9">
      <c r="A17" s="339">
        <v>2</v>
      </c>
      <c r="B17" s="848" t="s">
        <v>21</v>
      </c>
      <c r="C17" s="339" t="s">
        <v>22</v>
      </c>
      <c r="D17" s="438">
        <f>'01CH'!D22</f>
        <v>3442.7</v>
      </c>
      <c r="E17" s="438">
        <f>D17/$D$4*100</f>
        <v>3.4900629462307076</v>
      </c>
      <c r="F17" s="438">
        <f>'06CH'!D22</f>
        <v>9943.7900000000009</v>
      </c>
      <c r="G17" s="438">
        <f>H17-F17</f>
        <v>-6353.9886500000011</v>
      </c>
      <c r="H17" s="438">
        <f>'06CH'!F22</f>
        <v>3589.8013500000002</v>
      </c>
      <c r="I17" s="438">
        <f t="shared" si="2"/>
        <v>3.6391880430952375</v>
      </c>
    </row>
    <row r="18" spans="1:9" ht="15">
      <c r="A18" s="822"/>
      <c r="B18" s="849" t="s">
        <v>2815</v>
      </c>
      <c r="C18" s="822"/>
      <c r="D18" s="860"/>
      <c r="E18" s="860"/>
      <c r="F18" s="434"/>
      <c r="G18" s="434"/>
      <c r="H18" s="434"/>
      <c r="I18" s="860"/>
    </row>
    <row r="19" spans="1:9" ht="15">
      <c r="A19" s="2" t="s">
        <v>23</v>
      </c>
      <c r="B19" s="850" t="s">
        <v>65</v>
      </c>
      <c r="C19" s="2" t="s">
        <v>26</v>
      </c>
      <c r="D19" s="431">
        <f>'01CH'!D24</f>
        <v>15.48</v>
      </c>
      <c r="E19" s="431">
        <f t="shared" ref="E19:E53" si="3">D19/$D$4*100</f>
        <v>1.5692966104409723E-2</v>
      </c>
      <c r="F19" s="431">
        <f>'06CH'!D24</f>
        <v>1835.3</v>
      </c>
      <c r="G19" s="431">
        <f t="shared" ref="G19:G53" si="4">H19-F19</f>
        <v>-1803.82</v>
      </c>
      <c r="H19" s="431">
        <f>'06CH'!F24</f>
        <v>31.48</v>
      </c>
      <c r="I19" s="438">
        <f t="shared" si="2"/>
        <v>3.1913086108967578E-2</v>
      </c>
    </row>
    <row r="20" spans="1:9" ht="15">
      <c r="A20" s="2" t="s">
        <v>25</v>
      </c>
      <c r="B20" s="850" t="s">
        <v>66</v>
      </c>
      <c r="C20" s="2" t="s">
        <v>28</v>
      </c>
      <c r="D20" s="431">
        <f>'01CH'!D25</f>
        <v>1.4300000000000002</v>
      </c>
      <c r="E20" s="431">
        <f t="shared" si="3"/>
        <v>1.4496732254073584E-3</v>
      </c>
      <c r="F20" s="431">
        <f>'06CH'!D25</f>
        <v>16.080000000000002</v>
      </c>
      <c r="G20" s="431">
        <f t="shared" si="4"/>
        <v>-12.870000000000001</v>
      </c>
      <c r="H20" s="431">
        <f>'06CH'!F25</f>
        <v>3.21</v>
      </c>
      <c r="I20" s="431">
        <f t="shared" si="2"/>
        <v>3.2541615759144192E-3</v>
      </c>
    </row>
    <row r="21" spans="1:9" ht="15">
      <c r="A21" s="2" t="s">
        <v>27</v>
      </c>
      <c r="B21" s="850" t="s">
        <v>90</v>
      </c>
      <c r="C21" s="2" t="s">
        <v>91</v>
      </c>
      <c r="D21" s="431">
        <f>'01CH'!D27</f>
        <v>0</v>
      </c>
      <c r="E21" s="431">
        <f t="shared" si="3"/>
        <v>0</v>
      </c>
      <c r="F21" s="431">
        <f>'06CH'!D27</f>
        <v>125.35</v>
      </c>
      <c r="G21" s="431">
        <f t="shared" si="4"/>
        <v>-95.35</v>
      </c>
      <c r="H21" s="431">
        <f>'06CH'!F27</f>
        <v>30</v>
      </c>
      <c r="I21" s="431">
        <f t="shared" si="2"/>
        <v>3.0412725008545978E-2</v>
      </c>
    </row>
    <row r="22" spans="1:9" ht="15">
      <c r="A22" s="2" t="s">
        <v>29</v>
      </c>
      <c r="B22" s="850" t="s">
        <v>379</v>
      </c>
      <c r="C22" s="2" t="s">
        <v>93</v>
      </c>
      <c r="D22" s="431">
        <f>'01CH'!D28</f>
        <v>16.32</v>
      </c>
      <c r="E22" s="431">
        <f t="shared" si="3"/>
        <v>1.6544522404649011E-2</v>
      </c>
      <c r="F22" s="431">
        <f>'06CH'!D28</f>
        <v>63.2</v>
      </c>
      <c r="G22" s="431">
        <f t="shared" si="4"/>
        <v>-42.92</v>
      </c>
      <c r="H22" s="431">
        <f>'06CH'!F28</f>
        <v>20.28</v>
      </c>
      <c r="I22" s="431">
        <f t="shared" si="2"/>
        <v>2.0559002105777081E-2</v>
      </c>
    </row>
    <row r="23" spans="1:9" ht="15">
      <c r="A23" s="2" t="s">
        <v>31</v>
      </c>
      <c r="B23" s="850" t="s">
        <v>94</v>
      </c>
      <c r="C23" s="2" t="s">
        <v>32</v>
      </c>
      <c r="D23" s="431">
        <f>'01CH'!D29</f>
        <v>2.23</v>
      </c>
      <c r="E23" s="431">
        <f t="shared" si="3"/>
        <v>2.2606792256352507E-3</v>
      </c>
      <c r="F23" s="431">
        <f>'06CH'!D29</f>
        <v>83</v>
      </c>
      <c r="G23" s="431">
        <f t="shared" si="4"/>
        <v>-80.099999999999994</v>
      </c>
      <c r="H23" s="431">
        <f>'06CH'!F29</f>
        <v>2.9</v>
      </c>
      <c r="I23" s="431">
        <f t="shared" si="2"/>
        <v>2.9398967508261109E-3</v>
      </c>
    </row>
    <row r="24" spans="1:9" ht="15">
      <c r="A24" s="2" t="s">
        <v>33</v>
      </c>
      <c r="B24" s="336" t="s">
        <v>106</v>
      </c>
      <c r="C24" s="330" t="s">
        <v>35</v>
      </c>
      <c r="D24" s="431">
        <f>'01CH'!D30</f>
        <v>17.509999999999998</v>
      </c>
      <c r="E24" s="431">
        <f t="shared" si="3"/>
        <v>1.7750893829987999E-2</v>
      </c>
      <c r="F24" s="431">
        <f>'06CH'!D30</f>
        <v>413.3</v>
      </c>
      <c r="G24" s="431">
        <f t="shared" si="4"/>
        <v>-395.79</v>
      </c>
      <c r="H24" s="431">
        <f>'06CH'!F30</f>
        <v>17.509999999999998</v>
      </c>
      <c r="I24" s="431">
        <f t="shared" si="2"/>
        <v>1.7750893829987999E-2</v>
      </c>
    </row>
    <row r="25" spans="1:9" ht="30">
      <c r="A25" s="2" t="s">
        <v>68</v>
      </c>
      <c r="B25" s="851" t="s">
        <v>125</v>
      </c>
      <c r="C25" s="2" t="s">
        <v>43</v>
      </c>
      <c r="D25" s="431">
        <f>'01CH'!D31</f>
        <v>1463.8799999999999</v>
      </c>
      <c r="E25" s="431">
        <f t="shared" si="3"/>
        <v>1.4840193295170092</v>
      </c>
      <c r="F25" s="431">
        <f>'06CH'!D31</f>
        <v>3638.46</v>
      </c>
      <c r="G25" s="431">
        <f t="shared" si="4"/>
        <v>-2102.5673900000002</v>
      </c>
      <c r="H25" s="431">
        <f>'06CH'!F31</f>
        <v>1535.8926099999999</v>
      </c>
      <c r="I25" s="431">
        <f t="shared" si="2"/>
        <v>1.5570226530195983</v>
      </c>
    </row>
    <row r="26" spans="1:9" ht="15">
      <c r="A26" s="2"/>
      <c r="B26" s="850" t="s">
        <v>190</v>
      </c>
      <c r="C26" s="2"/>
      <c r="D26" s="431"/>
      <c r="E26" s="431"/>
      <c r="F26" s="431"/>
      <c r="G26" s="431"/>
      <c r="H26" s="431"/>
      <c r="I26" s="431"/>
    </row>
    <row r="27" spans="1:9" ht="15">
      <c r="A27" s="2" t="s">
        <v>193</v>
      </c>
      <c r="B27" s="336" t="s">
        <v>122</v>
      </c>
      <c r="C27" s="2" t="s">
        <v>44</v>
      </c>
      <c r="D27" s="431">
        <f>'01CH'!D33</f>
        <v>1289.4599999999998</v>
      </c>
      <c r="E27" s="431">
        <f t="shared" si="3"/>
        <v>1.3071997463173228</v>
      </c>
      <c r="F27" s="431">
        <f>'06CH'!D33</f>
        <v>2028.9</v>
      </c>
      <c r="G27" s="431">
        <f t="shared" si="4"/>
        <v>-682.45704000000001</v>
      </c>
      <c r="H27" s="431">
        <f>'06CH'!F33</f>
        <v>1346.4429600000001</v>
      </c>
      <c r="I27" s="431">
        <f t="shared" si="2"/>
        <v>1.3649666494057557</v>
      </c>
    </row>
    <row r="28" spans="1:9" ht="15">
      <c r="A28" s="2" t="s">
        <v>193</v>
      </c>
      <c r="B28" s="336" t="s">
        <v>123</v>
      </c>
      <c r="C28" s="2" t="s">
        <v>45</v>
      </c>
      <c r="D28" s="431">
        <f>'01CH'!D34</f>
        <v>77.82999999999997</v>
      </c>
      <c r="E28" s="431">
        <f t="shared" si="3"/>
        <v>7.8900746247171083E-2</v>
      </c>
      <c r="F28" s="431">
        <f>'06CH'!D34</f>
        <v>172.2</v>
      </c>
      <c r="G28" s="431">
        <f t="shared" si="4"/>
        <v>-94.131350000000012</v>
      </c>
      <c r="H28" s="431">
        <f>'06CH'!F34</f>
        <v>78.068649999999977</v>
      </c>
      <c r="I28" s="431">
        <f t="shared" si="2"/>
        <v>7.9142679474614064E-2</v>
      </c>
    </row>
    <row r="29" spans="1:9" ht="15">
      <c r="A29" s="2" t="s">
        <v>193</v>
      </c>
      <c r="B29" s="336" t="s">
        <v>2770</v>
      </c>
      <c r="C29" s="2" t="s">
        <v>2771</v>
      </c>
      <c r="D29" s="431">
        <f>'01CH'!D35</f>
        <v>0.16999999999999998</v>
      </c>
      <c r="E29" s="431">
        <f t="shared" si="3"/>
        <v>1.7233877504842717E-4</v>
      </c>
      <c r="F29" s="431">
        <f>'06CH'!D35</f>
        <v>0</v>
      </c>
      <c r="G29" s="431">
        <f t="shared" si="4"/>
        <v>0.2</v>
      </c>
      <c r="H29" s="431">
        <f>'06CH'!F35</f>
        <v>0.2</v>
      </c>
      <c r="I29" s="431">
        <f t="shared" si="2"/>
        <v>2.0275150005697319E-4</v>
      </c>
    </row>
    <row r="30" spans="1:9" ht="15">
      <c r="A30" s="2" t="s">
        <v>193</v>
      </c>
      <c r="B30" s="336" t="s">
        <v>2772</v>
      </c>
      <c r="C30" s="2" t="s">
        <v>2773</v>
      </c>
      <c r="D30" s="431" t="s">
        <v>2911</v>
      </c>
      <c r="E30" s="431" t="s">
        <v>2911</v>
      </c>
      <c r="F30" s="431">
        <f>'06CH'!D36</f>
        <v>0</v>
      </c>
      <c r="G30" s="431">
        <f t="shared" si="4"/>
        <v>0</v>
      </c>
      <c r="H30" s="431">
        <f>'06CH'!F36</f>
        <v>0</v>
      </c>
      <c r="I30" s="431">
        <f t="shared" si="2"/>
        <v>0</v>
      </c>
    </row>
    <row r="31" spans="1:9" ht="15">
      <c r="A31" s="2" t="s">
        <v>193</v>
      </c>
      <c r="B31" s="336" t="s">
        <v>127</v>
      </c>
      <c r="C31" s="2" t="s">
        <v>48</v>
      </c>
      <c r="D31" s="431">
        <f>'01CH'!D37</f>
        <v>1.8900000000000003</v>
      </c>
      <c r="E31" s="431">
        <f t="shared" si="3"/>
        <v>1.9160016755383968E-3</v>
      </c>
      <c r="F31" s="431">
        <f>'06CH'!D37</f>
        <v>5.0599999999999996</v>
      </c>
      <c r="G31" s="431">
        <f t="shared" si="4"/>
        <v>-2.3699999999999992</v>
      </c>
      <c r="H31" s="431">
        <f>'06CH'!F37</f>
        <v>2.6900000000000004</v>
      </c>
      <c r="I31" s="431">
        <f t="shared" si="2"/>
        <v>2.7270076757662898E-3</v>
      </c>
    </row>
    <row r="32" spans="1:9" ht="15">
      <c r="A32" s="2" t="s">
        <v>193</v>
      </c>
      <c r="B32" s="336" t="s">
        <v>129</v>
      </c>
      <c r="C32" s="2" t="s">
        <v>49</v>
      </c>
      <c r="D32" s="431">
        <f>'01CH'!D38</f>
        <v>4.6900000000000004</v>
      </c>
      <c r="E32" s="431">
        <f t="shared" si="3"/>
        <v>4.7545226763360208E-3</v>
      </c>
      <c r="F32" s="431">
        <f>'06CH'!D38</f>
        <v>10.9</v>
      </c>
      <c r="G32" s="431">
        <f t="shared" si="4"/>
        <v>-6.27</v>
      </c>
      <c r="H32" s="431">
        <f>'06CH'!F38</f>
        <v>4.6300000000000008</v>
      </c>
      <c r="I32" s="431">
        <f t="shared" si="2"/>
        <v>4.6936972263189299E-3</v>
      </c>
    </row>
    <row r="33" spans="1:9" ht="15">
      <c r="A33" s="2" t="s">
        <v>193</v>
      </c>
      <c r="B33" s="336" t="s">
        <v>220</v>
      </c>
      <c r="C33" s="2" t="s">
        <v>50</v>
      </c>
      <c r="D33" s="431">
        <f>'01CH'!D39</f>
        <v>42.95</v>
      </c>
      <c r="E33" s="431">
        <f t="shared" si="3"/>
        <v>4.3540884637234996E-2</v>
      </c>
      <c r="F33" s="431">
        <f>'06CH'!D39</f>
        <v>82.6</v>
      </c>
      <c r="G33" s="431">
        <f t="shared" si="4"/>
        <v>-38.829999999999991</v>
      </c>
      <c r="H33" s="431">
        <f>'06CH'!F39</f>
        <v>43.77</v>
      </c>
      <c r="I33" s="431">
        <f t="shared" si="2"/>
        <v>4.4372165787468582E-2</v>
      </c>
    </row>
    <row r="34" spans="1:9" ht="15">
      <c r="A34" s="2" t="s">
        <v>193</v>
      </c>
      <c r="B34" s="336" t="s">
        <v>2307</v>
      </c>
      <c r="C34" s="2" t="s">
        <v>51</v>
      </c>
      <c r="D34" s="431">
        <f>'01CH'!D40</f>
        <v>2.08</v>
      </c>
      <c r="E34" s="431">
        <f t="shared" si="3"/>
        <v>2.1086156005925209E-3</v>
      </c>
      <c r="F34" s="431">
        <f>'06CH'!D40</f>
        <v>31.3</v>
      </c>
      <c r="G34" s="431">
        <f t="shared" si="4"/>
        <v>-28.95</v>
      </c>
      <c r="H34" s="431">
        <f>'06CH'!F40</f>
        <v>2.35</v>
      </c>
      <c r="I34" s="431">
        <f t="shared" si="2"/>
        <v>2.3823301256694351E-3</v>
      </c>
    </row>
    <row r="35" spans="1:9" ht="15">
      <c r="A35" s="2" t="s">
        <v>193</v>
      </c>
      <c r="B35" s="336" t="s">
        <v>134</v>
      </c>
      <c r="C35" s="2" t="s">
        <v>46</v>
      </c>
      <c r="D35" s="431">
        <f>'01CH'!D41</f>
        <v>12.53</v>
      </c>
      <c r="E35" s="431">
        <f t="shared" si="3"/>
        <v>1.270238147856937E-2</v>
      </c>
      <c r="F35" s="431">
        <f>'06CH'!D41</f>
        <v>174.9</v>
      </c>
      <c r="G35" s="431">
        <f t="shared" si="4"/>
        <v>-159.119</v>
      </c>
      <c r="H35" s="431">
        <f>'06CH'!F41</f>
        <v>15.780999999999999</v>
      </c>
      <c r="I35" s="431">
        <f t="shared" si="2"/>
        <v>1.5998107111995466E-2</v>
      </c>
    </row>
    <row r="36" spans="1:9" ht="15">
      <c r="A36" s="2" t="s">
        <v>193</v>
      </c>
      <c r="B36" s="336" t="s">
        <v>2817</v>
      </c>
      <c r="C36" s="2" t="s">
        <v>47</v>
      </c>
      <c r="D36" s="431">
        <f>'01CH'!D42</f>
        <v>0.45000000000000018</v>
      </c>
      <c r="E36" s="431">
        <f t="shared" si="3"/>
        <v>4.5619087512818978E-4</v>
      </c>
      <c r="F36" s="431">
        <f>'06CH'!D42</f>
        <v>4</v>
      </c>
      <c r="G36" s="431">
        <f t="shared" si="4"/>
        <v>-3.55</v>
      </c>
      <c r="H36" s="431">
        <f>'06CH'!F42</f>
        <v>0.45000000000000018</v>
      </c>
      <c r="I36" s="431">
        <f t="shared" si="2"/>
        <v>4.5619087512818978E-4</v>
      </c>
    </row>
    <row r="37" spans="1:9" ht="30">
      <c r="A37" s="2" t="s">
        <v>193</v>
      </c>
      <c r="B37" s="336" t="s">
        <v>2763</v>
      </c>
      <c r="C37" s="2" t="s">
        <v>2764</v>
      </c>
      <c r="D37" s="431">
        <f>'01CH'!D44</f>
        <v>6.9999999999999993E-2</v>
      </c>
      <c r="E37" s="431">
        <f t="shared" si="3"/>
        <v>7.0963025019940605E-5</v>
      </c>
      <c r="F37" s="431">
        <f>'06CH'!D44</f>
        <v>459.2</v>
      </c>
      <c r="G37" s="431">
        <f t="shared" si="4"/>
        <v>-457.26</v>
      </c>
      <c r="H37" s="431">
        <f>'06CH'!F44</f>
        <v>1.9400000000000004</v>
      </c>
      <c r="I37" s="431">
        <f t="shared" si="2"/>
        <v>1.9666895505526401E-3</v>
      </c>
    </row>
    <row r="38" spans="1:9" ht="15">
      <c r="A38" s="2" t="s">
        <v>193</v>
      </c>
      <c r="B38" s="336" t="s">
        <v>80</v>
      </c>
      <c r="C38" s="2" t="s">
        <v>37</v>
      </c>
      <c r="D38" s="431">
        <f>'01CH'!D45</f>
        <v>0.19</v>
      </c>
      <c r="E38" s="431">
        <f t="shared" si="3"/>
        <v>1.9261392505412451E-4</v>
      </c>
      <c r="F38" s="431">
        <f>'06CH'!D45</f>
        <v>535</v>
      </c>
      <c r="G38" s="431">
        <f t="shared" si="4"/>
        <v>-527.13</v>
      </c>
      <c r="H38" s="431">
        <f>'06CH'!F45</f>
        <v>7.87</v>
      </c>
      <c r="I38" s="431">
        <f t="shared" si="2"/>
        <v>7.9782715272418946E-3</v>
      </c>
    </row>
    <row r="39" spans="1:9" ht="15">
      <c r="A39" s="2" t="s">
        <v>193</v>
      </c>
      <c r="B39" s="336" t="s">
        <v>111</v>
      </c>
      <c r="C39" s="2" t="s">
        <v>38</v>
      </c>
      <c r="D39" s="431">
        <f>'01CH'!D46</f>
        <v>0</v>
      </c>
      <c r="E39" s="431">
        <f t="shared" si="3"/>
        <v>0</v>
      </c>
      <c r="F39" s="431">
        <f>'06CH'!D46</f>
        <v>1.4</v>
      </c>
      <c r="G39" s="431">
        <f t="shared" si="4"/>
        <v>-1.4</v>
      </c>
      <c r="H39" s="431">
        <f>'06CH'!F46</f>
        <v>0</v>
      </c>
      <c r="I39" s="431">
        <f t="shared" si="2"/>
        <v>0</v>
      </c>
    </row>
    <row r="40" spans="1:9" ht="15">
      <c r="A40" s="2" t="s">
        <v>193</v>
      </c>
      <c r="B40" s="336" t="s">
        <v>2818</v>
      </c>
      <c r="C40" s="2" t="s">
        <v>40</v>
      </c>
      <c r="D40" s="431">
        <f>'01CH'!D47</f>
        <v>28.239999999999995</v>
      </c>
      <c r="E40" s="431">
        <f t="shared" si="3"/>
        <v>2.8628511808044609E-2</v>
      </c>
      <c r="F40" s="431">
        <f>'06CH'!D47</f>
        <v>116.3</v>
      </c>
      <c r="G40" s="431">
        <f t="shared" si="4"/>
        <v>-87.97</v>
      </c>
      <c r="H40" s="431">
        <f>'06CH'!F47</f>
        <v>28.33</v>
      </c>
      <c r="I40" s="431">
        <f t="shared" si="2"/>
        <v>2.8719749983070249E-2</v>
      </c>
    </row>
    <row r="41" spans="1:9" ht="15">
      <c r="A41" s="2" t="s">
        <v>193</v>
      </c>
      <c r="B41" s="336" t="s">
        <v>132</v>
      </c>
      <c r="C41" s="2" t="s">
        <v>52</v>
      </c>
      <c r="D41" s="431" t="s">
        <v>2911</v>
      </c>
      <c r="E41" s="431" t="s">
        <v>2911</v>
      </c>
      <c r="F41" s="431">
        <v>0</v>
      </c>
      <c r="G41" s="431">
        <f t="shared" si="4"/>
        <v>0</v>
      </c>
      <c r="H41" s="431">
        <v>0</v>
      </c>
      <c r="I41" s="431"/>
    </row>
    <row r="42" spans="1:9" ht="15">
      <c r="A42" s="2" t="s">
        <v>193</v>
      </c>
      <c r="B42" s="336" t="s">
        <v>128</v>
      </c>
      <c r="C42" s="2" t="s">
        <v>53</v>
      </c>
      <c r="D42" s="431" t="s">
        <v>2911</v>
      </c>
      <c r="E42" s="431" t="s">
        <v>2911</v>
      </c>
      <c r="F42" s="431">
        <f>'06CH'!D49</f>
        <v>0</v>
      </c>
      <c r="G42" s="431">
        <f t="shared" si="4"/>
        <v>0</v>
      </c>
      <c r="H42" s="431">
        <f>'06CH'!F49</f>
        <v>0</v>
      </c>
      <c r="I42" s="431">
        <f t="shared" si="2"/>
        <v>0</v>
      </c>
    </row>
    <row r="43" spans="1:9" ht="15">
      <c r="A43" s="2" t="s">
        <v>193</v>
      </c>
      <c r="B43" s="336" t="s">
        <v>124</v>
      </c>
      <c r="C43" s="2" t="s">
        <v>54</v>
      </c>
      <c r="D43" s="431">
        <f>'01CH'!D50</f>
        <v>2.5099999999999998</v>
      </c>
      <c r="E43" s="431">
        <f t="shared" si="3"/>
        <v>2.5445313257150132E-3</v>
      </c>
      <c r="F43" s="431">
        <f>'06CH'!D50</f>
        <v>0</v>
      </c>
      <c r="G43" s="431">
        <f t="shared" si="4"/>
        <v>2.5099999999999998</v>
      </c>
      <c r="H43" s="431">
        <f>'06CH'!F50</f>
        <v>2.5099999999999998</v>
      </c>
      <c r="I43" s="431">
        <f t="shared" si="2"/>
        <v>2.5445313257150132E-3</v>
      </c>
    </row>
    <row r="44" spans="1:9" ht="15">
      <c r="A44" s="2" t="s">
        <v>193</v>
      </c>
      <c r="B44" s="336" t="s">
        <v>2775</v>
      </c>
      <c r="C44" s="2" t="s">
        <v>2776</v>
      </c>
      <c r="D44" s="431">
        <f>'01CH'!D51</f>
        <v>0.32</v>
      </c>
      <c r="E44" s="431">
        <f t="shared" si="3"/>
        <v>3.2440240009115709E-4</v>
      </c>
      <c r="F44" s="431">
        <f>'06CH'!D51</f>
        <v>0</v>
      </c>
      <c r="G44" s="431">
        <f t="shared" si="4"/>
        <v>0.36</v>
      </c>
      <c r="H44" s="431">
        <f>'06CH'!F51</f>
        <v>0.36</v>
      </c>
      <c r="I44" s="431">
        <f t="shared" si="2"/>
        <v>3.6495270010255171E-4</v>
      </c>
    </row>
    <row r="45" spans="1:9" ht="15">
      <c r="A45" s="2" t="s">
        <v>69</v>
      </c>
      <c r="B45" s="437" t="s">
        <v>1251</v>
      </c>
      <c r="C45" s="2" t="s">
        <v>113</v>
      </c>
      <c r="D45" s="431">
        <f>'01CH'!D52</f>
        <v>8.4599999999999991</v>
      </c>
      <c r="E45" s="431">
        <f t="shared" si="3"/>
        <v>8.5763884524099644E-3</v>
      </c>
      <c r="F45" s="431">
        <f>'06CH'!D52</f>
        <v>0</v>
      </c>
      <c r="G45" s="431">
        <f t="shared" si="4"/>
        <v>8.4599999999999991</v>
      </c>
      <c r="H45" s="431">
        <f>'06CH'!F52</f>
        <v>8.4599999999999991</v>
      </c>
      <c r="I45" s="431">
        <f t="shared" si="2"/>
        <v>8.5763884524099644E-3</v>
      </c>
    </row>
    <row r="46" spans="1:9" ht="15">
      <c r="A46" s="2" t="s">
        <v>70</v>
      </c>
      <c r="B46" s="437" t="s">
        <v>107</v>
      </c>
      <c r="C46" s="2" t="s">
        <v>59</v>
      </c>
      <c r="D46" s="431">
        <f>'01CH'!D53</f>
        <v>606.87</v>
      </c>
      <c r="E46" s="431">
        <f t="shared" si="3"/>
        <v>0.61521901419787661</v>
      </c>
      <c r="F46" s="431">
        <f>'06CH'!D53</f>
        <v>1011.8</v>
      </c>
      <c r="G46" s="431">
        <f t="shared" si="4"/>
        <v>-390.91199999999992</v>
      </c>
      <c r="H46" s="431">
        <f>'06CH'!F53</f>
        <v>620.88800000000003</v>
      </c>
      <c r="I46" s="431">
        <f t="shared" si="2"/>
        <v>0.62942986683686986</v>
      </c>
    </row>
    <row r="47" spans="1:9" ht="15">
      <c r="A47" s="2" t="s">
        <v>71</v>
      </c>
      <c r="B47" s="437" t="s">
        <v>108</v>
      </c>
      <c r="C47" s="2" t="s">
        <v>57</v>
      </c>
      <c r="D47" s="431">
        <f>'01CH'!D54</f>
        <v>93.449999999999989</v>
      </c>
      <c r="E47" s="431">
        <f t="shared" si="3"/>
        <v>9.4735638401620706E-2</v>
      </c>
      <c r="F47" s="431">
        <f>'06CH'!D54</f>
        <v>217</v>
      </c>
      <c r="G47" s="431">
        <f t="shared" si="4"/>
        <v>-111.70944000000001</v>
      </c>
      <c r="H47" s="431">
        <f>'06CH'!F54</f>
        <v>105.29055999999999</v>
      </c>
      <c r="I47" s="431">
        <f t="shared" si="2"/>
        <v>0.10673909490919367</v>
      </c>
    </row>
    <row r="48" spans="1:9" ht="15">
      <c r="A48" s="2" t="s">
        <v>74</v>
      </c>
      <c r="B48" s="437" t="s">
        <v>95</v>
      </c>
      <c r="C48" s="2" t="s">
        <v>24</v>
      </c>
      <c r="D48" s="431">
        <f>'01CH'!D55</f>
        <v>9.5400000000000009</v>
      </c>
      <c r="E48" s="431">
        <f t="shared" si="3"/>
        <v>9.6712465527176213E-3</v>
      </c>
      <c r="F48" s="431">
        <f>'06CH'!D55</f>
        <v>22.8</v>
      </c>
      <c r="G48" s="431">
        <f t="shared" si="4"/>
        <v>-13.259819999999999</v>
      </c>
      <c r="H48" s="431">
        <f>'06CH'!F55</f>
        <v>9.5401800000000012</v>
      </c>
      <c r="I48" s="431">
        <f t="shared" si="2"/>
        <v>9.6714290290676741E-3</v>
      </c>
    </row>
    <row r="49" spans="1:9" ht="15">
      <c r="A49" s="2" t="s">
        <v>75</v>
      </c>
      <c r="B49" s="437" t="s">
        <v>114</v>
      </c>
      <c r="C49" s="2" t="s">
        <v>39</v>
      </c>
      <c r="D49" s="431">
        <f>'01CH'!D58</f>
        <v>3.3499999999999996</v>
      </c>
      <c r="E49" s="431">
        <f t="shared" si="3"/>
        <v>3.3960876259543E-3</v>
      </c>
      <c r="F49" s="431">
        <f>'06CH'!D59</f>
        <v>0</v>
      </c>
      <c r="G49" s="431">
        <f t="shared" si="4"/>
        <v>3.2399999999999993</v>
      </c>
      <c r="H49" s="431">
        <f>'06CH'!F59</f>
        <v>3.2399999999999993</v>
      </c>
      <c r="I49" s="431">
        <f t="shared" si="2"/>
        <v>3.2845743009229642E-3</v>
      </c>
    </row>
    <row r="50" spans="1:9" ht="15">
      <c r="A50" s="2" t="s">
        <v>76</v>
      </c>
      <c r="B50" s="437" t="s">
        <v>115</v>
      </c>
      <c r="C50" s="2" t="s">
        <v>42</v>
      </c>
      <c r="D50" s="431">
        <f>'01CH'!D60</f>
        <v>1202.03</v>
      </c>
      <c r="E50" s="431">
        <f t="shared" si="3"/>
        <v>1.2185669280674172</v>
      </c>
      <c r="F50" s="431">
        <f>'06CH'!D60</f>
        <v>0</v>
      </c>
      <c r="G50" s="431">
        <f t="shared" si="4"/>
        <v>1198.95</v>
      </c>
      <c r="H50" s="431">
        <f>'06CH'!F60</f>
        <v>1198.95</v>
      </c>
      <c r="I50" s="431">
        <f t="shared" si="2"/>
        <v>1.21544455496654</v>
      </c>
    </row>
    <row r="51" spans="1:9" ht="15">
      <c r="A51" s="2" t="s">
        <v>82</v>
      </c>
      <c r="B51" s="437" t="s">
        <v>77</v>
      </c>
      <c r="C51" s="2" t="s">
        <v>41</v>
      </c>
      <c r="D51" s="431">
        <f>'01CH'!D61</f>
        <v>2.14</v>
      </c>
      <c r="E51" s="431">
        <f t="shared" si="3"/>
        <v>2.1694410506096131E-3</v>
      </c>
      <c r="F51" s="431">
        <f>'06CH'!D61</f>
        <v>0</v>
      </c>
      <c r="G51" s="431">
        <f t="shared" si="4"/>
        <v>2.14</v>
      </c>
      <c r="H51" s="431">
        <f>'06CH'!F61</f>
        <v>2.14</v>
      </c>
      <c r="I51" s="431">
        <f t="shared" si="2"/>
        <v>2.1694410506096131E-3</v>
      </c>
    </row>
    <row r="52" spans="1:9" ht="15">
      <c r="A52" s="2" t="s">
        <v>83</v>
      </c>
      <c r="B52" s="437" t="s">
        <v>116</v>
      </c>
      <c r="C52" s="2" t="s">
        <v>55</v>
      </c>
      <c r="D52" s="431">
        <f>'01CH'!D62</f>
        <v>0</v>
      </c>
      <c r="E52" s="431">
        <f t="shared" si="3"/>
        <v>0</v>
      </c>
      <c r="F52" s="431">
        <f>'06CH'!D62</f>
        <v>0</v>
      </c>
      <c r="G52" s="431">
        <f t="shared" si="4"/>
        <v>0</v>
      </c>
      <c r="H52" s="431">
        <f>'06CH'!F62</f>
        <v>0</v>
      </c>
      <c r="I52" s="431">
        <f t="shared" si="2"/>
        <v>0</v>
      </c>
    </row>
    <row r="53" spans="1:9">
      <c r="A53" s="339">
        <v>3</v>
      </c>
      <c r="B53" s="848" t="s">
        <v>56</v>
      </c>
      <c r="C53" s="339" t="s">
        <v>81</v>
      </c>
      <c r="D53" s="438">
        <f>'01CH'!D63</f>
        <v>743.41000000000008</v>
      </c>
      <c r="E53" s="438">
        <f t="shared" si="3"/>
        <v>0.75363746328677217</v>
      </c>
      <c r="F53" s="438">
        <f>'06CH'!D63</f>
        <v>1372.3</v>
      </c>
      <c r="G53" s="438">
        <f t="shared" si="4"/>
        <v>-641.56000000000017</v>
      </c>
      <c r="H53" s="438">
        <f>'06CH'!F63</f>
        <v>730.73999999999978</v>
      </c>
      <c r="I53" s="438">
        <f t="shared" si="2"/>
        <v>0.74079315575816274</v>
      </c>
    </row>
    <row r="55" spans="1:9" ht="18.75">
      <c r="A55" s="1643" t="s">
        <v>2914</v>
      </c>
      <c r="B55" s="1643"/>
      <c r="C55" s="1643"/>
      <c r="D55" s="1643"/>
      <c r="E55" s="1643"/>
      <c r="F55" s="1643"/>
      <c r="G55" s="1643"/>
      <c r="H55" s="1643"/>
      <c r="I55" s="1643"/>
    </row>
    <row r="56" spans="1:9" ht="13.7" customHeight="1">
      <c r="A56" s="1644" t="s">
        <v>170</v>
      </c>
      <c r="B56" s="1644" t="s">
        <v>175</v>
      </c>
      <c r="C56" s="1644" t="s">
        <v>172</v>
      </c>
      <c r="D56" s="1645" t="s">
        <v>2839</v>
      </c>
      <c r="E56" s="1644" t="s">
        <v>218</v>
      </c>
      <c r="F56" s="1644"/>
      <c r="G56" s="1644"/>
      <c r="H56" s="819"/>
    </row>
    <row r="57" spans="1:9" ht="13.7" customHeight="1">
      <c r="A57" s="1644"/>
      <c r="B57" s="1644"/>
      <c r="C57" s="1644"/>
      <c r="D57" s="1645"/>
      <c r="E57" s="1644" t="s">
        <v>2915</v>
      </c>
      <c r="F57" s="1644" t="s">
        <v>2832</v>
      </c>
      <c r="G57" s="862" t="s">
        <v>2916</v>
      </c>
      <c r="H57" s="819"/>
    </row>
    <row r="58" spans="1:9">
      <c r="A58" s="1644"/>
      <c r="B58" s="1644"/>
      <c r="C58" s="1644"/>
      <c r="D58" s="1645"/>
      <c r="E58" s="1644"/>
      <c r="F58" s="1644"/>
      <c r="G58" s="862" t="s">
        <v>2917</v>
      </c>
      <c r="H58" s="819"/>
    </row>
    <row r="59" spans="1:9" ht="13.7" customHeight="1">
      <c r="A59" s="1646">
        <v>-1</v>
      </c>
      <c r="B59" s="1646">
        <v>-2</v>
      </c>
      <c r="C59" s="1646">
        <v>-3</v>
      </c>
      <c r="D59" s="1649">
        <v>-4</v>
      </c>
      <c r="E59" s="1646">
        <v>-5</v>
      </c>
      <c r="F59" s="1646" t="s">
        <v>191</v>
      </c>
      <c r="G59" s="1646" t="s">
        <v>2918</v>
      </c>
      <c r="H59" s="819"/>
    </row>
    <row r="60" spans="1:9">
      <c r="A60" s="1646"/>
      <c r="B60" s="1646"/>
      <c r="C60" s="1646"/>
      <c r="D60" s="1649"/>
      <c r="E60" s="1646"/>
      <c r="F60" s="1646"/>
      <c r="G60" s="1646"/>
      <c r="H60" s="819"/>
    </row>
    <row r="61" spans="1:9" ht="15.75">
      <c r="A61" s="864">
        <v>1</v>
      </c>
      <c r="B61" s="865" t="s">
        <v>3</v>
      </c>
      <c r="C61" s="866" t="s">
        <v>4</v>
      </c>
      <c r="D61" s="922">
        <v>87326.82</v>
      </c>
      <c r="E61" s="868">
        <v>88916.34</v>
      </c>
      <c r="F61" s="869">
        <v>1602.44</v>
      </c>
      <c r="G61" s="870">
        <v>101.84</v>
      </c>
      <c r="H61" s="819"/>
    </row>
    <row r="62" spans="1:9" ht="15">
      <c r="A62" s="864"/>
      <c r="B62" s="871" t="s">
        <v>2815</v>
      </c>
      <c r="C62" s="872"/>
      <c r="D62" s="882"/>
      <c r="E62" s="874"/>
      <c r="F62" s="870"/>
      <c r="G62" s="874"/>
      <c r="H62" s="819"/>
    </row>
    <row r="63" spans="1:9" ht="15.75">
      <c r="A63" s="875" t="s">
        <v>6</v>
      </c>
      <c r="B63" s="876" t="s">
        <v>85</v>
      </c>
      <c r="C63" s="872" t="s">
        <v>5</v>
      </c>
      <c r="D63" s="877">
        <v>5851.5</v>
      </c>
      <c r="E63" s="878">
        <v>6091.24</v>
      </c>
      <c r="F63" s="879">
        <v>239.74</v>
      </c>
      <c r="G63" s="879">
        <v>104.1</v>
      </c>
      <c r="H63" s="819"/>
    </row>
    <row r="64" spans="1:9" ht="15.75">
      <c r="A64" s="872"/>
      <c r="B64" s="880" t="s">
        <v>2812</v>
      </c>
      <c r="C64" s="881" t="s">
        <v>7</v>
      </c>
      <c r="D64" s="882">
        <v>3201.3</v>
      </c>
      <c r="E64" s="883">
        <v>3338.46</v>
      </c>
      <c r="F64" s="879">
        <v>137.16</v>
      </c>
      <c r="G64" s="879">
        <v>104.28</v>
      </c>
      <c r="H64" s="819"/>
    </row>
    <row r="65" spans="1:8" ht="15.75">
      <c r="A65" s="875" t="s">
        <v>9</v>
      </c>
      <c r="B65" s="876" t="s">
        <v>60</v>
      </c>
      <c r="C65" s="872" t="s">
        <v>14</v>
      </c>
      <c r="D65" s="877">
        <v>2566.4</v>
      </c>
      <c r="E65" s="878">
        <v>4777.9399999999996</v>
      </c>
      <c r="F65" s="884">
        <v>2211.54</v>
      </c>
      <c r="G65" s="879">
        <v>186.17</v>
      </c>
      <c r="H65" s="819"/>
    </row>
    <row r="66" spans="1:8" ht="15.75">
      <c r="A66" s="872" t="s">
        <v>11</v>
      </c>
      <c r="B66" s="876" t="s">
        <v>61</v>
      </c>
      <c r="C66" s="872" t="s">
        <v>16</v>
      </c>
      <c r="D66" s="877">
        <v>9729.9</v>
      </c>
      <c r="E66" s="878">
        <v>1692.25</v>
      </c>
      <c r="F66" s="884">
        <v>-8037.65</v>
      </c>
      <c r="G66" s="879">
        <v>17.39</v>
      </c>
      <c r="H66" s="819"/>
    </row>
    <row r="67" spans="1:8" ht="15.75">
      <c r="A67" s="872" t="s">
        <v>13</v>
      </c>
      <c r="B67" s="876" t="s">
        <v>62</v>
      </c>
      <c r="C67" s="872" t="s">
        <v>17</v>
      </c>
      <c r="D67" s="877">
        <v>2211.8000000000002</v>
      </c>
      <c r="E67" s="878">
        <v>9814.9500000000007</v>
      </c>
      <c r="F67" s="884">
        <v>7603.15</v>
      </c>
      <c r="G67" s="879">
        <v>443.75</v>
      </c>
      <c r="H67" s="819"/>
    </row>
    <row r="68" spans="1:8" ht="15.75">
      <c r="A68" s="872" t="s">
        <v>15</v>
      </c>
      <c r="B68" s="876" t="s">
        <v>63</v>
      </c>
      <c r="C68" s="872" t="s">
        <v>18</v>
      </c>
      <c r="D68" s="877">
        <v>61783.8</v>
      </c>
      <c r="E68" s="878">
        <v>2219</v>
      </c>
      <c r="F68" s="884">
        <v>-59564.800000000003</v>
      </c>
      <c r="G68" s="879">
        <v>3.59</v>
      </c>
      <c r="H68" s="819"/>
    </row>
    <row r="69" spans="1:8" ht="30">
      <c r="A69" s="872"/>
      <c r="B69" s="880" t="s">
        <v>198</v>
      </c>
      <c r="C69" s="881" t="s">
        <v>187</v>
      </c>
      <c r="D69" s="882">
        <v>5532.4</v>
      </c>
      <c r="E69" s="883">
        <v>5538.4</v>
      </c>
      <c r="F69" s="885">
        <v>6</v>
      </c>
      <c r="G69" s="885">
        <v>100.11</v>
      </c>
      <c r="H69" s="819"/>
    </row>
    <row r="70" spans="1:8" ht="15.75">
      <c r="A70" s="886">
        <v>2</v>
      </c>
      <c r="B70" s="865" t="s">
        <v>21</v>
      </c>
      <c r="C70" s="866" t="s">
        <v>22</v>
      </c>
      <c r="D70" s="922">
        <v>9943.7900000000009</v>
      </c>
      <c r="E70" s="868">
        <v>8216.66</v>
      </c>
      <c r="F70" s="869">
        <v>-1740.14</v>
      </c>
      <c r="G70" s="870">
        <v>82.52</v>
      </c>
      <c r="H70" s="819"/>
    </row>
    <row r="71" spans="1:8" ht="15.75">
      <c r="A71" s="866"/>
      <c r="B71" s="871" t="s">
        <v>2815</v>
      </c>
      <c r="C71" s="872"/>
      <c r="D71" s="877"/>
      <c r="E71" s="888"/>
      <c r="F71" s="870"/>
      <c r="G71" s="879"/>
      <c r="H71" s="819"/>
    </row>
    <row r="72" spans="1:8" ht="15.75">
      <c r="A72" s="875" t="s">
        <v>23</v>
      </c>
      <c r="B72" s="876" t="s">
        <v>65</v>
      </c>
      <c r="C72" s="872" t="s">
        <v>26</v>
      </c>
      <c r="D72" s="877">
        <v>1835.3</v>
      </c>
      <c r="E72" s="878">
        <v>1736.52</v>
      </c>
      <c r="F72" s="879">
        <v>-98.78</v>
      </c>
      <c r="G72" s="879">
        <v>94.62</v>
      </c>
      <c r="H72" s="819"/>
    </row>
    <row r="73" spans="1:8" ht="15.75">
      <c r="A73" s="872" t="s">
        <v>25</v>
      </c>
      <c r="B73" s="876" t="s">
        <v>66</v>
      </c>
      <c r="C73" s="872" t="s">
        <v>28</v>
      </c>
      <c r="D73" s="877">
        <v>16.079999999999998</v>
      </c>
      <c r="E73" s="888">
        <v>8.02</v>
      </c>
      <c r="F73" s="879">
        <v>-8.08</v>
      </c>
      <c r="G73" s="879">
        <v>49.81</v>
      </c>
      <c r="H73" s="819"/>
    </row>
    <row r="74" spans="1:8" ht="15.75">
      <c r="A74" s="872" t="s">
        <v>27</v>
      </c>
      <c r="B74" s="876" t="s">
        <v>90</v>
      </c>
      <c r="C74" s="872" t="s">
        <v>91</v>
      </c>
      <c r="D74" s="877">
        <v>125.35</v>
      </c>
      <c r="E74" s="888">
        <v>3.25</v>
      </c>
      <c r="F74" s="879">
        <v>-122.15</v>
      </c>
      <c r="G74" s="879">
        <v>2.59</v>
      </c>
      <c r="H74" s="819"/>
    </row>
    <row r="75" spans="1:8" ht="15.75">
      <c r="A75" s="872" t="s">
        <v>29</v>
      </c>
      <c r="B75" s="876" t="s">
        <v>379</v>
      </c>
      <c r="C75" s="872" t="s">
        <v>93</v>
      </c>
      <c r="D75" s="877">
        <v>63.2</v>
      </c>
      <c r="E75" s="888">
        <v>19.97</v>
      </c>
      <c r="F75" s="879">
        <v>-43.23</v>
      </c>
      <c r="G75" s="879">
        <v>31.6</v>
      </c>
      <c r="H75" s="819"/>
    </row>
    <row r="76" spans="1:8" ht="15.75">
      <c r="A76" s="872" t="s">
        <v>31</v>
      </c>
      <c r="B76" s="876" t="s">
        <v>94</v>
      </c>
      <c r="C76" s="872" t="s">
        <v>32</v>
      </c>
      <c r="D76" s="877">
        <v>83</v>
      </c>
      <c r="E76" s="888">
        <v>54.08</v>
      </c>
      <c r="F76" s="879">
        <v>-28.92</v>
      </c>
      <c r="G76" s="879">
        <v>65.16</v>
      </c>
      <c r="H76" s="819"/>
    </row>
    <row r="77" spans="1:8" ht="15.75">
      <c r="A77" s="872" t="s">
        <v>33</v>
      </c>
      <c r="B77" s="889" t="s">
        <v>106</v>
      </c>
      <c r="C77" s="872" t="s">
        <v>35</v>
      </c>
      <c r="D77" s="877">
        <v>413.3</v>
      </c>
      <c r="E77" s="888">
        <v>255.28</v>
      </c>
      <c r="F77" s="879">
        <v>-158.02000000000001</v>
      </c>
      <c r="G77" s="879">
        <v>61.77</v>
      </c>
      <c r="H77" s="819"/>
    </row>
    <row r="78" spans="1:8" ht="30">
      <c r="A78" s="872" t="s">
        <v>68</v>
      </c>
      <c r="B78" s="876" t="s">
        <v>125</v>
      </c>
      <c r="C78" s="872" t="s">
        <v>43</v>
      </c>
      <c r="D78" s="877">
        <v>3638.46</v>
      </c>
      <c r="E78" s="878">
        <v>2629.67</v>
      </c>
      <c r="F78" s="884">
        <v>-1008.83</v>
      </c>
      <c r="G78" s="879">
        <v>72.27</v>
      </c>
      <c r="H78" s="819"/>
    </row>
    <row r="79" spans="1:8" ht="15.75">
      <c r="A79" s="872"/>
      <c r="B79" s="871" t="s">
        <v>190</v>
      </c>
      <c r="C79" s="881"/>
      <c r="D79" s="882"/>
      <c r="E79" s="888"/>
      <c r="F79" s="879"/>
      <c r="G79" s="879"/>
      <c r="H79" s="819"/>
    </row>
    <row r="80" spans="1:8" ht="15.75">
      <c r="A80" s="875" t="s">
        <v>193</v>
      </c>
      <c r="B80" s="889" t="s">
        <v>2757</v>
      </c>
      <c r="C80" s="872" t="s">
        <v>44</v>
      </c>
      <c r="D80" s="877">
        <v>2028.9</v>
      </c>
      <c r="E80" s="878">
        <v>1751.56</v>
      </c>
      <c r="F80" s="879">
        <v>-277.33999999999997</v>
      </c>
      <c r="G80" s="879">
        <v>86.33</v>
      </c>
      <c r="H80" s="819"/>
    </row>
    <row r="81" spans="1:8" ht="15.75">
      <c r="A81" s="875" t="s">
        <v>193</v>
      </c>
      <c r="B81" s="889" t="s">
        <v>2758</v>
      </c>
      <c r="C81" s="872" t="s">
        <v>45</v>
      </c>
      <c r="D81" s="877">
        <v>172.2</v>
      </c>
      <c r="E81" s="888">
        <v>129.74</v>
      </c>
      <c r="F81" s="879">
        <v>-42.46</v>
      </c>
      <c r="G81" s="879">
        <v>75.34</v>
      </c>
      <c r="H81" s="819"/>
    </row>
    <row r="82" spans="1:8" ht="15.75">
      <c r="A82" s="875" t="s">
        <v>193</v>
      </c>
      <c r="B82" s="889" t="s">
        <v>127</v>
      </c>
      <c r="C82" s="872" t="s">
        <v>48</v>
      </c>
      <c r="D82" s="877">
        <v>5.0599999999999996</v>
      </c>
      <c r="E82" s="890">
        <v>14.56</v>
      </c>
      <c r="F82" s="879">
        <v>9.4600000000000009</v>
      </c>
      <c r="G82" s="879">
        <v>285.49</v>
      </c>
      <c r="H82" s="819"/>
    </row>
    <row r="83" spans="1:8" ht="15.75">
      <c r="A83" s="875" t="s">
        <v>193</v>
      </c>
      <c r="B83" s="889" t="s">
        <v>129</v>
      </c>
      <c r="C83" s="872" t="s">
        <v>49</v>
      </c>
      <c r="D83" s="877">
        <v>10.9</v>
      </c>
      <c r="E83" s="888">
        <v>8</v>
      </c>
      <c r="F83" s="879">
        <v>-2.9</v>
      </c>
      <c r="G83" s="879">
        <v>73.39</v>
      </c>
      <c r="H83" s="819"/>
    </row>
    <row r="84" spans="1:8" ht="15.75">
      <c r="A84" s="875" t="s">
        <v>193</v>
      </c>
      <c r="B84" s="889" t="s">
        <v>220</v>
      </c>
      <c r="C84" s="872" t="s">
        <v>50</v>
      </c>
      <c r="D84" s="877">
        <v>82.6</v>
      </c>
      <c r="E84" s="888">
        <v>60.67</v>
      </c>
      <c r="F84" s="879">
        <v>-21.93</v>
      </c>
      <c r="G84" s="879">
        <v>73.45</v>
      </c>
      <c r="H84" s="819"/>
    </row>
    <row r="85" spans="1:8" ht="15.75">
      <c r="A85" s="875" t="s">
        <v>193</v>
      </c>
      <c r="B85" s="889" t="s">
        <v>2307</v>
      </c>
      <c r="C85" s="872" t="s">
        <v>51</v>
      </c>
      <c r="D85" s="877">
        <v>31.3</v>
      </c>
      <c r="E85" s="888">
        <v>21.15</v>
      </c>
      <c r="F85" s="879">
        <v>-10.15</v>
      </c>
      <c r="G85" s="879">
        <v>67.569999999999993</v>
      </c>
      <c r="H85" s="819"/>
    </row>
    <row r="86" spans="1:8" ht="15.75">
      <c r="A86" s="875" t="s">
        <v>193</v>
      </c>
      <c r="B86" s="889" t="s">
        <v>2759</v>
      </c>
      <c r="C86" s="872" t="s">
        <v>46</v>
      </c>
      <c r="D86" s="877">
        <v>174.9</v>
      </c>
      <c r="E86" s="888">
        <v>30.37</v>
      </c>
      <c r="F86" s="879">
        <v>-144.53</v>
      </c>
      <c r="G86" s="879">
        <v>17.36</v>
      </c>
      <c r="H86" s="819"/>
    </row>
    <row r="87" spans="1:8" ht="30">
      <c r="A87" s="875" t="s">
        <v>193</v>
      </c>
      <c r="B87" s="889" t="s">
        <v>2760</v>
      </c>
      <c r="C87" s="872" t="s">
        <v>47</v>
      </c>
      <c r="D87" s="877">
        <v>4</v>
      </c>
      <c r="E87" s="888">
        <v>1.44</v>
      </c>
      <c r="F87" s="879">
        <v>-2.56</v>
      </c>
      <c r="G87" s="879">
        <v>36</v>
      </c>
      <c r="H87" s="819"/>
    </row>
    <row r="88" spans="1:8" ht="30">
      <c r="A88" s="875" t="s">
        <v>193</v>
      </c>
      <c r="B88" s="889" t="s">
        <v>2763</v>
      </c>
      <c r="C88" s="872" t="s">
        <v>2764</v>
      </c>
      <c r="D88" s="877">
        <v>459.2</v>
      </c>
      <c r="E88" s="888">
        <v>1.17</v>
      </c>
      <c r="F88" s="879">
        <v>-458.03</v>
      </c>
      <c r="G88" s="879">
        <v>0.25</v>
      </c>
      <c r="H88" s="819"/>
    </row>
    <row r="89" spans="1:8" ht="15.75">
      <c r="A89" s="875" t="s">
        <v>193</v>
      </c>
      <c r="B89" s="889" t="s">
        <v>2765</v>
      </c>
      <c r="C89" s="872" t="s">
        <v>37</v>
      </c>
      <c r="D89" s="877">
        <v>535</v>
      </c>
      <c r="E89" s="888">
        <v>500.91</v>
      </c>
      <c r="F89" s="879">
        <v>-34.090000000000003</v>
      </c>
      <c r="G89" s="879">
        <v>93.63</v>
      </c>
      <c r="H89" s="819"/>
    </row>
    <row r="90" spans="1:8" ht="15.75">
      <c r="A90" s="875" t="s">
        <v>193</v>
      </c>
      <c r="B90" s="889" t="s">
        <v>2766</v>
      </c>
      <c r="C90" s="872" t="s">
        <v>38</v>
      </c>
      <c r="D90" s="877">
        <v>1.4</v>
      </c>
      <c r="E90" s="888">
        <v>1.38</v>
      </c>
      <c r="F90" s="879">
        <v>-0.02</v>
      </c>
      <c r="G90" s="879">
        <v>98.57</v>
      </c>
      <c r="H90" s="819"/>
    </row>
    <row r="91" spans="1:8" ht="30">
      <c r="A91" s="875" t="s">
        <v>193</v>
      </c>
      <c r="B91" s="889" t="s">
        <v>2767</v>
      </c>
      <c r="C91" s="872" t="s">
        <v>40</v>
      </c>
      <c r="D91" s="877">
        <v>116.3</v>
      </c>
      <c r="E91" s="888">
        <v>105.94</v>
      </c>
      <c r="F91" s="879">
        <v>-10.36</v>
      </c>
      <c r="G91" s="879">
        <v>91.09</v>
      </c>
      <c r="H91" s="819"/>
    </row>
    <row r="92" spans="1:8" ht="15.75">
      <c r="A92" s="872" t="s">
        <v>69</v>
      </c>
      <c r="B92" s="889" t="s">
        <v>107</v>
      </c>
      <c r="C92" s="891" t="s">
        <v>59</v>
      </c>
      <c r="D92" s="877">
        <v>1011.8</v>
      </c>
      <c r="E92" s="888">
        <v>955.13</v>
      </c>
      <c r="F92" s="879">
        <v>-56.67</v>
      </c>
      <c r="G92" s="879">
        <v>94.4</v>
      </c>
      <c r="H92" s="819"/>
    </row>
    <row r="93" spans="1:8" ht="15.75">
      <c r="A93" s="872" t="s">
        <v>70</v>
      </c>
      <c r="B93" s="889" t="s">
        <v>108</v>
      </c>
      <c r="C93" s="891" t="s">
        <v>57</v>
      </c>
      <c r="D93" s="877">
        <v>217</v>
      </c>
      <c r="E93" s="888">
        <v>170.34</v>
      </c>
      <c r="F93" s="879">
        <v>-46.66</v>
      </c>
      <c r="G93" s="879">
        <v>78.5</v>
      </c>
      <c r="H93" s="819"/>
    </row>
    <row r="94" spans="1:8" ht="15.75">
      <c r="A94" s="872" t="s">
        <v>71</v>
      </c>
      <c r="B94" s="889" t="s">
        <v>95</v>
      </c>
      <c r="C94" s="891" t="s">
        <v>24</v>
      </c>
      <c r="D94" s="877">
        <v>22.8</v>
      </c>
      <c r="E94" s="888">
        <v>15.44</v>
      </c>
      <c r="F94" s="879">
        <v>-7.36</v>
      </c>
      <c r="G94" s="879">
        <v>67.72</v>
      </c>
      <c r="H94" s="819"/>
    </row>
    <row r="95" spans="1:8">
      <c r="A95" s="862">
        <v>3</v>
      </c>
      <c r="B95" s="892" t="s">
        <v>56</v>
      </c>
      <c r="C95" s="863" t="s">
        <v>81</v>
      </c>
      <c r="D95" s="893">
        <v>1372.2</v>
      </c>
      <c r="E95" s="867">
        <v>1509.92</v>
      </c>
      <c r="F95" s="870">
        <v>137.72</v>
      </c>
      <c r="G95" s="870">
        <v>110.04</v>
      </c>
      <c r="H95" s="819"/>
    </row>
    <row r="97" spans="1:7" ht="13.7" customHeight="1">
      <c r="A97" s="1643" t="s">
        <v>2927</v>
      </c>
      <c r="B97" s="1643"/>
      <c r="C97" s="1643"/>
      <c r="D97" s="1643"/>
      <c r="E97" s="1643"/>
      <c r="F97" s="1643"/>
      <c r="G97" s="1643"/>
    </row>
    <row r="98" spans="1:7" ht="38.25">
      <c r="A98" s="894" t="s">
        <v>1</v>
      </c>
      <c r="B98" s="894" t="s">
        <v>175</v>
      </c>
      <c r="C98" s="894" t="s">
        <v>172</v>
      </c>
      <c r="D98" s="918" t="s">
        <v>2919</v>
      </c>
      <c r="E98" s="894" t="s">
        <v>2920</v>
      </c>
      <c r="F98" s="894" t="s">
        <v>269</v>
      </c>
    </row>
    <row r="99" spans="1:7">
      <c r="A99" s="894">
        <v>1</v>
      </c>
      <c r="B99" s="895" t="s">
        <v>148</v>
      </c>
      <c r="C99" s="894" t="s">
        <v>149</v>
      </c>
      <c r="D99" s="869">
        <v>1764.83</v>
      </c>
      <c r="E99" s="870">
        <v>63.78</v>
      </c>
      <c r="F99" s="870">
        <v>3.61</v>
      </c>
    </row>
    <row r="100" spans="1:7">
      <c r="A100" s="440"/>
      <c r="B100" s="896" t="s">
        <v>190</v>
      </c>
      <c r="C100" s="440"/>
      <c r="D100" s="913"/>
      <c r="E100" s="895"/>
      <c r="F100" s="879"/>
    </row>
    <row r="101" spans="1:7">
      <c r="A101" s="897" t="s">
        <v>6</v>
      </c>
      <c r="B101" s="874" t="s">
        <v>85</v>
      </c>
      <c r="C101" s="897" t="s">
        <v>150</v>
      </c>
      <c r="D101" s="884">
        <v>275.45</v>
      </c>
      <c r="E101" s="879">
        <v>16.399999999999999</v>
      </c>
      <c r="F101" s="879">
        <v>0.93</v>
      </c>
    </row>
    <row r="102" spans="1:7">
      <c r="A102" s="440"/>
      <c r="B102" s="896" t="s">
        <v>2831</v>
      </c>
      <c r="C102" s="898" t="s">
        <v>152</v>
      </c>
      <c r="D102" s="913">
        <v>157.6</v>
      </c>
      <c r="E102" s="879">
        <v>14.8</v>
      </c>
      <c r="F102" s="879">
        <v>0.84</v>
      </c>
    </row>
    <row r="103" spans="1:7">
      <c r="A103" s="897" t="s">
        <v>9</v>
      </c>
      <c r="B103" s="874" t="s">
        <v>88</v>
      </c>
      <c r="C103" s="897" t="s">
        <v>153</v>
      </c>
      <c r="D103" s="884">
        <v>243.29</v>
      </c>
      <c r="E103" s="879">
        <v>14.12</v>
      </c>
      <c r="F103" s="879">
        <v>0.8</v>
      </c>
    </row>
    <row r="104" spans="1:7">
      <c r="A104" s="897" t="s">
        <v>11</v>
      </c>
      <c r="B104" s="874" t="s">
        <v>60</v>
      </c>
      <c r="C104" s="897" t="s">
        <v>154</v>
      </c>
      <c r="D104" s="884">
        <v>172.08</v>
      </c>
      <c r="E104" s="879">
        <v>6.06</v>
      </c>
      <c r="F104" s="879">
        <v>0.34</v>
      </c>
    </row>
    <row r="105" spans="1:7">
      <c r="A105" s="897" t="s">
        <v>13</v>
      </c>
      <c r="B105" s="874" t="s">
        <v>61</v>
      </c>
      <c r="C105" s="897" t="s">
        <v>155</v>
      </c>
      <c r="D105" s="884">
        <v>245.43</v>
      </c>
      <c r="E105" s="879">
        <v>0.73</v>
      </c>
      <c r="F105" s="879">
        <v>0.04</v>
      </c>
    </row>
    <row r="106" spans="1:7">
      <c r="A106" s="897" t="s">
        <v>15</v>
      </c>
      <c r="B106" s="874" t="s">
        <v>63</v>
      </c>
      <c r="C106" s="897" t="s">
        <v>157</v>
      </c>
      <c r="D106" s="884">
        <v>810.63</v>
      </c>
      <c r="E106" s="879">
        <v>25.25</v>
      </c>
      <c r="F106" s="879">
        <v>1.43</v>
      </c>
    </row>
    <row r="107" spans="1:7">
      <c r="A107" s="440"/>
      <c r="B107" s="896" t="s">
        <v>198</v>
      </c>
      <c r="C107" s="898" t="s">
        <v>197</v>
      </c>
      <c r="D107" s="884" t="s">
        <v>193</v>
      </c>
      <c r="E107" s="879" t="s">
        <v>193</v>
      </c>
      <c r="F107" s="879" t="s">
        <v>193</v>
      </c>
    </row>
    <row r="108" spans="1:7">
      <c r="A108" s="897" t="s">
        <v>64</v>
      </c>
      <c r="B108" s="874" t="s">
        <v>72</v>
      </c>
      <c r="C108" s="897" t="s">
        <v>158</v>
      </c>
      <c r="D108" s="884">
        <v>17.95</v>
      </c>
      <c r="E108" s="879">
        <v>1.22</v>
      </c>
      <c r="F108" s="879">
        <v>7.0000000000000007E-2</v>
      </c>
    </row>
    <row r="109" spans="1:7" ht="25.5">
      <c r="A109" s="894">
        <v>2</v>
      </c>
      <c r="B109" s="895" t="s">
        <v>192</v>
      </c>
      <c r="C109" s="440"/>
      <c r="D109" s="869" t="s">
        <v>2921</v>
      </c>
      <c r="E109" s="870">
        <v>0.87</v>
      </c>
      <c r="F109" s="870">
        <v>0.06</v>
      </c>
    </row>
    <row r="110" spans="1:7">
      <c r="A110" s="440"/>
      <c r="B110" s="874" t="s">
        <v>190</v>
      </c>
      <c r="C110" s="440"/>
      <c r="D110" s="919"/>
      <c r="E110" s="440"/>
      <c r="F110" s="879"/>
    </row>
    <row r="111" spans="1:7">
      <c r="A111" s="897" t="s">
        <v>23</v>
      </c>
      <c r="B111" s="874" t="s">
        <v>160</v>
      </c>
      <c r="C111" s="897" t="s">
        <v>161</v>
      </c>
      <c r="D111" s="884">
        <v>2.14</v>
      </c>
      <c r="E111" s="879" t="s">
        <v>193</v>
      </c>
      <c r="F111" s="879" t="s">
        <v>193</v>
      </c>
    </row>
    <row r="112" spans="1:7">
      <c r="A112" s="897" t="s">
        <v>25</v>
      </c>
      <c r="B112" s="874" t="s">
        <v>2922</v>
      </c>
      <c r="C112" s="897" t="s">
        <v>164</v>
      </c>
      <c r="D112" s="884">
        <v>0.71</v>
      </c>
      <c r="E112" s="879" t="s">
        <v>193</v>
      </c>
      <c r="F112" s="879" t="s">
        <v>193</v>
      </c>
    </row>
    <row r="113" spans="1:6" ht="25.5">
      <c r="A113" s="897" t="s">
        <v>27</v>
      </c>
      <c r="B113" s="874" t="s">
        <v>2748</v>
      </c>
      <c r="C113" s="897" t="s">
        <v>166</v>
      </c>
      <c r="D113" s="884">
        <v>2.59</v>
      </c>
      <c r="E113" s="879" t="s">
        <v>193</v>
      </c>
      <c r="F113" s="879" t="s">
        <v>193</v>
      </c>
    </row>
    <row r="114" spans="1:6" ht="25.5">
      <c r="A114" s="897" t="s">
        <v>29</v>
      </c>
      <c r="B114" s="874" t="s">
        <v>200</v>
      </c>
      <c r="C114" s="897" t="s">
        <v>2923</v>
      </c>
      <c r="D114" s="884">
        <v>1.8</v>
      </c>
      <c r="E114" s="879" t="s">
        <v>193</v>
      </c>
      <c r="F114" s="879" t="s">
        <v>193</v>
      </c>
    </row>
    <row r="115" spans="1:6" ht="25.5">
      <c r="A115" s="897" t="s">
        <v>31</v>
      </c>
      <c r="B115" s="874" t="s">
        <v>202</v>
      </c>
      <c r="C115" s="897" t="s">
        <v>2924</v>
      </c>
      <c r="D115" s="884" t="s">
        <v>2925</v>
      </c>
      <c r="E115" s="879">
        <v>0.87</v>
      </c>
      <c r="F115" s="879">
        <v>0.06</v>
      </c>
    </row>
    <row r="116" spans="1:6" ht="25.5">
      <c r="A116" s="440"/>
      <c r="B116" s="896" t="s">
        <v>206</v>
      </c>
      <c r="C116" s="898" t="s">
        <v>2926</v>
      </c>
      <c r="D116" s="919"/>
      <c r="E116" s="885" t="s">
        <v>193</v>
      </c>
      <c r="F116" s="885" t="s">
        <v>193</v>
      </c>
    </row>
    <row r="117" spans="1:6">
      <c r="A117" s="894">
        <v>3</v>
      </c>
      <c r="B117" s="895" t="s">
        <v>167</v>
      </c>
      <c r="C117" s="894" t="s">
        <v>168</v>
      </c>
      <c r="D117" s="869">
        <v>12.75</v>
      </c>
      <c r="E117" s="870" t="s">
        <v>193</v>
      </c>
      <c r="F117" s="870" t="s">
        <v>193</v>
      </c>
    </row>
    <row r="119" spans="1:6" ht="13.7" customHeight="1">
      <c r="A119" s="1647" t="s">
        <v>2931</v>
      </c>
      <c r="B119" s="1647"/>
      <c r="C119" s="1647"/>
      <c r="D119" s="1647"/>
      <c r="E119" s="1647"/>
      <c r="F119" s="1647"/>
    </row>
    <row r="120" spans="1:6" ht="99.75">
      <c r="A120" s="864" t="s">
        <v>1</v>
      </c>
      <c r="B120" s="864" t="s">
        <v>175</v>
      </c>
      <c r="C120" s="864" t="s">
        <v>172</v>
      </c>
      <c r="D120" s="920" t="s">
        <v>2928</v>
      </c>
      <c r="E120" s="864" t="s">
        <v>2929</v>
      </c>
      <c r="F120" s="864" t="s">
        <v>269</v>
      </c>
    </row>
    <row r="121" spans="1:6">
      <c r="A121" s="864">
        <v>1</v>
      </c>
      <c r="B121" s="899" t="s">
        <v>3</v>
      </c>
      <c r="C121" s="864" t="s">
        <v>4</v>
      </c>
      <c r="D121" s="867">
        <v>115.48</v>
      </c>
      <c r="E121" s="900" t="s">
        <v>193</v>
      </c>
      <c r="F121" s="900" t="s">
        <v>193</v>
      </c>
    </row>
    <row r="122" spans="1:6" ht="15">
      <c r="A122" s="874"/>
      <c r="B122" s="880" t="s">
        <v>190</v>
      </c>
      <c r="C122" s="874"/>
      <c r="D122" s="921"/>
      <c r="E122" s="874"/>
      <c r="F122" s="874"/>
    </row>
    <row r="123" spans="1:6" ht="15">
      <c r="A123" s="891" t="s">
        <v>6</v>
      </c>
      <c r="B123" s="889" t="s">
        <v>63</v>
      </c>
      <c r="C123" s="891" t="s">
        <v>18</v>
      </c>
      <c r="D123" s="877">
        <v>111.57</v>
      </c>
      <c r="E123" s="887" t="s">
        <v>193</v>
      </c>
      <c r="F123" s="887" t="s">
        <v>193</v>
      </c>
    </row>
    <row r="124" spans="1:6" ht="15">
      <c r="A124" s="891" t="s">
        <v>9</v>
      </c>
      <c r="B124" s="889" t="s">
        <v>89</v>
      </c>
      <c r="C124" s="891" t="s">
        <v>20</v>
      </c>
      <c r="D124" s="877">
        <v>3.91</v>
      </c>
      <c r="E124" s="887" t="s">
        <v>193</v>
      </c>
      <c r="F124" s="887" t="s">
        <v>193</v>
      </c>
    </row>
    <row r="125" spans="1:6">
      <c r="A125" s="864">
        <v>2</v>
      </c>
      <c r="B125" s="899" t="s">
        <v>21</v>
      </c>
      <c r="C125" s="864" t="s">
        <v>22</v>
      </c>
      <c r="D125" s="867">
        <v>42.96</v>
      </c>
      <c r="E125" s="900">
        <v>2.99</v>
      </c>
      <c r="F125" s="900">
        <v>6.96</v>
      </c>
    </row>
    <row r="126" spans="1:6" ht="15">
      <c r="A126" s="874"/>
      <c r="B126" s="880" t="s">
        <v>190</v>
      </c>
      <c r="C126" s="874"/>
      <c r="D126" s="921"/>
      <c r="E126" s="874"/>
      <c r="F126" s="873"/>
    </row>
    <row r="127" spans="1:6" ht="15">
      <c r="A127" s="891" t="s">
        <v>23</v>
      </c>
      <c r="B127" s="889" t="s">
        <v>65</v>
      </c>
      <c r="C127" s="891" t="s">
        <v>26</v>
      </c>
      <c r="D127" s="877">
        <v>0.31</v>
      </c>
      <c r="E127" s="887" t="s">
        <v>193</v>
      </c>
      <c r="F127" s="887" t="s">
        <v>193</v>
      </c>
    </row>
    <row r="128" spans="1:6" ht="15">
      <c r="A128" s="891" t="s">
        <v>25</v>
      </c>
      <c r="B128" s="889" t="s">
        <v>90</v>
      </c>
      <c r="C128" s="891" t="s">
        <v>91</v>
      </c>
      <c r="D128" s="877">
        <v>3.44</v>
      </c>
      <c r="E128" s="887" t="s">
        <v>193</v>
      </c>
      <c r="F128" s="887" t="s">
        <v>193</v>
      </c>
    </row>
    <row r="129" spans="1:6" ht="15">
      <c r="A129" s="891" t="s">
        <v>27</v>
      </c>
      <c r="B129" s="889" t="s">
        <v>92</v>
      </c>
      <c r="C129" s="891" t="s">
        <v>93</v>
      </c>
      <c r="D129" s="877">
        <v>0.95</v>
      </c>
      <c r="E129" s="887" t="s">
        <v>193</v>
      </c>
      <c r="F129" s="887" t="s">
        <v>193</v>
      </c>
    </row>
    <row r="130" spans="1:6" ht="15">
      <c r="A130" s="891" t="s">
        <v>29</v>
      </c>
      <c r="B130" s="889" t="s">
        <v>94</v>
      </c>
      <c r="C130" s="891" t="s">
        <v>32</v>
      </c>
      <c r="D130" s="877">
        <v>1.08</v>
      </c>
      <c r="E130" s="887" t="s">
        <v>193</v>
      </c>
      <c r="F130" s="887" t="s">
        <v>193</v>
      </c>
    </row>
    <row r="131" spans="1:6" ht="15">
      <c r="A131" s="891" t="s">
        <v>31</v>
      </c>
      <c r="B131" s="889" t="s">
        <v>106</v>
      </c>
      <c r="C131" s="891" t="s">
        <v>35</v>
      </c>
      <c r="D131" s="877">
        <v>10.17</v>
      </c>
      <c r="E131" s="887" t="s">
        <v>193</v>
      </c>
      <c r="F131" s="887" t="s">
        <v>193</v>
      </c>
    </row>
    <row r="132" spans="1:6" ht="30">
      <c r="A132" s="891" t="s">
        <v>33</v>
      </c>
      <c r="B132" s="889" t="s">
        <v>125</v>
      </c>
      <c r="C132" s="891" t="s">
        <v>43</v>
      </c>
      <c r="D132" s="877">
        <v>16.04</v>
      </c>
      <c r="E132" s="887">
        <v>2.87</v>
      </c>
      <c r="F132" s="887">
        <v>17.89</v>
      </c>
    </row>
    <row r="133" spans="1:6" ht="15">
      <c r="A133" s="891"/>
      <c r="B133" s="880" t="s">
        <v>190</v>
      </c>
      <c r="C133" s="891"/>
      <c r="D133" s="877"/>
      <c r="E133" s="887"/>
      <c r="F133" s="887"/>
    </row>
    <row r="134" spans="1:6" ht="15">
      <c r="A134" s="891" t="s">
        <v>193</v>
      </c>
      <c r="B134" s="889" t="s">
        <v>122</v>
      </c>
      <c r="C134" s="891" t="s">
        <v>44</v>
      </c>
      <c r="D134" s="877">
        <v>6.92</v>
      </c>
      <c r="E134" s="887"/>
      <c r="F134" s="887"/>
    </row>
    <row r="135" spans="1:6" ht="15">
      <c r="A135" s="891" t="s">
        <v>193</v>
      </c>
      <c r="B135" s="889" t="s">
        <v>123</v>
      </c>
      <c r="C135" s="891" t="s">
        <v>45</v>
      </c>
      <c r="D135" s="877">
        <v>1.2</v>
      </c>
      <c r="E135" s="887">
        <v>0.17</v>
      </c>
      <c r="F135" s="887">
        <v>14.17</v>
      </c>
    </row>
    <row r="136" spans="1:6" ht="15">
      <c r="A136" s="891" t="s">
        <v>193</v>
      </c>
      <c r="B136" s="889" t="s">
        <v>127</v>
      </c>
      <c r="C136" s="891" t="s">
        <v>48</v>
      </c>
      <c r="D136" s="877">
        <v>0.57999999999999996</v>
      </c>
      <c r="E136" s="887">
        <v>0.21</v>
      </c>
      <c r="F136" s="887">
        <v>36.21</v>
      </c>
    </row>
    <row r="137" spans="1:6" ht="15">
      <c r="A137" s="891" t="s">
        <v>193</v>
      </c>
      <c r="B137" s="889" t="s">
        <v>220</v>
      </c>
      <c r="C137" s="891" t="s">
        <v>50</v>
      </c>
      <c r="D137" s="877">
        <v>0.9</v>
      </c>
      <c r="E137" s="887">
        <v>0.51</v>
      </c>
      <c r="F137" s="887">
        <v>56.67</v>
      </c>
    </row>
    <row r="138" spans="1:6" ht="15">
      <c r="A138" s="891" t="s">
        <v>193</v>
      </c>
      <c r="B138" s="889" t="s">
        <v>131</v>
      </c>
      <c r="C138" s="891" t="s">
        <v>51</v>
      </c>
      <c r="D138" s="877">
        <v>0.57999999999999996</v>
      </c>
      <c r="E138" s="887">
        <v>0.46</v>
      </c>
      <c r="F138" s="887">
        <v>79.31</v>
      </c>
    </row>
    <row r="139" spans="1:6" ht="15">
      <c r="A139" s="891" t="s">
        <v>193</v>
      </c>
      <c r="B139" s="889" t="s">
        <v>2759</v>
      </c>
      <c r="C139" s="891" t="s">
        <v>46</v>
      </c>
      <c r="D139" s="877">
        <v>0.22</v>
      </c>
      <c r="E139" s="887"/>
      <c r="F139" s="887"/>
    </row>
    <row r="140" spans="1:6" ht="30">
      <c r="A140" s="891" t="s">
        <v>193</v>
      </c>
      <c r="B140" s="889" t="s">
        <v>2760</v>
      </c>
      <c r="C140" s="891" t="s">
        <v>47</v>
      </c>
      <c r="D140" s="877">
        <v>7.0000000000000007E-2</v>
      </c>
      <c r="E140" s="887" t="s">
        <v>193</v>
      </c>
      <c r="F140" s="887" t="s">
        <v>193</v>
      </c>
    </row>
    <row r="141" spans="1:6" ht="15">
      <c r="A141" s="891" t="s">
        <v>193</v>
      </c>
      <c r="B141" s="889" t="s">
        <v>2765</v>
      </c>
      <c r="C141" s="891" t="s">
        <v>37</v>
      </c>
      <c r="D141" s="877">
        <v>3.2</v>
      </c>
      <c r="E141" s="887" t="s">
        <v>193</v>
      </c>
      <c r="F141" s="887" t="s">
        <v>193</v>
      </c>
    </row>
    <row r="142" spans="1:6" ht="30">
      <c r="A142" s="891" t="s">
        <v>193</v>
      </c>
      <c r="B142" s="889" t="s">
        <v>2767</v>
      </c>
      <c r="C142" s="891" t="s">
        <v>40</v>
      </c>
      <c r="D142" s="877">
        <v>0.24</v>
      </c>
      <c r="E142" s="887" t="s">
        <v>193</v>
      </c>
      <c r="F142" s="887" t="s">
        <v>193</v>
      </c>
    </row>
    <row r="143" spans="1:6" ht="15">
      <c r="A143" s="891" t="s">
        <v>193</v>
      </c>
      <c r="B143" s="889" t="s">
        <v>128</v>
      </c>
      <c r="C143" s="891" t="s">
        <v>53</v>
      </c>
      <c r="D143" s="877">
        <v>0.02</v>
      </c>
      <c r="E143" s="887" t="s">
        <v>193</v>
      </c>
      <c r="F143" s="887" t="s">
        <v>193</v>
      </c>
    </row>
    <row r="144" spans="1:6" ht="15">
      <c r="A144" s="891" t="s">
        <v>193</v>
      </c>
      <c r="B144" s="889" t="s">
        <v>2769</v>
      </c>
      <c r="C144" s="891" t="s">
        <v>54</v>
      </c>
      <c r="D144" s="877">
        <v>0.11</v>
      </c>
      <c r="E144" s="887" t="s">
        <v>193</v>
      </c>
      <c r="F144" s="887" t="s">
        <v>193</v>
      </c>
    </row>
    <row r="145" spans="1:6" ht="30">
      <c r="A145" s="891" t="s">
        <v>68</v>
      </c>
      <c r="B145" s="889" t="s">
        <v>2930</v>
      </c>
      <c r="C145" s="891" t="s">
        <v>58</v>
      </c>
      <c r="D145" s="877">
        <v>5.22</v>
      </c>
      <c r="E145" s="887" t="s">
        <v>193</v>
      </c>
      <c r="F145" s="887" t="s">
        <v>193</v>
      </c>
    </row>
    <row r="146" spans="1:6" ht="30">
      <c r="A146" s="891" t="s">
        <v>69</v>
      </c>
      <c r="B146" s="889" t="s">
        <v>2774</v>
      </c>
      <c r="C146" s="891" t="s">
        <v>113</v>
      </c>
      <c r="D146" s="877">
        <v>1.23</v>
      </c>
      <c r="E146" s="887" t="s">
        <v>193</v>
      </c>
      <c r="F146" s="887" t="s">
        <v>193</v>
      </c>
    </row>
    <row r="147" spans="1:6" ht="15">
      <c r="A147" s="891" t="s">
        <v>70</v>
      </c>
      <c r="B147" s="889" t="s">
        <v>107</v>
      </c>
      <c r="C147" s="891" t="s">
        <v>59</v>
      </c>
      <c r="D147" s="877">
        <v>1.26</v>
      </c>
      <c r="E147" s="887">
        <v>0.08</v>
      </c>
      <c r="F147" s="887">
        <v>6.35</v>
      </c>
    </row>
    <row r="148" spans="1:6" ht="15">
      <c r="A148" s="891" t="s">
        <v>71</v>
      </c>
      <c r="B148" s="889" t="s">
        <v>108</v>
      </c>
      <c r="C148" s="891" t="s">
        <v>57</v>
      </c>
      <c r="D148" s="877">
        <v>0.91</v>
      </c>
      <c r="E148" s="887" t="s">
        <v>193</v>
      </c>
      <c r="F148" s="887" t="s">
        <v>193</v>
      </c>
    </row>
    <row r="149" spans="1:6" ht="15">
      <c r="A149" s="891" t="s">
        <v>74</v>
      </c>
      <c r="B149" s="889" t="s">
        <v>95</v>
      </c>
      <c r="C149" s="891" t="s">
        <v>24</v>
      </c>
      <c r="D149" s="877">
        <v>0.16</v>
      </c>
      <c r="E149" s="887">
        <v>0.04</v>
      </c>
      <c r="F149" s="887">
        <v>25</v>
      </c>
    </row>
    <row r="150" spans="1:6" ht="15">
      <c r="A150" s="891" t="s">
        <v>75</v>
      </c>
      <c r="B150" s="889" t="s">
        <v>2778</v>
      </c>
      <c r="C150" s="891" t="s">
        <v>42</v>
      </c>
      <c r="D150" s="877">
        <v>0.78</v>
      </c>
      <c r="E150" s="887" t="s">
        <v>193</v>
      </c>
      <c r="F150" s="887" t="s">
        <v>193</v>
      </c>
    </row>
    <row r="152" spans="1:6" ht="13.7" customHeight="1">
      <c r="A152" s="1648" t="s">
        <v>2987</v>
      </c>
      <c r="B152" s="1648"/>
      <c r="C152" s="1648"/>
      <c r="D152" s="1648"/>
    </row>
    <row r="153" spans="1:6" ht="47.25">
      <c r="A153" s="923" t="s">
        <v>1</v>
      </c>
      <c r="B153" s="923" t="s">
        <v>175</v>
      </c>
      <c r="C153" s="923" t="s">
        <v>172</v>
      </c>
      <c r="D153" s="937" t="s">
        <v>2839</v>
      </c>
    </row>
    <row r="154" spans="1:6" ht="15.75">
      <c r="A154" s="923" t="s">
        <v>78</v>
      </c>
      <c r="B154" s="924" t="s">
        <v>126</v>
      </c>
      <c r="C154" s="440"/>
      <c r="D154" s="868">
        <v>98642.9</v>
      </c>
    </row>
    <row r="155" spans="1:6" ht="15.75">
      <c r="A155" s="923">
        <v>1</v>
      </c>
      <c r="B155" s="925" t="s">
        <v>3</v>
      </c>
      <c r="C155" s="926" t="s">
        <v>4</v>
      </c>
      <c r="D155" s="936">
        <v>87326.82</v>
      </c>
    </row>
    <row r="156" spans="1:6" ht="15.75">
      <c r="A156" s="439"/>
      <c r="B156" s="927" t="s">
        <v>2815</v>
      </c>
      <c r="C156" s="926"/>
      <c r="D156" s="883"/>
    </row>
    <row r="157" spans="1:6" ht="15.75">
      <c r="A157" s="928" t="s">
        <v>6</v>
      </c>
      <c r="B157" s="929" t="s">
        <v>85</v>
      </c>
      <c r="C157" s="928" t="s">
        <v>5</v>
      </c>
      <c r="D157" s="878">
        <v>5851.5</v>
      </c>
    </row>
    <row r="158" spans="1:6" ht="15.75">
      <c r="A158" s="439"/>
      <c r="B158" s="930" t="s">
        <v>2812</v>
      </c>
      <c r="C158" s="931" t="s">
        <v>7</v>
      </c>
      <c r="D158" s="883">
        <v>3201.3</v>
      </c>
    </row>
    <row r="159" spans="1:6" ht="15.75">
      <c r="A159" s="928" t="s">
        <v>9</v>
      </c>
      <c r="B159" s="929" t="s">
        <v>60</v>
      </c>
      <c r="C159" s="928" t="s">
        <v>14</v>
      </c>
      <c r="D159" s="878">
        <v>2566.4</v>
      </c>
    </row>
    <row r="160" spans="1:6" ht="15.75">
      <c r="A160" s="928" t="s">
        <v>11</v>
      </c>
      <c r="B160" s="929" t="s">
        <v>61</v>
      </c>
      <c r="C160" s="928" t="s">
        <v>16</v>
      </c>
      <c r="D160" s="878">
        <v>9729.9</v>
      </c>
    </row>
    <row r="161" spans="1:4" ht="15.75">
      <c r="A161" s="928" t="s">
        <v>13</v>
      </c>
      <c r="B161" s="929" t="s">
        <v>62</v>
      </c>
      <c r="C161" s="928" t="s">
        <v>17</v>
      </c>
      <c r="D161" s="878">
        <v>2211.8000000000002</v>
      </c>
    </row>
    <row r="162" spans="1:4" ht="15.75">
      <c r="A162" s="928" t="s">
        <v>15</v>
      </c>
      <c r="B162" s="929" t="s">
        <v>63</v>
      </c>
      <c r="C162" s="928" t="s">
        <v>18</v>
      </c>
      <c r="D162" s="878">
        <v>61783.8</v>
      </c>
    </row>
    <row r="163" spans="1:4" ht="31.5">
      <c r="A163" s="439"/>
      <c r="B163" s="930" t="s">
        <v>198</v>
      </c>
      <c r="C163" s="931" t="s">
        <v>187</v>
      </c>
      <c r="D163" s="883">
        <v>5532.4</v>
      </c>
    </row>
    <row r="164" spans="1:4" ht="15.75">
      <c r="A164" s="926">
        <v>2</v>
      </c>
      <c r="B164" s="925" t="s">
        <v>21</v>
      </c>
      <c r="C164" s="926" t="s">
        <v>22</v>
      </c>
      <c r="D164" s="936">
        <v>9943.7900000000009</v>
      </c>
    </row>
    <row r="165" spans="1:4" ht="15.75">
      <c r="A165" s="439"/>
      <c r="B165" s="927" t="s">
        <v>2815</v>
      </c>
      <c r="C165" s="926"/>
      <c r="D165" s="868"/>
    </row>
    <row r="166" spans="1:4" ht="15.75">
      <c r="A166" s="928" t="s">
        <v>23</v>
      </c>
      <c r="B166" s="929" t="s">
        <v>65</v>
      </c>
      <c r="C166" s="928" t="s">
        <v>26</v>
      </c>
      <c r="D166" s="878">
        <v>1835.3</v>
      </c>
    </row>
    <row r="167" spans="1:4" ht="15.75">
      <c r="A167" s="928" t="s">
        <v>25</v>
      </c>
      <c r="B167" s="929" t="s">
        <v>66</v>
      </c>
      <c r="C167" s="928" t="s">
        <v>28</v>
      </c>
      <c r="D167" s="878">
        <v>16.079999999999998</v>
      </c>
    </row>
    <row r="168" spans="1:4" ht="15.75">
      <c r="A168" s="928" t="s">
        <v>27</v>
      </c>
      <c r="B168" s="929" t="s">
        <v>90</v>
      </c>
      <c r="C168" s="928" t="s">
        <v>91</v>
      </c>
      <c r="D168" s="878">
        <v>125.35</v>
      </c>
    </row>
    <row r="169" spans="1:4" ht="15.75">
      <c r="A169" s="928" t="s">
        <v>29</v>
      </c>
      <c r="B169" s="929" t="s">
        <v>379</v>
      </c>
      <c r="C169" s="928" t="s">
        <v>93</v>
      </c>
      <c r="D169" s="878">
        <v>63.2</v>
      </c>
    </row>
    <row r="170" spans="1:4" ht="15.75">
      <c r="A170" s="928" t="s">
        <v>31</v>
      </c>
      <c r="B170" s="929" t="s">
        <v>94</v>
      </c>
      <c r="C170" s="928" t="s">
        <v>32</v>
      </c>
      <c r="D170" s="878">
        <v>83</v>
      </c>
    </row>
    <row r="171" spans="1:4" ht="15.75">
      <c r="A171" s="928" t="s">
        <v>33</v>
      </c>
      <c r="B171" s="932" t="s">
        <v>106</v>
      </c>
      <c r="C171" s="928" t="s">
        <v>35</v>
      </c>
      <c r="D171" s="878">
        <v>413.3</v>
      </c>
    </row>
    <row r="172" spans="1:4" ht="31.5">
      <c r="A172" s="928" t="s">
        <v>68</v>
      </c>
      <c r="B172" s="929" t="s">
        <v>125</v>
      </c>
      <c r="C172" s="928" t="s">
        <v>43</v>
      </c>
      <c r="D172" s="878">
        <v>3638.46</v>
      </c>
    </row>
    <row r="173" spans="1:4" ht="15.75">
      <c r="A173" s="439"/>
      <c r="B173" s="927" t="s">
        <v>190</v>
      </c>
      <c r="C173" s="931"/>
      <c r="D173" s="883"/>
    </row>
    <row r="174" spans="1:4" ht="15.75">
      <c r="A174" s="928" t="s">
        <v>193</v>
      </c>
      <c r="B174" s="932" t="s">
        <v>2757</v>
      </c>
      <c r="C174" s="928" t="s">
        <v>44</v>
      </c>
      <c r="D174" s="878">
        <v>2028.9</v>
      </c>
    </row>
    <row r="175" spans="1:4" ht="15.75">
      <c r="A175" s="928" t="s">
        <v>193</v>
      </c>
      <c r="B175" s="932" t="s">
        <v>2758</v>
      </c>
      <c r="C175" s="928" t="s">
        <v>45</v>
      </c>
      <c r="D175" s="878">
        <v>172.2</v>
      </c>
    </row>
    <row r="176" spans="1:4" ht="15.75">
      <c r="A176" s="928" t="s">
        <v>193</v>
      </c>
      <c r="B176" s="932" t="s">
        <v>127</v>
      </c>
      <c r="C176" s="928" t="s">
        <v>48</v>
      </c>
      <c r="D176" s="878">
        <v>5.0599999999999996</v>
      </c>
    </row>
    <row r="177" spans="1:4" ht="15.75">
      <c r="A177" s="928" t="s">
        <v>193</v>
      </c>
      <c r="B177" s="932" t="s">
        <v>129</v>
      </c>
      <c r="C177" s="928" t="s">
        <v>49</v>
      </c>
      <c r="D177" s="878">
        <v>10.9</v>
      </c>
    </row>
    <row r="178" spans="1:4" ht="15.75">
      <c r="A178" s="928" t="s">
        <v>193</v>
      </c>
      <c r="B178" s="932" t="s">
        <v>220</v>
      </c>
      <c r="C178" s="928" t="s">
        <v>50</v>
      </c>
      <c r="D178" s="878">
        <v>82.6</v>
      </c>
    </row>
    <row r="179" spans="1:4" ht="15.75">
      <c r="A179" s="928" t="s">
        <v>193</v>
      </c>
      <c r="B179" s="932" t="s">
        <v>2307</v>
      </c>
      <c r="C179" s="928" t="s">
        <v>51</v>
      </c>
      <c r="D179" s="878">
        <v>31.3</v>
      </c>
    </row>
    <row r="180" spans="1:4" ht="15.75">
      <c r="A180" s="928" t="s">
        <v>193</v>
      </c>
      <c r="B180" s="932" t="s">
        <v>2759</v>
      </c>
      <c r="C180" s="928" t="s">
        <v>46</v>
      </c>
      <c r="D180" s="878">
        <v>174.9</v>
      </c>
    </row>
    <row r="181" spans="1:4" ht="31.5">
      <c r="A181" s="928" t="s">
        <v>193</v>
      </c>
      <c r="B181" s="932" t="s">
        <v>2760</v>
      </c>
      <c r="C181" s="928" t="s">
        <v>47</v>
      </c>
      <c r="D181" s="878">
        <v>4</v>
      </c>
    </row>
    <row r="182" spans="1:4" ht="31.5">
      <c r="A182" s="928" t="s">
        <v>193</v>
      </c>
      <c r="B182" s="932" t="s">
        <v>2763</v>
      </c>
      <c r="C182" s="928" t="s">
        <v>2764</v>
      </c>
      <c r="D182" s="878">
        <v>459.2</v>
      </c>
    </row>
    <row r="183" spans="1:4" ht="15.75">
      <c r="A183" s="928" t="s">
        <v>193</v>
      </c>
      <c r="B183" s="932" t="s">
        <v>2765</v>
      </c>
      <c r="C183" s="928" t="s">
        <v>37</v>
      </c>
      <c r="D183" s="878">
        <v>535</v>
      </c>
    </row>
    <row r="184" spans="1:4" ht="15.75">
      <c r="A184" s="928" t="s">
        <v>193</v>
      </c>
      <c r="B184" s="932" t="s">
        <v>2766</v>
      </c>
      <c r="C184" s="928" t="s">
        <v>38</v>
      </c>
      <c r="D184" s="878">
        <v>1.4</v>
      </c>
    </row>
    <row r="185" spans="1:4" ht="31.5">
      <c r="A185" s="928" t="s">
        <v>193</v>
      </c>
      <c r="B185" s="932" t="s">
        <v>2767</v>
      </c>
      <c r="C185" s="928" t="s">
        <v>40</v>
      </c>
      <c r="D185" s="878">
        <v>116.3</v>
      </c>
    </row>
    <row r="186" spans="1:4" ht="15.75">
      <c r="A186" s="928" t="s">
        <v>69</v>
      </c>
      <c r="B186" s="932" t="s">
        <v>107</v>
      </c>
      <c r="C186" s="933" t="s">
        <v>59</v>
      </c>
      <c r="D186" s="878">
        <v>1011.8</v>
      </c>
    </row>
    <row r="187" spans="1:4" ht="15.75">
      <c r="A187" s="928" t="s">
        <v>70</v>
      </c>
      <c r="B187" s="932" t="s">
        <v>108</v>
      </c>
      <c r="C187" s="933" t="s">
        <v>57</v>
      </c>
      <c r="D187" s="878">
        <v>217</v>
      </c>
    </row>
    <row r="188" spans="1:4" ht="15.75">
      <c r="A188" s="928" t="s">
        <v>71</v>
      </c>
      <c r="B188" s="932" t="s">
        <v>95</v>
      </c>
      <c r="C188" s="933" t="s">
        <v>24</v>
      </c>
      <c r="D188" s="878">
        <v>22.8</v>
      </c>
    </row>
    <row r="189" spans="1:4" ht="15.75">
      <c r="A189" s="926">
        <v>3</v>
      </c>
      <c r="B189" s="925" t="s">
        <v>56</v>
      </c>
      <c r="C189" s="923" t="s">
        <v>81</v>
      </c>
      <c r="D189" s="936">
        <v>1372.3</v>
      </c>
    </row>
    <row r="190" spans="1:4" ht="15.75">
      <c r="A190" s="923" t="s">
        <v>79</v>
      </c>
      <c r="B190" s="925" t="s">
        <v>2852</v>
      </c>
      <c r="C190" s="923"/>
      <c r="D190" s="938"/>
    </row>
    <row r="191" spans="1:4" ht="15.75">
      <c r="A191" s="934">
        <v>1</v>
      </c>
      <c r="B191" s="935" t="s">
        <v>119</v>
      </c>
      <c r="C191" s="934" t="s">
        <v>120</v>
      </c>
      <c r="D191" s="939">
        <v>7949.42</v>
      </c>
    </row>
    <row r="192" spans="1:4" ht="15.75">
      <c r="A192" s="934">
        <v>2</v>
      </c>
      <c r="B192" s="935" t="s">
        <v>2853</v>
      </c>
      <c r="C192" s="934" t="s">
        <v>121</v>
      </c>
      <c r="D192" s="939">
        <v>7002.72</v>
      </c>
    </row>
    <row r="193" spans="1:4" ht="47.25">
      <c r="A193" s="934">
        <v>3</v>
      </c>
      <c r="B193" s="935" t="s">
        <v>219</v>
      </c>
      <c r="C193" s="934" t="s">
        <v>180</v>
      </c>
      <c r="D193" s="939">
        <v>3329.62</v>
      </c>
    </row>
    <row r="194" spans="1:4" ht="31.5">
      <c r="A194" s="934">
        <v>4</v>
      </c>
      <c r="B194" s="935" t="s">
        <v>209</v>
      </c>
      <c r="C194" s="934" t="s">
        <v>181</v>
      </c>
      <c r="D194" s="939">
        <v>73721.929999999993</v>
      </c>
    </row>
    <row r="195" spans="1:4" ht="15.75">
      <c r="A195" s="934">
        <v>5</v>
      </c>
      <c r="B195" s="935" t="s">
        <v>87</v>
      </c>
      <c r="C195" s="934" t="s">
        <v>140</v>
      </c>
      <c r="D195" s="939">
        <v>2497.27</v>
      </c>
    </row>
    <row r="196" spans="1:4" ht="31.5">
      <c r="A196" s="934">
        <v>6</v>
      </c>
      <c r="B196" s="935" t="s">
        <v>178</v>
      </c>
      <c r="C196" s="934" t="s">
        <v>182</v>
      </c>
      <c r="D196" s="939">
        <v>2208.1999999999998</v>
      </c>
    </row>
    <row r="197" spans="1:4" ht="31.5">
      <c r="A197" s="934">
        <v>7</v>
      </c>
      <c r="B197" s="935" t="s">
        <v>210</v>
      </c>
      <c r="C197" s="934" t="s">
        <v>183</v>
      </c>
      <c r="D197" s="939">
        <v>125.35</v>
      </c>
    </row>
    <row r="198" spans="1:4" ht="15.75">
      <c r="A198" s="934">
        <v>8</v>
      </c>
      <c r="B198" s="935" t="s">
        <v>211</v>
      </c>
      <c r="C198" s="934" t="s">
        <v>184</v>
      </c>
      <c r="D198" s="939">
        <v>107.26</v>
      </c>
    </row>
    <row r="199" spans="1:4" ht="15.75">
      <c r="A199" s="934">
        <v>9</v>
      </c>
      <c r="B199" s="935" t="s">
        <v>2988</v>
      </c>
      <c r="C199" s="934" t="s">
        <v>185</v>
      </c>
      <c r="D199" s="939">
        <v>72.06</v>
      </c>
    </row>
    <row r="200" spans="1:4" ht="15.75">
      <c r="A200" s="934">
        <v>10</v>
      </c>
      <c r="B200" s="935" t="s">
        <v>186</v>
      </c>
      <c r="C200" s="934" t="s">
        <v>199</v>
      </c>
      <c r="D200" s="939">
        <v>2593.63</v>
      </c>
    </row>
  </sheetData>
  <mergeCells count="23">
    <mergeCell ref="F59:F60"/>
    <mergeCell ref="G59:G60"/>
    <mergeCell ref="A97:G97"/>
    <mergeCell ref="A119:F119"/>
    <mergeCell ref="A152:D152"/>
    <mergeCell ref="A59:A60"/>
    <mergeCell ref="B59:B60"/>
    <mergeCell ref="C59:C60"/>
    <mergeCell ref="D59:D60"/>
    <mergeCell ref="E59:E60"/>
    <mergeCell ref="A55:I55"/>
    <mergeCell ref="A56:A58"/>
    <mergeCell ref="B56:B58"/>
    <mergeCell ref="C56:C58"/>
    <mergeCell ref="D56:D58"/>
    <mergeCell ref="E56:G56"/>
    <mergeCell ref="E57:E58"/>
    <mergeCell ref="F57:F58"/>
    <mergeCell ref="A1:A2"/>
    <mergeCell ref="B1:B2"/>
    <mergeCell ref="C1:C2"/>
    <mergeCell ref="D1:E1"/>
    <mergeCell ref="F1:I1"/>
  </mergeCells>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029"/>
  <sheetViews>
    <sheetView view="pageBreakPreview" zoomScaleNormal="100" zoomScaleSheetLayoutView="100" workbookViewId="0">
      <pane xSplit="6" ySplit="7" topLeftCell="G8" activePane="bottomRight" state="frozen"/>
      <selection activeCell="AU10" sqref="AU10"/>
      <selection pane="topRight" activeCell="AU10" sqref="AU10"/>
      <selection pane="bottomLeft" activeCell="AU10" sqref="AU10"/>
      <selection pane="bottomRight" activeCell="AU10" sqref="AU10"/>
    </sheetView>
  </sheetViews>
  <sheetFormatPr defaultColWidth="9" defaultRowHeight="15.75"/>
  <cols>
    <col min="1" max="1" width="8.125" style="186" customWidth="1"/>
    <col min="2" max="2" width="40.125" style="263" customWidth="1"/>
    <col min="3" max="3" width="8" style="15" hidden="1" customWidth="1"/>
    <col min="4" max="4" width="8.875" style="15" customWidth="1"/>
    <col min="5" max="5" width="8.625" style="15" customWidth="1"/>
    <col min="6" max="6" width="8.875" style="15" customWidth="1"/>
    <col min="7" max="7" width="9.125" style="15" hidden="1" customWidth="1"/>
    <col min="8" max="9" width="8.625" style="15" hidden="1" customWidth="1"/>
    <col min="10" max="10" width="8.125" style="15" hidden="1" customWidth="1"/>
    <col min="11" max="11" width="9.625" style="15" hidden="1" customWidth="1"/>
    <col min="12" max="12" width="6.125" style="15" hidden="1" customWidth="1"/>
    <col min="13" max="13" width="9.625" style="15" hidden="1" customWidth="1"/>
    <col min="14" max="14" width="6.625" style="15" hidden="1" customWidth="1"/>
    <col min="15" max="15" width="8.125" style="15" hidden="1" customWidth="1"/>
    <col min="16" max="16" width="7.125" style="15" hidden="1" customWidth="1"/>
    <col min="17" max="17" width="7.5" style="15" hidden="1" customWidth="1"/>
    <col min="18" max="18" width="6.5" style="15" hidden="1" customWidth="1"/>
    <col min="19" max="19" width="5.625" style="15" hidden="1" customWidth="1"/>
    <col min="20" max="20" width="7" style="15" hidden="1" customWidth="1"/>
    <col min="21" max="21" width="6.625" style="15" hidden="1" customWidth="1"/>
    <col min="22" max="22" width="5.625" style="15" hidden="1" customWidth="1"/>
    <col min="23" max="24" width="7" style="15" hidden="1" customWidth="1"/>
    <col min="25" max="25" width="6.625" style="15" hidden="1" customWidth="1"/>
    <col min="26" max="26" width="8" style="15" hidden="1" customWidth="1"/>
    <col min="27" max="27" width="7.5" style="15" hidden="1" customWidth="1"/>
    <col min="28" max="28" width="7.125" style="15" hidden="1" customWidth="1"/>
    <col min="29" max="29" width="7" style="15" hidden="1" customWidth="1"/>
    <col min="30" max="30" width="5.625" style="15" hidden="1" customWidth="1"/>
    <col min="31" max="32" width="6.125" style="15" hidden="1" customWidth="1"/>
    <col min="33" max="33" width="7.125" style="15" hidden="1" customWidth="1"/>
    <col min="34" max="35" width="6.625" style="15" hidden="1" customWidth="1"/>
    <col min="36" max="36" width="7" style="15" hidden="1" customWidth="1"/>
    <col min="37" max="37" width="5.625" style="15" hidden="1" customWidth="1"/>
    <col min="38" max="40" width="6.625" style="15" hidden="1" customWidth="1"/>
    <col min="41" max="41" width="5.625" style="15" hidden="1" customWidth="1"/>
    <col min="42" max="42" width="8.125" style="15" hidden="1" customWidth="1"/>
    <col min="43" max="43" width="7.625" style="15" hidden="1" customWidth="1"/>
    <col min="44" max="44" width="7.125" style="15" hidden="1" customWidth="1"/>
    <col min="45" max="45" width="6.625" style="15" hidden="1" customWidth="1"/>
    <col min="46" max="46" width="19.5" style="58" customWidth="1"/>
    <col min="47" max="47" width="18.625" style="15" customWidth="1"/>
    <col min="48" max="48" width="39.125" style="15" hidden="1" customWidth="1"/>
    <col min="49" max="50" width="19.625" style="15" hidden="1" customWidth="1"/>
    <col min="51" max="51" width="14.625" style="15" bestFit="1" customWidth="1"/>
    <col min="52" max="52" width="35.5" style="14" customWidth="1"/>
    <col min="53" max="53" width="53" style="15" hidden="1" customWidth="1"/>
    <col min="54" max="54" width="28.125" style="15" hidden="1" customWidth="1"/>
    <col min="55" max="56" width="9" style="15" hidden="1" customWidth="1"/>
    <col min="57" max="57" width="13" style="15" hidden="1" customWidth="1"/>
    <col min="58" max="58" width="14.5" style="15" hidden="1" customWidth="1"/>
    <col min="59" max="16384" width="9" style="15"/>
  </cols>
  <sheetData>
    <row r="1" spans="1:58" ht="20.100000000000001" customHeight="1">
      <c r="A1" s="1650" t="s">
        <v>2737</v>
      </c>
      <c r="B1" s="1650"/>
      <c r="C1" s="24"/>
    </row>
    <row r="2" spans="1:58" ht="19.350000000000001" customHeight="1">
      <c r="A2" s="1651" t="s">
        <v>1901</v>
      </c>
      <c r="B2" s="1651"/>
      <c r="C2" s="1651"/>
      <c r="D2" s="1651"/>
      <c r="E2" s="1651"/>
      <c r="F2" s="1651"/>
      <c r="G2" s="1651"/>
      <c r="H2" s="1651"/>
      <c r="I2" s="1651"/>
      <c r="J2" s="1651"/>
      <c r="K2" s="1651"/>
      <c r="L2" s="1651"/>
      <c r="M2" s="1651"/>
      <c r="N2" s="1651"/>
      <c r="O2" s="1651"/>
      <c r="P2" s="1651"/>
      <c r="Q2" s="1651"/>
      <c r="R2" s="1651"/>
      <c r="S2" s="1651"/>
      <c r="T2" s="1651"/>
      <c r="U2" s="1651"/>
      <c r="V2" s="1651"/>
      <c r="W2" s="1651"/>
      <c r="X2" s="1651"/>
      <c r="Y2" s="1651"/>
      <c r="Z2" s="1651"/>
      <c r="AA2" s="1651"/>
      <c r="AB2" s="1651"/>
      <c r="AC2" s="1651"/>
      <c r="AD2" s="1651"/>
      <c r="AE2" s="1651"/>
      <c r="AF2" s="1651"/>
      <c r="AG2" s="1651"/>
      <c r="AH2" s="1651"/>
      <c r="AI2" s="1651"/>
      <c r="AJ2" s="1651"/>
      <c r="AK2" s="1651"/>
      <c r="AL2" s="1651"/>
      <c r="AM2" s="1651"/>
      <c r="AN2" s="1651"/>
      <c r="AO2" s="1651"/>
      <c r="AP2" s="1651"/>
      <c r="AQ2" s="1651"/>
      <c r="AR2" s="1651"/>
      <c r="AS2" s="1651"/>
      <c r="AT2" s="1651"/>
      <c r="AU2" s="1651"/>
      <c r="AV2" s="1651"/>
      <c r="AW2" s="1651"/>
      <c r="AX2" s="1651"/>
      <c r="AY2" s="1651"/>
      <c r="AZ2" s="1651"/>
    </row>
    <row r="3" spans="1:58" ht="18" customHeight="1">
      <c r="A3" s="1651" t="s">
        <v>242</v>
      </c>
      <c r="B3" s="1651"/>
      <c r="C3" s="1651"/>
      <c r="D3" s="1651"/>
      <c r="E3" s="1651"/>
      <c r="F3" s="1651"/>
      <c r="G3" s="1651"/>
      <c r="H3" s="1651"/>
      <c r="I3" s="1651"/>
      <c r="J3" s="1651"/>
      <c r="K3" s="1651"/>
      <c r="L3" s="1651"/>
      <c r="M3" s="1651"/>
      <c r="N3" s="1651"/>
      <c r="O3" s="1651"/>
      <c r="P3" s="1651"/>
      <c r="Q3" s="1651"/>
      <c r="R3" s="1651"/>
      <c r="S3" s="1651"/>
      <c r="T3" s="1651"/>
      <c r="U3" s="1651"/>
      <c r="V3" s="1651"/>
      <c r="W3" s="1651"/>
      <c r="X3" s="1651"/>
      <c r="Y3" s="1651"/>
      <c r="Z3" s="1651"/>
      <c r="AA3" s="1651"/>
      <c r="AB3" s="1651"/>
      <c r="AC3" s="1651"/>
      <c r="AD3" s="1651"/>
      <c r="AE3" s="1651"/>
      <c r="AF3" s="1651"/>
      <c r="AG3" s="1651"/>
      <c r="AH3" s="1651"/>
      <c r="AI3" s="1651"/>
      <c r="AJ3" s="1651"/>
      <c r="AK3" s="1651"/>
      <c r="AL3" s="1651"/>
      <c r="AM3" s="1651"/>
      <c r="AN3" s="1651"/>
      <c r="AO3" s="1651"/>
      <c r="AP3" s="1651"/>
      <c r="AQ3" s="1651"/>
      <c r="AR3" s="1651"/>
      <c r="AS3" s="1651"/>
      <c r="AT3" s="1651"/>
      <c r="AU3" s="1651"/>
      <c r="AV3" s="1651"/>
      <c r="AW3" s="1651"/>
      <c r="AX3" s="1651"/>
      <c r="AY3" s="1651"/>
      <c r="AZ3" s="1651"/>
    </row>
    <row r="4" spans="1:58" ht="5.45" customHeight="1">
      <c r="B4" s="187"/>
      <c r="C4" s="188"/>
      <c r="D4" s="188"/>
      <c r="E4" s="188"/>
      <c r="F4" s="188"/>
      <c r="G4" s="188"/>
      <c r="H4" s="188"/>
      <c r="I4" s="188"/>
      <c r="J4" s="188"/>
      <c r="K4" s="188"/>
      <c r="L4" s="188"/>
      <c r="M4" s="188"/>
      <c r="N4" s="188"/>
      <c r="O4" s="188"/>
      <c r="P4" s="188"/>
      <c r="Q4" s="188"/>
      <c r="R4" s="188"/>
      <c r="S4" s="188"/>
      <c r="T4" s="188"/>
      <c r="U4" s="188"/>
      <c r="V4" s="188"/>
      <c r="W4" s="188"/>
      <c r="X4" s="188"/>
      <c r="Y4" s="188"/>
      <c r="Z4" s="188"/>
      <c r="AA4" s="188"/>
      <c r="AB4" s="188"/>
      <c r="AC4" s="188"/>
      <c r="AD4" s="188"/>
      <c r="AE4" s="188"/>
      <c r="AF4" s="188"/>
      <c r="AG4" s="188"/>
      <c r="AH4" s="188"/>
      <c r="AI4" s="188"/>
      <c r="AJ4" s="188"/>
      <c r="AK4" s="188"/>
      <c r="AL4" s="188"/>
      <c r="AM4" s="188"/>
      <c r="AN4" s="188"/>
      <c r="AO4" s="188"/>
      <c r="AP4" s="188"/>
      <c r="AQ4" s="188"/>
      <c r="AR4" s="188"/>
      <c r="AS4" s="188"/>
      <c r="AT4" s="188"/>
      <c r="AU4" s="188"/>
      <c r="AV4" s="188"/>
      <c r="AW4" s="188"/>
      <c r="AX4" s="188"/>
      <c r="AY4" s="188"/>
      <c r="AZ4" s="186"/>
    </row>
    <row r="5" spans="1:58">
      <c r="A5" s="1652" t="s">
        <v>170</v>
      </c>
      <c r="B5" s="1653" t="s">
        <v>276</v>
      </c>
      <c r="C5" s="1654" t="s">
        <v>277</v>
      </c>
      <c r="D5" s="1654" t="s">
        <v>1902</v>
      </c>
      <c r="E5" s="1654" t="s">
        <v>1903</v>
      </c>
      <c r="F5" s="1654" t="s">
        <v>147</v>
      </c>
      <c r="G5" s="190"/>
      <c r="H5" s="190"/>
      <c r="I5" s="190"/>
      <c r="J5" s="190"/>
      <c r="K5" s="190"/>
      <c r="L5" s="190"/>
      <c r="M5" s="190"/>
      <c r="N5" s="190"/>
      <c r="O5" s="190"/>
      <c r="P5" s="190"/>
      <c r="Q5" s="190"/>
      <c r="R5" s="190"/>
      <c r="S5" s="190"/>
      <c r="T5" s="190"/>
      <c r="U5" s="190"/>
      <c r="V5" s="190"/>
      <c r="W5" s="190"/>
      <c r="X5" s="190"/>
      <c r="Y5" s="190"/>
      <c r="Z5" s="190"/>
      <c r="AA5" s="190"/>
      <c r="AB5" s="190"/>
      <c r="AC5" s="190"/>
      <c r="AD5" s="190"/>
      <c r="AE5" s="190"/>
      <c r="AF5" s="190"/>
      <c r="AG5" s="190"/>
      <c r="AH5" s="190"/>
      <c r="AI5" s="190"/>
      <c r="AJ5" s="190"/>
      <c r="AK5" s="190"/>
      <c r="AL5" s="190"/>
      <c r="AM5" s="190"/>
      <c r="AN5" s="190"/>
      <c r="AO5" s="190"/>
      <c r="AP5" s="190"/>
      <c r="AQ5" s="190"/>
      <c r="AR5" s="190"/>
      <c r="AS5" s="191"/>
      <c r="AT5" s="1654" t="s">
        <v>282</v>
      </c>
      <c r="AU5" s="1654"/>
      <c r="AV5" s="1654" t="s">
        <v>1904</v>
      </c>
      <c r="AW5" s="1654" t="s">
        <v>1905</v>
      </c>
      <c r="AX5" s="1655" t="s">
        <v>1906</v>
      </c>
      <c r="AY5" s="1656" t="s">
        <v>1907</v>
      </c>
      <c r="AZ5" s="1657" t="s">
        <v>283</v>
      </c>
    </row>
    <row r="6" spans="1:58" ht="12.75" customHeight="1">
      <c r="A6" s="1652"/>
      <c r="B6" s="1653"/>
      <c r="C6" s="1654"/>
      <c r="D6" s="1654"/>
      <c r="E6" s="1654"/>
      <c r="F6" s="1654"/>
      <c r="G6" s="182" t="s">
        <v>1908</v>
      </c>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2"/>
      <c r="AN6" s="182"/>
      <c r="AO6" s="182"/>
      <c r="AP6" s="182"/>
      <c r="AQ6" s="182"/>
      <c r="AR6" s="182"/>
      <c r="AS6" s="82"/>
      <c r="AT6" s="1654" t="s">
        <v>1909</v>
      </c>
      <c r="AU6" s="1654" t="s">
        <v>1910</v>
      </c>
      <c r="AV6" s="1654"/>
      <c r="AW6" s="1654"/>
      <c r="AX6" s="1655"/>
      <c r="AY6" s="1656"/>
      <c r="AZ6" s="1657"/>
    </row>
    <row r="7" spans="1:58" s="24" customFormat="1" ht="18" customHeight="1">
      <c r="A7" s="1652"/>
      <c r="B7" s="1653"/>
      <c r="C7" s="1654"/>
      <c r="D7" s="1654"/>
      <c r="E7" s="1654"/>
      <c r="F7" s="1654"/>
      <c r="G7" s="22" t="s">
        <v>7</v>
      </c>
      <c r="H7" s="22" t="s">
        <v>8</v>
      </c>
      <c r="I7" s="23" t="s">
        <v>12</v>
      </c>
      <c r="J7" s="23" t="s">
        <v>14</v>
      </c>
      <c r="K7" s="23" t="s">
        <v>18</v>
      </c>
      <c r="L7" s="23" t="s">
        <v>187</v>
      </c>
      <c r="M7" s="23" t="s">
        <v>188</v>
      </c>
      <c r="N7" s="23" t="s">
        <v>189</v>
      </c>
      <c r="O7" s="23" t="s">
        <v>16</v>
      </c>
      <c r="P7" s="23" t="s">
        <v>19</v>
      </c>
      <c r="Q7" s="23" t="s">
        <v>20</v>
      </c>
      <c r="R7" s="23" t="s">
        <v>26</v>
      </c>
      <c r="S7" s="23" t="s">
        <v>28</v>
      </c>
      <c r="T7" s="23" t="s">
        <v>93</v>
      </c>
      <c r="U7" s="23" t="s">
        <v>32</v>
      </c>
      <c r="V7" s="23" t="s">
        <v>35</v>
      </c>
      <c r="W7" s="23" t="s">
        <v>48</v>
      </c>
      <c r="X7" s="23" t="s">
        <v>49</v>
      </c>
      <c r="Y7" s="23" t="s">
        <v>50</v>
      </c>
      <c r="Z7" s="23" t="s">
        <v>51</v>
      </c>
      <c r="AA7" s="23" t="s">
        <v>44</v>
      </c>
      <c r="AB7" s="23" t="s">
        <v>45</v>
      </c>
      <c r="AC7" s="23" t="s">
        <v>46</v>
      </c>
      <c r="AD7" s="23" t="s">
        <v>47</v>
      </c>
      <c r="AE7" s="23" t="s">
        <v>54</v>
      </c>
      <c r="AF7" s="23" t="s">
        <v>37</v>
      </c>
      <c r="AG7" s="23" t="s">
        <v>59</v>
      </c>
      <c r="AH7" s="23" t="s">
        <v>57</v>
      </c>
      <c r="AI7" s="23" t="s">
        <v>24</v>
      </c>
      <c r="AJ7" s="23" t="s">
        <v>96</v>
      </c>
      <c r="AK7" s="23" t="s">
        <v>38</v>
      </c>
      <c r="AL7" s="23" t="s">
        <v>40</v>
      </c>
      <c r="AM7" s="23" t="s">
        <v>34</v>
      </c>
      <c r="AN7" s="23" t="s">
        <v>112</v>
      </c>
      <c r="AO7" s="23" t="s">
        <v>39</v>
      </c>
      <c r="AP7" s="23" t="s">
        <v>42</v>
      </c>
      <c r="AQ7" s="23" t="s">
        <v>41</v>
      </c>
      <c r="AR7" s="23" t="s">
        <v>81</v>
      </c>
      <c r="AS7" s="23" t="s">
        <v>137</v>
      </c>
      <c r="AT7" s="1654"/>
      <c r="AU7" s="1654"/>
      <c r="AV7" s="1654"/>
      <c r="AW7" s="1654"/>
      <c r="AX7" s="1655"/>
      <c r="AY7" s="1656"/>
      <c r="AZ7" s="1657"/>
      <c r="BC7" s="24">
        <f>SUM(BC8:BC959)</f>
        <v>5</v>
      </c>
      <c r="BD7" s="24">
        <f>SUM(BD8:BD959)</f>
        <v>36</v>
      </c>
      <c r="BE7" s="24">
        <f>SUM(BE8:BE959)</f>
        <v>105</v>
      </c>
      <c r="BF7" s="24">
        <f>SUM(BF8:BF959)</f>
        <v>58</v>
      </c>
    </row>
    <row r="8" spans="1:58" s="24" customFormat="1" ht="20.45" customHeight="1">
      <c r="A8" s="189" t="s">
        <v>78</v>
      </c>
      <c r="B8" s="25" t="s">
        <v>65</v>
      </c>
      <c r="C8" s="265" t="s">
        <v>26</v>
      </c>
      <c r="D8" s="192">
        <f>E8+F8</f>
        <v>1.96</v>
      </c>
      <c r="E8" s="192">
        <f>SUM(E9:E14)</f>
        <v>0.7</v>
      </c>
      <c r="F8" s="192">
        <f>SUM(G8:K8,O8:AS8)</f>
        <v>1.26</v>
      </c>
      <c r="G8" s="192">
        <f t="shared" ref="G8:AS8" si="0">SUM(G9:G14)</f>
        <v>0.4</v>
      </c>
      <c r="H8" s="192">
        <f t="shared" si="0"/>
        <v>0</v>
      </c>
      <c r="I8" s="192">
        <f t="shared" si="0"/>
        <v>0.2</v>
      </c>
      <c r="J8" s="192">
        <f t="shared" si="0"/>
        <v>0</v>
      </c>
      <c r="K8" s="192">
        <f t="shared" si="0"/>
        <v>0.45999999999999996</v>
      </c>
      <c r="L8" s="192">
        <f t="shared" si="0"/>
        <v>0</v>
      </c>
      <c r="M8" s="192">
        <f t="shared" si="0"/>
        <v>0.45999999999999996</v>
      </c>
      <c r="N8" s="192">
        <f t="shared" si="0"/>
        <v>0</v>
      </c>
      <c r="O8" s="192">
        <f t="shared" si="0"/>
        <v>0</v>
      </c>
      <c r="P8" s="192">
        <f t="shared" si="0"/>
        <v>0.2</v>
      </c>
      <c r="Q8" s="192">
        <f t="shared" si="0"/>
        <v>0</v>
      </c>
      <c r="R8" s="192">
        <f t="shared" si="0"/>
        <v>0</v>
      </c>
      <c r="S8" s="192">
        <f t="shared" si="0"/>
        <v>0</v>
      </c>
      <c r="T8" s="192">
        <f t="shared" si="0"/>
        <v>0</v>
      </c>
      <c r="U8" s="192">
        <f t="shared" si="0"/>
        <v>0</v>
      </c>
      <c r="V8" s="192">
        <f t="shared" si="0"/>
        <v>0</v>
      </c>
      <c r="W8" s="192">
        <f t="shared" si="0"/>
        <v>0</v>
      </c>
      <c r="X8" s="192">
        <f t="shared" si="0"/>
        <v>0</v>
      </c>
      <c r="Y8" s="192">
        <f t="shared" si="0"/>
        <v>0</v>
      </c>
      <c r="Z8" s="192">
        <f t="shared" si="0"/>
        <v>0</v>
      </c>
      <c r="AA8" s="192">
        <f t="shared" si="0"/>
        <v>0</v>
      </c>
      <c r="AB8" s="192">
        <f t="shared" si="0"/>
        <v>0</v>
      </c>
      <c r="AC8" s="192">
        <f t="shared" si="0"/>
        <v>0</v>
      </c>
      <c r="AD8" s="192">
        <f t="shared" si="0"/>
        <v>0</v>
      </c>
      <c r="AE8" s="192">
        <f t="shared" si="0"/>
        <v>0</v>
      </c>
      <c r="AF8" s="192">
        <f t="shared" si="0"/>
        <v>0</v>
      </c>
      <c r="AG8" s="192">
        <f t="shared" si="0"/>
        <v>0</v>
      </c>
      <c r="AH8" s="192">
        <f t="shared" si="0"/>
        <v>0</v>
      </c>
      <c r="AI8" s="192">
        <f t="shared" si="0"/>
        <v>0</v>
      </c>
      <c r="AJ8" s="192">
        <f t="shared" si="0"/>
        <v>0</v>
      </c>
      <c r="AK8" s="192">
        <f t="shared" si="0"/>
        <v>0</v>
      </c>
      <c r="AL8" s="192">
        <f t="shared" si="0"/>
        <v>0</v>
      </c>
      <c r="AM8" s="192">
        <f t="shared" si="0"/>
        <v>0</v>
      </c>
      <c r="AN8" s="192">
        <f t="shared" si="0"/>
        <v>0</v>
      </c>
      <c r="AO8" s="192">
        <f t="shared" si="0"/>
        <v>0</v>
      </c>
      <c r="AP8" s="192">
        <f t="shared" si="0"/>
        <v>0</v>
      </c>
      <c r="AQ8" s="192">
        <f t="shared" si="0"/>
        <v>0</v>
      </c>
      <c r="AR8" s="192">
        <f t="shared" si="0"/>
        <v>0</v>
      </c>
      <c r="AS8" s="192">
        <f t="shared" si="0"/>
        <v>0</v>
      </c>
      <c r="AT8" s="29"/>
      <c r="AU8" s="29"/>
      <c r="AV8" s="29"/>
      <c r="AW8" s="29"/>
      <c r="AX8" s="30"/>
      <c r="AY8" s="29"/>
      <c r="AZ8" s="30"/>
      <c r="BC8" s="24" t="s">
        <v>1911</v>
      </c>
      <c r="BD8" s="24" t="s">
        <v>1912</v>
      </c>
      <c r="BE8" s="24" t="s">
        <v>1913</v>
      </c>
      <c r="BF8" s="24" t="s">
        <v>1914</v>
      </c>
    </row>
    <row r="9" spans="1:58" ht="48.6" customHeight="1">
      <c r="A9" s="193">
        <v>1</v>
      </c>
      <c r="B9" s="33" t="s">
        <v>1915</v>
      </c>
      <c r="C9" s="34" t="s">
        <v>26</v>
      </c>
      <c r="D9" s="194">
        <f t="shared" ref="D9:D18" si="1">E9+F9</f>
        <v>1.5</v>
      </c>
      <c r="E9" s="194">
        <v>0.7</v>
      </c>
      <c r="F9" s="194">
        <f t="shared" ref="F9:F14" si="2">SUM(G9:K9,O9:AR9)</f>
        <v>0.8</v>
      </c>
      <c r="G9" s="194">
        <v>0.4</v>
      </c>
      <c r="H9" s="194"/>
      <c r="I9" s="194">
        <v>0.2</v>
      </c>
      <c r="J9" s="194"/>
      <c r="K9" s="194"/>
      <c r="L9" s="194"/>
      <c r="M9" s="194"/>
      <c r="N9" s="194"/>
      <c r="O9" s="194"/>
      <c r="P9" s="194">
        <v>0.2</v>
      </c>
      <c r="Q9" s="194"/>
      <c r="R9" s="194"/>
      <c r="S9" s="194"/>
      <c r="T9" s="194"/>
      <c r="U9" s="194"/>
      <c r="V9" s="194"/>
      <c r="W9" s="194"/>
      <c r="X9" s="194"/>
      <c r="Y9" s="194"/>
      <c r="Z9" s="194"/>
      <c r="AA9" s="194"/>
      <c r="AB9" s="194"/>
      <c r="AC9" s="194"/>
      <c r="AD9" s="194"/>
      <c r="AE9" s="194"/>
      <c r="AF9" s="194"/>
      <c r="AG9" s="194"/>
      <c r="AH9" s="194"/>
      <c r="AI9" s="194"/>
      <c r="AJ9" s="194"/>
      <c r="AK9" s="194"/>
      <c r="AL9" s="194"/>
      <c r="AM9" s="194"/>
      <c r="AN9" s="194"/>
      <c r="AO9" s="194"/>
      <c r="AP9" s="194"/>
      <c r="AQ9" s="194"/>
      <c r="AR9" s="194"/>
      <c r="AS9" s="194"/>
      <c r="AT9" s="38" t="s">
        <v>289</v>
      </c>
      <c r="AU9" s="38" t="s">
        <v>290</v>
      </c>
      <c r="AV9" s="38"/>
      <c r="AW9" s="38" t="s">
        <v>1916</v>
      </c>
      <c r="AX9" s="39">
        <v>2021</v>
      </c>
      <c r="AY9" s="38" t="s">
        <v>1917</v>
      </c>
      <c r="AZ9" s="39" t="s">
        <v>1918</v>
      </c>
      <c r="BB9" s="41"/>
      <c r="BC9" s="41"/>
      <c r="BF9" s="15">
        <v>1</v>
      </c>
    </row>
    <row r="10" spans="1:58" ht="68.45" customHeight="1">
      <c r="A10" s="193">
        <f>A9+1</f>
        <v>2</v>
      </c>
      <c r="B10" s="33" t="s">
        <v>1919</v>
      </c>
      <c r="C10" s="34" t="s">
        <v>26</v>
      </c>
      <c r="D10" s="194">
        <f t="shared" si="1"/>
        <v>0.06</v>
      </c>
      <c r="E10" s="194"/>
      <c r="F10" s="194">
        <f t="shared" si="2"/>
        <v>0.06</v>
      </c>
      <c r="G10" s="194"/>
      <c r="H10" s="194"/>
      <c r="I10" s="194"/>
      <c r="J10" s="194"/>
      <c r="K10" s="194">
        <v>0.06</v>
      </c>
      <c r="L10" s="194"/>
      <c r="M10" s="194">
        <v>0.06</v>
      </c>
      <c r="N10" s="194"/>
      <c r="O10" s="194"/>
      <c r="P10" s="194"/>
      <c r="Q10" s="194"/>
      <c r="R10" s="194"/>
      <c r="S10" s="194"/>
      <c r="T10" s="194"/>
      <c r="U10" s="194"/>
      <c r="V10" s="194"/>
      <c r="W10" s="194"/>
      <c r="X10" s="194"/>
      <c r="Y10" s="194"/>
      <c r="Z10" s="194"/>
      <c r="AA10" s="194"/>
      <c r="AB10" s="194"/>
      <c r="AC10" s="194"/>
      <c r="AD10" s="194"/>
      <c r="AE10" s="194"/>
      <c r="AF10" s="194"/>
      <c r="AG10" s="194"/>
      <c r="AH10" s="194"/>
      <c r="AI10" s="194"/>
      <c r="AJ10" s="194"/>
      <c r="AK10" s="194"/>
      <c r="AL10" s="194"/>
      <c r="AM10" s="194"/>
      <c r="AN10" s="194"/>
      <c r="AO10" s="194"/>
      <c r="AP10" s="194"/>
      <c r="AQ10" s="194"/>
      <c r="AR10" s="194"/>
      <c r="AS10" s="194"/>
      <c r="AT10" s="38" t="s">
        <v>289</v>
      </c>
      <c r="AU10" s="38" t="s">
        <v>295</v>
      </c>
      <c r="AV10" s="38"/>
      <c r="AW10" s="38" t="s">
        <v>1916</v>
      </c>
      <c r="AX10" s="39" t="s">
        <v>1920</v>
      </c>
      <c r="AY10" s="38" t="s">
        <v>1917</v>
      </c>
      <c r="AZ10" s="39" t="s">
        <v>1921</v>
      </c>
      <c r="BB10" s="41"/>
      <c r="BC10" s="41"/>
      <c r="BF10" s="15">
        <v>1</v>
      </c>
    </row>
    <row r="11" spans="1:58" ht="20.45" customHeight="1">
      <c r="A11" s="193">
        <f>A10+1</f>
        <v>3</v>
      </c>
      <c r="B11" s="33" t="s">
        <v>301</v>
      </c>
      <c r="C11" s="34" t="s">
        <v>26</v>
      </c>
      <c r="D11" s="194">
        <f t="shared" si="1"/>
        <v>0.1</v>
      </c>
      <c r="E11" s="194"/>
      <c r="F11" s="194">
        <f t="shared" si="2"/>
        <v>0.1</v>
      </c>
      <c r="G11" s="194"/>
      <c r="H11" s="194"/>
      <c r="I11" s="194"/>
      <c r="J11" s="194"/>
      <c r="K11" s="194">
        <v>0.1</v>
      </c>
      <c r="L11" s="194"/>
      <c r="M11" s="194">
        <v>0.1</v>
      </c>
      <c r="N11" s="194"/>
      <c r="O11" s="194"/>
      <c r="P11" s="194"/>
      <c r="Q11" s="194"/>
      <c r="R11" s="194"/>
      <c r="S11" s="194"/>
      <c r="T11" s="194"/>
      <c r="U11" s="194"/>
      <c r="V11" s="194"/>
      <c r="W11" s="194"/>
      <c r="X11" s="194"/>
      <c r="Y11" s="194"/>
      <c r="Z11" s="194"/>
      <c r="AA11" s="194"/>
      <c r="AB11" s="194"/>
      <c r="AC11" s="194"/>
      <c r="AD11" s="194"/>
      <c r="AE11" s="194"/>
      <c r="AF11" s="194"/>
      <c r="AG11" s="194"/>
      <c r="AH11" s="194"/>
      <c r="AI11" s="194"/>
      <c r="AJ11" s="194"/>
      <c r="AK11" s="194"/>
      <c r="AL11" s="194"/>
      <c r="AM11" s="194"/>
      <c r="AN11" s="194"/>
      <c r="AO11" s="194"/>
      <c r="AP11" s="194"/>
      <c r="AQ11" s="194"/>
      <c r="AR11" s="194"/>
      <c r="AS11" s="194"/>
      <c r="AT11" s="38" t="s">
        <v>232</v>
      </c>
      <c r="AU11" s="38" t="s">
        <v>1922</v>
      </c>
      <c r="AV11" s="38"/>
      <c r="AW11" s="38" t="s">
        <v>1916</v>
      </c>
      <c r="AX11" s="39" t="s">
        <v>1920</v>
      </c>
      <c r="AY11" s="38" t="s">
        <v>1923</v>
      </c>
      <c r="AZ11" s="39" t="s">
        <v>1924</v>
      </c>
      <c r="BB11" s="41"/>
      <c r="BC11" s="41"/>
      <c r="BE11" s="15">
        <v>1</v>
      </c>
    </row>
    <row r="12" spans="1:58" ht="31.5">
      <c r="A12" s="193">
        <f>A11+1</f>
        <v>4</v>
      </c>
      <c r="B12" s="33" t="s">
        <v>304</v>
      </c>
      <c r="C12" s="34" t="s">
        <v>26</v>
      </c>
      <c r="D12" s="194">
        <f t="shared" si="1"/>
        <v>0.1</v>
      </c>
      <c r="E12" s="194"/>
      <c r="F12" s="194">
        <f t="shared" si="2"/>
        <v>0.1</v>
      </c>
      <c r="G12" s="194"/>
      <c r="H12" s="194"/>
      <c r="I12" s="194"/>
      <c r="J12" s="194"/>
      <c r="K12" s="194">
        <v>0.1</v>
      </c>
      <c r="L12" s="194"/>
      <c r="M12" s="194">
        <v>0.1</v>
      </c>
      <c r="N12" s="194"/>
      <c r="O12" s="194"/>
      <c r="P12" s="194"/>
      <c r="Q12" s="194"/>
      <c r="R12" s="194"/>
      <c r="S12" s="194"/>
      <c r="T12" s="194"/>
      <c r="U12" s="194"/>
      <c r="V12" s="194"/>
      <c r="W12" s="194"/>
      <c r="X12" s="194"/>
      <c r="Y12" s="194"/>
      <c r="Z12" s="194"/>
      <c r="AA12" s="194"/>
      <c r="AB12" s="194"/>
      <c r="AC12" s="194"/>
      <c r="AD12" s="194"/>
      <c r="AE12" s="194"/>
      <c r="AF12" s="194"/>
      <c r="AG12" s="194"/>
      <c r="AH12" s="194"/>
      <c r="AI12" s="194"/>
      <c r="AJ12" s="194"/>
      <c r="AK12" s="194"/>
      <c r="AL12" s="194"/>
      <c r="AM12" s="194"/>
      <c r="AN12" s="194"/>
      <c r="AO12" s="194"/>
      <c r="AP12" s="194"/>
      <c r="AQ12" s="194"/>
      <c r="AR12" s="194"/>
      <c r="AS12" s="194"/>
      <c r="AT12" s="38" t="s">
        <v>233</v>
      </c>
      <c r="AU12" s="38" t="s">
        <v>1925</v>
      </c>
      <c r="AV12" s="38"/>
      <c r="AW12" s="38" t="s">
        <v>1916</v>
      </c>
      <c r="AX12" s="39" t="s">
        <v>1920</v>
      </c>
      <c r="AY12" s="38" t="s">
        <v>1923</v>
      </c>
      <c r="AZ12" s="39" t="s">
        <v>1926</v>
      </c>
      <c r="BB12" s="41"/>
      <c r="BC12" s="41"/>
      <c r="BE12" s="15">
        <v>1</v>
      </c>
    </row>
    <row r="13" spans="1:58" ht="31.5">
      <c r="A13" s="193">
        <f>A12+1</f>
        <v>5</v>
      </c>
      <c r="B13" s="33" t="s">
        <v>306</v>
      </c>
      <c r="C13" s="34" t="s">
        <v>26</v>
      </c>
      <c r="D13" s="194">
        <f t="shared" si="1"/>
        <v>0.1</v>
      </c>
      <c r="E13" s="194"/>
      <c r="F13" s="194">
        <f t="shared" si="2"/>
        <v>0.1</v>
      </c>
      <c r="G13" s="194"/>
      <c r="H13" s="194"/>
      <c r="I13" s="194"/>
      <c r="J13" s="194"/>
      <c r="K13" s="194">
        <v>0.1</v>
      </c>
      <c r="L13" s="194"/>
      <c r="M13" s="194">
        <v>0.1</v>
      </c>
      <c r="N13" s="194"/>
      <c r="O13" s="194"/>
      <c r="P13" s="194"/>
      <c r="Q13" s="194"/>
      <c r="R13" s="194"/>
      <c r="S13" s="194"/>
      <c r="T13" s="194"/>
      <c r="U13" s="194"/>
      <c r="V13" s="194"/>
      <c r="W13" s="194"/>
      <c r="X13" s="194"/>
      <c r="Y13" s="194"/>
      <c r="Z13" s="194"/>
      <c r="AA13" s="194"/>
      <c r="AB13" s="194"/>
      <c r="AC13" s="194"/>
      <c r="AD13" s="194"/>
      <c r="AE13" s="194"/>
      <c r="AF13" s="194"/>
      <c r="AG13" s="194"/>
      <c r="AH13" s="194"/>
      <c r="AI13" s="194"/>
      <c r="AJ13" s="194"/>
      <c r="AK13" s="194"/>
      <c r="AL13" s="194"/>
      <c r="AM13" s="194"/>
      <c r="AN13" s="194"/>
      <c r="AO13" s="194"/>
      <c r="AP13" s="194"/>
      <c r="AQ13" s="194"/>
      <c r="AR13" s="194"/>
      <c r="AS13" s="194"/>
      <c r="AT13" s="34" t="s">
        <v>237</v>
      </c>
      <c r="AU13" s="34" t="s">
        <v>1927</v>
      </c>
      <c r="AV13" s="34"/>
      <c r="AW13" s="34" t="s">
        <v>1916</v>
      </c>
      <c r="AX13" s="39" t="s">
        <v>1920</v>
      </c>
      <c r="AY13" s="34" t="s">
        <v>1923</v>
      </c>
      <c r="AZ13" s="39" t="s">
        <v>1924</v>
      </c>
      <c r="BE13" s="15">
        <v>1</v>
      </c>
    </row>
    <row r="14" spans="1:58" ht="31.5">
      <c r="A14" s="193">
        <f>A13+1</f>
        <v>6</v>
      </c>
      <c r="B14" s="33" t="s">
        <v>309</v>
      </c>
      <c r="C14" s="34" t="s">
        <v>26</v>
      </c>
      <c r="D14" s="194">
        <f t="shared" si="1"/>
        <v>0.1</v>
      </c>
      <c r="E14" s="194"/>
      <c r="F14" s="194">
        <f t="shared" si="2"/>
        <v>0.1</v>
      </c>
      <c r="G14" s="194"/>
      <c r="H14" s="194"/>
      <c r="I14" s="194"/>
      <c r="J14" s="194"/>
      <c r="K14" s="194">
        <v>0.1</v>
      </c>
      <c r="L14" s="194"/>
      <c r="M14" s="194">
        <v>0.1</v>
      </c>
      <c r="N14" s="194"/>
      <c r="O14" s="194"/>
      <c r="P14" s="194"/>
      <c r="Q14" s="194"/>
      <c r="R14" s="194"/>
      <c r="S14" s="194"/>
      <c r="T14" s="194"/>
      <c r="U14" s="194"/>
      <c r="V14" s="194"/>
      <c r="W14" s="194"/>
      <c r="X14" s="194"/>
      <c r="Y14" s="194"/>
      <c r="Z14" s="194"/>
      <c r="AA14" s="194"/>
      <c r="AB14" s="194"/>
      <c r="AC14" s="194"/>
      <c r="AD14" s="194"/>
      <c r="AE14" s="194"/>
      <c r="AF14" s="194"/>
      <c r="AG14" s="194"/>
      <c r="AH14" s="194"/>
      <c r="AI14" s="194"/>
      <c r="AJ14" s="194"/>
      <c r="AK14" s="194"/>
      <c r="AL14" s="194"/>
      <c r="AM14" s="194"/>
      <c r="AN14" s="194"/>
      <c r="AO14" s="194"/>
      <c r="AP14" s="194"/>
      <c r="AQ14" s="194"/>
      <c r="AR14" s="194"/>
      <c r="AS14" s="194"/>
      <c r="AT14" s="38" t="s">
        <v>238</v>
      </c>
      <c r="AU14" s="38" t="s">
        <v>313</v>
      </c>
      <c r="AV14" s="38"/>
      <c r="AW14" s="38" t="s">
        <v>1916</v>
      </c>
      <c r="AX14" s="39" t="s">
        <v>1920</v>
      </c>
      <c r="AY14" s="38" t="s">
        <v>1923</v>
      </c>
      <c r="AZ14" s="39" t="s">
        <v>1928</v>
      </c>
      <c r="BB14" s="41"/>
      <c r="BC14" s="41"/>
      <c r="BE14" s="15">
        <v>1</v>
      </c>
    </row>
    <row r="15" spans="1:58" s="24" customFormat="1" ht="20.100000000000001" customHeight="1">
      <c r="A15" s="189" t="s">
        <v>79</v>
      </c>
      <c r="B15" s="25" t="s">
        <v>66</v>
      </c>
      <c r="C15" s="26" t="s">
        <v>28</v>
      </c>
      <c r="D15" s="192">
        <f>E15+F15</f>
        <v>8.6799000000000017</v>
      </c>
      <c r="E15" s="192">
        <f>SUM(E16:E19)</f>
        <v>2.44</v>
      </c>
      <c r="F15" s="192">
        <f>SUM(G15:K15,O15:AS15)</f>
        <v>6.2399000000000013</v>
      </c>
      <c r="G15" s="192">
        <f>SUM(G16:G19)</f>
        <v>4.354000000000001</v>
      </c>
      <c r="H15" s="192">
        <f t="shared" ref="H15:AS15" si="3">SUM(H16:H19)</f>
        <v>0.30000000000000004</v>
      </c>
      <c r="I15" s="192">
        <f t="shared" si="3"/>
        <v>0.5</v>
      </c>
      <c r="J15" s="192">
        <f t="shared" si="3"/>
        <v>0</v>
      </c>
      <c r="K15" s="192">
        <f t="shared" si="3"/>
        <v>0</v>
      </c>
      <c r="L15" s="192">
        <f t="shared" si="3"/>
        <v>0</v>
      </c>
      <c r="M15" s="192">
        <f t="shared" si="3"/>
        <v>0</v>
      </c>
      <c r="N15" s="192">
        <f t="shared" si="3"/>
        <v>0</v>
      </c>
      <c r="O15" s="192">
        <f t="shared" si="3"/>
        <v>0</v>
      </c>
      <c r="P15" s="192">
        <f t="shared" si="3"/>
        <v>0.2</v>
      </c>
      <c r="Q15" s="192">
        <f t="shared" si="3"/>
        <v>0</v>
      </c>
      <c r="R15" s="192">
        <f t="shared" si="3"/>
        <v>0</v>
      </c>
      <c r="S15" s="192">
        <f t="shared" si="3"/>
        <v>0</v>
      </c>
      <c r="T15" s="192">
        <f t="shared" si="3"/>
        <v>0</v>
      </c>
      <c r="U15" s="192">
        <f t="shared" si="3"/>
        <v>0.22</v>
      </c>
      <c r="V15" s="192">
        <f t="shared" si="3"/>
        <v>0</v>
      </c>
      <c r="W15" s="192">
        <f t="shared" si="3"/>
        <v>0</v>
      </c>
      <c r="X15" s="192">
        <f t="shared" si="3"/>
        <v>0</v>
      </c>
      <c r="Y15" s="192">
        <f t="shared" si="3"/>
        <v>0.46590000000000004</v>
      </c>
      <c r="Z15" s="192">
        <f t="shared" si="3"/>
        <v>0</v>
      </c>
      <c r="AA15" s="192">
        <f t="shared" si="3"/>
        <v>0</v>
      </c>
      <c r="AB15" s="192">
        <f t="shared" si="3"/>
        <v>0</v>
      </c>
      <c r="AC15" s="192">
        <f t="shared" si="3"/>
        <v>0</v>
      </c>
      <c r="AD15" s="192">
        <f t="shared" si="3"/>
        <v>0</v>
      </c>
      <c r="AE15" s="192">
        <f t="shared" si="3"/>
        <v>0</v>
      </c>
      <c r="AF15" s="192">
        <f t="shared" si="3"/>
        <v>0</v>
      </c>
      <c r="AG15" s="192">
        <f t="shared" si="3"/>
        <v>0</v>
      </c>
      <c r="AH15" s="192">
        <f t="shared" si="3"/>
        <v>0</v>
      </c>
      <c r="AI15" s="192">
        <f t="shared" si="3"/>
        <v>0.2</v>
      </c>
      <c r="AJ15" s="192">
        <f t="shared" si="3"/>
        <v>0</v>
      </c>
      <c r="AK15" s="192">
        <f t="shared" si="3"/>
        <v>0</v>
      </c>
      <c r="AL15" s="192">
        <f t="shared" si="3"/>
        <v>0</v>
      </c>
      <c r="AM15" s="192">
        <f t="shared" si="3"/>
        <v>0</v>
      </c>
      <c r="AN15" s="192">
        <f t="shared" si="3"/>
        <v>0</v>
      </c>
      <c r="AO15" s="192">
        <f t="shared" si="3"/>
        <v>0</v>
      </c>
      <c r="AP15" s="192">
        <f t="shared" si="3"/>
        <v>0</v>
      </c>
      <c r="AQ15" s="192">
        <f t="shared" si="3"/>
        <v>0</v>
      </c>
      <c r="AR15" s="192">
        <f t="shared" si="3"/>
        <v>0</v>
      </c>
      <c r="AS15" s="192">
        <f t="shared" si="3"/>
        <v>0</v>
      </c>
      <c r="AT15" s="29"/>
      <c r="AU15" s="29"/>
      <c r="AV15" s="29"/>
      <c r="AW15" s="29"/>
      <c r="AX15" s="30"/>
      <c r="AY15" s="29"/>
      <c r="AZ15" s="30"/>
    </row>
    <row r="16" spans="1:58" ht="31.5">
      <c r="A16" s="193">
        <f>A14+1</f>
        <v>7</v>
      </c>
      <c r="B16" s="56" t="s">
        <v>314</v>
      </c>
      <c r="C16" s="38" t="s">
        <v>28</v>
      </c>
      <c r="D16" s="194">
        <f t="shared" si="1"/>
        <v>2.84</v>
      </c>
      <c r="E16" s="195">
        <v>2.44</v>
      </c>
      <c r="F16" s="103">
        <f>SUM(G16:K16,O16:AR16)</f>
        <v>0.4</v>
      </c>
      <c r="G16" s="103">
        <v>0.3</v>
      </c>
      <c r="H16" s="103"/>
      <c r="I16" s="103">
        <v>0.1</v>
      </c>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3"/>
      <c r="AR16" s="103"/>
      <c r="AS16" s="103"/>
      <c r="AT16" s="38" t="s">
        <v>289</v>
      </c>
      <c r="AU16" s="38" t="s">
        <v>315</v>
      </c>
      <c r="AV16" s="38"/>
      <c r="AW16" s="34"/>
      <c r="AX16" s="39" t="s">
        <v>1920</v>
      </c>
      <c r="AY16" s="34" t="s">
        <v>1917</v>
      </c>
      <c r="AZ16" s="39" t="s">
        <v>1929</v>
      </c>
      <c r="BB16" s="41"/>
      <c r="BF16" s="15">
        <v>1</v>
      </c>
    </row>
    <row r="17" spans="1:57" ht="21" customHeight="1">
      <c r="A17" s="193">
        <f>A16+1</f>
        <v>8</v>
      </c>
      <c r="B17" s="33" t="s">
        <v>316</v>
      </c>
      <c r="C17" s="34" t="s">
        <v>28</v>
      </c>
      <c r="D17" s="194">
        <f t="shared" si="1"/>
        <v>0.22</v>
      </c>
      <c r="E17" s="194"/>
      <c r="F17" s="194">
        <f>SUM(G17:K17,O17:AR17)</f>
        <v>0.22</v>
      </c>
      <c r="G17" s="194"/>
      <c r="H17" s="194"/>
      <c r="I17" s="194"/>
      <c r="J17" s="194"/>
      <c r="K17" s="194"/>
      <c r="L17" s="194"/>
      <c r="M17" s="194"/>
      <c r="N17" s="194"/>
      <c r="O17" s="194"/>
      <c r="P17" s="194"/>
      <c r="Q17" s="194"/>
      <c r="R17" s="194"/>
      <c r="S17" s="194"/>
      <c r="T17" s="194"/>
      <c r="U17" s="194">
        <v>0.22</v>
      </c>
      <c r="V17" s="194"/>
      <c r="W17" s="194"/>
      <c r="X17" s="194"/>
      <c r="Y17" s="194"/>
      <c r="Z17" s="194"/>
      <c r="AA17" s="194"/>
      <c r="AB17" s="194"/>
      <c r="AC17" s="194"/>
      <c r="AD17" s="194"/>
      <c r="AE17" s="194"/>
      <c r="AF17" s="194"/>
      <c r="AG17" s="194"/>
      <c r="AH17" s="194"/>
      <c r="AI17" s="194"/>
      <c r="AJ17" s="194"/>
      <c r="AK17" s="194"/>
      <c r="AL17" s="194"/>
      <c r="AM17" s="194"/>
      <c r="AN17" s="194"/>
      <c r="AO17" s="194"/>
      <c r="AP17" s="194"/>
      <c r="AQ17" s="194"/>
      <c r="AR17" s="194"/>
      <c r="AS17" s="194"/>
      <c r="AT17" s="38" t="s">
        <v>317</v>
      </c>
      <c r="AU17" s="38" t="s">
        <v>318</v>
      </c>
      <c r="AV17" s="38"/>
      <c r="AW17" s="38" t="s">
        <v>1930</v>
      </c>
      <c r="AX17" s="39" t="s">
        <v>1920</v>
      </c>
      <c r="AY17" s="38" t="s">
        <v>1923</v>
      </c>
      <c r="AZ17" s="39" t="s">
        <v>1924</v>
      </c>
      <c r="BB17" s="41"/>
      <c r="BC17" s="41"/>
      <c r="BE17" s="15">
        <v>1</v>
      </c>
    </row>
    <row r="18" spans="1:57">
      <c r="A18" s="193">
        <f>A17+1</f>
        <v>9</v>
      </c>
      <c r="B18" s="33" t="s">
        <v>320</v>
      </c>
      <c r="C18" s="34" t="s">
        <v>28</v>
      </c>
      <c r="D18" s="194">
        <f t="shared" si="1"/>
        <v>1.3</v>
      </c>
      <c r="E18" s="194"/>
      <c r="F18" s="194">
        <f>SUM(G18:K18,O18:AR18)</f>
        <v>1.3</v>
      </c>
      <c r="G18" s="194">
        <v>1.1000000000000001</v>
      </c>
      <c r="H18" s="194"/>
      <c r="I18" s="194">
        <v>0.2</v>
      </c>
      <c r="J18" s="194"/>
      <c r="K18" s="194"/>
      <c r="L18" s="194"/>
      <c r="M18" s="194"/>
      <c r="N18" s="194"/>
      <c r="O18" s="194"/>
      <c r="P18" s="194"/>
      <c r="Q18" s="194"/>
      <c r="R18" s="194"/>
      <c r="S18" s="194"/>
      <c r="T18" s="194"/>
      <c r="U18" s="194"/>
      <c r="V18" s="194"/>
      <c r="W18" s="194"/>
      <c r="X18" s="194"/>
      <c r="Y18" s="194"/>
      <c r="Z18" s="194"/>
      <c r="AA18" s="194"/>
      <c r="AB18" s="194"/>
      <c r="AC18" s="194"/>
      <c r="AD18" s="194"/>
      <c r="AE18" s="194"/>
      <c r="AF18" s="194"/>
      <c r="AG18" s="194"/>
      <c r="AH18" s="194"/>
      <c r="AI18" s="194"/>
      <c r="AJ18" s="194"/>
      <c r="AK18" s="194"/>
      <c r="AL18" s="194"/>
      <c r="AM18" s="194"/>
      <c r="AN18" s="194"/>
      <c r="AO18" s="194"/>
      <c r="AP18" s="194"/>
      <c r="AQ18" s="194"/>
      <c r="AR18" s="194"/>
      <c r="AS18" s="194"/>
      <c r="AT18" s="38" t="s">
        <v>289</v>
      </c>
      <c r="AU18" s="38"/>
      <c r="AV18" s="38"/>
      <c r="AW18" s="38"/>
      <c r="AX18" s="39" t="s">
        <v>1920</v>
      </c>
      <c r="AY18" s="38" t="s">
        <v>1923</v>
      </c>
      <c r="AZ18" s="39" t="s">
        <v>1931</v>
      </c>
      <c r="BB18" s="41"/>
      <c r="BC18" s="41"/>
      <c r="BD18" s="15">
        <v>1</v>
      </c>
    </row>
    <row r="19" spans="1:57" ht="21" customHeight="1">
      <c r="A19" s="193">
        <f>A18+1</f>
        <v>10</v>
      </c>
      <c r="B19" s="33" t="s">
        <v>1932</v>
      </c>
      <c r="C19" s="34" t="s">
        <v>28</v>
      </c>
      <c r="D19" s="194">
        <v>4.3199000000000014</v>
      </c>
      <c r="E19" s="194"/>
      <c r="F19" s="194">
        <v>4.3199000000000014</v>
      </c>
      <c r="G19" s="194">
        <v>2.9540000000000006</v>
      </c>
      <c r="H19" s="194">
        <v>0.30000000000000004</v>
      </c>
      <c r="I19" s="194">
        <v>0.2</v>
      </c>
      <c r="J19" s="194">
        <v>0</v>
      </c>
      <c r="K19" s="194">
        <v>0</v>
      </c>
      <c r="L19" s="194">
        <v>0</v>
      </c>
      <c r="M19" s="194">
        <v>0</v>
      </c>
      <c r="N19" s="194">
        <v>0</v>
      </c>
      <c r="O19" s="194">
        <v>0</v>
      </c>
      <c r="P19" s="194">
        <v>0.2</v>
      </c>
      <c r="Q19" s="194">
        <v>0</v>
      </c>
      <c r="R19" s="194">
        <v>0</v>
      </c>
      <c r="S19" s="194">
        <v>0</v>
      </c>
      <c r="T19" s="194">
        <v>0</v>
      </c>
      <c r="U19" s="194">
        <v>0</v>
      </c>
      <c r="V19" s="194">
        <v>0</v>
      </c>
      <c r="W19" s="194">
        <v>0</v>
      </c>
      <c r="X19" s="194">
        <v>0</v>
      </c>
      <c r="Y19" s="194">
        <v>0.46590000000000004</v>
      </c>
      <c r="Z19" s="194">
        <v>0</v>
      </c>
      <c r="AA19" s="194">
        <v>0</v>
      </c>
      <c r="AB19" s="194">
        <v>0</v>
      </c>
      <c r="AC19" s="194">
        <v>0</v>
      </c>
      <c r="AD19" s="194">
        <v>0</v>
      </c>
      <c r="AE19" s="194">
        <v>0</v>
      </c>
      <c r="AF19" s="194">
        <v>0</v>
      </c>
      <c r="AG19" s="194">
        <v>0</v>
      </c>
      <c r="AH19" s="194">
        <v>0</v>
      </c>
      <c r="AI19" s="194">
        <v>0.2</v>
      </c>
      <c r="AJ19" s="194">
        <v>0</v>
      </c>
      <c r="AK19" s="194">
        <v>0</v>
      </c>
      <c r="AL19" s="194">
        <v>0</v>
      </c>
      <c r="AM19" s="194">
        <v>0</v>
      </c>
      <c r="AN19" s="194">
        <v>0</v>
      </c>
      <c r="AO19" s="194">
        <v>0</v>
      </c>
      <c r="AP19" s="194">
        <v>0</v>
      </c>
      <c r="AQ19" s="194">
        <v>0</v>
      </c>
      <c r="AR19" s="194">
        <v>0</v>
      </c>
      <c r="AS19" s="194">
        <v>0</v>
      </c>
      <c r="AT19" s="38" t="s">
        <v>860</v>
      </c>
      <c r="AU19" s="38" t="s">
        <v>615</v>
      </c>
      <c r="AV19" s="38"/>
      <c r="AW19" s="38"/>
      <c r="AX19" s="39" t="s">
        <v>1920</v>
      </c>
      <c r="AY19" s="38" t="s">
        <v>1923</v>
      </c>
      <c r="AZ19" s="39" t="s">
        <v>1924</v>
      </c>
      <c r="BB19" s="41"/>
      <c r="BC19" s="41"/>
      <c r="BE19" s="15">
        <v>1</v>
      </c>
    </row>
    <row r="20" spans="1:57" s="61" customFormat="1" ht="31.5" hidden="1" customHeight="1">
      <c r="A20" s="196"/>
      <c r="B20" s="197" t="s">
        <v>1933</v>
      </c>
      <c r="C20" s="198"/>
      <c r="D20" s="199"/>
      <c r="E20" s="199"/>
      <c r="F20" s="199">
        <v>0.2</v>
      </c>
      <c r="G20" s="199"/>
      <c r="H20" s="199"/>
      <c r="I20" s="199"/>
      <c r="J20" s="199"/>
      <c r="K20" s="199"/>
      <c r="L20" s="199"/>
      <c r="M20" s="199"/>
      <c r="N20" s="199"/>
      <c r="O20" s="199"/>
      <c r="P20" s="199"/>
      <c r="Q20" s="199"/>
      <c r="R20" s="199"/>
      <c r="S20" s="199"/>
      <c r="T20" s="199"/>
      <c r="U20" s="199"/>
      <c r="V20" s="199"/>
      <c r="W20" s="199"/>
      <c r="X20" s="199"/>
      <c r="Y20" s="199"/>
      <c r="Z20" s="199"/>
      <c r="AA20" s="199"/>
      <c r="AB20" s="199"/>
      <c r="AC20" s="199"/>
      <c r="AD20" s="199"/>
      <c r="AE20" s="199"/>
      <c r="AF20" s="199"/>
      <c r="AG20" s="199"/>
      <c r="AH20" s="199"/>
      <c r="AI20" s="199"/>
      <c r="AJ20" s="199"/>
      <c r="AK20" s="199"/>
      <c r="AL20" s="199"/>
      <c r="AM20" s="199"/>
      <c r="AN20" s="199"/>
      <c r="AO20" s="199"/>
      <c r="AP20" s="199"/>
      <c r="AQ20" s="199"/>
      <c r="AR20" s="199"/>
      <c r="AS20" s="199"/>
      <c r="AT20" s="200" t="s">
        <v>289</v>
      </c>
      <c r="AU20" s="200"/>
      <c r="AV20" s="200"/>
      <c r="AW20" s="200"/>
      <c r="AX20" s="201"/>
      <c r="AY20" s="200" t="s">
        <v>1923</v>
      </c>
      <c r="AZ20" s="201" t="s">
        <v>1934</v>
      </c>
      <c r="BB20" s="202"/>
      <c r="BC20" s="202"/>
    </row>
    <row r="21" spans="1:57" s="61" customFormat="1" ht="15.75" hidden="1" customHeight="1">
      <c r="A21" s="196"/>
      <c r="B21" s="197" t="s">
        <v>1935</v>
      </c>
      <c r="C21" s="198"/>
      <c r="D21" s="199"/>
      <c r="E21" s="199"/>
      <c r="F21" s="199">
        <v>0.25</v>
      </c>
      <c r="G21" s="199">
        <v>0.25</v>
      </c>
      <c r="H21" s="199"/>
      <c r="I21" s="199"/>
      <c r="J21" s="199"/>
      <c r="K21" s="199"/>
      <c r="L21" s="199"/>
      <c r="M21" s="199"/>
      <c r="N21" s="199"/>
      <c r="O21" s="199"/>
      <c r="P21" s="199"/>
      <c r="Q21" s="199"/>
      <c r="R21" s="199"/>
      <c r="S21" s="199"/>
      <c r="T21" s="199"/>
      <c r="U21" s="199"/>
      <c r="V21" s="199"/>
      <c r="W21" s="199"/>
      <c r="X21" s="199"/>
      <c r="Y21" s="199"/>
      <c r="Z21" s="199"/>
      <c r="AA21" s="199"/>
      <c r="AB21" s="199"/>
      <c r="AC21" s="199"/>
      <c r="AD21" s="199"/>
      <c r="AE21" s="199"/>
      <c r="AF21" s="199"/>
      <c r="AG21" s="199"/>
      <c r="AH21" s="199"/>
      <c r="AI21" s="199"/>
      <c r="AJ21" s="199"/>
      <c r="AK21" s="199"/>
      <c r="AL21" s="199"/>
      <c r="AM21" s="199"/>
      <c r="AN21" s="199"/>
      <c r="AO21" s="199"/>
      <c r="AP21" s="199"/>
      <c r="AQ21" s="199"/>
      <c r="AR21" s="199"/>
      <c r="AS21" s="199"/>
      <c r="AT21" s="200" t="s">
        <v>221</v>
      </c>
      <c r="AU21" s="200"/>
      <c r="AV21" s="200"/>
      <c r="AW21" s="200"/>
      <c r="AX21" s="201"/>
      <c r="AY21" s="200" t="s">
        <v>1923</v>
      </c>
      <c r="AZ21" s="201" t="s">
        <v>1924</v>
      </c>
      <c r="BB21" s="202"/>
      <c r="BC21" s="202"/>
    </row>
    <row r="22" spans="1:57" s="61" customFormat="1" ht="15.75" hidden="1" customHeight="1">
      <c r="A22" s="196"/>
      <c r="B22" s="203" t="s">
        <v>1936</v>
      </c>
      <c r="C22" s="204"/>
      <c r="D22" s="199"/>
      <c r="E22" s="199"/>
      <c r="F22" s="199">
        <v>0.2</v>
      </c>
      <c r="G22" s="199"/>
      <c r="H22" s="199"/>
      <c r="I22" s="199"/>
      <c r="J22" s="199"/>
      <c r="K22" s="199"/>
      <c r="L22" s="199"/>
      <c r="M22" s="199"/>
      <c r="N22" s="199"/>
      <c r="O22" s="199"/>
      <c r="P22" s="199"/>
      <c r="Q22" s="199"/>
      <c r="R22" s="199"/>
      <c r="S22" s="199"/>
      <c r="T22" s="199"/>
      <c r="U22" s="199"/>
      <c r="V22" s="199"/>
      <c r="W22" s="199"/>
      <c r="X22" s="199"/>
      <c r="Y22" s="199"/>
      <c r="Z22" s="199"/>
      <c r="AA22" s="199"/>
      <c r="AB22" s="199"/>
      <c r="AC22" s="199"/>
      <c r="AD22" s="199"/>
      <c r="AE22" s="199"/>
      <c r="AF22" s="199"/>
      <c r="AG22" s="199"/>
      <c r="AH22" s="199"/>
      <c r="AI22" s="199"/>
      <c r="AJ22" s="199"/>
      <c r="AK22" s="199"/>
      <c r="AL22" s="199"/>
      <c r="AM22" s="199"/>
      <c r="AN22" s="199"/>
      <c r="AO22" s="199"/>
      <c r="AP22" s="199"/>
      <c r="AQ22" s="199"/>
      <c r="AR22" s="199"/>
      <c r="AS22" s="199"/>
      <c r="AT22" s="198" t="s">
        <v>222</v>
      </c>
      <c r="AU22" s="198" t="s">
        <v>326</v>
      </c>
      <c r="AV22" s="198"/>
      <c r="AW22" s="198"/>
      <c r="AX22" s="201"/>
      <c r="AY22" s="198" t="s">
        <v>1923</v>
      </c>
      <c r="AZ22" s="201" t="s">
        <v>1924</v>
      </c>
      <c r="BA22" s="205" t="s">
        <v>326</v>
      </c>
      <c r="BB22" s="202"/>
      <c r="BC22" s="202"/>
    </row>
    <row r="23" spans="1:57" s="61" customFormat="1" ht="31.5" hidden="1" customHeight="1">
      <c r="A23" s="206"/>
      <c r="B23" s="207" t="s">
        <v>1937</v>
      </c>
      <c r="C23" s="198" t="s">
        <v>28</v>
      </c>
      <c r="D23" s="199">
        <v>0.2</v>
      </c>
      <c r="E23" s="199"/>
      <c r="F23" s="199">
        <v>0.2</v>
      </c>
      <c r="G23" s="199">
        <v>0.2</v>
      </c>
      <c r="H23" s="199"/>
      <c r="I23" s="199"/>
      <c r="J23" s="199"/>
      <c r="K23" s="199"/>
      <c r="L23" s="199"/>
      <c r="M23" s="199"/>
      <c r="N23" s="199"/>
      <c r="O23" s="199"/>
      <c r="P23" s="199"/>
      <c r="Q23" s="199"/>
      <c r="R23" s="199"/>
      <c r="S23" s="199"/>
      <c r="T23" s="199"/>
      <c r="U23" s="199"/>
      <c r="V23" s="199"/>
      <c r="W23" s="199"/>
      <c r="X23" s="199"/>
      <c r="Y23" s="199"/>
      <c r="Z23" s="199"/>
      <c r="AA23" s="199"/>
      <c r="AB23" s="199"/>
      <c r="AC23" s="199"/>
      <c r="AD23" s="199"/>
      <c r="AE23" s="199"/>
      <c r="AF23" s="199"/>
      <c r="AG23" s="199"/>
      <c r="AH23" s="199"/>
      <c r="AI23" s="199"/>
      <c r="AJ23" s="199"/>
      <c r="AK23" s="199"/>
      <c r="AL23" s="199"/>
      <c r="AM23" s="199"/>
      <c r="AN23" s="199"/>
      <c r="AO23" s="199"/>
      <c r="AP23" s="199"/>
      <c r="AQ23" s="199"/>
      <c r="AR23" s="199"/>
      <c r="AS23" s="199"/>
      <c r="AT23" s="198" t="s">
        <v>223</v>
      </c>
      <c r="AU23" s="200"/>
      <c r="AV23" s="200"/>
      <c r="AW23" s="200"/>
      <c r="AX23" s="201"/>
      <c r="AY23" s="208" t="s">
        <v>1923</v>
      </c>
      <c r="AZ23" s="209" t="s">
        <v>1938</v>
      </c>
      <c r="BA23" s="210"/>
      <c r="BB23" s="202"/>
      <c r="BC23" s="202"/>
    </row>
    <row r="24" spans="1:57" s="61" customFormat="1" ht="31.5" hidden="1" customHeight="1">
      <c r="A24" s="206"/>
      <c r="B24" s="207" t="s">
        <v>1939</v>
      </c>
      <c r="C24" s="211" t="s">
        <v>28</v>
      </c>
      <c r="D24" s="212">
        <v>0.2</v>
      </c>
      <c r="E24" s="199"/>
      <c r="F24" s="212">
        <v>0.2</v>
      </c>
      <c r="G24" s="199"/>
      <c r="H24" s="199"/>
      <c r="I24" s="199"/>
      <c r="J24" s="199"/>
      <c r="K24" s="199"/>
      <c r="L24" s="199"/>
      <c r="M24" s="199"/>
      <c r="N24" s="199"/>
      <c r="O24" s="199"/>
      <c r="P24" s="199"/>
      <c r="Q24" s="199"/>
      <c r="R24" s="199"/>
      <c r="S24" s="199"/>
      <c r="T24" s="199"/>
      <c r="U24" s="199"/>
      <c r="V24" s="199"/>
      <c r="W24" s="199"/>
      <c r="X24" s="199"/>
      <c r="Y24" s="199"/>
      <c r="Z24" s="199"/>
      <c r="AA24" s="199"/>
      <c r="AB24" s="199"/>
      <c r="AC24" s="199"/>
      <c r="AD24" s="199"/>
      <c r="AE24" s="199"/>
      <c r="AF24" s="199"/>
      <c r="AG24" s="199"/>
      <c r="AH24" s="199"/>
      <c r="AI24" s="199"/>
      <c r="AJ24" s="199"/>
      <c r="AK24" s="199"/>
      <c r="AL24" s="199"/>
      <c r="AM24" s="199"/>
      <c r="AN24" s="199"/>
      <c r="AO24" s="199"/>
      <c r="AP24" s="199"/>
      <c r="AQ24" s="199"/>
      <c r="AR24" s="199"/>
      <c r="AS24" s="199"/>
      <c r="AT24" s="200" t="s">
        <v>224</v>
      </c>
      <c r="AU24" s="200" t="s">
        <v>1940</v>
      </c>
      <c r="AV24" s="200"/>
      <c r="AW24" s="200"/>
      <c r="AX24" s="201"/>
      <c r="AY24" s="200" t="s">
        <v>1923</v>
      </c>
      <c r="AZ24" s="201" t="s">
        <v>1924</v>
      </c>
      <c r="BB24" s="202"/>
      <c r="BC24" s="202"/>
    </row>
    <row r="25" spans="1:57" s="61" customFormat="1" ht="15.75" hidden="1" customHeight="1">
      <c r="A25" s="206"/>
      <c r="B25" s="197" t="s">
        <v>1941</v>
      </c>
      <c r="C25" s="198"/>
      <c r="D25" s="199"/>
      <c r="E25" s="199"/>
      <c r="F25" s="199">
        <v>0.2</v>
      </c>
      <c r="G25" s="199"/>
      <c r="H25" s="199"/>
      <c r="I25" s="199"/>
      <c r="J25" s="199"/>
      <c r="K25" s="199"/>
      <c r="L25" s="199"/>
      <c r="M25" s="199"/>
      <c r="N25" s="199"/>
      <c r="O25" s="199"/>
      <c r="P25" s="199"/>
      <c r="Q25" s="199"/>
      <c r="R25" s="199"/>
      <c r="S25" s="199"/>
      <c r="T25" s="199"/>
      <c r="U25" s="199"/>
      <c r="V25" s="199"/>
      <c r="W25" s="199"/>
      <c r="X25" s="199"/>
      <c r="Y25" s="199"/>
      <c r="Z25" s="199"/>
      <c r="AA25" s="199"/>
      <c r="AB25" s="199"/>
      <c r="AC25" s="199"/>
      <c r="AD25" s="199"/>
      <c r="AE25" s="199"/>
      <c r="AF25" s="199"/>
      <c r="AG25" s="199"/>
      <c r="AH25" s="199"/>
      <c r="AI25" s="199"/>
      <c r="AJ25" s="199"/>
      <c r="AK25" s="199"/>
      <c r="AL25" s="199"/>
      <c r="AM25" s="199"/>
      <c r="AN25" s="199"/>
      <c r="AO25" s="199"/>
      <c r="AP25" s="199"/>
      <c r="AQ25" s="199"/>
      <c r="AR25" s="199"/>
      <c r="AS25" s="199"/>
      <c r="AT25" s="200" t="s">
        <v>225</v>
      </c>
      <c r="AU25" s="200"/>
      <c r="AV25" s="200"/>
      <c r="AW25" s="200"/>
      <c r="AX25" s="201"/>
      <c r="AY25" s="200" t="s">
        <v>1923</v>
      </c>
      <c r="AZ25" s="201" t="s">
        <v>1924</v>
      </c>
      <c r="BB25" s="202"/>
      <c r="BC25" s="202"/>
    </row>
    <row r="26" spans="1:57" s="61" customFormat="1" ht="15.75" hidden="1" customHeight="1">
      <c r="A26" s="196"/>
      <c r="B26" s="197" t="s">
        <v>1942</v>
      </c>
      <c r="C26" s="198"/>
      <c r="D26" s="199"/>
      <c r="E26" s="199"/>
      <c r="F26" s="199">
        <v>0.1</v>
      </c>
      <c r="G26" s="199"/>
      <c r="H26" s="199"/>
      <c r="I26" s="199"/>
      <c r="J26" s="199"/>
      <c r="K26" s="199"/>
      <c r="L26" s="199"/>
      <c r="M26" s="199"/>
      <c r="N26" s="199"/>
      <c r="O26" s="199"/>
      <c r="P26" s="199"/>
      <c r="Q26" s="199"/>
      <c r="R26" s="199"/>
      <c r="S26" s="199"/>
      <c r="T26" s="199"/>
      <c r="U26" s="199"/>
      <c r="V26" s="199"/>
      <c r="W26" s="199"/>
      <c r="X26" s="199"/>
      <c r="Y26" s="199"/>
      <c r="Z26" s="199"/>
      <c r="AA26" s="199"/>
      <c r="AB26" s="199"/>
      <c r="AC26" s="199"/>
      <c r="AD26" s="199"/>
      <c r="AE26" s="199"/>
      <c r="AF26" s="199"/>
      <c r="AG26" s="199"/>
      <c r="AH26" s="199"/>
      <c r="AI26" s="199"/>
      <c r="AJ26" s="199"/>
      <c r="AK26" s="199"/>
      <c r="AL26" s="199"/>
      <c r="AM26" s="199"/>
      <c r="AN26" s="199"/>
      <c r="AO26" s="199"/>
      <c r="AP26" s="199"/>
      <c r="AQ26" s="199"/>
      <c r="AR26" s="199"/>
      <c r="AS26" s="199"/>
      <c r="AT26" s="198" t="s">
        <v>226</v>
      </c>
      <c r="AU26" s="200" t="s">
        <v>724</v>
      </c>
      <c r="AV26" s="200"/>
      <c r="AW26" s="200"/>
      <c r="AX26" s="201"/>
      <c r="AY26" s="200" t="s">
        <v>1923</v>
      </c>
      <c r="AZ26" s="201" t="s">
        <v>1943</v>
      </c>
      <c r="BA26" s="213"/>
      <c r="BB26" s="61" t="s">
        <v>19</v>
      </c>
      <c r="BC26" s="202"/>
      <c r="BD26" s="202"/>
    </row>
    <row r="27" spans="1:57" s="61" customFormat="1" ht="15.75" hidden="1" customHeight="1">
      <c r="A27" s="206"/>
      <c r="B27" s="197" t="s">
        <v>1944</v>
      </c>
      <c r="C27" s="198"/>
      <c r="D27" s="199"/>
      <c r="E27" s="199"/>
      <c r="F27" s="199">
        <v>0.2</v>
      </c>
      <c r="G27" s="199"/>
      <c r="H27" s="199"/>
      <c r="I27" s="199"/>
      <c r="J27" s="199"/>
      <c r="K27" s="199"/>
      <c r="L27" s="199"/>
      <c r="M27" s="199"/>
      <c r="N27" s="199"/>
      <c r="O27" s="199"/>
      <c r="P27" s="199"/>
      <c r="Q27" s="199"/>
      <c r="R27" s="199"/>
      <c r="S27" s="199"/>
      <c r="T27" s="199"/>
      <c r="U27" s="199"/>
      <c r="V27" s="199"/>
      <c r="W27" s="199"/>
      <c r="X27" s="199"/>
      <c r="Y27" s="199"/>
      <c r="Z27" s="199"/>
      <c r="AA27" s="199"/>
      <c r="AB27" s="199"/>
      <c r="AC27" s="199"/>
      <c r="AD27" s="199"/>
      <c r="AE27" s="199"/>
      <c r="AF27" s="199"/>
      <c r="AG27" s="199"/>
      <c r="AH27" s="199"/>
      <c r="AI27" s="199"/>
      <c r="AJ27" s="199"/>
      <c r="AK27" s="199"/>
      <c r="AL27" s="199"/>
      <c r="AM27" s="199"/>
      <c r="AN27" s="199"/>
      <c r="AO27" s="199"/>
      <c r="AP27" s="199"/>
      <c r="AQ27" s="199"/>
      <c r="AR27" s="199"/>
      <c r="AS27" s="199"/>
      <c r="AT27" s="198" t="s">
        <v>227</v>
      </c>
      <c r="AU27" s="200" t="s">
        <v>1945</v>
      </c>
      <c r="AV27" s="200"/>
      <c r="AW27" s="200"/>
      <c r="AX27" s="201"/>
      <c r="AY27" s="200" t="s">
        <v>1923</v>
      </c>
      <c r="AZ27" s="201" t="s">
        <v>1924</v>
      </c>
      <c r="BB27" s="202"/>
      <c r="BC27" s="202"/>
    </row>
    <row r="28" spans="1:57" s="61" customFormat="1" ht="31.5" hidden="1" customHeight="1">
      <c r="A28" s="196"/>
      <c r="B28" s="197" t="s">
        <v>1946</v>
      </c>
      <c r="C28" s="198"/>
      <c r="D28" s="199"/>
      <c r="E28" s="199"/>
      <c r="F28" s="199">
        <v>0.1</v>
      </c>
      <c r="G28" s="199"/>
      <c r="H28" s="199"/>
      <c r="I28" s="199"/>
      <c r="J28" s="199"/>
      <c r="K28" s="199"/>
      <c r="L28" s="199"/>
      <c r="M28" s="199"/>
      <c r="N28" s="199"/>
      <c r="O28" s="199"/>
      <c r="P28" s="199"/>
      <c r="Q28" s="199"/>
      <c r="R28" s="199"/>
      <c r="S28" s="199"/>
      <c r="T28" s="199"/>
      <c r="U28" s="199"/>
      <c r="V28" s="199"/>
      <c r="W28" s="199"/>
      <c r="X28" s="199"/>
      <c r="Y28" s="199"/>
      <c r="Z28" s="199"/>
      <c r="AA28" s="199"/>
      <c r="AB28" s="199"/>
      <c r="AC28" s="199"/>
      <c r="AD28" s="199"/>
      <c r="AE28" s="199"/>
      <c r="AF28" s="199"/>
      <c r="AG28" s="199"/>
      <c r="AH28" s="199"/>
      <c r="AI28" s="199"/>
      <c r="AJ28" s="199"/>
      <c r="AK28" s="199"/>
      <c r="AL28" s="199"/>
      <c r="AM28" s="199"/>
      <c r="AN28" s="199"/>
      <c r="AO28" s="199"/>
      <c r="AP28" s="199"/>
      <c r="AQ28" s="199"/>
      <c r="AR28" s="199"/>
      <c r="AS28" s="199"/>
      <c r="AT28" s="200" t="s">
        <v>228</v>
      </c>
      <c r="AU28" s="200" t="s">
        <v>339</v>
      </c>
      <c r="AV28" s="200"/>
      <c r="AW28" s="200"/>
      <c r="AX28" s="201"/>
      <c r="AY28" s="200" t="s">
        <v>1923</v>
      </c>
      <c r="AZ28" s="201" t="s">
        <v>1947</v>
      </c>
      <c r="BB28" s="202"/>
      <c r="BC28" s="202"/>
    </row>
    <row r="29" spans="1:57" s="61" customFormat="1" ht="15.75" hidden="1" customHeight="1">
      <c r="A29" s="196"/>
      <c r="B29" s="207" t="s">
        <v>1948</v>
      </c>
      <c r="C29" s="198" t="s">
        <v>28</v>
      </c>
      <c r="D29" s="214"/>
      <c r="E29" s="214"/>
      <c r="F29" s="214">
        <v>0.2</v>
      </c>
      <c r="G29" s="199"/>
      <c r="H29" s="199"/>
      <c r="I29" s="199"/>
      <c r="J29" s="199"/>
      <c r="K29" s="199"/>
      <c r="L29" s="199"/>
      <c r="M29" s="199"/>
      <c r="N29" s="199"/>
      <c r="O29" s="199"/>
      <c r="P29" s="199"/>
      <c r="Q29" s="199"/>
      <c r="R29" s="199"/>
      <c r="S29" s="199"/>
      <c r="T29" s="199"/>
      <c r="U29" s="199"/>
      <c r="V29" s="199"/>
      <c r="W29" s="199"/>
      <c r="X29" s="199"/>
      <c r="Y29" s="199"/>
      <c r="Z29" s="199"/>
      <c r="AA29" s="199"/>
      <c r="AB29" s="199"/>
      <c r="AC29" s="199"/>
      <c r="AD29" s="199"/>
      <c r="AE29" s="199"/>
      <c r="AF29" s="199"/>
      <c r="AG29" s="199"/>
      <c r="AH29" s="199"/>
      <c r="AI29" s="199"/>
      <c r="AJ29" s="199"/>
      <c r="AK29" s="199"/>
      <c r="AL29" s="199"/>
      <c r="AM29" s="199"/>
      <c r="AN29" s="199"/>
      <c r="AO29" s="199"/>
      <c r="AP29" s="199"/>
      <c r="AQ29" s="199"/>
      <c r="AR29" s="199"/>
      <c r="AS29" s="199"/>
      <c r="AT29" s="198" t="s">
        <v>229</v>
      </c>
      <c r="AU29" s="200"/>
      <c r="AV29" s="200"/>
      <c r="AW29" s="200"/>
      <c r="AX29" s="201"/>
      <c r="AY29" s="198" t="s">
        <v>1923</v>
      </c>
      <c r="AZ29" s="201" t="s">
        <v>1926</v>
      </c>
      <c r="BB29" s="202"/>
      <c r="BC29" s="202"/>
    </row>
    <row r="30" spans="1:57" s="61" customFormat="1" ht="15.75" hidden="1" customHeight="1">
      <c r="A30" s="196"/>
      <c r="B30" s="197" t="s">
        <v>1949</v>
      </c>
      <c r="C30" s="198"/>
      <c r="D30" s="199"/>
      <c r="E30" s="199"/>
      <c r="F30" s="199">
        <v>0.2</v>
      </c>
      <c r="G30" s="199"/>
      <c r="H30" s="199"/>
      <c r="I30" s="199"/>
      <c r="J30" s="199"/>
      <c r="K30" s="199"/>
      <c r="L30" s="199"/>
      <c r="M30" s="199"/>
      <c r="N30" s="199"/>
      <c r="O30" s="199"/>
      <c r="P30" s="199"/>
      <c r="Q30" s="199"/>
      <c r="R30" s="199"/>
      <c r="S30" s="199"/>
      <c r="T30" s="199"/>
      <c r="U30" s="199"/>
      <c r="V30" s="199"/>
      <c r="W30" s="199"/>
      <c r="X30" s="199"/>
      <c r="Y30" s="199"/>
      <c r="Z30" s="199"/>
      <c r="AA30" s="199"/>
      <c r="AB30" s="199"/>
      <c r="AC30" s="199"/>
      <c r="AD30" s="199"/>
      <c r="AE30" s="199"/>
      <c r="AF30" s="199"/>
      <c r="AG30" s="199"/>
      <c r="AH30" s="199"/>
      <c r="AI30" s="199"/>
      <c r="AJ30" s="199"/>
      <c r="AK30" s="199"/>
      <c r="AL30" s="199"/>
      <c r="AM30" s="199"/>
      <c r="AN30" s="199"/>
      <c r="AO30" s="199"/>
      <c r="AP30" s="199"/>
      <c r="AQ30" s="199"/>
      <c r="AR30" s="199"/>
      <c r="AS30" s="199"/>
      <c r="AT30" s="198" t="s">
        <v>230</v>
      </c>
      <c r="AU30" s="200"/>
      <c r="AV30" s="200"/>
      <c r="AW30" s="200"/>
      <c r="AX30" s="201"/>
      <c r="AY30" s="198" t="s">
        <v>1923</v>
      </c>
      <c r="AZ30" s="209" t="s">
        <v>1950</v>
      </c>
      <c r="BB30" s="202"/>
      <c r="BC30" s="202"/>
    </row>
    <row r="31" spans="1:57" s="61" customFormat="1" ht="15.75" hidden="1" customHeight="1">
      <c r="A31" s="196"/>
      <c r="B31" s="197" t="s">
        <v>1951</v>
      </c>
      <c r="C31" s="198"/>
      <c r="D31" s="199"/>
      <c r="E31" s="199"/>
      <c r="F31" s="199">
        <v>0.2</v>
      </c>
      <c r="G31" s="199"/>
      <c r="H31" s="199"/>
      <c r="I31" s="199"/>
      <c r="J31" s="199"/>
      <c r="K31" s="199"/>
      <c r="L31" s="199"/>
      <c r="M31" s="199"/>
      <c r="N31" s="199"/>
      <c r="O31" s="199"/>
      <c r="P31" s="199"/>
      <c r="Q31" s="199"/>
      <c r="R31" s="199"/>
      <c r="S31" s="199"/>
      <c r="T31" s="199"/>
      <c r="U31" s="199"/>
      <c r="V31" s="199"/>
      <c r="W31" s="199"/>
      <c r="X31" s="199"/>
      <c r="Y31" s="199"/>
      <c r="Z31" s="199"/>
      <c r="AA31" s="199"/>
      <c r="AB31" s="199"/>
      <c r="AC31" s="199"/>
      <c r="AD31" s="199"/>
      <c r="AE31" s="199"/>
      <c r="AF31" s="199"/>
      <c r="AG31" s="199"/>
      <c r="AH31" s="199"/>
      <c r="AI31" s="199"/>
      <c r="AJ31" s="199"/>
      <c r="AK31" s="199"/>
      <c r="AL31" s="199"/>
      <c r="AM31" s="199"/>
      <c r="AN31" s="199"/>
      <c r="AO31" s="199"/>
      <c r="AP31" s="199"/>
      <c r="AQ31" s="199"/>
      <c r="AR31" s="199"/>
      <c r="AS31" s="199"/>
      <c r="AT31" s="198" t="s">
        <v>231</v>
      </c>
      <c r="AU31" s="200" t="s">
        <v>451</v>
      </c>
      <c r="AV31" s="200"/>
      <c r="AW31" s="200"/>
      <c r="AX31" s="201"/>
      <c r="AY31" s="200" t="s">
        <v>1923</v>
      </c>
      <c r="AZ31" s="201" t="s">
        <v>1952</v>
      </c>
      <c r="BB31" s="202"/>
      <c r="BC31" s="202"/>
    </row>
    <row r="32" spans="1:57" s="61" customFormat="1" ht="15.75" hidden="1" customHeight="1">
      <c r="A32" s="196"/>
      <c r="B32" s="197" t="s">
        <v>1953</v>
      </c>
      <c r="C32" s="198" t="s">
        <v>28</v>
      </c>
      <c r="D32" s="199">
        <v>4.3199000000000014</v>
      </c>
      <c r="E32" s="199"/>
      <c r="F32" s="199">
        <v>0.2</v>
      </c>
      <c r="G32" s="199"/>
      <c r="H32" s="199"/>
      <c r="I32" s="199"/>
      <c r="J32" s="199"/>
      <c r="K32" s="199"/>
      <c r="L32" s="199"/>
      <c r="M32" s="199"/>
      <c r="N32" s="199"/>
      <c r="O32" s="199"/>
      <c r="P32" s="199"/>
      <c r="Q32" s="199"/>
      <c r="R32" s="199"/>
      <c r="S32" s="199"/>
      <c r="T32" s="199"/>
      <c r="U32" s="199"/>
      <c r="V32" s="199"/>
      <c r="W32" s="199"/>
      <c r="X32" s="199"/>
      <c r="Y32" s="199"/>
      <c r="Z32" s="199"/>
      <c r="AA32" s="199"/>
      <c r="AB32" s="199"/>
      <c r="AC32" s="199"/>
      <c r="AD32" s="199"/>
      <c r="AE32" s="199"/>
      <c r="AF32" s="199"/>
      <c r="AG32" s="199"/>
      <c r="AH32" s="199"/>
      <c r="AI32" s="199"/>
      <c r="AJ32" s="199"/>
      <c r="AK32" s="199"/>
      <c r="AL32" s="199"/>
      <c r="AM32" s="199"/>
      <c r="AN32" s="199"/>
      <c r="AO32" s="199"/>
      <c r="AP32" s="199"/>
      <c r="AQ32" s="199"/>
      <c r="AR32" s="199"/>
      <c r="AS32" s="199"/>
      <c r="AT32" s="200" t="s">
        <v>232</v>
      </c>
      <c r="AU32" s="200"/>
      <c r="AV32" s="200"/>
      <c r="AW32" s="200"/>
      <c r="AX32" s="201"/>
      <c r="AY32" s="200" t="s">
        <v>1923</v>
      </c>
      <c r="AZ32" s="201" t="s">
        <v>1931</v>
      </c>
      <c r="BB32" s="202"/>
      <c r="BC32" s="202"/>
    </row>
    <row r="33" spans="1:58" ht="15.75" hidden="1" customHeight="1">
      <c r="A33" s="193"/>
      <c r="B33" s="33" t="s">
        <v>1954</v>
      </c>
      <c r="C33" s="34"/>
      <c r="D33" s="194"/>
      <c r="E33" s="194"/>
      <c r="F33" s="194">
        <v>0.2</v>
      </c>
      <c r="G33" s="194"/>
      <c r="H33" s="194"/>
      <c r="I33" s="194"/>
      <c r="J33" s="194"/>
      <c r="K33" s="194"/>
      <c r="L33" s="194"/>
      <c r="M33" s="194"/>
      <c r="N33" s="194"/>
      <c r="O33" s="194"/>
      <c r="P33" s="194"/>
      <c r="Q33" s="194"/>
      <c r="R33" s="194"/>
      <c r="S33" s="194"/>
      <c r="T33" s="194"/>
      <c r="U33" s="194"/>
      <c r="V33" s="194"/>
      <c r="W33" s="194"/>
      <c r="X33" s="194"/>
      <c r="Y33" s="194"/>
      <c r="Z33" s="194"/>
      <c r="AA33" s="194"/>
      <c r="AB33" s="194"/>
      <c r="AC33" s="194"/>
      <c r="AD33" s="194"/>
      <c r="AE33" s="194"/>
      <c r="AF33" s="194"/>
      <c r="AG33" s="194"/>
      <c r="AH33" s="194"/>
      <c r="AI33" s="194"/>
      <c r="AJ33" s="194"/>
      <c r="AK33" s="194"/>
      <c r="AL33" s="194"/>
      <c r="AM33" s="194"/>
      <c r="AN33" s="194"/>
      <c r="AO33" s="194"/>
      <c r="AP33" s="194"/>
      <c r="AQ33" s="194"/>
      <c r="AR33" s="194"/>
      <c r="AS33" s="194"/>
      <c r="AT33" s="38" t="s">
        <v>233</v>
      </c>
      <c r="AU33" s="38" t="s">
        <v>1549</v>
      </c>
      <c r="AV33" s="38"/>
      <c r="AW33" s="38"/>
      <c r="AX33" s="39"/>
      <c r="AY33" s="34" t="s">
        <v>1923</v>
      </c>
      <c r="AZ33" s="39" t="s">
        <v>1926</v>
      </c>
      <c r="BB33" s="41"/>
      <c r="BC33" s="41"/>
    </row>
    <row r="34" spans="1:58" s="61" customFormat="1" ht="15.75" hidden="1" customHeight="1">
      <c r="A34" s="206"/>
      <c r="B34" s="197" t="s">
        <v>1955</v>
      </c>
      <c r="C34" s="198"/>
      <c r="D34" s="199"/>
      <c r="E34" s="199"/>
      <c r="F34" s="199">
        <v>0.2</v>
      </c>
      <c r="G34" s="199"/>
      <c r="H34" s="199"/>
      <c r="I34" s="199"/>
      <c r="J34" s="199"/>
      <c r="K34" s="199"/>
      <c r="L34" s="199"/>
      <c r="M34" s="199"/>
      <c r="N34" s="199"/>
      <c r="O34" s="199"/>
      <c r="P34" s="199"/>
      <c r="Q34" s="199"/>
      <c r="R34" s="199"/>
      <c r="S34" s="199"/>
      <c r="T34" s="199"/>
      <c r="U34" s="199"/>
      <c r="V34" s="199"/>
      <c r="W34" s="199"/>
      <c r="X34" s="199"/>
      <c r="Y34" s="199"/>
      <c r="Z34" s="199"/>
      <c r="AA34" s="199"/>
      <c r="AB34" s="199"/>
      <c r="AC34" s="199"/>
      <c r="AD34" s="199"/>
      <c r="AE34" s="199"/>
      <c r="AF34" s="199"/>
      <c r="AG34" s="199"/>
      <c r="AH34" s="199"/>
      <c r="AI34" s="199"/>
      <c r="AJ34" s="199"/>
      <c r="AK34" s="199"/>
      <c r="AL34" s="199"/>
      <c r="AM34" s="199"/>
      <c r="AN34" s="199"/>
      <c r="AO34" s="199"/>
      <c r="AP34" s="199"/>
      <c r="AQ34" s="199"/>
      <c r="AR34" s="199"/>
      <c r="AS34" s="199"/>
      <c r="AT34" s="198" t="s">
        <v>234</v>
      </c>
      <c r="AU34" s="200" t="s">
        <v>328</v>
      </c>
      <c r="AV34" s="200"/>
      <c r="AW34" s="200"/>
      <c r="AX34" s="201"/>
      <c r="AY34" s="200" t="s">
        <v>1923</v>
      </c>
      <c r="AZ34" s="201" t="s">
        <v>1931</v>
      </c>
      <c r="BA34" s="61" t="s">
        <v>1956</v>
      </c>
      <c r="BB34" s="202"/>
      <c r="BC34" s="202"/>
    </row>
    <row r="35" spans="1:58" s="61" customFormat="1" ht="15.75" hidden="1" customHeight="1">
      <c r="A35" s="196"/>
      <c r="B35" s="197" t="s">
        <v>1957</v>
      </c>
      <c r="C35" s="198" t="s">
        <v>28</v>
      </c>
      <c r="D35" s="199">
        <v>4.3199000000000014</v>
      </c>
      <c r="E35" s="199"/>
      <c r="F35" s="199">
        <v>0.2</v>
      </c>
      <c r="G35" s="199">
        <v>2.9540000000000006</v>
      </c>
      <c r="H35" s="199">
        <v>0.30000000000000004</v>
      </c>
      <c r="I35" s="199">
        <v>0.2</v>
      </c>
      <c r="J35" s="199">
        <v>0</v>
      </c>
      <c r="K35" s="199">
        <v>0</v>
      </c>
      <c r="L35" s="199">
        <v>0</v>
      </c>
      <c r="M35" s="199">
        <v>0</v>
      </c>
      <c r="N35" s="199">
        <v>0</v>
      </c>
      <c r="O35" s="199">
        <v>0</v>
      </c>
      <c r="P35" s="199">
        <v>0.2</v>
      </c>
      <c r="Q35" s="199">
        <v>0</v>
      </c>
      <c r="R35" s="199">
        <v>0</v>
      </c>
      <c r="S35" s="199">
        <v>0</v>
      </c>
      <c r="T35" s="199">
        <v>0</v>
      </c>
      <c r="U35" s="199">
        <v>0</v>
      </c>
      <c r="V35" s="199">
        <v>0</v>
      </c>
      <c r="W35" s="199">
        <v>0</v>
      </c>
      <c r="X35" s="199">
        <v>0</v>
      </c>
      <c r="Y35" s="199">
        <v>0.46590000000000004</v>
      </c>
      <c r="Z35" s="199">
        <v>0</v>
      </c>
      <c r="AA35" s="199">
        <v>0</v>
      </c>
      <c r="AB35" s="199">
        <v>0</v>
      </c>
      <c r="AC35" s="199">
        <v>0</v>
      </c>
      <c r="AD35" s="199">
        <v>0</v>
      </c>
      <c r="AE35" s="199">
        <v>0</v>
      </c>
      <c r="AF35" s="199">
        <v>0</v>
      </c>
      <c r="AG35" s="199">
        <v>0</v>
      </c>
      <c r="AH35" s="199">
        <v>0</v>
      </c>
      <c r="AI35" s="199">
        <v>0.2</v>
      </c>
      <c r="AJ35" s="199">
        <v>0</v>
      </c>
      <c r="AK35" s="199">
        <v>0</v>
      </c>
      <c r="AL35" s="199">
        <v>0</v>
      </c>
      <c r="AM35" s="199">
        <v>0</v>
      </c>
      <c r="AN35" s="199">
        <v>0</v>
      </c>
      <c r="AO35" s="199">
        <v>0</v>
      </c>
      <c r="AP35" s="199">
        <v>0</v>
      </c>
      <c r="AQ35" s="199">
        <v>0</v>
      </c>
      <c r="AR35" s="199">
        <v>0</v>
      </c>
      <c r="AS35" s="199">
        <v>0</v>
      </c>
      <c r="AT35" s="200" t="s">
        <v>235</v>
      </c>
      <c r="AU35" s="200" t="s">
        <v>417</v>
      </c>
      <c r="AV35" s="200"/>
      <c r="AW35" s="200"/>
      <c r="AX35" s="201" t="s">
        <v>1920</v>
      </c>
      <c r="AY35" s="200" t="s">
        <v>1923</v>
      </c>
      <c r="AZ35" s="201" t="s">
        <v>1958</v>
      </c>
      <c r="BB35" s="202"/>
      <c r="BC35" s="202"/>
    </row>
    <row r="36" spans="1:58" s="61" customFormat="1" ht="15.75" hidden="1" customHeight="1">
      <c r="A36" s="196"/>
      <c r="B36" s="197" t="s">
        <v>1959</v>
      </c>
      <c r="C36" s="198"/>
      <c r="D36" s="199"/>
      <c r="E36" s="199"/>
      <c r="F36" s="199">
        <v>0.2</v>
      </c>
      <c r="G36" s="199"/>
      <c r="H36" s="199"/>
      <c r="I36" s="199"/>
      <c r="J36" s="199"/>
      <c r="K36" s="199"/>
      <c r="L36" s="199"/>
      <c r="M36" s="199"/>
      <c r="N36" s="199"/>
      <c r="O36" s="199"/>
      <c r="P36" s="199"/>
      <c r="Q36" s="199"/>
      <c r="R36" s="199"/>
      <c r="S36" s="199"/>
      <c r="T36" s="199"/>
      <c r="U36" s="199"/>
      <c r="V36" s="199"/>
      <c r="W36" s="199"/>
      <c r="X36" s="199"/>
      <c r="Y36" s="199"/>
      <c r="Z36" s="199"/>
      <c r="AA36" s="199"/>
      <c r="AB36" s="199"/>
      <c r="AC36" s="199"/>
      <c r="AD36" s="199"/>
      <c r="AE36" s="199"/>
      <c r="AF36" s="199"/>
      <c r="AG36" s="199"/>
      <c r="AH36" s="199"/>
      <c r="AI36" s="199"/>
      <c r="AJ36" s="199"/>
      <c r="AK36" s="199"/>
      <c r="AL36" s="199"/>
      <c r="AM36" s="199"/>
      <c r="AN36" s="199"/>
      <c r="AO36" s="199"/>
      <c r="AP36" s="199"/>
      <c r="AQ36" s="199"/>
      <c r="AR36" s="199"/>
      <c r="AS36" s="199"/>
      <c r="AT36" s="200" t="s">
        <v>236</v>
      </c>
      <c r="AU36" s="200"/>
      <c r="AV36" s="200"/>
      <c r="AW36" s="200"/>
      <c r="AX36" s="201"/>
      <c r="AY36" s="200" t="s">
        <v>1923</v>
      </c>
      <c r="AZ36" s="201" t="s">
        <v>1924</v>
      </c>
      <c r="BA36" s="61" t="s">
        <v>356</v>
      </c>
      <c r="BB36" s="202"/>
      <c r="BC36" s="202"/>
    </row>
    <row r="37" spans="1:58" s="61" customFormat="1" ht="15.75" hidden="1" customHeight="1">
      <c r="A37" s="196"/>
      <c r="B37" s="197" t="s">
        <v>1960</v>
      </c>
      <c r="C37" s="198"/>
      <c r="D37" s="199"/>
      <c r="E37" s="199"/>
      <c r="F37" s="199">
        <v>0.27</v>
      </c>
      <c r="G37" s="199"/>
      <c r="H37" s="199"/>
      <c r="I37" s="199"/>
      <c r="J37" s="199"/>
      <c r="K37" s="199"/>
      <c r="L37" s="199"/>
      <c r="M37" s="199"/>
      <c r="N37" s="199"/>
      <c r="O37" s="199"/>
      <c r="P37" s="199"/>
      <c r="Q37" s="199"/>
      <c r="R37" s="199"/>
      <c r="S37" s="199"/>
      <c r="T37" s="199"/>
      <c r="U37" s="199"/>
      <c r="V37" s="199"/>
      <c r="W37" s="199"/>
      <c r="X37" s="199"/>
      <c r="Y37" s="199"/>
      <c r="Z37" s="199"/>
      <c r="AA37" s="199"/>
      <c r="AB37" s="199"/>
      <c r="AC37" s="199"/>
      <c r="AD37" s="199"/>
      <c r="AE37" s="199"/>
      <c r="AF37" s="199"/>
      <c r="AG37" s="199"/>
      <c r="AH37" s="199"/>
      <c r="AI37" s="199"/>
      <c r="AJ37" s="199"/>
      <c r="AK37" s="199"/>
      <c r="AL37" s="199"/>
      <c r="AM37" s="199"/>
      <c r="AN37" s="199"/>
      <c r="AO37" s="199"/>
      <c r="AP37" s="199"/>
      <c r="AQ37" s="199"/>
      <c r="AR37" s="199"/>
      <c r="AS37" s="199"/>
      <c r="AT37" s="198" t="s">
        <v>237</v>
      </c>
      <c r="AU37" s="200"/>
      <c r="AV37" s="200"/>
      <c r="AW37" s="200"/>
      <c r="AX37" s="201"/>
      <c r="AY37" s="200" t="s">
        <v>1923</v>
      </c>
      <c r="AZ37" s="201" t="s">
        <v>1961</v>
      </c>
      <c r="BA37" s="215" t="s">
        <v>1962</v>
      </c>
      <c r="BB37" s="202"/>
      <c r="BC37" s="202"/>
    </row>
    <row r="38" spans="1:58" s="61" customFormat="1" ht="15.75" hidden="1" customHeight="1">
      <c r="A38" s="196"/>
      <c r="B38" s="197" t="s">
        <v>1963</v>
      </c>
      <c r="C38" s="198"/>
      <c r="D38" s="199"/>
      <c r="E38" s="199"/>
      <c r="F38" s="199">
        <v>0.2</v>
      </c>
      <c r="G38" s="199"/>
      <c r="H38" s="199"/>
      <c r="I38" s="199"/>
      <c r="J38" s="199"/>
      <c r="K38" s="199"/>
      <c r="L38" s="199"/>
      <c r="M38" s="199"/>
      <c r="N38" s="199"/>
      <c r="O38" s="199"/>
      <c r="P38" s="199"/>
      <c r="Q38" s="199"/>
      <c r="R38" s="199"/>
      <c r="S38" s="199"/>
      <c r="T38" s="199"/>
      <c r="U38" s="199"/>
      <c r="V38" s="199"/>
      <c r="W38" s="199"/>
      <c r="X38" s="199"/>
      <c r="Y38" s="199"/>
      <c r="Z38" s="199"/>
      <c r="AA38" s="199"/>
      <c r="AB38" s="199"/>
      <c r="AC38" s="199"/>
      <c r="AD38" s="199"/>
      <c r="AE38" s="199"/>
      <c r="AF38" s="199"/>
      <c r="AG38" s="199"/>
      <c r="AH38" s="199"/>
      <c r="AI38" s="199"/>
      <c r="AJ38" s="199"/>
      <c r="AK38" s="199"/>
      <c r="AL38" s="199"/>
      <c r="AM38" s="199"/>
      <c r="AN38" s="199"/>
      <c r="AO38" s="199"/>
      <c r="AP38" s="199"/>
      <c r="AQ38" s="199"/>
      <c r="AR38" s="199"/>
      <c r="AS38" s="199"/>
      <c r="AT38" s="200" t="s">
        <v>238</v>
      </c>
      <c r="AU38" s="200"/>
      <c r="AV38" s="200"/>
      <c r="AW38" s="200"/>
      <c r="AX38" s="201"/>
      <c r="AY38" s="200" t="s">
        <v>1923</v>
      </c>
      <c r="AZ38" s="201" t="s">
        <v>1924</v>
      </c>
      <c r="BB38" s="202"/>
      <c r="BC38" s="202"/>
    </row>
    <row r="39" spans="1:58" s="61" customFormat="1" ht="15.75" hidden="1" customHeight="1">
      <c r="A39" s="196"/>
      <c r="B39" s="197" t="s">
        <v>1964</v>
      </c>
      <c r="C39" s="198"/>
      <c r="D39" s="199"/>
      <c r="E39" s="199"/>
      <c r="F39" s="199">
        <v>0.2</v>
      </c>
      <c r="G39" s="199"/>
      <c r="H39" s="199"/>
      <c r="I39" s="199"/>
      <c r="J39" s="199"/>
      <c r="K39" s="199"/>
      <c r="L39" s="199"/>
      <c r="M39" s="199"/>
      <c r="N39" s="199"/>
      <c r="O39" s="199"/>
      <c r="P39" s="199"/>
      <c r="Q39" s="199"/>
      <c r="R39" s="199"/>
      <c r="S39" s="199"/>
      <c r="T39" s="199"/>
      <c r="U39" s="199"/>
      <c r="V39" s="199"/>
      <c r="W39" s="199"/>
      <c r="X39" s="199"/>
      <c r="Y39" s="199"/>
      <c r="Z39" s="199"/>
      <c r="AA39" s="199"/>
      <c r="AB39" s="199"/>
      <c r="AC39" s="199"/>
      <c r="AD39" s="199"/>
      <c r="AE39" s="199"/>
      <c r="AF39" s="199"/>
      <c r="AG39" s="199"/>
      <c r="AH39" s="199"/>
      <c r="AI39" s="199"/>
      <c r="AJ39" s="199"/>
      <c r="AK39" s="199"/>
      <c r="AL39" s="199"/>
      <c r="AM39" s="199"/>
      <c r="AN39" s="199"/>
      <c r="AO39" s="199"/>
      <c r="AP39" s="199"/>
      <c r="AQ39" s="199"/>
      <c r="AR39" s="199"/>
      <c r="AS39" s="199"/>
      <c r="AT39" s="200" t="s">
        <v>239</v>
      </c>
      <c r="AU39" s="200" t="s">
        <v>471</v>
      </c>
      <c r="AV39" s="200"/>
      <c r="AW39" s="200"/>
      <c r="AX39" s="201"/>
      <c r="AY39" s="200" t="s">
        <v>1923</v>
      </c>
      <c r="AZ39" s="201" t="s">
        <v>1924</v>
      </c>
      <c r="BB39" s="202"/>
      <c r="BC39" s="202"/>
    </row>
    <row r="40" spans="1:58" s="61" customFormat="1" ht="15.75" hidden="1" customHeight="1">
      <c r="A40" s="196"/>
      <c r="B40" s="197" t="s">
        <v>1965</v>
      </c>
      <c r="C40" s="198"/>
      <c r="D40" s="199"/>
      <c r="E40" s="199"/>
      <c r="F40" s="199">
        <v>0.2</v>
      </c>
      <c r="G40" s="199"/>
      <c r="H40" s="199"/>
      <c r="I40" s="199"/>
      <c r="J40" s="199"/>
      <c r="K40" s="199"/>
      <c r="L40" s="199"/>
      <c r="M40" s="199"/>
      <c r="N40" s="199"/>
      <c r="O40" s="199"/>
      <c r="P40" s="199"/>
      <c r="Q40" s="199"/>
      <c r="R40" s="199"/>
      <c r="S40" s="199"/>
      <c r="T40" s="199"/>
      <c r="U40" s="199"/>
      <c r="V40" s="199"/>
      <c r="W40" s="199"/>
      <c r="X40" s="199"/>
      <c r="Y40" s="199"/>
      <c r="Z40" s="199"/>
      <c r="AA40" s="199"/>
      <c r="AB40" s="199"/>
      <c r="AC40" s="199"/>
      <c r="AD40" s="199"/>
      <c r="AE40" s="199"/>
      <c r="AF40" s="199"/>
      <c r="AG40" s="199"/>
      <c r="AH40" s="199"/>
      <c r="AI40" s="199"/>
      <c r="AJ40" s="199"/>
      <c r="AK40" s="199"/>
      <c r="AL40" s="199"/>
      <c r="AM40" s="199"/>
      <c r="AN40" s="199"/>
      <c r="AO40" s="199"/>
      <c r="AP40" s="199"/>
      <c r="AQ40" s="199"/>
      <c r="AR40" s="199"/>
      <c r="AS40" s="199"/>
      <c r="AT40" s="200" t="s">
        <v>240</v>
      </c>
      <c r="AU40" s="200" t="s">
        <v>305</v>
      </c>
      <c r="AV40" s="200"/>
      <c r="AW40" s="200"/>
      <c r="AX40" s="201"/>
      <c r="AY40" s="200" t="s">
        <v>1923</v>
      </c>
      <c r="AZ40" s="201" t="s">
        <v>1924</v>
      </c>
      <c r="BA40" s="61" t="s">
        <v>293</v>
      </c>
      <c r="BB40" s="202"/>
      <c r="BC40" s="202"/>
    </row>
    <row r="41" spans="1:58" s="61" customFormat="1" ht="15.75" hidden="1" customHeight="1">
      <c r="A41" s="206"/>
      <c r="B41" s="197" t="s">
        <v>1966</v>
      </c>
      <c r="C41" s="198" t="s">
        <v>28</v>
      </c>
      <c r="D41" s="199">
        <v>4.3199000000000014</v>
      </c>
      <c r="E41" s="199"/>
      <c r="F41" s="199">
        <v>0.2</v>
      </c>
      <c r="G41" s="199">
        <v>0.2</v>
      </c>
      <c r="H41" s="199"/>
      <c r="I41" s="199"/>
      <c r="J41" s="199">
        <v>0</v>
      </c>
      <c r="K41" s="199">
        <v>0</v>
      </c>
      <c r="L41" s="199">
        <v>0</v>
      </c>
      <c r="M41" s="199">
        <v>0</v>
      </c>
      <c r="N41" s="199">
        <v>0</v>
      </c>
      <c r="O41" s="199">
        <v>0</v>
      </c>
      <c r="P41" s="199"/>
      <c r="Q41" s="199">
        <v>0</v>
      </c>
      <c r="R41" s="199">
        <v>0</v>
      </c>
      <c r="S41" s="199">
        <v>0</v>
      </c>
      <c r="T41" s="199">
        <v>0</v>
      </c>
      <c r="U41" s="199">
        <v>0</v>
      </c>
      <c r="V41" s="199">
        <v>0</v>
      </c>
      <c r="W41" s="199">
        <v>0</v>
      </c>
      <c r="X41" s="199"/>
      <c r="Y41" s="199">
        <v>0</v>
      </c>
      <c r="Z41" s="199"/>
      <c r="AA41" s="199">
        <v>0</v>
      </c>
      <c r="AB41" s="199">
        <v>0</v>
      </c>
      <c r="AC41" s="199">
        <v>0</v>
      </c>
      <c r="AD41" s="199">
        <v>0</v>
      </c>
      <c r="AE41" s="199">
        <v>0</v>
      </c>
      <c r="AF41" s="199">
        <v>0</v>
      </c>
      <c r="AG41" s="199">
        <v>0</v>
      </c>
      <c r="AH41" s="199">
        <v>0</v>
      </c>
      <c r="AI41" s="199">
        <v>0</v>
      </c>
      <c r="AJ41" s="199"/>
      <c r="AK41" s="199">
        <v>0</v>
      </c>
      <c r="AL41" s="199">
        <v>0</v>
      </c>
      <c r="AM41" s="199">
        <v>0</v>
      </c>
      <c r="AN41" s="199">
        <v>0</v>
      </c>
      <c r="AO41" s="199">
        <v>0</v>
      </c>
      <c r="AP41" s="199">
        <v>0</v>
      </c>
      <c r="AQ41" s="199">
        <v>0</v>
      </c>
      <c r="AR41" s="199">
        <v>0</v>
      </c>
      <c r="AS41" s="199">
        <v>0</v>
      </c>
      <c r="AT41" s="198" t="s">
        <v>241</v>
      </c>
      <c r="AU41" s="198"/>
      <c r="AV41" s="200" t="s">
        <v>451</v>
      </c>
      <c r="AW41" s="200"/>
      <c r="AX41" s="200"/>
      <c r="AY41" s="200" t="s">
        <v>1923</v>
      </c>
      <c r="AZ41" s="201" t="s">
        <v>1924</v>
      </c>
      <c r="BB41" s="202"/>
      <c r="BC41" s="202"/>
    </row>
    <row r="42" spans="1:58" s="24" customFormat="1" ht="21.6" customHeight="1">
      <c r="A42" s="189" t="s">
        <v>362</v>
      </c>
      <c r="B42" s="179" t="s">
        <v>1967</v>
      </c>
      <c r="C42" s="29" t="s">
        <v>30</v>
      </c>
      <c r="D42" s="82">
        <f>E42+F42</f>
        <v>429.99999999999994</v>
      </c>
      <c r="E42" s="82"/>
      <c r="F42" s="82">
        <f>SUM(G42:K42,O42:AS42)</f>
        <v>429.99999999999994</v>
      </c>
      <c r="G42" s="191">
        <f>SUM(G43)</f>
        <v>21.43</v>
      </c>
      <c r="H42" s="191">
        <f t="shared" ref="H42:AS42" si="4">SUM(H43)</f>
        <v>1.1399999999999999</v>
      </c>
      <c r="I42" s="191">
        <f t="shared" si="4"/>
        <v>2.23</v>
      </c>
      <c r="J42" s="191">
        <f t="shared" si="4"/>
        <v>55.86</v>
      </c>
      <c r="K42" s="191">
        <f t="shared" si="4"/>
        <v>282.24</v>
      </c>
      <c r="L42" s="191">
        <f t="shared" si="4"/>
        <v>0</v>
      </c>
      <c r="M42" s="191">
        <f t="shared" si="4"/>
        <v>282.24</v>
      </c>
      <c r="N42" s="191">
        <f t="shared" si="4"/>
        <v>0</v>
      </c>
      <c r="O42" s="191">
        <f t="shared" si="4"/>
        <v>0</v>
      </c>
      <c r="P42" s="191">
        <f t="shared" si="4"/>
        <v>3.59</v>
      </c>
      <c r="Q42" s="191">
        <f t="shared" si="4"/>
        <v>0</v>
      </c>
      <c r="R42" s="191">
        <f t="shared" si="4"/>
        <v>0</v>
      </c>
      <c r="S42" s="191">
        <f t="shared" si="4"/>
        <v>0</v>
      </c>
      <c r="T42" s="191">
        <f t="shared" si="4"/>
        <v>0</v>
      </c>
      <c r="U42" s="191">
        <f t="shared" si="4"/>
        <v>0</v>
      </c>
      <c r="V42" s="191">
        <f t="shared" si="4"/>
        <v>0</v>
      </c>
      <c r="W42" s="191">
        <f t="shared" si="4"/>
        <v>0</v>
      </c>
      <c r="X42" s="191">
        <f t="shared" si="4"/>
        <v>0</v>
      </c>
      <c r="Y42" s="191">
        <f t="shared" si="4"/>
        <v>0</v>
      </c>
      <c r="Z42" s="191">
        <f t="shared" si="4"/>
        <v>0</v>
      </c>
      <c r="AA42" s="191">
        <f t="shared" si="4"/>
        <v>9.18</v>
      </c>
      <c r="AB42" s="191">
        <f t="shared" si="4"/>
        <v>3.9799999999999995</v>
      </c>
      <c r="AC42" s="191">
        <f t="shared" si="4"/>
        <v>0</v>
      </c>
      <c r="AD42" s="191">
        <f t="shared" si="4"/>
        <v>0</v>
      </c>
      <c r="AE42" s="191">
        <f t="shared" si="4"/>
        <v>0</v>
      </c>
      <c r="AF42" s="191">
        <f t="shared" si="4"/>
        <v>0</v>
      </c>
      <c r="AG42" s="191">
        <f t="shared" si="4"/>
        <v>36.83</v>
      </c>
      <c r="AH42" s="191">
        <f t="shared" si="4"/>
        <v>0</v>
      </c>
      <c r="AI42" s="191">
        <f t="shared" si="4"/>
        <v>0</v>
      </c>
      <c r="AJ42" s="191">
        <f t="shared" si="4"/>
        <v>0</v>
      </c>
      <c r="AK42" s="191">
        <f t="shared" si="4"/>
        <v>0</v>
      </c>
      <c r="AL42" s="191">
        <f t="shared" si="4"/>
        <v>1.8</v>
      </c>
      <c r="AM42" s="191">
        <f t="shared" si="4"/>
        <v>0</v>
      </c>
      <c r="AN42" s="191">
        <f t="shared" si="4"/>
        <v>0.4</v>
      </c>
      <c r="AO42" s="191">
        <f t="shared" si="4"/>
        <v>0</v>
      </c>
      <c r="AP42" s="191">
        <f t="shared" si="4"/>
        <v>1.55</v>
      </c>
      <c r="AQ42" s="191">
        <f t="shared" si="4"/>
        <v>9.08</v>
      </c>
      <c r="AR42" s="191">
        <f t="shared" si="4"/>
        <v>0.69000000000000006</v>
      </c>
      <c r="AS42" s="191">
        <f t="shared" si="4"/>
        <v>0</v>
      </c>
      <c r="AT42" s="21"/>
      <c r="AU42" s="21"/>
      <c r="AV42" s="21"/>
      <c r="AW42" s="21"/>
      <c r="AX42" s="145"/>
      <c r="AY42" s="21"/>
      <c r="AZ42" s="145"/>
      <c r="BB42" s="59"/>
      <c r="BC42" s="59"/>
    </row>
    <row r="43" spans="1:58" ht="31.5">
      <c r="A43" s="193">
        <f>A19+1</f>
        <v>11</v>
      </c>
      <c r="B43" s="216" t="s">
        <v>1968</v>
      </c>
      <c r="C43" s="159" t="s">
        <v>30</v>
      </c>
      <c r="D43" s="159">
        <f>E43+F43</f>
        <v>430</v>
      </c>
      <c r="E43" s="159"/>
      <c r="F43" s="159">
        <f>430</f>
        <v>430</v>
      </c>
      <c r="G43" s="159">
        <v>21.43</v>
      </c>
      <c r="H43" s="159">
        <v>1.1399999999999999</v>
      </c>
      <c r="I43" s="159">
        <v>2.23</v>
      </c>
      <c r="J43" s="159">
        <v>55.86</v>
      </c>
      <c r="K43" s="159">
        <v>282.24</v>
      </c>
      <c r="L43" s="159">
        <v>0</v>
      </c>
      <c r="M43" s="159">
        <v>282.24</v>
      </c>
      <c r="N43" s="159">
        <v>0</v>
      </c>
      <c r="O43" s="159">
        <v>0</v>
      </c>
      <c r="P43" s="159">
        <v>3.59</v>
      </c>
      <c r="Q43" s="159">
        <v>0</v>
      </c>
      <c r="R43" s="159">
        <v>0</v>
      </c>
      <c r="S43" s="159">
        <v>0</v>
      </c>
      <c r="T43" s="159">
        <v>0</v>
      </c>
      <c r="U43" s="159">
        <v>0</v>
      </c>
      <c r="V43" s="159">
        <v>0</v>
      </c>
      <c r="W43" s="159">
        <v>0</v>
      </c>
      <c r="X43" s="159">
        <v>0</v>
      </c>
      <c r="Y43" s="159">
        <v>0</v>
      </c>
      <c r="Z43" s="159">
        <v>0</v>
      </c>
      <c r="AA43" s="159">
        <v>9.18</v>
      </c>
      <c r="AB43" s="159">
        <v>3.9799999999999995</v>
      </c>
      <c r="AC43" s="159">
        <v>0</v>
      </c>
      <c r="AD43" s="159">
        <v>0</v>
      </c>
      <c r="AE43" s="159">
        <v>0</v>
      </c>
      <c r="AF43" s="159">
        <v>0</v>
      </c>
      <c r="AG43" s="159">
        <v>36.83</v>
      </c>
      <c r="AH43" s="159">
        <v>0</v>
      </c>
      <c r="AI43" s="159">
        <v>0</v>
      </c>
      <c r="AJ43" s="159">
        <v>0</v>
      </c>
      <c r="AK43" s="159">
        <v>0</v>
      </c>
      <c r="AL43" s="159">
        <v>1.8</v>
      </c>
      <c r="AM43" s="159">
        <v>0</v>
      </c>
      <c r="AN43" s="159">
        <v>0.4</v>
      </c>
      <c r="AO43" s="159">
        <v>0</v>
      </c>
      <c r="AP43" s="159">
        <v>1.55</v>
      </c>
      <c r="AQ43" s="159">
        <v>9.08</v>
      </c>
      <c r="AR43" s="159">
        <v>0.69000000000000006</v>
      </c>
      <c r="AS43" s="159"/>
      <c r="AT43" s="34" t="s">
        <v>1969</v>
      </c>
      <c r="AU43" s="159"/>
      <c r="AV43" s="159"/>
      <c r="AW43" s="159"/>
      <c r="AX43" s="63" t="s">
        <v>1970</v>
      </c>
      <c r="AY43" s="159" t="s">
        <v>1923</v>
      </c>
      <c r="AZ43" s="63" t="s">
        <v>1971</v>
      </c>
      <c r="BD43" s="15">
        <v>1</v>
      </c>
    </row>
    <row r="44" spans="1:58" s="24" customFormat="1" ht="21" customHeight="1">
      <c r="A44" s="189" t="s">
        <v>378</v>
      </c>
      <c r="B44" s="25" t="s">
        <v>90</v>
      </c>
      <c r="C44" s="26" t="s">
        <v>91</v>
      </c>
      <c r="D44" s="192">
        <f>E44+F44</f>
        <v>269.85000000000002</v>
      </c>
      <c r="E44" s="192">
        <f>SUM(E45:E48)</f>
        <v>16.47</v>
      </c>
      <c r="F44" s="192">
        <f>SUM(G44:K44,O44:AS44)</f>
        <v>253.38</v>
      </c>
      <c r="G44" s="192">
        <f>SUM(G45:G48)</f>
        <v>29.79</v>
      </c>
      <c r="H44" s="192">
        <f t="shared" ref="H44:AS44" si="5">SUM(H45:H48)</f>
        <v>8.0500000000000007</v>
      </c>
      <c r="I44" s="192">
        <f t="shared" si="5"/>
        <v>9.0400000000000009</v>
      </c>
      <c r="J44" s="192">
        <f t="shared" si="5"/>
        <v>49.26</v>
      </c>
      <c r="K44" s="192">
        <f t="shared" si="5"/>
        <v>125.28999999999999</v>
      </c>
      <c r="L44" s="192">
        <f t="shared" si="5"/>
        <v>0</v>
      </c>
      <c r="M44" s="192">
        <f t="shared" si="5"/>
        <v>125.28999999999999</v>
      </c>
      <c r="N44" s="192">
        <f t="shared" si="5"/>
        <v>0</v>
      </c>
      <c r="O44" s="192">
        <f t="shared" si="5"/>
        <v>0</v>
      </c>
      <c r="P44" s="192">
        <f t="shared" si="5"/>
        <v>10.199999999999999</v>
      </c>
      <c r="Q44" s="192">
        <f t="shared" si="5"/>
        <v>0</v>
      </c>
      <c r="R44" s="192">
        <f t="shared" si="5"/>
        <v>0</v>
      </c>
      <c r="S44" s="192">
        <f t="shared" si="5"/>
        <v>0</v>
      </c>
      <c r="T44" s="192">
        <f t="shared" si="5"/>
        <v>0</v>
      </c>
      <c r="U44" s="192">
        <f t="shared" si="5"/>
        <v>0</v>
      </c>
      <c r="V44" s="192">
        <f t="shared" si="5"/>
        <v>0</v>
      </c>
      <c r="W44" s="192">
        <f t="shared" si="5"/>
        <v>0</v>
      </c>
      <c r="X44" s="192">
        <f t="shared" si="5"/>
        <v>0</v>
      </c>
      <c r="Y44" s="192">
        <f t="shared" si="5"/>
        <v>0</v>
      </c>
      <c r="Z44" s="192">
        <f t="shared" si="5"/>
        <v>0</v>
      </c>
      <c r="AA44" s="192">
        <f t="shared" si="5"/>
        <v>1.97</v>
      </c>
      <c r="AB44" s="192">
        <f t="shared" si="5"/>
        <v>1.0699999999999998</v>
      </c>
      <c r="AC44" s="192">
        <f t="shared" si="5"/>
        <v>0</v>
      </c>
      <c r="AD44" s="192">
        <f t="shared" si="5"/>
        <v>0</v>
      </c>
      <c r="AE44" s="192">
        <f t="shared" si="5"/>
        <v>0</v>
      </c>
      <c r="AF44" s="192">
        <f t="shared" si="5"/>
        <v>0</v>
      </c>
      <c r="AG44" s="192">
        <f t="shared" si="5"/>
        <v>17.940000000000001</v>
      </c>
      <c r="AH44" s="192">
        <f t="shared" si="5"/>
        <v>0</v>
      </c>
      <c r="AI44" s="192">
        <f t="shared" si="5"/>
        <v>0</v>
      </c>
      <c r="AJ44" s="192">
        <f t="shared" si="5"/>
        <v>0</v>
      </c>
      <c r="AK44" s="192">
        <f t="shared" si="5"/>
        <v>0</v>
      </c>
      <c r="AL44" s="192">
        <f t="shared" si="5"/>
        <v>0.77</v>
      </c>
      <c r="AM44" s="192">
        <f t="shared" si="5"/>
        <v>0</v>
      </c>
      <c r="AN44" s="192">
        <f t="shared" si="5"/>
        <v>0</v>
      </c>
      <c r="AO44" s="192">
        <f t="shared" si="5"/>
        <v>0</v>
      </c>
      <c r="AP44" s="192">
        <f t="shared" si="5"/>
        <v>0</v>
      </c>
      <c r="AQ44" s="192">
        <f t="shared" si="5"/>
        <v>0</v>
      </c>
      <c r="AR44" s="192">
        <f t="shared" si="5"/>
        <v>0</v>
      </c>
      <c r="AS44" s="192">
        <f t="shared" si="5"/>
        <v>0</v>
      </c>
      <c r="AT44" s="29"/>
      <c r="AU44" s="29"/>
      <c r="AV44" s="29"/>
      <c r="AW44" s="29"/>
      <c r="AX44" s="30"/>
      <c r="AY44" s="29"/>
      <c r="AZ44" s="30"/>
      <c r="BB44" s="59"/>
    </row>
    <row r="45" spans="1:58" ht="31.5">
      <c r="A45" s="193">
        <f>A43+1</f>
        <v>12</v>
      </c>
      <c r="B45" s="56" t="s">
        <v>1972</v>
      </c>
      <c r="C45" s="78" t="s">
        <v>91</v>
      </c>
      <c r="D45" s="103">
        <f t="shared" ref="D45:D57" si="6">E45+F45</f>
        <v>46.000000000000007</v>
      </c>
      <c r="E45" s="103"/>
      <c r="F45" s="103">
        <f>SUM(G45:K45,O45:AR45)</f>
        <v>46.000000000000007</v>
      </c>
      <c r="G45" s="103">
        <v>10.199999999999999</v>
      </c>
      <c r="H45" s="103">
        <v>5.9</v>
      </c>
      <c r="I45" s="103">
        <v>5.8</v>
      </c>
      <c r="J45" s="103">
        <v>7.3</v>
      </c>
      <c r="K45" s="194">
        <v>15</v>
      </c>
      <c r="L45" s="103"/>
      <c r="M45" s="194">
        <v>15</v>
      </c>
      <c r="N45" s="103"/>
      <c r="O45" s="103"/>
      <c r="P45" s="103">
        <v>1.2</v>
      </c>
      <c r="Q45" s="103"/>
      <c r="R45" s="103"/>
      <c r="S45" s="103"/>
      <c r="T45" s="103"/>
      <c r="U45" s="103"/>
      <c r="V45" s="103"/>
      <c r="W45" s="103"/>
      <c r="X45" s="103"/>
      <c r="Y45" s="103"/>
      <c r="Z45" s="103"/>
      <c r="AA45" s="103"/>
      <c r="AB45" s="103"/>
      <c r="AC45" s="103"/>
      <c r="AD45" s="103"/>
      <c r="AE45" s="103"/>
      <c r="AF45" s="103"/>
      <c r="AG45" s="103">
        <v>0.6</v>
      </c>
      <c r="AH45" s="103"/>
      <c r="AI45" s="103"/>
      <c r="AJ45" s="103"/>
      <c r="AK45" s="103"/>
      <c r="AL45" s="103"/>
      <c r="AM45" s="103"/>
      <c r="AN45" s="103"/>
      <c r="AO45" s="103"/>
      <c r="AP45" s="103"/>
      <c r="AQ45" s="103"/>
      <c r="AR45" s="103"/>
      <c r="AS45" s="103"/>
      <c r="AT45" s="34" t="s">
        <v>232</v>
      </c>
      <c r="AU45" s="34" t="s">
        <v>425</v>
      </c>
      <c r="AV45" s="34"/>
      <c r="AW45" s="34"/>
      <c r="AX45" s="39" t="s">
        <v>1920</v>
      </c>
      <c r="AY45" s="34" t="s">
        <v>1973</v>
      </c>
      <c r="AZ45" s="39" t="s">
        <v>1974</v>
      </c>
      <c r="BB45" s="41"/>
      <c r="BC45" s="41"/>
      <c r="BF45" s="15">
        <v>1</v>
      </c>
    </row>
    <row r="46" spans="1:58" ht="36" customHeight="1">
      <c r="A46" s="193">
        <f>A45+1</f>
        <v>13</v>
      </c>
      <c r="B46" s="56" t="s">
        <v>368</v>
      </c>
      <c r="C46" s="78" t="s">
        <v>91</v>
      </c>
      <c r="D46" s="103">
        <f t="shared" si="6"/>
        <v>73.849999999999994</v>
      </c>
      <c r="E46" s="103">
        <v>16.47</v>
      </c>
      <c r="F46" s="103">
        <f>SUM(G46:K46,O46:AR46)</f>
        <v>57.38</v>
      </c>
      <c r="G46" s="103">
        <v>6.52</v>
      </c>
      <c r="H46" s="103">
        <v>2.15</v>
      </c>
      <c r="I46" s="103">
        <v>2.44</v>
      </c>
      <c r="J46" s="103">
        <v>34.700000000000003</v>
      </c>
      <c r="K46" s="194"/>
      <c r="L46" s="103"/>
      <c r="M46" s="194"/>
      <c r="N46" s="103"/>
      <c r="O46" s="103"/>
      <c r="P46" s="103">
        <v>7.92</v>
      </c>
      <c r="Q46" s="103"/>
      <c r="R46" s="103"/>
      <c r="S46" s="103"/>
      <c r="T46" s="103"/>
      <c r="U46" s="103"/>
      <c r="V46" s="103"/>
      <c r="W46" s="103"/>
      <c r="X46" s="103"/>
      <c r="Y46" s="103"/>
      <c r="Z46" s="103"/>
      <c r="AA46" s="103">
        <v>1.23</v>
      </c>
      <c r="AB46" s="103">
        <v>0.56999999999999995</v>
      </c>
      <c r="AC46" s="103"/>
      <c r="AD46" s="103"/>
      <c r="AE46" s="103"/>
      <c r="AF46" s="103"/>
      <c r="AG46" s="103">
        <v>1.81</v>
      </c>
      <c r="AH46" s="103"/>
      <c r="AI46" s="103"/>
      <c r="AJ46" s="103"/>
      <c r="AK46" s="103"/>
      <c r="AL46" s="103">
        <v>0.04</v>
      </c>
      <c r="AM46" s="103"/>
      <c r="AN46" s="103"/>
      <c r="AO46" s="103"/>
      <c r="AP46" s="103"/>
      <c r="AQ46" s="103"/>
      <c r="AR46" s="103"/>
      <c r="AS46" s="103"/>
      <c r="AT46" s="34" t="s">
        <v>235</v>
      </c>
      <c r="AU46" s="34" t="s">
        <v>369</v>
      </c>
      <c r="AV46" s="34"/>
      <c r="AW46" s="34"/>
      <c r="AX46" s="63">
        <v>2021</v>
      </c>
      <c r="AY46" s="34" t="s">
        <v>1917</v>
      </c>
      <c r="AZ46" s="63" t="s">
        <v>1975</v>
      </c>
      <c r="BA46" s="15" t="s">
        <v>1976</v>
      </c>
      <c r="BB46" s="41"/>
      <c r="BF46" s="15">
        <v>1</v>
      </c>
    </row>
    <row r="47" spans="1:58" ht="35.450000000000003" customHeight="1">
      <c r="A47" s="193">
        <f>A46+1</f>
        <v>14</v>
      </c>
      <c r="B47" s="217" t="s">
        <v>363</v>
      </c>
      <c r="C47" s="78" t="s">
        <v>91</v>
      </c>
      <c r="D47" s="103">
        <f>E47+F47</f>
        <v>75</v>
      </c>
      <c r="E47" s="103"/>
      <c r="F47" s="103">
        <f>SUM(G47:K47,O47:AR47)</f>
        <v>75</v>
      </c>
      <c r="G47" s="103"/>
      <c r="H47" s="103"/>
      <c r="I47" s="103">
        <v>0.8</v>
      </c>
      <c r="J47" s="103"/>
      <c r="K47" s="194">
        <v>73.489999999999995</v>
      </c>
      <c r="L47" s="103"/>
      <c r="M47" s="194">
        <v>73.489999999999995</v>
      </c>
      <c r="N47" s="103"/>
      <c r="O47" s="103"/>
      <c r="P47" s="103">
        <v>0.18</v>
      </c>
      <c r="Q47" s="103"/>
      <c r="R47" s="103"/>
      <c r="S47" s="103"/>
      <c r="T47" s="103"/>
      <c r="U47" s="103"/>
      <c r="V47" s="103"/>
      <c r="W47" s="103"/>
      <c r="X47" s="103"/>
      <c r="Y47" s="103"/>
      <c r="Z47" s="103"/>
      <c r="AA47" s="103"/>
      <c r="AB47" s="103"/>
      <c r="AC47" s="103"/>
      <c r="AD47" s="103"/>
      <c r="AE47" s="103"/>
      <c r="AF47" s="103"/>
      <c r="AG47" s="103">
        <v>0.53</v>
      </c>
      <c r="AH47" s="103"/>
      <c r="AI47" s="103"/>
      <c r="AJ47" s="103"/>
      <c r="AK47" s="103"/>
      <c r="AL47" s="103"/>
      <c r="AM47" s="103"/>
      <c r="AN47" s="103"/>
      <c r="AO47" s="103"/>
      <c r="AP47" s="103"/>
      <c r="AQ47" s="103"/>
      <c r="AR47" s="103"/>
      <c r="AS47" s="103"/>
      <c r="AT47" s="34" t="s">
        <v>230</v>
      </c>
      <c r="AU47" s="34"/>
      <c r="AV47" s="34"/>
      <c r="AW47" s="34"/>
      <c r="AX47" s="39" t="s">
        <v>1920</v>
      </c>
      <c r="AY47" s="34" t="s">
        <v>1923</v>
      </c>
      <c r="AZ47" s="39" t="s">
        <v>1977</v>
      </c>
      <c r="BB47" s="41"/>
      <c r="BE47" s="15">
        <v>1</v>
      </c>
    </row>
    <row r="48" spans="1:58" ht="31.5">
      <c r="A48" s="193">
        <f>A47+1</f>
        <v>15</v>
      </c>
      <c r="B48" s="217" t="s">
        <v>1978</v>
      </c>
      <c r="C48" s="78" t="s">
        <v>91</v>
      </c>
      <c r="D48" s="103">
        <f>E48+F48</f>
        <v>75</v>
      </c>
      <c r="E48" s="103"/>
      <c r="F48" s="103">
        <f>SUM(G48:K48,O48:AR48)</f>
        <v>75</v>
      </c>
      <c r="G48" s="103">
        <f>6.8+2.9+4.32-0.95</f>
        <v>13.07</v>
      </c>
      <c r="H48" s="103"/>
      <c r="I48" s="103"/>
      <c r="J48" s="103">
        <v>7.26</v>
      </c>
      <c r="K48" s="103">
        <v>36.799999999999997</v>
      </c>
      <c r="L48" s="103"/>
      <c r="M48" s="103">
        <v>36.799999999999997</v>
      </c>
      <c r="N48" s="103"/>
      <c r="O48" s="103"/>
      <c r="P48" s="103">
        <v>0.9</v>
      </c>
      <c r="Q48" s="103"/>
      <c r="R48" s="103"/>
      <c r="S48" s="103"/>
      <c r="T48" s="103"/>
      <c r="U48" s="103"/>
      <c r="V48" s="103"/>
      <c r="W48" s="103"/>
      <c r="X48" s="103"/>
      <c r="Y48" s="103"/>
      <c r="Z48" s="103"/>
      <c r="AA48" s="103">
        <v>0.74</v>
      </c>
      <c r="AB48" s="103">
        <v>0.5</v>
      </c>
      <c r="AC48" s="103"/>
      <c r="AD48" s="103"/>
      <c r="AE48" s="103"/>
      <c r="AF48" s="103"/>
      <c r="AG48" s="103">
        <v>15</v>
      </c>
      <c r="AH48" s="103"/>
      <c r="AI48" s="103"/>
      <c r="AJ48" s="103"/>
      <c r="AK48" s="103"/>
      <c r="AL48" s="103">
        <v>0.73</v>
      </c>
      <c r="AM48" s="103"/>
      <c r="AN48" s="103"/>
      <c r="AO48" s="103"/>
      <c r="AP48" s="103"/>
      <c r="AQ48" s="103"/>
      <c r="AR48" s="103"/>
      <c r="AS48" s="103"/>
      <c r="AT48" s="34" t="s">
        <v>374</v>
      </c>
      <c r="AU48" s="34" t="s">
        <v>1979</v>
      </c>
      <c r="AV48" s="34"/>
      <c r="AW48" s="34"/>
      <c r="AX48" s="39" t="s">
        <v>1920</v>
      </c>
      <c r="AY48" s="34" t="s">
        <v>1923</v>
      </c>
      <c r="AZ48" s="39" t="s">
        <v>1980</v>
      </c>
      <c r="BE48" s="15">
        <v>1</v>
      </c>
    </row>
    <row r="49" spans="1:57" ht="31.5" hidden="1" customHeight="1">
      <c r="A49" s="193"/>
      <c r="B49" s="216"/>
      <c r="C49" s="159"/>
      <c r="D49" s="159"/>
      <c r="E49" s="159"/>
      <c r="F49" s="159"/>
      <c r="G49" s="159">
        <v>21.43</v>
      </c>
      <c r="H49" s="159">
        <v>1.1399999999999999</v>
      </c>
      <c r="I49" s="159">
        <v>2.23</v>
      </c>
      <c r="J49" s="159">
        <v>55.86</v>
      </c>
      <c r="K49" s="159">
        <v>282.24</v>
      </c>
      <c r="L49" s="159">
        <v>0</v>
      </c>
      <c r="M49" s="159">
        <v>282.24</v>
      </c>
      <c r="N49" s="159">
        <v>0</v>
      </c>
      <c r="O49" s="159">
        <v>0</v>
      </c>
      <c r="P49" s="159">
        <v>3.59</v>
      </c>
      <c r="Q49" s="159">
        <v>0</v>
      </c>
      <c r="R49" s="159">
        <v>0</v>
      </c>
      <c r="S49" s="159">
        <v>0</v>
      </c>
      <c r="T49" s="159">
        <v>0</v>
      </c>
      <c r="U49" s="159">
        <v>0</v>
      </c>
      <c r="V49" s="159">
        <v>0</v>
      </c>
      <c r="W49" s="159">
        <v>0</v>
      </c>
      <c r="X49" s="159">
        <v>0</v>
      </c>
      <c r="Y49" s="159">
        <v>0</v>
      </c>
      <c r="Z49" s="159">
        <v>0</v>
      </c>
      <c r="AA49" s="159">
        <v>9.18</v>
      </c>
      <c r="AB49" s="159">
        <v>3.9799999999999995</v>
      </c>
      <c r="AC49" s="159">
        <v>0</v>
      </c>
      <c r="AD49" s="159">
        <v>0</v>
      </c>
      <c r="AE49" s="159">
        <v>0</v>
      </c>
      <c r="AF49" s="159">
        <v>0</v>
      </c>
      <c r="AG49" s="159">
        <v>36.83</v>
      </c>
      <c r="AH49" s="159">
        <v>0</v>
      </c>
      <c r="AI49" s="159">
        <v>0</v>
      </c>
      <c r="AJ49" s="159">
        <v>0</v>
      </c>
      <c r="AK49" s="159">
        <v>0</v>
      </c>
      <c r="AL49" s="159">
        <v>1.8</v>
      </c>
      <c r="AM49" s="159">
        <v>0</v>
      </c>
      <c r="AN49" s="159">
        <v>0.4</v>
      </c>
      <c r="AO49" s="159">
        <v>0</v>
      </c>
      <c r="AP49" s="159">
        <v>1.55</v>
      </c>
      <c r="AQ49" s="159">
        <v>9.08</v>
      </c>
      <c r="AR49" s="159">
        <v>0.69000000000000006</v>
      </c>
      <c r="AS49" s="159"/>
      <c r="AT49" s="34" t="s">
        <v>237</v>
      </c>
      <c r="AU49" s="34"/>
      <c r="AV49" s="159"/>
      <c r="AW49" s="159"/>
      <c r="AX49" s="63" t="s">
        <v>1970</v>
      </c>
      <c r="AY49" s="159" t="s">
        <v>1923</v>
      </c>
      <c r="AZ49" s="63" t="s">
        <v>1981</v>
      </c>
      <c r="BA49" s="218" t="s">
        <v>1982</v>
      </c>
    </row>
    <row r="50" spans="1:57" ht="15.75" hidden="1" customHeight="1">
      <c r="A50" s="193"/>
      <c r="B50" s="217"/>
      <c r="C50" s="78"/>
      <c r="D50" s="103"/>
      <c r="E50" s="103"/>
      <c r="F50" s="103"/>
      <c r="G50" s="103"/>
      <c r="H50" s="103"/>
      <c r="I50" s="103"/>
      <c r="J50" s="103"/>
      <c r="K50" s="103"/>
      <c r="L50" s="103"/>
      <c r="M50" s="103"/>
      <c r="N50" s="103"/>
      <c r="O50" s="103"/>
      <c r="P50" s="103"/>
      <c r="Q50" s="103"/>
      <c r="R50" s="103"/>
      <c r="S50" s="103"/>
      <c r="T50" s="103"/>
      <c r="U50" s="103"/>
      <c r="V50" s="103"/>
      <c r="W50" s="103"/>
      <c r="X50" s="103"/>
      <c r="Y50" s="103"/>
      <c r="Z50" s="103"/>
      <c r="AA50" s="103"/>
      <c r="AB50" s="103"/>
      <c r="AC50" s="103"/>
      <c r="AD50" s="103"/>
      <c r="AE50" s="103"/>
      <c r="AF50" s="103"/>
      <c r="AG50" s="103"/>
      <c r="AH50" s="103"/>
      <c r="AI50" s="103"/>
      <c r="AJ50" s="103"/>
      <c r="AK50" s="103"/>
      <c r="AL50" s="103"/>
      <c r="AM50" s="103"/>
      <c r="AN50" s="103"/>
      <c r="AO50" s="103"/>
      <c r="AP50" s="103"/>
      <c r="AQ50" s="103"/>
      <c r="AR50" s="103"/>
      <c r="AS50" s="103"/>
      <c r="AT50" s="34" t="s">
        <v>239</v>
      </c>
      <c r="AU50" s="34"/>
      <c r="AV50" s="34"/>
      <c r="AW50" s="34"/>
      <c r="AX50" s="39"/>
      <c r="AY50" s="34" t="s">
        <v>1923</v>
      </c>
      <c r="AZ50" s="39" t="s">
        <v>1983</v>
      </c>
    </row>
    <row r="51" spans="1:57" s="24" customFormat="1" ht="21.6" customHeight="1">
      <c r="A51" s="82" t="s">
        <v>462</v>
      </c>
      <c r="B51" s="25" t="s">
        <v>379</v>
      </c>
      <c r="C51" s="26" t="s">
        <v>93</v>
      </c>
      <c r="D51" s="192">
        <f t="shared" si="6"/>
        <v>130.87</v>
      </c>
      <c r="E51" s="192">
        <f t="shared" ref="E51:AS51" si="7">SUM(E52:E94)</f>
        <v>0</v>
      </c>
      <c r="F51" s="192">
        <f t="shared" si="7"/>
        <v>130.87</v>
      </c>
      <c r="G51" s="192">
        <f t="shared" si="7"/>
        <v>32.32</v>
      </c>
      <c r="H51" s="192">
        <f t="shared" si="7"/>
        <v>13.95</v>
      </c>
      <c r="I51" s="192">
        <f t="shared" si="7"/>
        <v>32.619999999999997</v>
      </c>
      <c r="J51" s="192">
        <f t="shared" si="7"/>
        <v>1.9300000000000004</v>
      </c>
      <c r="K51" s="192">
        <f t="shared" si="7"/>
        <v>25.03</v>
      </c>
      <c r="L51" s="192">
        <f t="shared" si="7"/>
        <v>0</v>
      </c>
      <c r="M51" s="192">
        <f t="shared" si="7"/>
        <v>25.03</v>
      </c>
      <c r="N51" s="192">
        <f t="shared" si="7"/>
        <v>0</v>
      </c>
      <c r="O51" s="192">
        <f t="shared" si="7"/>
        <v>0</v>
      </c>
      <c r="P51" s="192">
        <f t="shared" si="7"/>
        <v>0.43000000000000005</v>
      </c>
      <c r="Q51" s="192">
        <f t="shared" si="7"/>
        <v>0</v>
      </c>
      <c r="R51" s="192">
        <f t="shared" si="7"/>
        <v>0</v>
      </c>
      <c r="S51" s="192">
        <f t="shared" si="7"/>
        <v>0</v>
      </c>
      <c r="T51" s="192">
        <f t="shared" si="7"/>
        <v>0</v>
      </c>
      <c r="U51" s="192">
        <f t="shared" si="7"/>
        <v>0.32</v>
      </c>
      <c r="V51" s="192">
        <f t="shared" si="7"/>
        <v>0</v>
      </c>
      <c r="W51" s="192">
        <f t="shared" si="7"/>
        <v>0</v>
      </c>
      <c r="X51" s="192">
        <f t="shared" si="7"/>
        <v>0</v>
      </c>
      <c r="Y51" s="192">
        <f t="shared" si="7"/>
        <v>0</v>
      </c>
      <c r="Z51" s="192">
        <f t="shared" si="7"/>
        <v>0</v>
      </c>
      <c r="AA51" s="192">
        <f t="shared" si="7"/>
        <v>0</v>
      </c>
      <c r="AB51" s="192">
        <f t="shared" si="7"/>
        <v>6.0000000000000005E-2</v>
      </c>
      <c r="AC51" s="192">
        <f t="shared" si="7"/>
        <v>0</v>
      </c>
      <c r="AD51" s="192">
        <f t="shared" si="7"/>
        <v>0</v>
      </c>
      <c r="AE51" s="192">
        <f t="shared" si="7"/>
        <v>0.4</v>
      </c>
      <c r="AF51" s="192">
        <f t="shared" si="7"/>
        <v>0</v>
      </c>
      <c r="AG51" s="192">
        <f t="shared" si="7"/>
        <v>9.6199999999999992</v>
      </c>
      <c r="AH51" s="192">
        <f t="shared" si="7"/>
        <v>0</v>
      </c>
      <c r="AI51" s="192">
        <f t="shared" si="7"/>
        <v>0.05</v>
      </c>
      <c r="AJ51" s="192">
        <f t="shared" si="7"/>
        <v>0.11</v>
      </c>
      <c r="AK51" s="192">
        <f t="shared" si="7"/>
        <v>0</v>
      </c>
      <c r="AL51" s="192">
        <f t="shared" si="7"/>
        <v>0</v>
      </c>
      <c r="AM51" s="192">
        <f t="shared" si="7"/>
        <v>0</v>
      </c>
      <c r="AN51" s="192">
        <f t="shared" si="7"/>
        <v>0</v>
      </c>
      <c r="AO51" s="192">
        <f t="shared" si="7"/>
        <v>0</v>
      </c>
      <c r="AP51" s="192">
        <f t="shared" si="7"/>
        <v>0</v>
      </c>
      <c r="AQ51" s="192">
        <f t="shared" si="7"/>
        <v>0</v>
      </c>
      <c r="AR51" s="192">
        <f t="shared" si="7"/>
        <v>0.08</v>
      </c>
      <c r="AS51" s="192">
        <f t="shared" si="7"/>
        <v>0</v>
      </c>
      <c r="AT51" s="29"/>
      <c r="AU51" s="29"/>
      <c r="AV51" s="29"/>
      <c r="AW51" s="29"/>
      <c r="AX51" s="30"/>
      <c r="AY51" s="29"/>
      <c r="AZ51" s="30"/>
    </row>
    <row r="52" spans="1:57" ht="33" customHeight="1">
      <c r="A52" s="193">
        <f>A48+1</f>
        <v>16</v>
      </c>
      <c r="B52" s="219" t="s">
        <v>1984</v>
      </c>
      <c r="C52" s="78" t="s">
        <v>93</v>
      </c>
      <c r="D52" s="103">
        <f t="shared" si="6"/>
        <v>0.11</v>
      </c>
      <c r="E52" s="103"/>
      <c r="F52" s="103">
        <f t="shared" ref="F52:F94" si="8">SUM(G52:K52,O52:AR52)</f>
        <v>0.11</v>
      </c>
      <c r="G52" s="103"/>
      <c r="H52" s="103"/>
      <c r="I52" s="103">
        <v>0.08</v>
      </c>
      <c r="J52" s="103"/>
      <c r="K52" s="103"/>
      <c r="L52" s="103"/>
      <c r="M52" s="103"/>
      <c r="N52" s="103"/>
      <c r="O52" s="103"/>
      <c r="P52" s="103"/>
      <c r="Q52" s="103"/>
      <c r="R52" s="103"/>
      <c r="S52" s="103"/>
      <c r="T52" s="103"/>
      <c r="U52" s="103"/>
      <c r="V52" s="103"/>
      <c r="W52" s="103"/>
      <c r="X52" s="103"/>
      <c r="Y52" s="103"/>
      <c r="Z52" s="103"/>
      <c r="AA52" s="103"/>
      <c r="AB52" s="103">
        <v>0.01</v>
      </c>
      <c r="AC52" s="103"/>
      <c r="AD52" s="103"/>
      <c r="AE52" s="103"/>
      <c r="AF52" s="103"/>
      <c r="AG52" s="103"/>
      <c r="AH52" s="103"/>
      <c r="AI52" s="103"/>
      <c r="AJ52" s="103"/>
      <c r="AK52" s="103"/>
      <c r="AL52" s="103"/>
      <c r="AM52" s="103"/>
      <c r="AN52" s="103"/>
      <c r="AO52" s="103"/>
      <c r="AP52" s="103"/>
      <c r="AQ52" s="103"/>
      <c r="AR52" s="103">
        <v>0.02</v>
      </c>
      <c r="AS52" s="103"/>
      <c r="AT52" s="34" t="s">
        <v>289</v>
      </c>
      <c r="AU52" s="34" t="s">
        <v>315</v>
      </c>
      <c r="AV52" s="34"/>
      <c r="AW52" s="34" t="s">
        <v>1985</v>
      </c>
      <c r="AX52" s="63">
        <v>2021</v>
      </c>
      <c r="AY52" s="34" t="s">
        <v>1986</v>
      </c>
      <c r="AZ52" s="63"/>
      <c r="BB52" s="41"/>
      <c r="BC52" s="15">
        <v>1</v>
      </c>
    </row>
    <row r="53" spans="1:57" ht="33" customHeight="1">
      <c r="A53" s="193">
        <f t="shared" ref="A53:A58" si="9">A52+1</f>
        <v>17</v>
      </c>
      <c r="B53" s="56" t="s">
        <v>1987</v>
      </c>
      <c r="C53" s="78" t="s">
        <v>93</v>
      </c>
      <c r="D53" s="103">
        <f>E53+F53</f>
        <v>0.28000000000000003</v>
      </c>
      <c r="E53" s="103"/>
      <c r="F53" s="103">
        <f t="shared" si="8"/>
        <v>0.28000000000000003</v>
      </c>
      <c r="G53" s="103">
        <v>0.28000000000000003</v>
      </c>
      <c r="H53" s="103"/>
      <c r="I53" s="103"/>
      <c r="J53" s="103"/>
      <c r="K53" s="194"/>
      <c r="L53" s="103"/>
      <c r="M53" s="194"/>
      <c r="N53" s="103"/>
      <c r="O53" s="103"/>
      <c r="P53" s="103"/>
      <c r="Q53" s="103"/>
      <c r="R53" s="103"/>
      <c r="S53" s="103"/>
      <c r="T53" s="103"/>
      <c r="U53" s="103"/>
      <c r="V53" s="103"/>
      <c r="W53" s="103"/>
      <c r="X53" s="103"/>
      <c r="Y53" s="103"/>
      <c r="Z53" s="103"/>
      <c r="AA53" s="103"/>
      <c r="AB53" s="103"/>
      <c r="AC53" s="103"/>
      <c r="AD53" s="103"/>
      <c r="AE53" s="103"/>
      <c r="AF53" s="103"/>
      <c r="AG53" s="103"/>
      <c r="AH53" s="103"/>
      <c r="AI53" s="103"/>
      <c r="AJ53" s="103"/>
      <c r="AK53" s="103"/>
      <c r="AL53" s="103"/>
      <c r="AM53" s="103"/>
      <c r="AN53" s="103"/>
      <c r="AO53" s="103"/>
      <c r="AP53" s="103"/>
      <c r="AQ53" s="103"/>
      <c r="AR53" s="103"/>
      <c r="AS53" s="103"/>
      <c r="AT53" s="34" t="s">
        <v>225</v>
      </c>
      <c r="AU53" s="34" t="s">
        <v>1988</v>
      </c>
      <c r="AV53" s="34"/>
      <c r="AW53" s="34"/>
      <c r="AX53" s="39" t="s">
        <v>1920</v>
      </c>
      <c r="AY53" s="34" t="s">
        <v>1923</v>
      </c>
      <c r="AZ53" s="39" t="s">
        <v>1989</v>
      </c>
      <c r="BB53" s="41"/>
      <c r="BD53" s="15">
        <v>1</v>
      </c>
    </row>
    <row r="54" spans="1:57" ht="33" customHeight="1">
      <c r="A54" s="193">
        <f t="shared" si="9"/>
        <v>18</v>
      </c>
      <c r="B54" s="56" t="s">
        <v>1990</v>
      </c>
      <c r="C54" s="78" t="s">
        <v>93</v>
      </c>
      <c r="D54" s="103">
        <f>E54+F54</f>
        <v>0.1</v>
      </c>
      <c r="E54" s="103"/>
      <c r="F54" s="103">
        <f t="shared" si="8"/>
        <v>0.1</v>
      </c>
      <c r="G54" s="103">
        <v>0.1</v>
      </c>
      <c r="H54" s="103"/>
      <c r="I54" s="103"/>
      <c r="J54" s="103"/>
      <c r="K54" s="194"/>
      <c r="L54" s="103"/>
      <c r="M54" s="194"/>
      <c r="N54" s="103"/>
      <c r="O54" s="103"/>
      <c r="P54" s="103"/>
      <c r="Q54" s="103"/>
      <c r="R54" s="103"/>
      <c r="S54" s="103"/>
      <c r="T54" s="103"/>
      <c r="U54" s="103"/>
      <c r="V54" s="103"/>
      <c r="W54" s="103"/>
      <c r="X54" s="103"/>
      <c r="Y54" s="103"/>
      <c r="Z54" s="103"/>
      <c r="AA54" s="103"/>
      <c r="AB54" s="103"/>
      <c r="AC54" s="103"/>
      <c r="AD54" s="103"/>
      <c r="AE54" s="103"/>
      <c r="AF54" s="103"/>
      <c r="AG54" s="103"/>
      <c r="AH54" s="103"/>
      <c r="AI54" s="103"/>
      <c r="AJ54" s="103"/>
      <c r="AK54" s="103"/>
      <c r="AL54" s="103"/>
      <c r="AM54" s="103"/>
      <c r="AN54" s="103"/>
      <c r="AO54" s="103"/>
      <c r="AP54" s="103"/>
      <c r="AQ54" s="103"/>
      <c r="AR54" s="103"/>
      <c r="AS54" s="103"/>
      <c r="AT54" s="34" t="s">
        <v>233</v>
      </c>
      <c r="AU54" s="34" t="s">
        <v>1182</v>
      </c>
      <c r="AV54" s="34"/>
      <c r="AW54" s="34"/>
      <c r="AX54" s="39" t="s">
        <v>1920</v>
      </c>
      <c r="AY54" s="34" t="s">
        <v>1923</v>
      </c>
      <c r="AZ54" s="39" t="s">
        <v>1971</v>
      </c>
      <c r="BB54" s="41"/>
      <c r="BD54" s="15">
        <v>1</v>
      </c>
    </row>
    <row r="55" spans="1:57" ht="33" customHeight="1">
      <c r="A55" s="193">
        <f t="shared" si="9"/>
        <v>19</v>
      </c>
      <c r="B55" s="56" t="s">
        <v>1991</v>
      </c>
      <c r="C55" s="78" t="s">
        <v>93</v>
      </c>
      <c r="D55" s="103">
        <f t="shared" si="6"/>
        <v>0.02</v>
      </c>
      <c r="E55" s="103"/>
      <c r="F55" s="103">
        <f t="shared" si="8"/>
        <v>0.02</v>
      </c>
      <c r="G55" s="103"/>
      <c r="H55" s="103"/>
      <c r="I55" s="103"/>
      <c r="J55" s="103"/>
      <c r="K55" s="103"/>
      <c r="L55" s="103"/>
      <c r="M55" s="103"/>
      <c r="N55" s="103"/>
      <c r="O55" s="103"/>
      <c r="P55" s="103"/>
      <c r="Q55" s="103"/>
      <c r="R55" s="103"/>
      <c r="S55" s="103"/>
      <c r="T55" s="103"/>
      <c r="U55" s="103"/>
      <c r="V55" s="103"/>
      <c r="W55" s="103"/>
      <c r="X55" s="103"/>
      <c r="Y55" s="103"/>
      <c r="Z55" s="103"/>
      <c r="AA55" s="103"/>
      <c r="AB55" s="103"/>
      <c r="AC55" s="103"/>
      <c r="AD55" s="103"/>
      <c r="AE55" s="103"/>
      <c r="AF55" s="103"/>
      <c r="AG55" s="103">
        <v>0.02</v>
      </c>
      <c r="AH55" s="103"/>
      <c r="AI55" s="103"/>
      <c r="AJ55" s="103"/>
      <c r="AK55" s="103"/>
      <c r="AL55" s="103"/>
      <c r="AM55" s="103"/>
      <c r="AN55" s="103"/>
      <c r="AO55" s="103"/>
      <c r="AP55" s="103"/>
      <c r="AQ55" s="103"/>
      <c r="AR55" s="103"/>
      <c r="AS55" s="103"/>
      <c r="AT55" s="34" t="s">
        <v>224</v>
      </c>
      <c r="AU55" s="34" t="s">
        <v>328</v>
      </c>
      <c r="AV55" s="34"/>
      <c r="AW55" s="34" t="s">
        <v>1992</v>
      </c>
      <c r="AX55" s="39" t="s">
        <v>1920</v>
      </c>
      <c r="AY55" s="34" t="s">
        <v>1986</v>
      </c>
      <c r="AZ55" s="39"/>
      <c r="BC55" s="15">
        <v>1</v>
      </c>
    </row>
    <row r="56" spans="1:57" ht="33" customHeight="1">
      <c r="A56" s="193">
        <f t="shared" si="9"/>
        <v>20</v>
      </c>
      <c r="B56" s="88" t="s">
        <v>1993</v>
      </c>
      <c r="C56" s="102" t="s">
        <v>93</v>
      </c>
      <c r="D56" s="103">
        <f t="shared" si="6"/>
        <v>0.08</v>
      </c>
      <c r="E56" s="103"/>
      <c r="F56" s="103">
        <f t="shared" si="8"/>
        <v>0.08</v>
      </c>
      <c r="G56" s="103">
        <v>0.06</v>
      </c>
      <c r="H56" s="103"/>
      <c r="I56" s="103"/>
      <c r="J56" s="103"/>
      <c r="K56" s="103"/>
      <c r="L56" s="103"/>
      <c r="M56" s="103"/>
      <c r="N56" s="103"/>
      <c r="O56" s="103"/>
      <c r="P56" s="103">
        <v>0.02</v>
      </c>
      <c r="Q56" s="103"/>
      <c r="R56" s="103"/>
      <c r="S56" s="103"/>
      <c r="T56" s="103"/>
      <c r="U56" s="103"/>
      <c r="V56" s="103"/>
      <c r="W56" s="103"/>
      <c r="X56" s="103"/>
      <c r="Y56" s="103"/>
      <c r="Z56" s="103"/>
      <c r="AA56" s="103"/>
      <c r="AB56" s="103"/>
      <c r="AC56" s="103"/>
      <c r="AD56" s="103"/>
      <c r="AE56" s="103"/>
      <c r="AF56" s="103"/>
      <c r="AG56" s="103"/>
      <c r="AH56" s="103"/>
      <c r="AI56" s="103"/>
      <c r="AJ56" s="103"/>
      <c r="AK56" s="103"/>
      <c r="AL56" s="103"/>
      <c r="AM56" s="103"/>
      <c r="AN56" s="103"/>
      <c r="AO56" s="103"/>
      <c r="AP56" s="103"/>
      <c r="AQ56" s="103"/>
      <c r="AR56" s="103"/>
      <c r="AS56" s="103"/>
      <c r="AT56" s="34" t="s">
        <v>227</v>
      </c>
      <c r="AU56" s="34" t="s">
        <v>1945</v>
      </c>
      <c r="AV56" s="140"/>
      <c r="AW56" s="140"/>
      <c r="AX56" s="39" t="s">
        <v>1920</v>
      </c>
      <c r="AY56" s="140" t="s">
        <v>1923</v>
      </c>
      <c r="AZ56" s="39" t="s">
        <v>1971</v>
      </c>
      <c r="BB56" s="41"/>
      <c r="BD56" s="15">
        <v>1</v>
      </c>
    </row>
    <row r="57" spans="1:57" ht="38.1" customHeight="1">
      <c r="A57" s="193">
        <f t="shared" si="9"/>
        <v>21</v>
      </c>
      <c r="B57" s="88" t="s">
        <v>1994</v>
      </c>
      <c r="C57" s="102" t="s">
        <v>93</v>
      </c>
      <c r="D57" s="103">
        <f t="shared" si="6"/>
        <v>11.68</v>
      </c>
      <c r="E57" s="103"/>
      <c r="F57" s="103">
        <f t="shared" si="8"/>
        <v>11.68</v>
      </c>
      <c r="G57" s="103">
        <v>0.82</v>
      </c>
      <c r="H57" s="103"/>
      <c r="I57" s="103"/>
      <c r="J57" s="103">
        <v>0.24</v>
      </c>
      <c r="K57" s="103">
        <v>10.35</v>
      </c>
      <c r="L57" s="103"/>
      <c r="M57" s="103">
        <v>10.35</v>
      </c>
      <c r="N57" s="103"/>
      <c r="O57" s="103"/>
      <c r="P57" s="103">
        <v>0.27</v>
      </c>
      <c r="Q57" s="103"/>
      <c r="R57" s="103"/>
      <c r="S57" s="103"/>
      <c r="T57" s="103"/>
      <c r="U57" s="103"/>
      <c r="V57" s="103"/>
      <c r="W57" s="103"/>
      <c r="X57" s="103"/>
      <c r="Y57" s="103"/>
      <c r="Z57" s="103"/>
      <c r="AA57" s="103"/>
      <c r="AB57" s="103"/>
      <c r="AC57" s="103"/>
      <c r="AD57" s="103"/>
      <c r="AE57" s="103"/>
      <c r="AF57" s="103"/>
      <c r="AG57" s="103"/>
      <c r="AH57" s="103"/>
      <c r="AI57" s="103"/>
      <c r="AJ57" s="103"/>
      <c r="AK57" s="103"/>
      <c r="AL57" s="103"/>
      <c r="AM57" s="103"/>
      <c r="AN57" s="103"/>
      <c r="AO57" s="103"/>
      <c r="AP57" s="103"/>
      <c r="AQ57" s="103"/>
      <c r="AR57" s="103"/>
      <c r="AS57" s="103"/>
      <c r="AT57" s="34" t="s">
        <v>429</v>
      </c>
      <c r="AU57" s="34" t="s">
        <v>430</v>
      </c>
      <c r="AV57" s="140"/>
      <c r="AW57" s="140" t="s">
        <v>1995</v>
      </c>
      <c r="AX57" s="39" t="s">
        <v>1920</v>
      </c>
      <c r="AY57" s="140" t="s">
        <v>1923</v>
      </c>
      <c r="AZ57" s="39" t="s">
        <v>1996</v>
      </c>
      <c r="BB57" s="41"/>
      <c r="BE57" s="15">
        <v>1</v>
      </c>
    </row>
    <row r="58" spans="1:57" ht="15.75" hidden="1" customHeight="1">
      <c r="A58" s="193">
        <f t="shared" si="9"/>
        <v>22</v>
      </c>
      <c r="B58" s="88" t="s">
        <v>1997</v>
      </c>
      <c r="C58" s="102"/>
      <c r="D58" s="103"/>
      <c r="E58" s="103"/>
      <c r="F58" s="103">
        <v>0.3</v>
      </c>
      <c r="G58" s="103"/>
      <c r="H58" s="103"/>
      <c r="I58" s="103"/>
      <c r="J58" s="103"/>
      <c r="K58" s="103"/>
      <c r="L58" s="103"/>
      <c r="M58" s="103"/>
      <c r="N58" s="103"/>
      <c r="O58" s="103"/>
      <c r="P58" s="103"/>
      <c r="Q58" s="103"/>
      <c r="R58" s="103"/>
      <c r="S58" s="103"/>
      <c r="T58" s="103"/>
      <c r="U58" s="103"/>
      <c r="V58" s="103"/>
      <c r="W58" s="103"/>
      <c r="X58" s="103"/>
      <c r="Y58" s="103"/>
      <c r="Z58" s="103"/>
      <c r="AA58" s="103"/>
      <c r="AB58" s="103"/>
      <c r="AC58" s="103"/>
      <c r="AD58" s="103"/>
      <c r="AE58" s="103"/>
      <c r="AF58" s="103"/>
      <c r="AG58" s="103"/>
      <c r="AH58" s="103"/>
      <c r="AI58" s="103"/>
      <c r="AJ58" s="103"/>
      <c r="AK58" s="103"/>
      <c r="AL58" s="103"/>
      <c r="AM58" s="103"/>
      <c r="AN58" s="103"/>
      <c r="AO58" s="103"/>
      <c r="AP58" s="103"/>
      <c r="AQ58" s="103"/>
      <c r="AR58" s="103"/>
      <c r="AS58" s="103"/>
      <c r="AT58" s="34" t="s">
        <v>429</v>
      </c>
      <c r="AU58" s="34" t="s">
        <v>431</v>
      </c>
      <c r="AV58" s="140"/>
      <c r="AW58" s="140"/>
      <c r="AX58" s="39"/>
      <c r="AY58" s="38" t="s">
        <v>1923</v>
      </c>
      <c r="AZ58" s="39" t="s">
        <v>1924</v>
      </c>
      <c r="BA58" s="15" t="s">
        <v>432</v>
      </c>
      <c r="BB58" s="41"/>
    </row>
    <row r="59" spans="1:57" ht="51.6" customHeight="1">
      <c r="A59" s="193">
        <v>22</v>
      </c>
      <c r="B59" s="56" t="s">
        <v>1998</v>
      </c>
      <c r="C59" s="78" t="s">
        <v>93</v>
      </c>
      <c r="D59" s="103">
        <f>E59+F59</f>
        <v>1.44</v>
      </c>
      <c r="E59" s="103"/>
      <c r="F59" s="103">
        <f t="shared" si="8"/>
        <v>1.44</v>
      </c>
      <c r="G59" s="103">
        <v>1.3499999999999999</v>
      </c>
      <c r="H59" s="103">
        <v>0</v>
      </c>
      <c r="I59" s="103">
        <v>0.04</v>
      </c>
      <c r="J59" s="103">
        <v>0</v>
      </c>
      <c r="K59" s="103">
        <v>0</v>
      </c>
      <c r="L59" s="103">
        <v>0</v>
      </c>
      <c r="M59" s="103">
        <v>0</v>
      </c>
      <c r="N59" s="103">
        <v>0</v>
      </c>
      <c r="O59" s="103">
        <v>0</v>
      </c>
      <c r="P59" s="103">
        <v>0.02</v>
      </c>
      <c r="Q59" s="103">
        <v>0</v>
      </c>
      <c r="R59" s="103">
        <v>0</v>
      </c>
      <c r="S59" s="103">
        <v>0</v>
      </c>
      <c r="T59" s="103">
        <v>0</v>
      </c>
      <c r="U59" s="103">
        <v>0</v>
      </c>
      <c r="V59" s="103">
        <v>0</v>
      </c>
      <c r="W59" s="103">
        <v>0</v>
      </c>
      <c r="X59" s="103">
        <v>0</v>
      </c>
      <c r="Y59" s="103">
        <v>0</v>
      </c>
      <c r="Z59" s="103">
        <v>0</v>
      </c>
      <c r="AA59" s="103">
        <v>0</v>
      </c>
      <c r="AB59" s="103">
        <v>0</v>
      </c>
      <c r="AC59" s="103">
        <v>0</v>
      </c>
      <c r="AD59" s="103">
        <v>0</v>
      </c>
      <c r="AE59" s="103">
        <v>0</v>
      </c>
      <c r="AF59" s="103">
        <v>0</v>
      </c>
      <c r="AG59" s="103">
        <v>0</v>
      </c>
      <c r="AH59" s="103">
        <v>0</v>
      </c>
      <c r="AI59" s="103">
        <v>0</v>
      </c>
      <c r="AJ59" s="103">
        <v>0</v>
      </c>
      <c r="AK59" s="103">
        <v>0</v>
      </c>
      <c r="AL59" s="103">
        <v>0</v>
      </c>
      <c r="AM59" s="103">
        <v>0</v>
      </c>
      <c r="AN59" s="103">
        <v>0</v>
      </c>
      <c r="AO59" s="103">
        <v>0</v>
      </c>
      <c r="AP59" s="103">
        <v>0</v>
      </c>
      <c r="AQ59" s="103">
        <v>0</v>
      </c>
      <c r="AR59" s="103">
        <v>0.03</v>
      </c>
      <c r="AS59" s="103">
        <v>0</v>
      </c>
      <c r="AT59" s="34" t="s">
        <v>1999</v>
      </c>
      <c r="AU59" s="34" t="s">
        <v>615</v>
      </c>
      <c r="AV59" s="34"/>
      <c r="AW59" s="34"/>
      <c r="AX59" s="63" t="s">
        <v>1970</v>
      </c>
      <c r="AY59" s="34" t="s">
        <v>1923</v>
      </c>
      <c r="AZ59" s="63" t="s">
        <v>2000</v>
      </c>
      <c r="BA59" s="58"/>
      <c r="BB59" s="41"/>
      <c r="BE59" s="15">
        <v>1</v>
      </c>
    </row>
    <row r="60" spans="1:57" ht="15.75" hidden="1" customHeight="1">
      <c r="A60" s="220" t="s">
        <v>193</v>
      </c>
      <c r="B60" s="221" t="s">
        <v>1998</v>
      </c>
      <c r="C60" s="78" t="s">
        <v>93</v>
      </c>
      <c r="D60" s="103">
        <v>0.32</v>
      </c>
      <c r="E60" s="103"/>
      <c r="F60" s="103">
        <v>0.32</v>
      </c>
      <c r="G60" s="103">
        <v>0.27</v>
      </c>
      <c r="H60" s="103"/>
      <c r="I60" s="103"/>
      <c r="J60" s="103"/>
      <c r="K60" s="103"/>
      <c r="L60" s="103"/>
      <c r="M60" s="103"/>
      <c r="N60" s="103"/>
      <c r="O60" s="103"/>
      <c r="P60" s="103">
        <v>0.02</v>
      </c>
      <c r="Q60" s="103"/>
      <c r="R60" s="103"/>
      <c r="S60" s="103"/>
      <c r="T60" s="103"/>
      <c r="U60" s="103"/>
      <c r="V60" s="103"/>
      <c r="W60" s="103"/>
      <c r="X60" s="103"/>
      <c r="Y60" s="103"/>
      <c r="Z60" s="103"/>
      <c r="AA60" s="103"/>
      <c r="AB60" s="103"/>
      <c r="AC60" s="103"/>
      <c r="AD60" s="103"/>
      <c r="AE60" s="103"/>
      <c r="AF60" s="103"/>
      <c r="AG60" s="103"/>
      <c r="AH60" s="103"/>
      <c r="AI60" s="103"/>
      <c r="AJ60" s="103"/>
      <c r="AK60" s="103"/>
      <c r="AL60" s="103"/>
      <c r="AM60" s="103"/>
      <c r="AN60" s="103"/>
      <c r="AO60" s="103"/>
      <c r="AP60" s="103"/>
      <c r="AQ60" s="103"/>
      <c r="AR60" s="103">
        <v>0.03</v>
      </c>
      <c r="AS60" s="103"/>
      <c r="AT60" s="34" t="s">
        <v>223</v>
      </c>
      <c r="AU60" s="34" t="s">
        <v>328</v>
      </c>
      <c r="AV60" s="34"/>
      <c r="AW60" s="34"/>
      <c r="AX60" s="63"/>
      <c r="AY60" s="140" t="s">
        <v>1923</v>
      </c>
      <c r="AZ60" s="63" t="s">
        <v>1924</v>
      </c>
      <c r="BA60" s="84"/>
      <c r="BB60" s="41"/>
    </row>
    <row r="61" spans="1:57" ht="15.75" hidden="1" customHeight="1">
      <c r="A61" s="193"/>
      <c r="B61" s="56" t="s">
        <v>1998</v>
      </c>
      <c r="C61" s="78" t="s">
        <v>93</v>
      </c>
      <c r="D61" s="222">
        <f>E61+F61</f>
        <v>0.3</v>
      </c>
      <c r="E61" s="222"/>
      <c r="F61" s="222">
        <v>0.3</v>
      </c>
      <c r="G61" s="103"/>
      <c r="H61" s="103"/>
      <c r="I61" s="103"/>
      <c r="J61" s="103"/>
      <c r="K61" s="103"/>
      <c r="L61" s="103"/>
      <c r="M61" s="103"/>
      <c r="N61" s="103"/>
      <c r="O61" s="103"/>
      <c r="P61" s="103"/>
      <c r="Q61" s="103"/>
      <c r="R61" s="103"/>
      <c r="S61" s="103"/>
      <c r="T61" s="103"/>
      <c r="U61" s="103"/>
      <c r="V61" s="103"/>
      <c r="W61" s="103"/>
      <c r="X61" s="103"/>
      <c r="Y61" s="103"/>
      <c r="Z61" s="103"/>
      <c r="AA61" s="103"/>
      <c r="AB61" s="103"/>
      <c r="AC61" s="103"/>
      <c r="AD61" s="103"/>
      <c r="AE61" s="103"/>
      <c r="AF61" s="103"/>
      <c r="AG61" s="103"/>
      <c r="AH61" s="103"/>
      <c r="AI61" s="103"/>
      <c r="AJ61" s="103"/>
      <c r="AK61" s="103"/>
      <c r="AL61" s="103"/>
      <c r="AM61" s="103"/>
      <c r="AN61" s="103"/>
      <c r="AO61" s="103"/>
      <c r="AP61" s="103"/>
      <c r="AQ61" s="103"/>
      <c r="AR61" s="103"/>
      <c r="AS61" s="103"/>
      <c r="AT61" s="34" t="s">
        <v>229</v>
      </c>
      <c r="AU61" s="34"/>
      <c r="AV61" s="34"/>
      <c r="AW61" s="34"/>
      <c r="AX61" s="63"/>
      <c r="AY61" s="34" t="s">
        <v>1923</v>
      </c>
      <c r="AZ61" s="39" t="s">
        <v>1926</v>
      </c>
      <c r="BA61" s="58"/>
      <c r="BB61" s="41"/>
    </row>
    <row r="62" spans="1:57" ht="15.75" hidden="1" customHeight="1">
      <c r="A62" s="193"/>
      <c r="B62" s="56" t="s">
        <v>1998</v>
      </c>
      <c r="C62" s="78"/>
      <c r="D62" s="103"/>
      <c r="E62" s="103"/>
      <c r="F62" s="103">
        <v>0.22</v>
      </c>
      <c r="G62" s="103"/>
      <c r="H62" s="103"/>
      <c r="I62" s="103"/>
      <c r="J62" s="103"/>
      <c r="K62" s="103"/>
      <c r="L62" s="103"/>
      <c r="M62" s="103"/>
      <c r="N62" s="103"/>
      <c r="O62" s="103"/>
      <c r="P62" s="103"/>
      <c r="Q62" s="103"/>
      <c r="R62" s="103"/>
      <c r="S62" s="103"/>
      <c r="T62" s="103"/>
      <c r="U62" s="103"/>
      <c r="V62" s="103"/>
      <c r="W62" s="103"/>
      <c r="X62" s="103"/>
      <c r="Y62" s="103"/>
      <c r="Z62" s="103"/>
      <c r="AA62" s="103"/>
      <c r="AB62" s="103"/>
      <c r="AC62" s="103"/>
      <c r="AD62" s="103"/>
      <c r="AE62" s="103"/>
      <c r="AF62" s="103"/>
      <c r="AG62" s="103"/>
      <c r="AH62" s="103"/>
      <c r="AI62" s="103"/>
      <c r="AJ62" s="103"/>
      <c r="AK62" s="103"/>
      <c r="AL62" s="103"/>
      <c r="AM62" s="103"/>
      <c r="AN62" s="103"/>
      <c r="AO62" s="103"/>
      <c r="AP62" s="103"/>
      <c r="AQ62" s="103"/>
      <c r="AR62" s="103"/>
      <c r="AS62" s="103"/>
      <c r="AT62" s="34" t="s">
        <v>230</v>
      </c>
      <c r="AU62" s="34"/>
      <c r="AV62" s="34"/>
      <c r="AW62" s="34"/>
      <c r="AX62" s="63"/>
      <c r="AY62" s="34" t="s">
        <v>1923</v>
      </c>
      <c r="AZ62" s="63" t="s">
        <v>2001</v>
      </c>
      <c r="BA62" s="58"/>
      <c r="BB62" s="41"/>
    </row>
    <row r="63" spans="1:57" ht="15.75" hidden="1" customHeight="1">
      <c r="A63" s="193"/>
      <c r="B63" s="56" t="s">
        <v>1998</v>
      </c>
      <c r="C63" s="78"/>
      <c r="D63" s="103"/>
      <c r="E63" s="103"/>
      <c r="F63" s="103">
        <v>0.45999999999999996</v>
      </c>
      <c r="G63" s="103"/>
      <c r="H63" s="103"/>
      <c r="I63" s="103"/>
      <c r="J63" s="103"/>
      <c r="K63" s="103"/>
      <c r="L63" s="103"/>
      <c r="M63" s="103"/>
      <c r="N63" s="103"/>
      <c r="O63" s="103"/>
      <c r="P63" s="103"/>
      <c r="Q63" s="103"/>
      <c r="R63" s="103"/>
      <c r="S63" s="103"/>
      <c r="T63" s="103"/>
      <c r="U63" s="103"/>
      <c r="V63" s="103"/>
      <c r="W63" s="103"/>
      <c r="X63" s="103"/>
      <c r="Y63" s="103"/>
      <c r="Z63" s="103"/>
      <c r="AA63" s="103"/>
      <c r="AB63" s="103"/>
      <c r="AC63" s="103"/>
      <c r="AD63" s="103"/>
      <c r="AE63" s="103"/>
      <c r="AF63" s="103"/>
      <c r="AG63" s="103"/>
      <c r="AH63" s="103"/>
      <c r="AI63" s="103"/>
      <c r="AJ63" s="103"/>
      <c r="AK63" s="103"/>
      <c r="AL63" s="103"/>
      <c r="AM63" s="103"/>
      <c r="AN63" s="103"/>
      <c r="AO63" s="103"/>
      <c r="AP63" s="103"/>
      <c r="AQ63" s="103"/>
      <c r="AR63" s="103"/>
      <c r="AS63" s="103"/>
      <c r="AT63" s="34" t="s">
        <v>233</v>
      </c>
      <c r="AU63" s="34" t="s">
        <v>502</v>
      </c>
      <c r="AV63" s="34"/>
      <c r="AW63" s="34"/>
      <c r="AX63" s="63"/>
      <c r="AY63" s="34" t="s">
        <v>1923</v>
      </c>
      <c r="AZ63" s="63" t="s">
        <v>2002</v>
      </c>
      <c r="BA63" s="58"/>
      <c r="BB63" s="41"/>
    </row>
    <row r="64" spans="1:57" ht="15.75" hidden="1" customHeight="1">
      <c r="A64" s="193"/>
      <c r="B64" s="56" t="s">
        <v>1998</v>
      </c>
      <c r="C64" s="78"/>
      <c r="D64" s="103"/>
      <c r="E64" s="103"/>
      <c r="F64" s="103">
        <v>0.04</v>
      </c>
      <c r="G64" s="103"/>
      <c r="H64" s="103"/>
      <c r="I64" s="103"/>
      <c r="J64" s="103"/>
      <c r="K64" s="103"/>
      <c r="L64" s="103"/>
      <c r="M64" s="103"/>
      <c r="N64" s="103"/>
      <c r="O64" s="103"/>
      <c r="P64" s="103"/>
      <c r="Q64" s="103"/>
      <c r="R64" s="103"/>
      <c r="S64" s="103"/>
      <c r="T64" s="103"/>
      <c r="U64" s="103"/>
      <c r="V64" s="103"/>
      <c r="W64" s="103"/>
      <c r="X64" s="103"/>
      <c r="Y64" s="103"/>
      <c r="Z64" s="103"/>
      <c r="AA64" s="103"/>
      <c r="AB64" s="103"/>
      <c r="AC64" s="103"/>
      <c r="AD64" s="103"/>
      <c r="AE64" s="103"/>
      <c r="AF64" s="103"/>
      <c r="AG64" s="103"/>
      <c r="AH64" s="103"/>
      <c r="AI64" s="103"/>
      <c r="AJ64" s="103"/>
      <c r="AK64" s="103"/>
      <c r="AL64" s="103"/>
      <c r="AM64" s="103"/>
      <c r="AN64" s="103"/>
      <c r="AO64" s="103"/>
      <c r="AP64" s="103"/>
      <c r="AQ64" s="103"/>
      <c r="AR64" s="103"/>
      <c r="AS64" s="103"/>
      <c r="AT64" s="34" t="s">
        <v>233</v>
      </c>
      <c r="AU64" s="34" t="s">
        <v>956</v>
      </c>
      <c r="AV64" s="34"/>
      <c r="AW64" s="34"/>
      <c r="AX64" s="63"/>
      <c r="AY64" s="34" t="s">
        <v>1923</v>
      </c>
      <c r="AZ64" s="39" t="s">
        <v>1926</v>
      </c>
      <c r="BA64" s="58"/>
      <c r="BB64" s="41"/>
    </row>
    <row r="65" spans="1:58" ht="50.1" customHeight="1">
      <c r="A65" s="193">
        <v>23</v>
      </c>
      <c r="B65" s="56" t="s">
        <v>391</v>
      </c>
      <c r="C65" s="78" t="s">
        <v>93</v>
      </c>
      <c r="D65" s="103">
        <f>E65+F65</f>
        <v>11.919999999999998</v>
      </c>
      <c r="E65" s="103"/>
      <c r="F65" s="103">
        <f t="shared" si="8"/>
        <v>11.919999999999998</v>
      </c>
      <c r="G65" s="103">
        <v>0</v>
      </c>
      <c r="H65" s="103">
        <v>0.7</v>
      </c>
      <c r="I65" s="103">
        <f>9.79+0.46+0.27</f>
        <v>10.52</v>
      </c>
      <c r="J65" s="103">
        <v>0</v>
      </c>
      <c r="K65" s="103">
        <v>0</v>
      </c>
      <c r="L65" s="103">
        <v>0</v>
      </c>
      <c r="M65" s="103">
        <v>0</v>
      </c>
      <c r="N65" s="103">
        <v>0</v>
      </c>
      <c r="O65" s="103">
        <v>0</v>
      </c>
      <c r="P65" s="103">
        <v>0</v>
      </c>
      <c r="Q65" s="103">
        <v>0</v>
      </c>
      <c r="R65" s="103">
        <v>0</v>
      </c>
      <c r="S65" s="103">
        <v>0</v>
      </c>
      <c r="T65" s="103">
        <v>0</v>
      </c>
      <c r="U65" s="103">
        <v>0</v>
      </c>
      <c r="V65" s="103">
        <v>0</v>
      </c>
      <c r="W65" s="103">
        <v>0</v>
      </c>
      <c r="X65" s="103">
        <v>0</v>
      </c>
      <c r="Y65" s="103">
        <v>0</v>
      </c>
      <c r="Z65" s="103">
        <v>0</v>
      </c>
      <c r="AA65" s="103">
        <v>0</v>
      </c>
      <c r="AB65" s="103">
        <v>0</v>
      </c>
      <c r="AC65" s="103">
        <v>0</v>
      </c>
      <c r="AD65" s="103">
        <v>0</v>
      </c>
      <c r="AE65" s="103">
        <v>0</v>
      </c>
      <c r="AF65" s="103">
        <v>0</v>
      </c>
      <c r="AG65" s="103">
        <v>0.7</v>
      </c>
      <c r="AH65" s="103">
        <v>0</v>
      </c>
      <c r="AI65" s="103">
        <v>0</v>
      </c>
      <c r="AJ65" s="103">
        <v>0</v>
      </c>
      <c r="AK65" s="103">
        <v>0</v>
      </c>
      <c r="AL65" s="103">
        <v>0</v>
      </c>
      <c r="AM65" s="103">
        <v>0</v>
      </c>
      <c r="AN65" s="103">
        <v>0</v>
      </c>
      <c r="AO65" s="103">
        <v>0</v>
      </c>
      <c r="AP65" s="103">
        <v>0</v>
      </c>
      <c r="AQ65" s="103">
        <v>0</v>
      </c>
      <c r="AR65" s="103">
        <v>0</v>
      </c>
      <c r="AS65" s="103">
        <v>0</v>
      </c>
      <c r="AT65" s="34" t="s">
        <v>2003</v>
      </c>
      <c r="AU65" s="34" t="s">
        <v>615</v>
      </c>
      <c r="AV65" s="34"/>
      <c r="AW65" s="34"/>
      <c r="AX65" s="39" t="s">
        <v>1920</v>
      </c>
      <c r="AY65" s="34" t="s">
        <v>1917</v>
      </c>
      <c r="AZ65" s="39" t="s">
        <v>2004</v>
      </c>
      <c r="BA65" s="58"/>
      <c r="BB65" s="86"/>
      <c r="BF65" s="15">
        <v>1</v>
      </c>
    </row>
    <row r="66" spans="1:58" ht="15.75" hidden="1" customHeight="1">
      <c r="A66" s="220"/>
      <c r="B66" s="223" t="s">
        <v>391</v>
      </c>
      <c r="C66" s="78"/>
      <c r="D66" s="103"/>
      <c r="E66" s="103"/>
      <c r="F66" s="103">
        <v>1.5</v>
      </c>
      <c r="G66" s="103"/>
      <c r="H66" s="103"/>
      <c r="I66" s="103"/>
      <c r="J66" s="103"/>
      <c r="K66" s="103"/>
      <c r="L66" s="103"/>
      <c r="M66" s="103"/>
      <c r="N66" s="103"/>
      <c r="O66" s="103"/>
      <c r="P66" s="103"/>
      <c r="Q66" s="103"/>
      <c r="R66" s="103"/>
      <c r="S66" s="103"/>
      <c r="T66" s="103"/>
      <c r="U66" s="103"/>
      <c r="V66" s="103"/>
      <c r="W66" s="103"/>
      <c r="X66" s="103"/>
      <c r="Y66" s="103"/>
      <c r="Z66" s="103"/>
      <c r="AA66" s="103"/>
      <c r="AB66" s="103"/>
      <c r="AC66" s="103"/>
      <c r="AD66" s="103"/>
      <c r="AE66" s="103"/>
      <c r="AF66" s="103"/>
      <c r="AG66" s="103"/>
      <c r="AH66" s="103"/>
      <c r="AI66" s="103"/>
      <c r="AJ66" s="103"/>
      <c r="AK66" s="103"/>
      <c r="AL66" s="103"/>
      <c r="AM66" s="103"/>
      <c r="AN66" s="103"/>
      <c r="AO66" s="103"/>
      <c r="AP66" s="103"/>
      <c r="AQ66" s="103"/>
      <c r="AR66" s="103"/>
      <c r="AS66" s="103"/>
      <c r="AT66" s="34" t="s">
        <v>225</v>
      </c>
      <c r="AU66" s="34" t="s">
        <v>757</v>
      </c>
      <c r="AV66" s="34"/>
      <c r="AW66" s="34"/>
      <c r="AX66" s="39"/>
      <c r="AY66" s="38" t="s">
        <v>1923</v>
      </c>
      <c r="AZ66" s="39" t="s">
        <v>1924</v>
      </c>
      <c r="BA66" s="58"/>
      <c r="BB66" s="86"/>
    </row>
    <row r="67" spans="1:58" ht="31.5" hidden="1" customHeight="1">
      <c r="A67" s="220" t="s">
        <v>193</v>
      </c>
      <c r="B67" s="56" t="s">
        <v>391</v>
      </c>
      <c r="C67" s="78"/>
      <c r="D67" s="103"/>
      <c r="E67" s="103"/>
      <c r="F67" s="103">
        <v>2.91</v>
      </c>
      <c r="G67" s="103"/>
      <c r="H67" s="103"/>
      <c r="I67" s="103"/>
      <c r="J67" s="103"/>
      <c r="K67" s="103"/>
      <c r="L67" s="103"/>
      <c r="M67" s="103"/>
      <c r="N67" s="103"/>
      <c r="O67" s="103"/>
      <c r="P67" s="103"/>
      <c r="Q67" s="103"/>
      <c r="R67" s="103"/>
      <c r="S67" s="103"/>
      <c r="T67" s="103"/>
      <c r="U67" s="103"/>
      <c r="V67" s="103"/>
      <c r="W67" s="103"/>
      <c r="X67" s="103"/>
      <c r="Y67" s="103"/>
      <c r="Z67" s="103"/>
      <c r="AA67" s="103"/>
      <c r="AB67" s="103"/>
      <c r="AC67" s="103"/>
      <c r="AD67" s="103"/>
      <c r="AE67" s="103"/>
      <c r="AF67" s="103"/>
      <c r="AG67" s="103"/>
      <c r="AH67" s="103"/>
      <c r="AI67" s="103"/>
      <c r="AJ67" s="103"/>
      <c r="AK67" s="103"/>
      <c r="AL67" s="103"/>
      <c r="AM67" s="103"/>
      <c r="AN67" s="103"/>
      <c r="AO67" s="103"/>
      <c r="AP67" s="103"/>
      <c r="AQ67" s="103"/>
      <c r="AR67" s="103"/>
      <c r="AS67" s="103"/>
      <c r="AT67" s="34" t="s">
        <v>227</v>
      </c>
      <c r="AU67" s="34"/>
      <c r="AV67" s="34"/>
      <c r="AW67" s="34"/>
      <c r="AX67" s="39"/>
      <c r="AY67" s="38" t="s">
        <v>1917</v>
      </c>
      <c r="AZ67" s="39" t="s">
        <v>2005</v>
      </c>
      <c r="BA67" s="58"/>
      <c r="BB67" s="86"/>
    </row>
    <row r="68" spans="1:58" ht="31.5" hidden="1" customHeight="1">
      <c r="A68" s="193"/>
      <c r="B68" s="56" t="s">
        <v>391</v>
      </c>
      <c r="C68" s="78"/>
      <c r="D68" s="103"/>
      <c r="E68" s="103"/>
      <c r="F68" s="103">
        <v>3.99</v>
      </c>
      <c r="G68" s="103"/>
      <c r="H68" s="103"/>
      <c r="I68" s="103"/>
      <c r="J68" s="103"/>
      <c r="K68" s="103"/>
      <c r="L68" s="103"/>
      <c r="M68" s="103"/>
      <c r="N68" s="103"/>
      <c r="O68" s="103"/>
      <c r="P68" s="103"/>
      <c r="Q68" s="103"/>
      <c r="R68" s="103"/>
      <c r="S68" s="103"/>
      <c r="T68" s="103"/>
      <c r="U68" s="103"/>
      <c r="V68" s="103"/>
      <c r="W68" s="103"/>
      <c r="X68" s="103"/>
      <c r="Y68" s="103"/>
      <c r="Z68" s="103"/>
      <c r="AA68" s="103"/>
      <c r="AB68" s="103"/>
      <c r="AC68" s="103"/>
      <c r="AD68" s="103"/>
      <c r="AE68" s="103"/>
      <c r="AF68" s="103"/>
      <c r="AG68" s="103"/>
      <c r="AH68" s="103"/>
      <c r="AI68" s="103"/>
      <c r="AJ68" s="103"/>
      <c r="AK68" s="103"/>
      <c r="AL68" s="103"/>
      <c r="AM68" s="103"/>
      <c r="AN68" s="103"/>
      <c r="AO68" s="103"/>
      <c r="AP68" s="103"/>
      <c r="AQ68" s="103"/>
      <c r="AR68" s="103"/>
      <c r="AS68" s="103"/>
      <c r="AT68" s="34" t="s">
        <v>228</v>
      </c>
      <c r="AU68" s="34" t="s">
        <v>1857</v>
      </c>
      <c r="AV68" s="34"/>
      <c r="AW68" s="34"/>
      <c r="AX68" s="39"/>
      <c r="AY68" s="38" t="s">
        <v>1917</v>
      </c>
      <c r="AZ68" s="39" t="s">
        <v>2006</v>
      </c>
      <c r="BA68" s="58"/>
      <c r="BB68" s="86"/>
    </row>
    <row r="69" spans="1:58" ht="15.75" hidden="1" customHeight="1">
      <c r="A69" s="193"/>
      <c r="B69" s="56" t="s">
        <v>391</v>
      </c>
      <c r="C69" s="78"/>
      <c r="D69" s="103"/>
      <c r="E69" s="103"/>
      <c r="F69" s="103">
        <v>0.46</v>
      </c>
      <c r="G69" s="103"/>
      <c r="H69" s="103"/>
      <c r="I69" s="103"/>
      <c r="J69" s="103"/>
      <c r="K69" s="103"/>
      <c r="L69" s="103"/>
      <c r="M69" s="103"/>
      <c r="N69" s="103"/>
      <c r="O69" s="103"/>
      <c r="P69" s="103"/>
      <c r="Q69" s="103"/>
      <c r="R69" s="103"/>
      <c r="S69" s="103"/>
      <c r="T69" s="103"/>
      <c r="U69" s="103"/>
      <c r="V69" s="103"/>
      <c r="W69" s="103"/>
      <c r="X69" s="103"/>
      <c r="Y69" s="103"/>
      <c r="Z69" s="103"/>
      <c r="AA69" s="103"/>
      <c r="AB69" s="103"/>
      <c r="AC69" s="103"/>
      <c r="AD69" s="103"/>
      <c r="AE69" s="103"/>
      <c r="AF69" s="103"/>
      <c r="AG69" s="103"/>
      <c r="AH69" s="103"/>
      <c r="AI69" s="103"/>
      <c r="AJ69" s="103"/>
      <c r="AK69" s="103"/>
      <c r="AL69" s="103"/>
      <c r="AM69" s="103"/>
      <c r="AN69" s="103"/>
      <c r="AO69" s="103"/>
      <c r="AP69" s="103"/>
      <c r="AQ69" s="103"/>
      <c r="AR69" s="103"/>
      <c r="AS69" s="103"/>
      <c r="AT69" s="34" t="s">
        <v>233</v>
      </c>
      <c r="AU69" s="34" t="s">
        <v>1013</v>
      </c>
      <c r="AV69" s="34"/>
      <c r="AW69" s="34"/>
      <c r="AX69" s="39"/>
      <c r="AY69" s="34" t="s">
        <v>1923</v>
      </c>
      <c r="AZ69" s="39" t="s">
        <v>1926</v>
      </c>
      <c r="BA69" s="58"/>
      <c r="BB69" s="86"/>
    </row>
    <row r="70" spans="1:58" ht="15.75" hidden="1" customHeight="1">
      <c r="A70" s="193"/>
      <c r="B70" s="56" t="s">
        <v>391</v>
      </c>
      <c r="C70" s="78"/>
      <c r="D70" s="103"/>
      <c r="E70" s="103"/>
      <c r="F70" s="103">
        <v>0.69000000000000006</v>
      </c>
      <c r="G70" s="103"/>
      <c r="H70" s="103"/>
      <c r="I70" s="103"/>
      <c r="J70" s="103"/>
      <c r="K70" s="103"/>
      <c r="L70" s="103"/>
      <c r="M70" s="103"/>
      <c r="N70" s="103"/>
      <c r="O70" s="103"/>
      <c r="P70" s="103"/>
      <c r="Q70" s="103"/>
      <c r="R70" s="103"/>
      <c r="S70" s="103"/>
      <c r="T70" s="103"/>
      <c r="U70" s="103"/>
      <c r="V70" s="103"/>
      <c r="W70" s="103"/>
      <c r="X70" s="103"/>
      <c r="Y70" s="103"/>
      <c r="Z70" s="103"/>
      <c r="AA70" s="103"/>
      <c r="AB70" s="103"/>
      <c r="AC70" s="103"/>
      <c r="AD70" s="103"/>
      <c r="AE70" s="103"/>
      <c r="AF70" s="103"/>
      <c r="AG70" s="103"/>
      <c r="AH70" s="103"/>
      <c r="AI70" s="103"/>
      <c r="AJ70" s="103"/>
      <c r="AK70" s="103"/>
      <c r="AL70" s="103"/>
      <c r="AM70" s="103"/>
      <c r="AN70" s="103"/>
      <c r="AO70" s="103"/>
      <c r="AP70" s="103"/>
      <c r="AQ70" s="103"/>
      <c r="AR70" s="103"/>
      <c r="AS70" s="103"/>
      <c r="AT70" s="34" t="s">
        <v>233</v>
      </c>
      <c r="AU70" s="34" t="s">
        <v>1013</v>
      </c>
      <c r="AV70" s="34"/>
      <c r="AW70" s="34"/>
      <c r="AX70" s="39"/>
      <c r="AY70" s="34" t="s">
        <v>1923</v>
      </c>
      <c r="AZ70" s="39" t="s">
        <v>1926</v>
      </c>
      <c r="BA70" s="58"/>
      <c r="BB70" s="86"/>
    </row>
    <row r="71" spans="1:58" ht="31.5" hidden="1" customHeight="1">
      <c r="A71" s="193"/>
      <c r="B71" s="56" t="s">
        <v>391</v>
      </c>
      <c r="C71" s="78"/>
      <c r="D71" s="103"/>
      <c r="E71" s="103"/>
      <c r="F71" s="103">
        <v>2.37</v>
      </c>
      <c r="G71" s="103"/>
      <c r="H71" s="103"/>
      <c r="I71" s="103"/>
      <c r="J71" s="103"/>
      <c r="K71" s="103"/>
      <c r="L71" s="103"/>
      <c r="M71" s="103"/>
      <c r="N71" s="103"/>
      <c r="O71" s="103"/>
      <c r="P71" s="103"/>
      <c r="Q71" s="103"/>
      <c r="R71" s="103"/>
      <c r="S71" s="103"/>
      <c r="T71" s="103"/>
      <c r="U71" s="103"/>
      <c r="V71" s="103"/>
      <c r="W71" s="103"/>
      <c r="X71" s="103"/>
      <c r="Y71" s="103"/>
      <c r="Z71" s="103"/>
      <c r="AA71" s="103"/>
      <c r="AB71" s="103"/>
      <c r="AC71" s="103"/>
      <c r="AD71" s="103"/>
      <c r="AE71" s="103"/>
      <c r="AF71" s="103"/>
      <c r="AG71" s="103"/>
      <c r="AH71" s="103"/>
      <c r="AI71" s="103"/>
      <c r="AJ71" s="103"/>
      <c r="AK71" s="103"/>
      <c r="AL71" s="103"/>
      <c r="AM71" s="103"/>
      <c r="AN71" s="103"/>
      <c r="AO71" s="103"/>
      <c r="AP71" s="103"/>
      <c r="AQ71" s="103"/>
      <c r="AR71" s="103"/>
      <c r="AS71" s="103"/>
      <c r="AT71" s="34" t="s">
        <v>240</v>
      </c>
      <c r="AU71" s="34" t="s">
        <v>328</v>
      </c>
      <c r="AV71" s="34"/>
      <c r="AW71" s="34"/>
      <c r="AX71" s="39"/>
      <c r="AY71" s="34" t="s">
        <v>1923</v>
      </c>
      <c r="AZ71" s="39" t="s">
        <v>2007</v>
      </c>
      <c r="BA71" s="58"/>
      <c r="BB71" s="86"/>
    </row>
    <row r="72" spans="1:58" ht="36" customHeight="1">
      <c r="A72" s="193">
        <v>24</v>
      </c>
      <c r="B72" s="56" t="s">
        <v>403</v>
      </c>
      <c r="C72" s="78" t="s">
        <v>93</v>
      </c>
      <c r="D72" s="103">
        <f>E72+F72</f>
        <v>0.31</v>
      </c>
      <c r="E72" s="103"/>
      <c r="F72" s="103">
        <f t="shared" si="8"/>
        <v>0.31</v>
      </c>
      <c r="G72" s="103">
        <v>0.31</v>
      </c>
      <c r="H72" s="103">
        <v>0</v>
      </c>
      <c r="I72" s="103">
        <v>0</v>
      </c>
      <c r="J72" s="103">
        <v>0</v>
      </c>
      <c r="K72" s="103">
        <v>0</v>
      </c>
      <c r="L72" s="103">
        <v>0</v>
      </c>
      <c r="M72" s="103">
        <v>0</v>
      </c>
      <c r="N72" s="103">
        <v>0</v>
      </c>
      <c r="O72" s="103">
        <v>0</v>
      </c>
      <c r="P72" s="103">
        <v>0</v>
      </c>
      <c r="Q72" s="103">
        <v>0</v>
      </c>
      <c r="R72" s="103">
        <v>0</v>
      </c>
      <c r="S72" s="103">
        <v>0</v>
      </c>
      <c r="T72" s="103">
        <v>0</v>
      </c>
      <c r="U72" s="103">
        <v>0</v>
      </c>
      <c r="V72" s="103">
        <v>0</v>
      </c>
      <c r="W72" s="103">
        <v>0</v>
      </c>
      <c r="X72" s="103">
        <v>0</v>
      </c>
      <c r="Y72" s="103">
        <v>0</v>
      </c>
      <c r="Z72" s="103">
        <v>0</v>
      </c>
      <c r="AA72" s="103">
        <v>0</v>
      </c>
      <c r="AB72" s="103">
        <v>0</v>
      </c>
      <c r="AC72" s="103">
        <v>0</v>
      </c>
      <c r="AD72" s="103">
        <v>0</v>
      </c>
      <c r="AE72" s="103">
        <v>0</v>
      </c>
      <c r="AF72" s="103">
        <v>0</v>
      </c>
      <c r="AG72" s="103">
        <v>0</v>
      </c>
      <c r="AH72" s="103">
        <v>0</v>
      </c>
      <c r="AI72" s="103">
        <v>0</v>
      </c>
      <c r="AJ72" s="103">
        <v>0</v>
      </c>
      <c r="AK72" s="103">
        <v>0</v>
      </c>
      <c r="AL72" s="103">
        <v>0</v>
      </c>
      <c r="AM72" s="103">
        <v>0</v>
      </c>
      <c r="AN72" s="103">
        <v>0</v>
      </c>
      <c r="AO72" s="103">
        <v>0</v>
      </c>
      <c r="AP72" s="103">
        <v>0</v>
      </c>
      <c r="AQ72" s="103">
        <v>0</v>
      </c>
      <c r="AR72" s="103">
        <v>0</v>
      </c>
      <c r="AS72" s="103">
        <v>0</v>
      </c>
      <c r="AT72" s="34" t="s">
        <v>2008</v>
      </c>
      <c r="AU72" s="34" t="s">
        <v>615</v>
      </c>
      <c r="AV72" s="34"/>
      <c r="AW72" s="34"/>
      <c r="AX72" s="63" t="s">
        <v>1970</v>
      </c>
      <c r="AY72" s="34" t="s">
        <v>1923</v>
      </c>
      <c r="AZ72" s="63" t="s">
        <v>2009</v>
      </c>
      <c r="BB72" s="41"/>
      <c r="BE72" s="15">
        <v>1</v>
      </c>
    </row>
    <row r="73" spans="1:58" s="61" customFormat="1" ht="15.75" hidden="1" customHeight="1">
      <c r="A73" s="220" t="s">
        <v>193</v>
      </c>
      <c r="B73" s="56" t="s">
        <v>403</v>
      </c>
      <c r="C73" s="78"/>
      <c r="D73" s="103"/>
      <c r="E73" s="103"/>
      <c r="F73" s="103">
        <v>0.16</v>
      </c>
      <c r="G73" s="103"/>
      <c r="H73" s="103"/>
      <c r="I73" s="103"/>
      <c r="J73" s="103"/>
      <c r="K73" s="103"/>
      <c r="L73" s="103"/>
      <c r="M73" s="103"/>
      <c r="N73" s="103"/>
      <c r="O73" s="103"/>
      <c r="P73" s="103"/>
      <c r="Q73" s="103"/>
      <c r="R73" s="103"/>
      <c r="S73" s="103"/>
      <c r="T73" s="103"/>
      <c r="U73" s="103"/>
      <c r="V73" s="103"/>
      <c r="W73" s="103"/>
      <c r="X73" s="103"/>
      <c r="Y73" s="103"/>
      <c r="Z73" s="103"/>
      <c r="AA73" s="103"/>
      <c r="AB73" s="103"/>
      <c r="AC73" s="103"/>
      <c r="AD73" s="103"/>
      <c r="AE73" s="103"/>
      <c r="AF73" s="103"/>
      <c r="AG73" s="103"/>
      <c r="AH73" s="103"/>
      <c r="AI73" s="103"/>
      <c r="AJ73" s="103"/>
      <c r="AK73" s="103"/>
      <c r="AL73" s="103"/>
      <c r="AM73" s="103"/>
      <c r="AN73" s="103"/>
      <c r="AO73" s="103"/>
      <c r="AP73" s="103"/>
      <c r="AQ73" s="103"/>
      <c r="AR73" s="103"/>
      <c r="AS73" s="103"/>
      <c r="AT73" s="34" t="s">
        <v>227</v>
      </c>
      <c r="AU73" s="38" t="s">
        <v>1945</v>
      </c>
      <c r="AV73" s="38"/>
      <c r="AW73" s="38"/>
      <c r="AX73" s="39"/>
      <c r="AY73" s="38" t="s">
        <v>1923</v>
      </c>
      <c r="AZ73" s="39" t="s">
        <v>1924</v>
      </c>
      <c r="BA73" s="15"/>
      <c r="BB73" s="202"/>
    </row>
    <row r="74" spans="1:58" ht="15.75" hidden="1" customHeight="1">
      <c r="A74" s="193"/>
      <c r="B74" s="56" t="s">
        <v>403</v>
      </c>
      <c r="C74" s="78"/>
      <c r="D74" s="103"/>
      <c r="E74" s="103"/>
      <c r="F74" s="103">
        <v>0.1</v>
      </c>
      <c r="G74" s="103"/>
      <c r="H74" s="103"/>
      <c r="I74" s="103"/>
      <c r="J74" s="103"/>
      <c r="K74" s="103"/>
      <c r="L74" s="103"/>
      <c r="M74" s="103"/>
      <c r="N74" s="103"/>
      <c r="O74" s="103"/>
      <c r="P74" s="103"/>
      <c r="Q74" s="103"/>
      <c r="R74" s="103"/>
      <c r="S74" s="103"/>
      <c r="T74" s="103"/>
      <c r="U74" s="103"/>
      <c r="V74" s="103"/>
      <c r="W74" s="103"/>
      <c r="X74" s="103"/>
      <c r="Y74" s="103"/>
      <c r="Z74" s="103"/>
      <c r="AA74" s="103"/>
      <c r="AB74" s="103"/>
      <c r="AC74" s="103"/>
      <c r="AD74" s="103"/>
      <c r="AE74" s="103"/>
      <c r="AF74" s="103"/>
      <c r="AG74" s="103"/>
      <c r="AH74" s="103"/>
      <c r="AI74" s="103"/>
      <c r="AJ74" s="103"/>
      <c r="AK74" s="103"/>
      <c r="AL74" s="103"/>
      <c r="AM74" s="103"/>
      <c r="AN74" s="103"/>
      <c r="AO74" s="103"/>
      <c r="AP74" s="103"/>
      <c r="AQ74" s="103"/>
      <c r="AR74" s="103"/>
      <c r="AS74" s="103"/>
      <c r="AT74" s="34" t="s">
        <v>233</v>
      </c>
      <c r="AU74" s="34" t="s">
        <v>1549</v>
      </c>
      <c r="AV74" s="34"/>
      <c r="AW74" s="34"/>
      <c r="AX74" s="63"/>
      <c r="AY74" s="34" t="s">
        <v>1923</v>
      </c>
      <c r="AZ74" s="39" t="s">
        <v>1926</v>
      </c>
      <c r="BB74" s="41"/>
    </row>
    <row r="75" spans="1:58" ht="15.75" hidden="1" customHeight="1">
      <c r="A75" s="193"/>
      <c r="B75" s="56" t="s">
        <v>403</v>
      </c>
      <c r="C75" s="78" t="s">
        <v>93</v>
      </c>
      <c r="D75" s="103">
        <f>E75+F75</f>
        <v>0.05</v>
      </c>
      <c r="E75" s="103"/>
      <c r="F75" s="103">
        <v>0.05</v>
      </c>
      <c r="G75" s="103">
        <v>0.31</v>
      </c>
      <c r="H75" s="103">
        <v>0</v>
      </c>
      <c r="I75" s="103">
        <v>0</v>
      </c>
      <c r="J75" s="103">
        <v>0</v>
      </c>
      <c r="K75" s="103">
        <v>0</v>
      </c>
      <c r="L75" s="103">
        <v>0</v>
      </c>
      <c r="M75" s="103">
        <v>0</v>
      </c>
      <c r="N75" s="103">
        <v>0</v>
      </c>
      <c r="O75" s="103">
        <v>0</v>
      </c>
      <c r="P75" s="103">
        <v>0</v>
      </c>
      <c r="Q75" s="103">
        <v>0</v>
      </c>
      <c r="R75" s="103">
        <v>0</v>
      </c>
      <c r="S75" s="103">
        <v>0</v>
      </c>
      <c r="T75" s="103">
        <v>0</v>
      </c>
      <c r="U75" s="103">
        <v>0</v>
      </c>
      <c r="V75" s="103">
        <v>0</v>
      </c>
      <c r="W75" s="103">
        <v>0</v>
      </c>
      <c r="X75" s="103">
        <v>0</v>
      </c>
      <c r="Y75" s="103">
        <v>0</v>
      </c>
      <c r="Z75" s="103">
        <v>0</v>
      </c>
      <c r="AA75" s="103">
        <v>0</v>
      </c>
      <c r="AB75" s="103">
        <v>0</v>
      </c>
      <c r="AC75" s="103">
        <v>0</v>
      </c>
      <c r="AD75" s="103">
        <v>0</v>
      </c>
      <c r="AE75" s="103">
        <v>0</v>
      </c>
      <c r="AF75" s="103">
        <v>0</v>
      </c>
      <c r="AG75" s="103">
        <v>0</v>
      </c>
      <c r="AH75" s="103">
        <v>0</v>
      </c>
      <c r="AI75" s="103">
        <v>0</v>
      </c>
      <c r="AJ75" s="103">
        <v>0</v>
      </c>
      <c r="AK75" s="103">
        <v>0</v>
      </c>
      <c r="AL75" s="103">
        <v>0</v>
      </c>
      <c r="AM75" s="103">
        <v>0</v>
      </c>
      <c r="AN75" s="103">
        <v>0</v>
      </c>
      <c r="AO75" s="103">
        <v>0</v>
      </c>
      <c r="AP75" s="103">
        <v>0</v>
      </c>
      <c r="AQ75" s="103">
        <v>0</v>
      </c>
      <c r="AR75" s="103">
        <v>0</v>
      </c>
      <c r="AS75" s="103">
        <v>0</v>
      </c>
      <c r="AT75" s="34" t="s">
        <v>240</v>
      </c>
      <c r="AU75" s="34" t="s">
        <v>305</v>
      </c>
      <c r="AV75" s="34"/>
      <c r="AW75" s="34"/>
      <c r="AX75" s="63" t="s">
        <v>1970</v>
      </c>
      <c r="AY75" s="34" t="s">
        <v>1923</v>
      </c>
      <c r="AZ75" s="63" t="s">
        <v>2010</v>
      </c>
      <c r="BB75" s="41"/>
    </row>
    <row r="76" spans="1:58" ht="34.35" customHeight="1">
      <c r="A76" s="1658">
        <v>25</v>
      </c>
      <c r="B76" s="1659" t="s">
        <v>2011</v>
      </c>
      <c r="C76" s="78" t="s">
        <v>93</v>
      </c>
      <c r="D76" s="103">
        <f t="shared" ref="D76:D94" si="10">E76+F76</f>
        <v>5.1000000000000005</v>
      </c>
      <c r="E76" s="103"/>
      <c r="F76" s="103">
        <f t="shared" si="8"/>
        <v>5.1000000000000005</v>
      </c>
      <c r="G76" s="103">
        <v>3</v>
      </c>
      <c r="H76" s="103">
        <v>0.25</v>
      </c>
      <c r="I76" s="103">
        <v>1.17</v>
      </c>
      <c r="J76" s="103">
        <v>0.52000000000000024</v>
      </c>
      <c r="K76" s="103"/>
      <c r="L76" s="103"/>
      <c r="M76" s="103"/>
      <c r="N76" s="103"/>
      <c r="O76" s="103"/>
      <c r="P76" s="103"/>
      <c r="Q76" s="103"/>
      <c r="R76" s="103"/>
      <c r="S76" s="103"/>
      <c r="T76" s="103"/>
      <c r="U76" s="103"/>
      <c r="V76" s="103"/>
      <c r="W76" s="103"/>
      <c r="X76" s="103"/>
      <c r="Y76" s="103"/>
      <c r="Z76" s="103"/>
      <c r="AA76" s="103"/>
      <c r="AB76" s="103">
        <v>0.05</v>
      </c>
      <c r="AC76" s="103"/>
      <c r="AD76" s="103"/>
      <c r="AE76" s="103"/>
      <c r="AF76" s="103"/>
      <c r="AG76" s="103"/>
      <c r="AH76" s="103"/>
      <c r="AI76" s="103"/>
      <c r="AJ76" s="103">
        <v>0.11</v>
      </c>
      <c r="AK76" s="103"/>
      <c r="AL76" s="103"/>
      <c r="AM76" s="103"/>
      <c r="AN76" s="103"/>
      <c r="AO76" s="103"/>
      <c r="AP76" s="103"/>
      <c r="AQ76" s="103"/>
      <c r="AR76" s="103"/>
      <c r="AS76" s="103"/>
      <c r="AT76" s="34" t="s">
        <v>289</v>
      </c>
      <c r="AU76" s="34" t="s">
        <v>615</v>
      </c>
      <c r="AV76" s="34"/>
      <c r="AW76" s="34"/>
      <c r="AX76" s="39" t="s">
        <v>1920</v>
      </c>
      <c r="AY76" s="34" t="s">
        <v>1986</v>
      </c>
      <c r="AZ76" s="39" t="s">
        <v>2012</v>
      </c>
      <c r="BB76" s="41"/>
      <c r="BC76" s="15">
        <v>1</v>
      </c>
    </row>
    <row r="77" spans="1:58" ht="21" customHeight="1">
      <c r="A77" s="1658"/>
      <c r="B77" s="1659"/>
      <c r="C77" s="78" t="s">
        <v>93</v>
      </c>
      <c r="D77" s="103">
        <f t="shared" si="10"/>
        <v>12.23</v>
      </c>
      <c r="E77" s="103"/>
      <c r="F77" s="103">
        <f t="shared" si="8"/>
        <v>12.23</v>
      </c>
      <c r="G77" s="103">
        <v>3.68</v>
      </c>
      <c r="H77" s="103">
        <v>1.9</v>
      </c>
      <c r="I77" s="103"/>
      <c r="J77" s="103"/>
      <c r="K77" s="103">
        <v>6.6499999999999995</v>
      </c>
      <c r="L77" s="103"/>
      <c r="M77" s="103">
        <v>6.6499999999999995</v>
      </c>
      <c r="N77" s="103"/>
      <c r="O77" s="103"/>
      <c r="P77" s="103"/>
      <c r="Q77" s="103"/>
      <c r="R77" s="103"/>
      <c r="S77" s="103"/>
      <c r="T77" s="103"/>
      <c r="U77" s="103"/>
      <c r="V77" s="103"/>
      <c r="W77" s="103"/>
      <c r="X77" s="103"/>
      <c r="Y77" s="103"/>
      <c r="Z77" s="103"/>
      <c r="AA77" s="103"/>
      <c r="AB77" s="103"/>
      <c r="AC77" s="103"/>
      <c r="AD77" s="103"/>
      <c r="AE77" s="103"/>
      <c r="AF77" s="103"/>
      <c r="AG77" s="103"/>
      <c r="AH77" s="103"/>
      <c r="AI77" s="103"/>
      <c r="AJ77" s="103"/>
      <c r="AK77" s="103"/>
      <c r="AL77" s="103"/>
      <c r="AM77" s="103"/>
      <c r="AN77" s="103"/>
      <c r="AO77" s="103"/>
      <c r="AP77" s="103"/>
      <c r="AQ77" s="103"/>
      <c r="AR77" s="103"/>
      <c r="AS77" s="103"/>
      <c r="AT77" s="34" t="s">
        <v>222</v>
      </c>
      <c r="AU77" s="34" t="s">
        <v>2013</v>
      </c>
      <c r="AV77" s="34"/>
      <c r="AW77" s="34"/>
      <c r="AX77" s="39" t="s">
        <v>1920</v>
      </c>
      <c r="AY77" s="34" t="s">
        <v>1923</v>
      </c>
      <c r="AZ77" s="39" t="s">
        <v>2014</v>
      </c>
      <c r="BB77" s="41"/>
      <c r="BD77" s="15">
        <v>1</v>
      </c>
    </row>
    <row r="78" spans="1:58" ht="65.099999999999994" customHeight="1">
      <c r="A78" s="1658"/>
      <c r="B78" s="1659"/>
      <c r="C78" s="78" t="s">
        <v>93</v>
      </c>
      <c r="D78" s="103">
        <f t="shared" si="10"/>
        <v>3.36</v>
      </c>
      <c r="E78" s="103"/>
      <c r="F78" s="103">
        <f t="shared" si="8"/>
        <v>3.36</v>
      </c>
      <c r="G78" s="103">
        <v>1.52</v>
      </c>
      <c r="H78" s="103"/>
      <c r="I78" s="103"/>
      <c r="J78" s="103">
        <v>0.05</v>
      </c>
      <c r="K78" s="103">
        <v>1.69</v>
      </c>
      <c r="L78" s="103"/>
      <c r="M78" s="103">
        <v>1.69</v>
      </c>
      <c r="N78" s="103"/>
      <c r="O78" s="103"/>
      <c r="P78" s="103">
        <v>0.1</v>
      </c>
      <c r="Q78" s="103"/>
      <c r="R78" s="103"/>
      <c r="S78" s="103"/>
      <c r="T78" s="103"/>
      <c r="U78" s="103"/>
      <c r="V78" s="103"/>
      <c r="W78" s="103"/>
      <c r="X78" s="103"/>
      <c r="Y78" s="103"/>
      <c r="Z78" s="103"/>
      <c r="AA78" s="103"/>
      <c r="AB78" s="103"/>
      <c r="AC78" s="103"/>
      <c r="AD78" s="103"/>
      <c r="AE78" s="103"/>
      <c r="AF78" s="103"/>
      <c r="AG78" s="103"/>
      <c r="AH78" s="103"/>
      <c r="AI78" s="103"/>
      <c r="AJ78" s="103"/>
      <c r="AK78" s="103"/>
      <c r="AL78" s="103"/>
      <c r="AM78" s="103"/>
      <c r="AN78" s="103"/>
      <c r="AO78" s="103"/>
      <c r="AP78" s="103"/>
      <c r="AQ78" s="103"/>
      <c r="AR78" s="103"/>
      <c r="AS78" s="103"/>
      <c r="AT78" s="34" t="s">
        <v>224</v>
      </c>
      <c r="AU78" s="34" t="s">
        <v>2015</v>
      </c>
      <c r="AV78" s="34"/>
      <c r="AW78" s="34"/>
      <c r="AX78" s="39" t="s">
        <v>1920</v>
      </c>
      <c r="AY78" s="34" t="s">
        <v>1917</v>
      </c>
      <c r="AZ78" s="39" t="s">
        <v>2016</v>
      </c>
      <c r="BB78" s="41"/>
      <c r="BF78" s="15">
        <v>1</v>
      </c>
    </row>
    <row r="79" spans="1:58" ht="37.35" customHeight="1">
      <c r="A79" s="1658"/>
      <c r="B79" s="1659"/>
      <c r="C79" s="78" t="s">
        <v>93</v>
      </c>
      <c r="D79" s="103">
        <f t="shared" si="10"/>
        <v>1.56</v>
      </c>
      <c r="E79" s="103"/>
      <c r="F79" s="103">
        <f t="shared" si="8"/>
        <v>1.56</v>
      </c>
      <c r="G79" s="103"/>
      <c r="H79" s="103"/>
      <c r="I79" s="103"/>
      <c r="J79" s="103">
        <v>0.56000000000000005</v>
      </c>
      <c r="K79" s="103"/>
      <c r="L79" s="103"/>
      <c r="M79" s="103"/>
      <c r="N79" s="103"/>
      <c r="O79" s="103"/>
      <c r="P79" s="103"/>
      <c r="Q79" s="103"/>
      <c r="R79" s="103"/>
      <c r="S79" s="103"/>
      <c r="T79" s="103"/>
      <c r="U79" s="103"/>
      <c r="V79" s="103"/>
      <c r="W79" s="103"/>
      <c r="X79" s="103"/>
      <c r="Y79" s="103"/>
      <c r="Z79" s="103"/>
      <c r="AA79" s="103"/>
      <c r="AB79" s="103"/>
      <c r="AC79" s="103"/>
      <c r="AD79" s="103"/>
      <c r="AE79" s="103"/>
      <c r="AF79" s="103"/>
      <c r="AG79" s="103">
        <v>1</v>
      </c>
      <c r="AH79" s="103"/>
      <c r="AI79" s="103"/>
      <c r="AJ79" s="103"/>
      <c r="AK79" s="103"/>
      <c r="AL79" s="103"/>
      <c r="AM79" s="103"/>
      <c r="AN79" s="103"/>
      <c r="AO79" s="103"/>
      <c r="AP79" s="103"/>
      <c r="AQ79" s="103"/>
      <c r="AR79" s="103"/>
      <c r="AS79" s="103"/>
      <c r="AT79" s="34" t="s">
        <v>225</v>
      </c>
      <c r="AU79" s="34" t="s">
        <v>2017</v>
      </c>
      <c r="AV79" s="34"/>
      <c r="AW79" s="34" t="s">
        <v>2018</v>
      </c>
      <c r="AX79" s="39" t="s">
        <v>1920</v>
      </c>
      <c r="AY79" s="38" t="s">
        <v>1923</v>
      </c>
      <c r="AZ79" s="39" t="s">
        <v>2019</v>
      </c>
      <c r="BB79" s="41"/>
      <c r="BE79" s="15">
        <v>1</v>
      </c>
    </row>
    <row r="80" spans="1:58" ht="15.75" hidden="1" customHeight="1">
      <c r="A80" s="224"/>
      <c r="B80" s="217"/>
      <c r="C80" s="78" t="s">
        <v>93</v>
      </c>
      <c r="D80" s="103">
        <f>E80+F80</f>
        <v>0.56000000000000005</v>
      </c>
      <c r="E80" s="103"/>
      <c r="F80" s="103">
        <v>0.56000000000000005</v>
      </c>
      <c r="G80" s="103"/>
      <c r="H80" s="103"/>
      <c r="I80" s="103"/>
      <c r="J80" s="103">
        <v>0.56000000000000005</v>
      </c>
      <c r="K80" s="103"/>
      <c r="L80" s="103"/>
      <c r="M80" s="103"/>
      <c r="N80" s="103"/>
      <c r="O80" s="103"/>
      <c r="P80" s="103"/>
      <c r="Q80" s="103"/>
      <c r="R80" s="103"/>
      <c r="S80" s="103"/>
      <c r="T80" s="103"/>
      <c r="U80" s="103"/>
      <c r="V80" s="103"/>
      <c r="W80" s="103"/>
      <c r="X80" s="103"/>
      <c r="Y80" s="103"/>
      <c r="Z80" s="103"/>
      <c r="AA80" s="103"/>
      <c r="AB80" s="103"/>
      <c r="AC80" s="103"/>
      <c r="AD80" s="103"/>
      <c r="AE80" s="103"/>
      <c r="AF80" s="103"/>
      <c r="AG80" s="103">
        <v>1</v>
      </c>
      <c r="AH80" s="103"/>
      <c r="AI80" s="103"/>
      <c r="AJ80" s="103"/>
      <c r="AK80" s="103"/>
      <c r="AL80" s="103"/>
      <c r="AM80" s="103"/>
      <c r="AN80" s="103"/>
      <c r="AO80" s="103"/>
      <c r="AP80" s="103"/>
      <c r="AQ80" s="103"/>
      <c r="AR80" s="103"/>
      <c r="AS80" s="103"/>
      <c r="AT80" s="34" t="s">
        <v>225</v>
      </c>
      <c r="AU80" s="34" t="s">
        <v>390</v>
      </c>
      <c r="AV80" s="34"/>
      <c r="AW80" s="34" t="s">
        <v>2018</v>
      </c>
      <c r="AX80" s="39" t="s">
        <v>1920</v>
      </c>
      <c r="AY80" s="38" t="s">
        <v>1923</v>
      </c>
      <c r="AZ80" s="39" t="s">
        <v>1924</v>
      </c>
      <c r="BB80" s="41"/>
      <c r="BE80" s="15">
        <v>1</v>
      </c>
    </row>
    <row r="81" spans="1:58" ht="15.75" hidden="1" customHeight="1">
      <c r="A81" s="224"/>
      <c r="B81" s="217"/>
      <c r="C81" s="78"/>
      <c r="D81" s="103"/>
      <c r="E81" s="103"/>
      <c r="F81" s="103">
        <v>0.02</v>
      </c>
      <c r="G81" s="103"/>
      <c r="H81" s="103"/>
      <c r="I81" s="103"/>
      <c r="J81" s="103"/>
      <c r="K81" s="103"/>
      <c r="L81" s="103"/>
      <c r="M81" s="103"/>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34" t="s">
        <v>225</v>
      </c>
      <c r="AU81" s="34"/>
      <c r="AV81" s="34"/>
      <c r="AW81" s="34"/>
      <c r="AX81" s="39"/>
      <c r="AY81" s="38" t="s">
        <v>1923</v>
      </c>
      <c r="AZ81" s="39" t="s">
        <v>1971</v>
      </c>
      <c r="BB81" s="41"/>
      <c r="BE81" s="15">
        <v>1</v>
      </c>
    </row>
    <row r="82" spans="1:58" ht="45.6" customHeight="1">
      <c r="A82" s="1658">
        <v>25</v>
      </c>
      <c r="B82" s="1659" t="s">
        <v>2011</v>
      </c>
      <c r="C82" s="78" t="s">
        <v>93</v>
      </c>
      <c r="D82" s="103">
        <f t="shared" si="10"/>
        <v>35.43</v>
      </c>
      <c r="E82" s="103"/>
      <c r="F82" s="103">
        <f t="shared" si="8"/>
        <v>35.43</v>
      </c>
      <c r="G82" s="103">
        <v>11.39</v>
      </c>
      <c r="H82" s="103"/>
      <c r="I82" s="103">
        <v>19.98</v>
      </c>
      <c r="J82" s="103"/>
      <c r="K82" s="103">
        <v>3.34</v>
      </c>
      <c r="L82" s="103"/>
      <c r="M82" s="103">
        <v>3.34</v>
      </c>
      <c r="N82" s="103"/>
      <c r="O82" s="103"/>
      <c r="P82" s="103"/>
      <c r="Q82" s="103"/>
      <c r="R82" s="103"/>
      <c r="S82" s="103"/>
      <c r="T82" s="103"/>
      <c r="U82" s="103">
        <v>0.32</v>
      </c>
      <c r="V82" s="103"/>
      <c r="W82" s="103"/>
      <c r="X82" s="103"/>
      <c r="Y82" s="103"/>
      <c r="Z82" s="103"/>
      <c r="AA82" s="103"/>
      <c r="AB82" s="103"/>
      <c r="AC82" s="103"/>
      <c r="AD82" s="103"/>
      <c r="AE82" s="103">
        <v>0.4</v>
      </c>
      <c r="AF82" s="103"/>
      <c r="AG82" s="103"/>
      <c r="AH82" s="103"/>
      <c r="AI82" s="103"/>
      <c r="AJ82" s="103"/>
      <c r="AK82" s="103"/>
      <c r="AL82" s="103"/>
      <c r="AM82" s="103"/>
      <c r="AN82" s="103"/>
      <c r="AO82" s="103"/>
      <c r="AP82" s="103"/>
      <c r="AQ82" s="103"/>
      <c r="AR82" s="103"/>
      <c r="AS82" s="103"/>
      <c r="AT82" s="34" t="s">
        <v>226</v>
      </c>
      <c r="AU82" s="34" t="s">
        <v>615</v>
      </c>
      <c r="AV82" s="34"/>
      <c r="AW82" s="34"/>
      <c r="AX82" s="39" t="s">
        <v>1920</v>
      </c>
      <c r="AY82" s="34" t="s">
        <v>1923</v>
      </c>
      <c r="AZ82" s="39" t="s">
        <v>2020</v>
      </c>
      <c r="BB82" s="41"/>
      <c r="BE82" s="15">
        <v>1</v>
      </c>
    </row>
    <row r="83" spans="1:58" ht="22.35" customHeight="1">
      <c r="A83" s="1658"/>
      <c r="B83" s="1659"/>
      <c r="C83" s="78" t="s">
        <v>93</v>
      </c>
      <c r="D83" s="103">
        <f t="shared" si="10"/>
        <v>1.5</v>
      </c>
      <c r="E83" s="103"/>
      <c r="F83" s="103">
        <f t="shared" si="8"/>
        <v>1.5</v>
      </c>
      <c r="G83" s="103">
        <v>0.5</v>
      </c>
      <c r="H83" s="103"/>
      <c r="I83" s="103"/>
      <c r="J83" s="103"/>
      <c r="K83" s="103"/>
      <c r="L83" s="103"/>
      <c r="M83" s="103"/>
      <c r="N83" s="103"/>
      <c r="O83" s="103"/>
      <c r="P83" s="103"/>
      <c r="Q83" s="103"/>
      <c r="R83" s="103"/>
      <c r="S83" s="103"/>
      <c r="T83" s="103"/>
      <c r="U83" s="103"/>
      <c r="V83" s="103"/>
      <c r="W83" s="103"/>
      <c r="X83" s="103"/>
      <c r="Y83" s="103"/>
      <c r="Z83" s="103"/>
      <c r="AA83" s="103"/>
      <c r="AB83" s="103"/>
      <c r="AC83" s="103"/>
      <c r="AD83" s="103"/>
      <c r="AE83" s="103"/>
      <c r="AF83" s="103"/>
      <c r="AG83" s="103">
        <v>1</v>
      </c>
      <c r="AH83" s="103"/>
      <c r="AI83" s="103"/>
      <c r="AJ83" s="103"/>
      <c r="AK83" s="103"/>
      <c r="AL83" s="103"/>
      <c r="AM83" s="103"/>
      <c r="AN83" s="103"/>
      <c r="AO83" s="103"/>
      <c r="AP83" s="103"/>
      <c r="AQ83" s="103"/>
      <c r="AR83" s="103"/>
      <c r="AS83" s="103"/>
      <c r="AT83" s="34" t="s">
        <v>229</v>
      </c>
      <c r="AU83" s="34" t="s">
        <v>2021</v>
      </c>
      <c r="AV83" s="34"/>
      <c r="AW83" s="34" t="s">
        <v>2022</v>
      </c>
      <c r="AX83" s="39" t="s">
        <v>1920</v>
      </c>
      <c r="AY83" s="34" t="s">
        <v>1923</v>
      </c>
      <c r="AZ83" s="39" t="s">
        <v>1971</v>
      </c>
      <c r="BB83" s="41"/>
      <c r="BD83" s="15">
        <v>1</v>
      </c>
    </row>
    <row r="84" spans="1:58" ht="46.35" customHeight="1">
      <c r="A84" s="1658"/>
      <c r="B84" s="1659"/>
      <c r="C84" s="78" t="s">
        <v>93</v>
      </c>
      <c r="D84" s="103">
        <f t="shared" si="10"/>
        <v>1.4</v>
      </c>
      <c r="E84" s="103"/>
      <c r="F84" s="103">
        <f t="shared" si="8"/>
        <v>1.4</v>
      </c>
      <c r="G84" s="103"/>
      <c r="H84" s="103">
        <v>0.4</v>
      </c>
      <c r="I84" s="103"/>
      <c r="J84" s="103"/>
      <c r="K84" s="103"/>
      <c r="L84" s="103"/>
      <c r="M84" s="103"/>
      <c r="N84" s="103"/>
      <c r="O84" s="103"/>
      <c r="P84" s="103"/>
      <c r="Q84" s="103"/>
      <c r="R84" s="103"/>
      <c r="S84" s="103"/>
      <c r="T84" s="103"/>
      <c r="U84" s="103"/>
      <c r="V84" s="103"/>
      <c r="W84" s="103"/>
      <c r="X84" s="103"/>
      <c r="Y84" s="103"/>
      <c r="Z84" s="103"/>
      <c r="AA84" s="103"/>
      <c r="AB84" s="103"/>
      <c r="AC84" s="103"/>
      <c r="AD84" s="103"/>
      <c r="AE84" s="103"/>
      <c r="AF84" s="103"/>
      <c r="AG84" s="103">
        <v>1</v>
      </c>
      <c r="AH84" s="103"/>
      <c r="AI84" s="103"/>
      <c r="AJ84" s="103"/>
      <c r="AK84" s="103"/>
      <c r="AL84" s="103"/>
      <c r="AM84" s="103"/>
      <c r="AN84" s="103"/>
      <c r="AO84" s="103"/>
      <c r="AP84" s="103"/>
      <c r="AQ84" s="103"/>
      <c r="AR84" s="103"/>
      <c r="AS84" s="103"/>
      <c r="AT84" s="34" t="s">
        <v>230</v>
      </c>
      <c r="AU84" s="34" t="s">
        <v>408</v>
      </c>
      <c r="AV84" s="34"/>
      <c r="AW84" s="34"/>
      <c r="AX84" s="39" t="s">
        <v>1920</v>
      </c>
      <c r="AY84" s="38" t="s">
        <v>1923</v>
      </c>
      <c r="AZ84" s="39" t="s">
        <v>2023</v>
      </c>
      <c r="BB84" s="41"/>
      <c r="BE84" s="15">
        <v>1</v>
      </c>
    </row>
    <row r="85" spans="1:58" ht="20.100000000000001" customHeight="1">
      <c r="A85" s="1658"/>
      <c r="B85" s="1659"/>
      <c r="C85" s="78" t="s">
        <v>93</v>
      </c>
      <c r="D85" s="103">
        <f>E85+F85</f>
        <v>1.25</v>
      </c>
      <c r="E85" s="103"/>
      <c r="F85" s="103">
        <f t="shared" si="8"/>
        <v>1.25</v>
      </c>
      <c r="G85" s="103">
        <v>0.25</v>
      </c>
      <c r="H85" s="103"/>
      <c r="I85" s="103"/>
      <c r="J85" s="103"/>
      <c r="K85" s="103"/>
      <c r="L85" s="103"/>
      <c r="M85" s="103"/>
      <c r="N85" s="103"/>
      <c r="O85" s="103"/>
      <c r="P85" s="103"/>
      <c r="Q85" s="103"/>
      <c r="R85" s="103"/>
      <c r="S85" s="103"/>
      <c r="T85" s="103"/>
      <c r="U85" s="103"/>
      <c r="V85" s="103"/>
      <c r="W85" s="103"/>
      <c r="X85" s="103"/>
      <c r="Y85" s="103"/>
      <c r="Z85" s="103"/>
      <c r="AA85" s="103"/>
      <c r="AB85" s="103"/>
      <c r="AC85" s="103"/>
      <c r="AD85" s="103"/>
      <c r="AE85" s="103"/>
      <c r="AF85" s="103"/>
      <c r="AG85" s="103">
        <v>1</v>
      </c>
      <c r="AH85" s="103"/>
      <c r="AI85" s="103"/>
      <c r="AJ85" s="103"/>
      <c r="AK85" s="103"/>
      <c r="AL85" s="103"/>
      <c r="AM85" s="103"/>
      <c r="AN85" s="103"/>
      <c r="AO85" s="103"/>
      <c r="AP85" s="103"/>
      <c r="AQ85" s="103"/>
      <c r="AR85" s="103"/>
      <c r="AS85" s="103"/>
      <c r="AT85" s="34" t="s">
        <v>231</v>
      </c>
      <c r="AU85" s="34" t="s">
        <v>389</v>
      </c>
      <c r="AV85" s="34"/>
      <c r="AW85" s="34"/>
      <c r="AX85" s="39" t="s">
        <v>1920</v>
      </c>
      <c r="AY85" s="38" t="s">
        <v>1923</v>
      </c>
      <c r="AZ85" s="39" t="s">
        <v>1971</v>
      </c>
      <c r="BB85" s="41"/>
      <c r="BD85" s="15">
        <v>1</v>
      </c>
    </row>
    <row r="86" spans="1:58" ht="31.5" hidden="1" customHeight="1">
      <c r="A86" s="224"/>
      <c r="B86" s="217"/>
      <c r="C86" s="78"/>
      <c r="D86" s="103"/>
      <c r="E86" s="103"/>
      <c r="F86" s="103">
        <v>0.25</v>
      </c>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J86" s="103"/>
      <c r="AK86" s="103"/>
      <c r="AL86" s="103"/>
      <c r="AM86" s="103"/>
      <c r="AN86" s="103"/>
      <c r="AO86" s="103"/>
      <c r="AP86" s="103"/>
      <c r="AQ86" s="103"/>
      <c r="AR86" s="103"/>
      <c r="AS86" s="103"/>
      <c r="AT86" s="34" t="s">
        <v>231</v>
      </c>
      <c r="AU86" s="34" t="s">
        <v>451</v>
      </c>
      <c r="AV86" s="34"/>
      <c r="AW86" s="34"/>
      <c r="AX86" s="39"/>
      <c r="AY86" s="34" t="s">
        <v>1923</v>
      </c>
      <c r="AZ86" s="39" t="s">
        <v>2024</v>
      </c>
      <c r="BB86" s="41"/>
    </row>
    <row r="87" spans="1:58" ht="15.75" hidden="1" customHeight="1">
      <c r="A87" s="224"/>
      <c r="B87" s="217"/>
      <c r="C87" s="78"/>
      <c r="D87" s="103"/>
      <c r="E87" s="103"/>
      <c r="F87" s="103">
        <v>1</v>
      </c>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J87" s="103"/>
      <c r="AK87" s="103"/>
      <c r="AL87" s="103"/>
      <c r="AM87" s="103"/>
      <c r="AN87" s="103"/>
      <c r="AO87" s="103"/>
      <c r="AP87" s="103"/>
      <c r="AQ87" s="103"/>
      <c r="AR87" s="103"/>
      <c r="AS87" s="103"/>
      <c r="AT87" s="34" t="s">
        <v>231</v>
      </c>
      <c r="AU87" s="34"/>
      <c r="AV87" s="34"/>
      <c r="AW87" s="34"/>
      <c r="AX87" s="39"/>
      <c r="AY87" s="34" t="s">
        <v>1923</v>
      </c>
      <c r="AZ87" s="39" t="s">
        <v>2025</v>
      </c>
      <c r="BB87" s="41"/>
    </row>
    <row r="88" spans="1:58" ht="63">
      <c r="A88" s="1658">
        <v>25</v>
      </c>
      <c r="B88" s="1659" t="s">
        <v>2011</v>
      </c>
      <c r="C88" s="78" t="s">
        <v>93</v>
      </c>
      <c r="D88" s="103">
        <f>E88+F88</f>
        <v>1.95</v>
      </c>
      <c r="E88" s="103"/>
      <c r="F88" s="103">
        <f t="shared" si="8"/>
        <v>1.95</v>
      </c>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v>1.9</v>
      </c>
      <c r="AH88" s="103"/>
      <c r="AI88" s="103">
        <v>0.05</v>
      </c>
      <c r="AJ88" s="103"/>
      <c r="AK88" s="103"/>
      <c r="AL88" s="103"/>
      <c r="AM88" s="103"/>
      <c r="AN88" s="103"/>
      <c r="AO88" s="103"/>
      <c r="AP88" s="103"/>
      <c r="AQ88" s="103"/>
      <c r="AR88" s="103"/>
      <c r="AS88" s="103"/>
      <c r="AT88" s="34" t="s">
        <v>232</v>
      </c>
      <c r="AU88" s="34" t="s">
        <v>2026</v>
      </c>
      <c r="AV88" s="34"/>
      <c r="AW88" s="34"/>
      <c r="AX88" s="63">
        <v>2021</v>
      </c>
      <c r="AY88" s="34" t="s">
        <v>1917</v>
      </c>
      <c r="AZ88" s="63" t="s">
        <v>2027</v>
      </c>
      <c r="BB88" s="41"/>
      <c r="BF88" s="15">
        <v>1</v>
      </c>
    </row>
    <row r="89" spans="1:58" ht="47.25">
      <c r="A89" s="1658"/>
      <c r="B89" s="1659"/>
      <c r="C89" s="78" t="s">
        <v>93</v>
      </c>
      <c r="D89" s="103">
        <f t="shared" si="10"/>
        <v>13.719999999999999</v>
      </c>
      <c r="E89" s="103"/>
      <c r="F89" s="103">
        <f>SUM(G89:K89,O89:AR89)+0.44</f>
        <v>13.719999999999999</v>
      </c>
      <c r="G89" s="103">
        <v>2.2799999999999998</v>
      </c>
      <c r="H89" s="103">
        <v>10.7</v>
      </c>
      <c r="I89" s="103">
        <v>0.3</v>
      </c>
      <c r="J89" s="103"/>
      <c r="K89" s="103"/>
      <c r="L89" s="103"/>
      <c r="M89" s="103"/>
      <c r="N89" s="103"/>
      <c r="O89" s="103"/>
      <c r="P89" s="103"/>
      <c r="Q89" s="103"/>
      <c r="R89" s="103"/>
      <c r="S89" s="103"/>
      <c r="T89" s="103"/>
      <c r="U89" s="103"/>
      <c r="V89" s="103"/>
      <c r="W89" s="103"/>
      <c r="X89" s="103"/>
      <c r="Y89" s="103"/>
      <c r="Z89" s="103"/>
      <c r="AA89" s="103"/>
      <c r="AB89" s="103"/>
      <c r="AC89" s="103"/>
      <c r="AD89" s="103"/>
      <c r="AE89" s="103"/>
      <c r="AF89" s="103"/>
      <c r="AG89" s="103"/>
      <c r="AH89" s="103"/>
      <c r="AI89" s="103"/>
      <c r="AJ89" s="103"/>
      <c r="AK89" s="103"/>
      <c r="AL89" s="103"/>
      <c r="AM89" s="103"/>
      <c r="AN89" s="103"/>
      <c r="AO89" s="103"/>
      <c r="AP89" s="103"/>
      <c r="AQ89" s="103"/>
      <c r="AR89" s="103"/>
      <c r="AS89" s="103"/>
      <c r="AT89" s="34" t="s">
        <v>235</v>
      </c>
      <c r="AU89" s="34" t="s">
        <v>2028</v>
      </c>
      <c r="AV89" s="34"/>
      <c r="AW89" s="34"/>
      <c r="AX89" s="39" t="s">
        <v>1920</v>
      </c>
      <c r="AY89" s="34" t="s">
        <v>1923</v>
      </c>
      <c r="AZ89" s="39" t="s">
        <v>2029</v>
      </c>
      <c r="BB89" s="41"/>
      <c r="BE89" s="15">
        <v>1</v>
      </c>
    </row>
    <row r="90" spans="1:58" ht="47.25">
      <c r="A90" s="1658"/>
      <c r="B90" s="1659"/>
      <c r="C90" s="78" t="s">
        <v>93</v>
      </c>
      <c r="D90" s="103">
        <f t="shared" si="10"/>
        <v>1.74</v>
      </c>
      <c r="E90" s="103"/>
      <c r="F90" s="103">
        <f t="shared" si="8"/>
        <v>1.74</v>
      </c>
      <c r="G90" s="103">
        <v>1.74</v>
      </c>
      <c r="H90" s="103"/>
      <c r="I90" s="103"/>
      <c r="J90" s="103"/>
      <c r="K90" s="103"/>
      <c r="L90" s="103"/>
      <c r="M90" s="103"/>
      <c r="N90" s="103"/>
      <c r="O90" s="103"/>
      <c r="P90" s="103"/>
      <c r="Q90" s="103"/>
      <c r="R90" s="103"/>
      <c r="S90" s="103"/>
      <c r="T90" s="103"/>
      <c r="U90" s="103"/>
      <c r="V90" s="103"/>
      <c r="W90" s="103"/>
      <c r="X90" s="103"/>
      <c r="Y90" s="103"/>
      <c r="Z90" s="103"/>
      <c r="AA90" s="103"/>
      <c r="AB90" s="103"/>
      <c r="AC90" s="103"/>
      <c r="AD90" s="103"/>
      <c r="AE90" s="103"/>
      <c r="AF90" s="103"/>
      <c r="AG90" s="103"/>
      <c r="AH90" s="103"/>
      <c r="AI90" s="103"/>
      <c r="AJ90" s="103"/>
      <c r="AK90" s="103"/>
      <c r="AL90" s="103"/>
      <c r="AM90" s="103"/>
      <c r="AN90" s="103"/>
      <c r="AO90" s="103"/>
      <c r="AP90" s="103"/>
      <c r="AQ90" s="103"/>
      <c r="AR90" s="103"/>
      <c r="AS90" s="103"/>
      <c r="AT90" s="34" t="s">
        <v>237</v>
      </c>
      <c r="AU90" s="34" t="s">
        <v>2030</v>
      </c>
      <c r="AV90" s="34"/>
      <c r="AW90" s="34"/>
      <c r="AX90" s="39" t="s">
        <v>1920</v>
      </c>
      <c r="AY90" s="34" t="s">
        <v>1923</v>
      </c>
      <c r="AZ90" s="39" t="s">
        <v>2031</v>
      </c>
      <c r="BB90" s="41"/>
      <c r="BE90" s="15">
        <v>1</v>
      </c>
    </row>
    <row r="91" spans="1:58" ht="63">
      <c r="A91" s="1658"/>
      <c r="B91" s="1659"/>
      <c r="C91" s="78" t="s">
        <v>93</v>
      </c>
      <c r="D91" s="103">
        <f t="shared" si="10"/>
        <v>5.01</v>
      </c>
      <c r="E91" s="103"/>
      <c r="F91" s="103">
        <f t="shared" si="8"/>
        <v>5.01</v>
      </c>
      <c r="G91" s="103">
        <v>2.98</v>
      </c>
      <c r="H91" s="103"/>
      <c r="I91" s="103">
        <v>0.53</v>
      </c>
      <c r="J91" s="103"/>
      <c r="K91" s="103">
        <v>1.5</v>
      </c>
      <c r="L91" s="103"/>
      <c r="M91" s="103">
        <v>1.5</v>
      </c>
      <c r="N91" s="103"/>
      <c r="O91" s="103"/>
      <c r="P91" s="103"/>
      <c r="Q91" s="103"/>
      <c r="R91" s="103"/>
      <c r="S91" s="103"/>
      <c r="T91" s="103"/>
      <c r="U91" s="103"/>
      <c r="V91" s="103"/>
      <c r="W91" s="103"/>
      <c r="X91" s="103"/>
      <c r="Y91" s="103"/>
      <c r="Z91" s="103"/>
      <c r="AA91" s="103"/>
      <c r="AB91" s="103"/>
      <c r="AC91" s="103"/>
      <c r="AD91" s="103"/>
      <c r="AE91" s="103"/>
      <c r="AF91" s="103"/>
      <c r="AG91" s="103"/>
      <c r="AH91" s="103"/>
      <c r="AI91" s="103"/>
      <c r="AJ91" s="103"/>
      <c r="AK91" s="103"/>
      <c r="AL91" s="103"/>
      <c r="AM91" s="103"/>
      <c r="AN91" s="103"/>
      <c r="AO91" s="103"/>
      <c r="AP91" s="103"/>
      <c r="AQ91" s="103"/>
      <c r="AR91" s="103"/>
      <c r="AS91" s="103"/>
      <c r="AT91" s="34" t="s">
        <v>238</v>
      </c>
      <c r="AU91" s="34" t="s">
        <v>2032</v>
      </c>
      <c r="AV91" s="34"/>
      <c r="AW91" s="34"/>
      <c r="AX91" s="39" t="s">
        <v>1920</v>
      </c>
      <c r="AY91" s="34" t="s">
        <v>1917</v>
      </c>
      <c r="AZ91" s="39" t="s">
        <v>2033</v>
      </c>
      <c r="BA91" s="58" t="s">
        <v>442</v>
      </c>
      <c r="BB91" s="41"/>
      <c r="BF91" s="15">
        <v>1</v>
      </c>
    </row>
    <row r="92" spans="1:58" ht="19.350000000000001" customHeight="1">
      <c r="A92" s="1658"/>
      <c r="B92" s="1659"/>
      <c r="C92" s="78" t="s">
        <v>93</v>
      </c>
      <c r="D92" s="103">
        <f t="shared" si="10"/>
        <v>1.6</v>
      </c>
      <c r="E92" s="103"/>
      <c r="F92" s="103">
        <f t="shared" si="8"/>
        <v>1.6</v>
      </c>
      <c r="G92" s="103">
        <v>0.6</v>
      </c>
      <c r="H92" s="103"/>
      <c r="I92" s="103"/>
      <c r="J92" s="103"/>
      <c r="K92" s="103"/>
      <c r="L92" s="103"/>
      <c r="M92" s="103"/>
      <c r="N92" s="103"/>
      <c r="O92" s="103"/>
      <c r="P92" s="103"/>
      <c r="Q92" s="103"/>
      <c r="R92" s="103"/>
      <c r="S92" s="103"/>
      <c r="T92" s="103"/>
      <c r="U92" s="103"/>
      <c r="V92" s="103"/>
      <c r="W92" s="103"/>
      <c r="X92" s="103"/>
      <c r="Y92" s="103"/>
      <c r="Z92" s="103"/>
      <c r="AA92" s="103"/>
      <c r="AB92" s="103"/>
      <c r="AC92" s="103"/>
      <c r="AD92" s="103"/>
      <c r="AE92" s="103"/>
      <c r="AF92" s="103"/>
      <c r="AG92" s="103">
        <v>1</v>
      </c>
      <c r="AH92" s="103"/>
      <c r="AI92" s="103"/>
      <c r="AJ92" s="103"/>
      <c r="AK92" s="103"/>
      <c r="AL92" s="103"/>
      <c r="AM92" s="103"/>
      <c r="AN92" s="103"/>
      <c r="AO92" s="103"/>
      <c r="AP92" s="103"/>
      <c r="AQ92" s="103"/>
      <c r="AR92" s="103"/>
      <c r="AS92" s="103"/>
      <c r="AT92" s="34" t="s">
        <v>239</v>
      </c>
      <c r="AU92" s="34" t="s">
        <v>387</v>
      </c>
      <c r="AV92" s="34"/>
      <c r="AW92" s="34"/>
      <c r="AX92" s="39" t="s">
        <v>1920</v>
      </c>
      <c r="AY92" s="34" t="s">
        <v>1923</v>
      </c>
      <c r="AZ92" s="39" t="s">
        <v>1971</v>
      </c>
      <c r="BB92" s="41"/>
      <c r="BD92" s="15">
        <v>1</v>
      </c>
    </row>
    <row r="93" spans="1:58" ht="31.5">
      <c r="A93" s="1658"/>
      <c r="B93" s="1659"/>
      <c r="C93" s="78" t="s">
        <v>93</v>
      </c>
      <c r="D93" s="103">
        <f t="shared" si="10"/>
        <v>2</v>
      </c>
      <c r="E93" s="103"/>
      <c r="F93" s="103">
        <f t="shared" si="8"/>
        <v>2</v>
      </c>
      <c r="G93" s="103">
        <v>0.5</v>
      </c>
      <c r="H93" s="103"/>
      <c r="I93" s="103"/>
      <c r="J93" s="103"/>
      <c r="K93" s="103">
        <v>1.5</v>
      </c>
      <c r="L93" s="103"/>
      <c r="M93" s="103">
        <v>1.5</v>
      </c>
      <c r="N93" s="103"/>
      <c r="O93" s="103"/>
      <c r="P93" s="103"/>
      <c r="Q93" s="103"/>
      <c r="R93" s="103"/>
      <c r="S93" s="103"/>
      <c r="T93" s="103"/>
      <c r="U93" s="103"/>
      <c r="V93" s="103"/>
      <c r="W93" s="103"/>
      <c r="X93" s="103"/>
      <c r="Y93" s="103"/>
      <c r="Z93" s="103"/>
      <c r="AA93" s="103"/>
      <c r="AB93" s="103"/>
      <c r="AC93" s="103"/>
      <c r="AD93" s="103"/>
      <c r="AE93" s="103"/>
      <c r="AF93" s="103"/>
      <c r="AG93" s="103"/>
      <c r="AH93" s="103"/>
      <c r="AI93" s="103"/>
      <c r="AJ93" s="103"/>
      <c r="AK93" s="103"/>
      <c r="AL93" s="103"/>
      <c r="AM93" s="103"/>
      <c r="AN93" s="103"/>
      <c r="AO93" s="103"/>
      <c r="AP93" s="103"/>
      <c r="AQ93" s="103"/>
      <c r="AR93" s="103"/>
      <c r="AS93" s="103"/>
      <c r="AT93" s="34" t="s">
        <v>240</v>
      </c>
      <c r="AU93" s="34" t="s">
        <v>2034</v>
      </c>
      <c r="AV93" s="34"/>
      <c r="AW93" s="34"/>
      <c r="AX93" s="39" t="s">
        <v>1920</v>
      </c>
      <c r="AY93" s="34" t="s">
        <v>1923</v>
      </c>
      <c r="AZ93" s="39" t="s">
        <v>2035</v>
      </c>
      <c r="BA93" s="58"/>
      <c r="BB93" s="41"/>
      <c r="BD93" s="15">
        <v>1</v>
      </c>
    </row>
    <row r="94" spans="1:58" ht="48" customHeight="1">
      <c r="A94" s="1658"/>
      <c r="B94" s="1659"/>
      <c r="C94" s="78" t="s">
        <v>93</v>
      </c>
      <c r="D94" s="103">
        <f t="shared" si="10"/>
        <v>1.38</v>
      </c>
      <c r="E94" s="103"/>
      <c r="F94" s="103">
        <f t="shared" si="8"/>
        <v>1.38</v>
      </c>
      <c r="G94" s="103">
        <v>0.38</v>
      </c>
      <c r="H94" s="103"/>
      <c r="I94" s="103"/>
      <c r="J94" s="103"/>
      <c r="K94" s="103"/>
      <c r="L94" s="103"/>
      <c r="M94" s="103"/>
      <c r="N94" s="103"/>
      <c r="O94" s="103"/>
      <c r="P94" s="103"/>
      <c r="Q94" s="103"/>
      <c r="R94" s="103"/>
      <c r="S94" s="103"/>
      <c r="T94" s="103"/>
      <c r="U94" s="103"/>
      <c r="V94" s="103"/>
      <c r="W94" s="103"/>
      <c r="X94" s="103"/>
      <c r="Y94" s="103"/>
      <c r="Z94" s="103"/>
      <c r="AA94" s="103"/>
      <c r="AB94" s="103"/>
      <c r="AC94" s="103"/>
      <c r="AD94" s="103"/>
      <c r="AE94" s="103"/>
      <c r="AF94" s="103"/>
      <c r="AG94" s="103">
        <v>1</v>
      </c>
      <c r="AH94" s="103"/>
      <c r="AI94" s="103"/>
      <c r="AJ94" s="103"/>
      <c r="AK94" s="103"/>
      <c r="AL94" s="103"/>
      <c r="AM94" s="103"/>
      <c r="AN94" s="103"/>
      <c r="AO94" s="103"/>
      <c r="AP94" s="103"/>
      <c r="AQ94" s="103"/>
      <c r="AR94" s="103"/>
      <c r="AS94" s="103"/>
      <c r="AT94" s="34" t="s">
        <v>241</v>
      </c>
      <c r="AU94" s="34" t="s">
        <v>458</v>
      </c>
      <c r="AV94" s="34"/>
      <c r="AW94" s="34"/>
      <c r="AX94" s="39" t="s">
        <v>1920</v>
      </c>
      <c r="AY94" s="34" t="s">
        <v>1923</v>
      </c>
      <c r="AZ94" s="39" t="s">
        <v>2036</v>
      </c>
      <c r="BB94" s="41"/>
      <c r="BE94" s="15">
        <v>1</v>
      </c>
    </row>
    <row r="95" spans="1:58" s="24" customFormat="1" ht="21" customHeight="1">
      <c r="A95" s="189" t="s">
        <v>551</v>
      </c>
      <c r="B95" s="98" t="s">
        <v>94</v>
      </c>
      <c r="C95" s="99" t="s">
        <v>32</v>
      </c>
      <c r="D95" s="192">
        <f>E95+F95</f>
        <v>196.00200000000007</v>
      </c>
      <c r="E95" s="192">
        <f>SUM(E96:E102)</f>
        <v>0</v>
      </c>
      <c r="F95" s="192">
        <f>SUM(G95:K95,O95:AS95)</f>
        <v>196.00200000000007</v>
      </c>
      <c r="G95" s="192">
        <f>SUM(G96:G165)</f>
        <v>35.78</v>
      </c>
      <c r="H95" s="192">
        <f t="shared" ref="H95:AS95" si="11">SUM(H96:H165)</f>
        <v>19.34</v>
      </c>
      <c r="I95" s="192">
        <f t="shared" si="11"/>
        <v>19.89</v>
      </c>
      <c r="J95" s="192">
        <f t="shared" si="11"/>
        <v>11.822000000000001</v>
      </c>
      <c r="K95" s="192">
        <f t="shared" si="11"/>
        <v>105.85</v>
      </c>
      <c r="L95" s="192">
        <f t="shared" si="11"/>
        <v>0</v>
      </c>
      <c r="M95" s="192">
        <f t="shared" si="11"/>
        <v>105.85</v>
      </c>
      <c r="N95" s="192">
        <f t="shared" si="11"/>
        <v>0</v>
      </c>
      <c r="O95" s="192">
        <f t="shared" si="11"/>
        <v>0</v>
      </c>
      <c r="P95" s="192">
        <f t="shared" si="11"/>
        <v>0.36</v>
      </c>
      <c r="Q95" s="192">
        <f t="shared" si="11"/>
        <v>0</v>
      </c>
      <c r="R95" s="192">
        <f t="shared" si="11"/>
        <v>0</v>
      </c>
      <c r="S95" s="192">
        <f t="shared" si="11"/>
        <v>0</v>
      </c>
      <c r="T95" s="192">
        <f t="shared" si="11"/>
        <v>0</v>
      </c>
      <c r="U95" s="192">
        <f t="shared" si="11"/>
        <v>0</v>
      </c>
      <c r="V95" s="192">
        <f t="shared" si="11"/>
        <v>0</v>
      </c>
      <c r="W95" s="192">
        <f t="shared" si="11"/>
        <v>0</v>
      </c>
      <c r="X95" s="192">
        <f t="shared" si="11"/>
        <v>0</v>
      </c>
      <c r="Y95" s="192">
        <f t="shared" si="11"/>
        <v>0</v>
      </c>
      <c r="Z95" s="192">
        <f t="shared" si="11"/>
        <v>0</v>
      </c>
      <c r="AA95" s="192">
        <f t="shared" si="11"/>
        <v>1.08</v>
      </c>
      <c r="AB95" s="192">
        <f t="shared" si="11"/>
        <v>1.02</v>
      </c>
      <c r="AC95" s="192">
        <f t="shared" si="11"/>
        <v>0</v>
      </c>
      <c r="AD95" s="192">
        <f t="shared" si="11"/>
        <v>0</v>
      </c>
      <c r="AE95" s="192">
        <f t="shared" si="11"/>
        <v>0</v>
      </c>
      <c r="AF95" s="192">
        <f t="shared" si="11"/>
        <v>0</v>
      </c>
      <c r="AG95" s="192">
        <f t="shared" si="11"/>
        <v>0.74</v>
      </c>
      <c r="AH95" s="192">
        <f t="shared" si="11"/>
        <v>0</v>
      </c>
      <c r="AI95" s="192">
        <f t="shared" si="11"/>
        <v>0</v>
      </c>
      <c r="AJ95" s="192">
        <f t="shared" si="11"/>
        <v>0</v>
      </c>
      <c r="AK95" s="192">
        <f t="shared" si="11"/>
        <v>0</v>
      </c>
      <c r="AL95" s="192">
        <f t="shared" si="11"/>
        <v>0</v>
      </c>
      <c r="AM95" s="192">
        <f t="shared" si="11"/>
        <v>0</v>
      </c>
      <c r="AN95" s="192">
        <f t="shared" si="11"/>
        <v>0</v>
      </c>
      <c r="AO95" s="192">
        <f t="shared" si="11"/>
        <v>0</v>
      </c>
      <c r="AP95" s="192">
        <f t="shared" si="11"/>
        <v>0</v>
      </c>
      <c r="AQ95" s="192">
        <f t="shared" si="11"/>
        <v>0</v>
      </c>
      <c r="AR95" s="192">
        <f t="shared" si="11"/>
        <v>0.12</v>
      </c>
      <c r="AS95" s="192">
        <f t="shared" si="11"/>
        <v>0</v>
      </c>
      <c r="AT95" s="29"/>
      <c r="AU95" s="29"/>
      <c r="AV95" s="225"/>
      <c r="AW95" s="225"/>
      <c r="AX95" s="30"/>
      <c r="AY95" s="225"/>
      <c r="AZ95" s="30"/>
      <c r="BB95" s="59"/>
    </row>
    <row r="96" spans="1:58" ht="57" customHeight="1">
      <c r="A96" s="193">
        <v>26</v>
      </c>
      <c r="B96" s="56" t="s">
        <v>2037</v>
      </c>
      <c r="C96" s="78" t="s">
        <v>32</v>
      </c>
      <c r="D96" s="103">
        <f>E96+F96</f>
        <v>1.4000000000000001</v>
      </c>
      <c r="E96" s="103"/>
      <c r="F96" s="103">
        <f>SUM(G96:K96,O96:AR96)</f>
        <v>1.4000000000000001</v>
      </c>
      <c r="G96" s="103">
        <v>0.1</v>
      </c>
      <c r="H96" s="103"/>
      <c r="I96" s="103"/>
      <c r="J96" s="103"/>
      <c r="K96" s="103">
        <v>1.3</v>
      </c>
      <c r="L96" s="103"/>
      <c r="M96" s="103">
        <v>1.3</v>
      </c>
      <c r="N96" s="103"/>
      <c r="O96" s="103"/>
      <c r="P96" s="103"/>
      <c r="Q96" s="103"/>
      <c r="R96" s="103"/>
      <c r="S96" s="103"/>
      <c r="T96" s="103"/>
      <c r="U96" s="103"/>
      <c r="V96" s="103"/>
      <c r="W96" s="103"/>
      <c r="X96" s="103"/>
      <c r="Y96" s="103"/>
      <c r="Z96" s="103"/>
      <c r="AA96" s="103"/>
      <c r="AB96" s="103"/>
      <c r="AC96" s="103"/>
      <c r="AD96" s="103"/>
      <c r="AE96" s="103"/>
      <c r="AF96" s="103"/>
      <c r="AG96" s="103"/>
      <c r="AH96" s="103"/>
      <c r="AI96" s="103"/>
      <c r="AJ96" s="103"/>
      <c r="AK96" s="103"/>
      <c r="AL96" s="103"/>
      <c r="AM96" s="103"/>
      <c r="AN96" s="103"/>
      <c r="AO96" s="103"/>
      <c r="AP96" s="103"/>
      <c r="AQ96" s="103"/>
      <c r="AR96" s="103"/>
      <c r="AS96" s="103"/>
      <c r="AT96" s="34" t="s">
        <v>2038</v>
      </c>
      <c r="AU96" s="34" t="s">
        <v>615</v>
      </c>
      <c r="AV96" s="34"/>
      <c r="AW96" s="34"/>
      <c r="AX96" s="63">
        <v>2021</v>
      </c>
      <c r="AY96" s="34" t="s">
        <v>1917</v>
      </c>
      <c r="AZ96" s="39" t="s">
        <v>1924</v>
      </c>
      <c r="BB96" s="15" t="s">
        <v>2039</v>
      </c>
      <c r="BF96" s="15">
        <v>1</v>
      </c>
    </row>
    <row r="97" spans="1:58" ht="15.75" hidden="1" customHeight="1">
      <c r="A97" s="193"/>
      <c r="B97" s="56"/>
      <c r="C97" s="78"/>
      <c r="D97" s="103"/>
      <c r="E97" s="103"/>
      <c r="F97" s="103">
        <v>0.28000000000000003</v>
      </c>
      <c r="G97" s="103"/>
      <c r="H97" s="103"/>
      <c r="I97" s="103"/>
      <c r="J97" s="103"/>
      <c r="K97" s="103"/>
      <c r="L97" s="103"/>
      <c r="M97" s="103"/>
      <c r="N97" s="103"/>
      <c r="O97" s="103"/>
      <c r="P97" s="103"/>
      <c r="Q97" s="103"/>
      <c r="R97" s="103"/>
      <c r="S97" s="103"/>
      <c r="T97" s="103"/>
      <c r="U97" s="103"/>
      <c r="V97" s="103"/>
      <c r="W97" s="103"/>
      <c r="X97" s="103"/>
      <c r="Y97" s="103"/>
      <c r="Z97" s="103"/>
      <c r="AA97" s="103"/>
      <c r="AB97" s="103"/>
      <c r="AC97" s="103"/>
      <c r="AD97" s="103"/>
      <c r="AE97" s="103"/>
      <c r="AF97" s="103"/>
      <c r="AG97" s="103"/>
      <c r="AH97" s="103"/>
      <c r="AI97" s="103"/>
      <c r="AJ97" s="103"/>
      <c r="AK97" s="103"/>
      <c r="AL97" s="103"/>
      <c r="AM97" s="103"/>
      <c r="AN97" s="103"/>
      <c r="AO97" s="103"/>
      <c r="AP97" s="103"/>
      <c r="AQ97" s="103"/>
      <c r="AR97" s="103"/>
      <c r="AS97" s="103"/>
      <c r="AT97" s="34" t="s">
        <v>232</v>
      </c>
      <c r="AU97" s="34"/>
      <c r="AV97" s="34"/>
      <c r="AW97" s="34"/>
      <c r="AX97" s="63"/>
      <c r="AY97" s="34" t="s">
        <v>1986</v>
      </c>
      <c r="AZ97" s="63"/>
    </row>
    <row r="98" spans="1:58" ht="15.75" hidden="1" customHeight="1">
      <c r="A98" s="193"/>
      <c r="B98" s="56"/>
      <c r="C98" s="78"/>
      <c r="D98" s="103"/>
      <c r="E98" s="103"/>
      <c r="F98" s="103">
        <v>0.28000000000000003</v>
      </c>
      <c r="G98" s="103"/>
      <c r="H98" s="103"/>
      <c r="I98" s="103"/>
      <c r="J98" s="103"/>
      <c r="K98" s="103"/>
      <c r="L98" s="103"/>
      <c r="M98" s="103"/>
      <c r="N98" s="103"/>
      <c r="O98" s="103"/>
      <c r="P98" s="103"/>
      <c r="Q98" s="103"/>
      <c r="R98" s="103"/>
      <c r="S98" s="103"/>
      <c r="T98" s="103"/>
      <c r="U98" s="103"/>
      <c r="V98" s="103"/>
      <c r="W98" s="103"/>
      <c r="X98" s="103"/>
      <c r="Y98" s="103"/>
      <c r="Z98" s="103"/>
      <c r="AA98" s="103"/>
      <c r="AB98" s="103"/>
      <c r="AC98" s="103"/>
      <c r="AD98" s="103"/>
      <c r="AE98" s="103"/>
      <c r="AF98" s="103"/>
      <c r="AG98" s="103"/>
      <c r="AH98" s="103"/>
      <c r="AI98" s="103"/>
      <c r="AJ98" s="103"/>
      <c r="AK98" s="103"/>
      <c r="AL98" s="103"/>
      <c r="AM98" s="103"/>
      <c r="AN98" s="103"/>
      <c r="AO98" s="103"/>
      <c r="AP98" s="103"/>
      <c r="AQ98" s="103"/>
      <c r="AR98" s="103"/>
      <c r="AS98" s="103"/>
      <c r="AT98" s="34" t="s">
        <v>233</v>
      </c>
      <c r="AU98" s="34" t="s">
        <v>502</v>
      </c>
      <c r="AV98" s="34"/>
      <c r="AW98" s="34"/>
      <c r="AX98" s="63"/>
      <c r="AY98" s="34" t="s">
        <v>1986</v>
      </c>
      <c r="AZ98" s="63"/>
    </row>
    <row r="99" spans="1:58" ht="15.75" hidden="1" customHeight="1">
      <c r="A99" s="193"/>
      <c r="B99" s="56"/>
      <c r="C99" s="78"/>
      <c r="D99" s="103"/>
      <c r="E99" s="103"/>
      <c r="F99" s="103"/>
      <c r="G99" s="103"/>
      <c r="H99" s="103"/>
      <c r="I99" s="103"/>
      <c r="J99" s="103"/>
      <c r="K99" s="103"/>
      <c r="L99" s="103"/>
      <c r="M99" s="103"/>
      <c r="N99" s="103"/>
      <c r="O99" s="103"/>
      <c r="P99" s="103"/>
      <c r="Q99" s="103"/>
      <c r="R99" s="103"/>
      <c r="S99" s="103"/>
      <c r="T99" s="103"/>
      <c r="U99" s="103"/>
      <c r="V99" s="103"/>
      <c r="W99" s="103"/>
      <c r="X99" s="103"/>
      <c r="Y99" s="103"/>
      <c r="Z99" s="103"/>
      <c r="AA99" s="103"/>
      <c r="AB99" s="103"/>
      <c r="AC99" s="103"/>
      <c r="AD99" s="103"/>
      <c r="AE99" s="103"/>
      <c r="AF99" s="103"/>
      <c r="AG99" s="103"/>
      <c r="AH99" s="103"/>
      <c r="AI99" s="103"/>
      <c r="AJ99" s="103"/>
      <c r="AK99" s="103"/>
      <c r="AL99" s="103"/>
      <c r="AM99" s="103"/>
      <c r="AN99" s="103"/>
      <c r="AO99" s="103"/>
      <c r="AP99" s="103"/>
      <c r="AQ99" s="103"/>
      <c r="AR99" s="103"/>
      <c r="AS99" s="103"/>
      <c r="AT99" s="34" t="s">
        <v>235</v>
      </c>
      <c r="AU99" s="34"/>
      <c r="AV99" s="34"/>
      <c r="AW99" s="34"/>
      <c r="AX99" s="63">
        <v>2021</v>
      </c>
      <c r="AY99" s="34" t="s">
        <v>1986</v>
      </c>
      <c r="AZ99" s="63"/>
    </row>
    <row r="100" spans="1:58" ht="15.75" hidden="1" customHeight="1">
      <c r="A100" s="193"/>
      <c r="B100" s="56"/>
      <c r="C100" s="78" t="s">
        <v>32</v>
      </c>
      <c r="D100" s="103">
        <f>E100+F100</f>
        <v>0</v>
      </c>
      <c r="E100" s="103"/>
      <c r="F100" s="103"/>
      <c r="G100" s="103">
        <v>0.1</v>
      </c>
      <c r="H100" s="103"/>
      <c r="I100" s="103"/>
      <c r="J100" s="103"/>
      <c r="K100" s="103">
        <v>1.3</v>
      </c>
      <c r="L100" s="103"/>
      <c r="M100" s="103">
        <v>1.3</v>
      </c>
      <c r="N100" s="103"/>
      <c r="O100" s="103"/>
      <c r="P100" s="103"/>
      <c r="Q100" s="103"/>
      <c r="R100" s="103"/>
      <c r="S100" s="103"/>
      <c r="T100" s="103"/>
      <c r="U100" s="103"/>
      <c r="V100" s="103"/>
      <c r="W100" s="103"/>
      <c r="X100" s="103"/>
      <c r="Y100" s="103"/>
      <c r="Z100" s="103"/>
      <c r="AA100" s="103"/>
      <c r="AB100" s="103"/>
      <c r="AC100" s="103"/>
      <c r="AD100" s="103"/>
      <c r="AE100" s="103"/>
      <c r="AF100" s="103"/>
      <c r="AG100" s="103"/>
      <c r="AH100" s="103"/>
      <c r="AI100" s="103"/>
      <c r="AJ100" s="103"/>
      <c r="AK100" s="103"/>
      <c r="AL100" s="103"/>
      <c r="AM100" s="103"/>
      <c r="AN100" s="103"/>
      <c r="AO100" s="103"/>
      <c r="AP100" s="103"/>
      <c r="AQ100" s="103"/>
      <c r="AR100" s="103"/>
      <c r="AS100" s="103"/>
      <c r="AT100" s="34" t="s">
        <v>429</v>
      </c>
      <c r="AU100" s="34"/>
      <c r="AV100" s="34"/>
      <c r="AW100" s="34"/>
      <c r="AX100" s="63">
        <v>2021</v>
      </c>
      <c r="AY100" s="34" t="s">
        <v>1986</v>
      </c>
      <c r="AZ100" s="63"/>
    </row>
    <row r="101" spans="1:58" ht="15.75" hidden="1" customHeight="1">
      <c r="A101" s="193"/>
      <c r="B101" s="56"/>
      <c r="C101" s="78"/>
      <c r="D101" s="103"/>
      <c r="E101" s="103"/>
      <c r="F101" s="103"/>
      <c r="G101" s="103"/>
      <c r="H101" s="103"/>
      <c r="I101" s="103"/>
      <c r="J101" s="103"/>
      <c r="K101" s="103"/>
      <c r="L101" s="103"/>
      <c r="M101" s="103"/>
      <c r="N101" s="103"/>
      <c r="O101" s="103"/>
      <c r="P101" s="103"/>
      <c r="Q101" s="103"/>
      <c r="R101" s="103"/>
      <c r="S101" s="103"/>
      <c r="T101" s="103"/>
      <c r="U101" s="103"/>
      <c r="V101" s="103"/>
      <c r="W101" s="103"/>
      <c r="X101" s="103"/>
      <c r="Y101" s="103"/>
      <c r="Z101" s="103"/>
      <c r="AA101" s="103"/>
      <c r="AB101" s="103"/>
      <c r="AC101" s="103"/>
      <c r="AD101" s="103"/>
      <c r="AE101" s="103"/>
      <c r="AF101" s="103"/>
      <c r="AG101" s="103"/>
      <c r="AH101" s="103"/>
      <c r="AI101" s="103"/>
      <c r="AJ101" s="103"/>
      <c r="AK101" s="103"/>
      <c r="AL101" s="103"/>
      <c r="AM101" s="103"/>
      <c r="AN101" s="103"/>
      <c r="AO101" s="103"/>
      <c r="AP101" s="103"/>
      <c r="AQ101" s="103"/>
      <c r="AR101" s="103"/>
      <c r="AS101" s="103"/>
      <c r="AT101" s="34" t="s">
        <v>2040</v>
      </c>
      <c r="AU101" s="34"/>
      <c r="AV101" s="34"/>
      <c r="AW101" s="34"/>
      <c r="AX101" s="63"/>
      <c r="AY101" s="34" t="s">
        <v>1923</v>
      </c>
      <c r="AZ101" s="63" t="s">
        <v>2041</v>
      </c>
    </row>
    <row r="102" spans="1:58" ht="34.35" customHeight="1">
      <c r="A102" s="193">
        <v>27</v>
      </c>
      <c r="B102" s="56" t="s">
        <v>2042</v>
      </c>
      <c r="C102" s="78" t="s">
        <v>32</v>
      </c>
      <c r="D102" s="103">
        <f>E102+F102</f>
        <v>0.53</v>
      </c>
      <c r="E102" s="103"/>
      <c r="F102" s="103">
        <f>SUM(G102:K102,O102:AR102)</f>
        <v>0.53</v>
      </c>
      <c r="G102" s="103">
        <v>0.30000000000000004</v>
      </c>
      <c r="H102" s="103">
        <v>0</v>
      </c>
      <c r="I102" s="103">
        <v>0.03</v>
      </c>
      <c r="J102" s="103">
        <v>0.1</v>
      </c>
      <c r="K102" s="103">
        <v>0.1</v>
      </c>
      <c r="L102" s="103">
        <v>0</v>
      </c>
      <c r="M102" s="103">
        <v>0.1</v>
      </c>
      <c r="N102" s="103">
        <v>0</v>
      </c>
      <c r="O102" s="103">
        <v>0</v>
      </c>
      <c r="P102" s="103">
        <v>0</v>
      </c>
      <c r="Q102" s="103">
        <v>0</v>
      </c>
      <c r="R102" s="103">
        <v>0</v>
      </c>
      <c r="S102" s="103">
        <v>0</v>
      </c>
      <c r="T102" s="103">
        <v>0</v>
      </c>
      <c r="U102" s="103">
        <v>0</v>
      </c>
      <c r="V102" s="103">
        <v>0</v>
      </c>
      <c r="W102" s="103">
        <v>0</v>
      </c>
      <c r="X102" s="103">
        <v>0</v>
      </c>
      <c r="Y102" s="103">
        <v>0</v>
      </c>
      <c r="Z102" s="103">
        <v>0</v>
      </c>
      <c r="AA102" s="103">
        <v>0</v>
      </c>
      <c r="AB102" s="103">
        <v>0</v>
      </c>
      <c r="AC102" s="103">
        <v>0</v>
      </c>
      <c r="AD102" s="103">
        <v>0</v>
      </c>
      <c r="AE102" s="103">
        <v>0</v>
      </c>
      <c r="AF102" s="103">
        <v>0</v>
      </c>
      <c r="AG102" s="103">
        <v>0</v>
      </c>
      <c r="AH102" s="103">
        <v>0</v>
      </c>
      <c r="AI102" s="103">
        <v>0</v>
      </c>
      <c r="AJ102" s="103">
        <v>0</v>
      </c>
      <c r="AK102" s="103">
        <v>0</v>
      </c>
      <c r="AL102" s="103">
        <v>0</v>
      </c>
      <c r="AM102" s="103">
        <v>0</v>
      </c>
      <c r="AN102" s="103">
        <v>0</v>
      </c>
      <c r="AO102" s="103">
        <v>0</v>
      </c>
      <c r="AP102" s="103">
        <v>0</v>
      </c>
      <c r="AQ102" s="103">
        <v>0</v>
      </c>
      <c r="AR102" s="103">
        <v>0</v>
      </c>
      <c r="AS102" s="103">
        <v>0</v>
      </c>
      <c r="AT102" s="34" t="s">
        <v>2043</v>
      </c>
      <c r="AU102" s="34" t="s">
        <v>615</v>
      </c>
      <c r="AV102" s="34"/>
      <c r="AW102" s="34"/>
      <c r="AX102" s="63" t="s">
        <v>1970</v>
      </c>
      <c r="AY102" s="34" t="s">
        <v>1923</v>
      </c>
      <c r="AZ102" s="63" t="s">
        <v>2044</v>
      </c>
      <c r="BD102" s="15">
        <v>1</v>
      </c>
    </row>
    <row r="103" spans="1:58" ht="15.75" hidden="1" customHeight="1">
      <c r="A103" s="193"/>
      <c r="B103" s="56" t="s">
        <v>2042</v>
      </c>
      <c r="C103" s="78"/>
      <c r="D103" s="103"/>
      <c r="E103" s="103"/>
      <c r="F103" s="103"/>
      <c r="G103" s="103"/>
      <c r="H103" s="103"/>
      <c r="I103" s="103"/>
      <c r="J103" s="103"/>
      <c r="K103" s="103"/>
      <c r="L103" s="103"/>
      <c r="M103" s="103"/>
      <c r="N103" s="103"/>
      <c r="O103" s="103"/>
      <c r="P103" s="103"/>
      <c r="Q103" s="103"/>
      <c r="R103" s="103"/>
      <c r="S103" s="103"/>
      <c r="T103" s="103"/>
      <c r="U103" s="103"/>
      <c r="V103" s="103"/>
      <c r="W103" s="103"/>
      <c r="X103" s="103"/>
      <c r="Y103" s="103"/>
      <c r="Z103" s="103"/>
      <c r="AA103" s="103"/>
      <c r="AB103" s="103"/>
      <c r="AC103" s="103"/>
      <c r="AD103" s="103"/>
      <c r="AE103" s="103"/>
      <c r="AF103" s="103"/>
      <c r="AG103" s="103"/>
      <c r="AH103" s="103"/>
      <c r="AI103" s="103"/>
      <c r="AJ103" s="103"/>
      <c r="AK103" s="103"/>
      <c r="AL103" s="103"/>
      <c r="AM103" s="103"/>
      <c r="AN103" s="103"/>
      <c r="AO103" s="103"/>
      <c r="AP103" s="103"/>
      <c r="AQ103" s="103"/>
      <c r="AR103" s="103"/>
      <c r="AS103" s="103"/>
      <c r="AT103" s="34" t="s">
        <v>223</v>
      </c>
      <c r="AU103" s="34"/>
      <c r="AV103" s="34"/>
      <c r="AW103" s="34"/>
      <c r="AX103" s="63"/>
      <c r="AY103" s="34" t="s">
        <v>1923</v>
      </c>
      <c r="AZ103" s="63" t="s">
        <v>2045</v>
      </c>
    </row>
    <row r="104" spans="1:58" ht="15.75" hidden="1" customHeight="1">
      <c r="A104" s="193"/>
      <c r="B104" s="56" t="s">
        <v>2042</v>
      </c>
      <c r="C104" s="78"/>
      <c r="D104" s="103"/>
      <c r="E104" s="103"/>
      <c r="F104" s="103"/>
      <c r="G104" s="103"/>
      <c r="H104" s="103"/>
      <c r="I104" s="103"/>
      <c r="J104" s="103"/>
      <c r="K104" s="103"/>
      <c r="L104" s="103"/>
      <c r="M104" s="103"/>
      <c r="N104" s="103"/>
      <c r="O104" s="103"/>
      <c r="P104" s="103"/>
      <c r="Q104" s="103"/>
      <c r="R104" s="103"/>
      <c r="S104" s="103"/>
      <c r="T104" s="103"/>
      <c r="U104" s="103"/>
      <c r="V104" s="103"/>
      <c r="W104" s="103"/>
      <c r="X104" s="103"/>
      <c r="Y104" s="103"/>
      <c r="Z104" s="103"/>
      <c r="AA104" s="103"/>
      <c r="AB104" s="103"/>
      <c r="AC104" s="103"/>
      <c r="AD104" s="103"/>
      <c r="AE104" s="103"/>
      <c r="AF104" s="103"/>
      <c r="AG104" s="103"/>
      <c r="AH104" s="103"/>
      <c r="AI104" s="103"/>
      <c r="AJ104" s="103"/>
      <c r="AK104" s="103"/>
      <c r="AL104" s="103"/>
      <c r="AM104" s="103"/>
      <c r="AN104" s="103"/>
      <c r="AO104" s="103"/>
      <c r="AP104" s="103"/>
      <c r="AQ104" s="103"/>
      <c r="AR104" s="103"/>
      <c r="AS104" s="103"/>
      <c r="AT104" s="34" t="s">
        <v>234</v>
      </c>
      <c r="AU104" s="34"/>
      <c r="AV104" s="34"/>
      <c r="AW104" s="34"/>
      <c r="AX104" s="63"/>
      <c r="AY104" s="34" t="s">
        <v>1923</v>
      </c>
      <c r="AZ104" s="63" t="s">
        <v>2002</v>
      </c>
    </row>
    <row r="105" spans="1:58" ht="15.75" hidden="1" customHeight="1">
      <c r="A105" s="193"/>
      <c r="B105" s="56" t="s">
        <v>2046</v>
      </c>
      <c r="C105" s="78"/>
      <c r="D105" s="103"/>
      <c r="E105" s="103"/>
      <c r="F105" s="103">
        <v>0.1</v>
      </c>
      <c r="G105" s="103"/>
      <c r="H105" s="103"/>
      <c r="I105" s="103"/>
      <c r="J105" s="103"/>
      <c r="K105" s="103"/>
      <c r="L105" s="103"/>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103"/>
      <c r="AS105" s="103"/>
      <c r="AT105" s="34" t="s">
        <v>240</v>
      </c>
      <c r="AU105" s="34" t="s">
        <v>308</v>
      </c>
      <c r="AV105" s="34"/>
      <c r="AW105" s="34"/>
      <c r="AX105" s="63"/>
      <c r="AY105" s="34" t="s">
        <v>1923</v>
      </c>
      <c r="AZ105" s="63" t="s">
        <v>2044</v>
      </c>
    </row>
    <row r="106" spans="1:58" ht="48.6" customHeight="1">
      <c r="A106" s="1658">
        <v>28</v>
      </c>
      <c r="B106" s="1659" t="s">
        <v>2047</v>
      </c>
      <c r="C106" s="78" t="s">
        <v>32</v>
      </c>
      <c r="D106" s="103">
        <f>E106+F106</f>
        <v>15.73</v>
      </c>
      <c r="E106" s="103"/>
      <c r="F106" s="103">
        <f>SUM(G106:K106,O106:AR106)</f>
        <v>15.73</v>
      </c>
      <c r="G106" s="103">
        <v>0.76</v>
      </c>
      <c r="H106" s="103"/>
      <c r="I106" s="103">
        <v>2.6900000000000004</v>
      </c>
      <c r="J106" s="103"/>
      <c r="K106" s="103">
        <v>12</v>
      </c>
      <c r="L106" s="103"/>
      <c r="M106" s="103">
        <v>12</v>
      </c>
      <c r="N106" s="103"/>
      <c r="O106" s="103"/>
      <c r="P106" s="103"/>
      <c r="Q106" s="103"/>
      <c r="R106" s="103"/>
      <c r="S106" s="103"/>
      <c r="T106" s="103"/>
      <c r="U106" s="103"/>
      <c r="V106" s="103"/>
      <c r="W106" s="103"/>
      <c r="X106" s="103"/>
      <c r="Y106" s="103"/>
      <c r="Z106" s="103"/>
      <c r="AA106" s="103">
        <v>0.06</v>
      </c>
      <c r="AB106" s="103">
        <v>0.22</v>
      </c>
      <c r="AC106" s="103"/>
      <c r="AD106" s="103"/>
      <c r="AE106" s="103"/>
      <c r="AF106" s="103"/>
      <c r="AG106" s="103"/>
      <c r="AH106" s="103"/>
      <c r="AI106" s="103"/>
      <c r="AJ106" s="103"/>
      <c r="AK106" s="103"/>
      <c r="AL106" s="103"/>
      <c r="AM106" s="103"/>
      <c r="AN106" s="103"/>
      <c r="AO106" s="103"/>
      <c r="AP106" s="103"/>
      <c r="AQ106" s="103"/>
      <c r="AR106" s="103"/>
      <c r="AS106" s="103"/>
      <c r="AT106" s="34" t="s">
        <v>317</v>
      </c>
      <c r="AU106" s="34" t="s">
        <v>464</v>
      </c>
      <c r="AV106" s="34"/>
      <c r="AW106" s="34"/>
      <c r="AX106" s="39" t="s">
        <v>1920</v>
      </c>
      <c r="AY106" s="34" t="s">
        <v>1923</v>
      </c>
      <c r="AZ106" s="39" t="s">
        <v>2048</v>
      </c>
      <c r="BE106" s="15">
        <v>1</v>
      </c>
    </row>
    <row r="107" spans="1:58" ht="18.600000000000001" customHeight="1">
      <c r="A107" s="1658"/>
      <c r="B107" s="1659"/>
      <c r="C107" s="78" t="s">
        <v>32</v>
      </c>
      <c r="D107" s="103">
        <f>E107+F107</f>
        <v>1.7</v>
      </c>
      <c r="E107" s="103"/>
      <c r="F107" s="103">
        <f>SUM(G107:K107,O107:AR107)</f>
        <v>1.7</v>
      </c>
      <c r="G107" s="103">
        <v>1</v>
      </c>
      <c r="H107" s="103">
        <v>0.2</v>
      </c>
      <c r="I107" s="103">
        <v>0.5</v>
      </c>
      <c r="J107" s="103"/>
      <c r="K107" s="103"/>
      <c r="L107" s="103"/>
      <c r="M107" s="103"/>
      <c r="N107" s="103"/>
      <c r="O107" s="103"/>
      <c r="P107" s="103"/>
      <c r="Q107" s="103"/>
      <c r="R107" s="103"/>
      <c r="S107" s="103"/>
      <c r="T107" s="103"/>
      <c r="U107" s="103"/>
      <c r="V107" s="103"/>
      <c r="W107" s="103"/>
      <c r="X107" s="103"/>
      <c r="Y107" s="103"/>
      <c r="Z107" s="103"/>
      <c r="AA107" s="103"/>
      <c r="AB107" s="103"/>
      <c r="AC107" s="103"/>
      <c r="AD107" s="103"/>
      <c r="AE107" s="103"/>
      <c r="AF107" s="103"/>
      <c r="AG107" s="103"/>
      <c r="AH107" s="103"/>
      <c r="AI107" s="103"/>
      <c r="AJ107" s="103"/>
      <c r="AK107" s="103"/>
      <c r="AL107" s="103"/>
      <c r="AM107" s="103"/>
      <c r="AN107" s="103"/>
      <c r="AO107" s="103"/>
      <c r="AP107" s="103"/>
      <c r="AQ107" s="103"/>
      <c r="AR107" s="103"/>
      <c r="AS107" s="103"/>
      <c r="AT107" s="34" t="s">
        <v>221</v>
      </c>
      <c r="AU107" s="34" t="s">
        <v>2049</v>
      </c>
      <c r="AV107" s="34"/>
      <c r="AW107" s="34"/>
      <c r="AX107" s="39" t="s">
        <v>1920</v>
      </c>
      <c r="AY107" s="34" t="s">
        <v>1917</v>
      </c>
      <c r="AZ107" s="39" t="s">
        <v>1924</v>
      </c>
      <c r="BB107" s="15" t="s">
        <v>2050</v>
      </c>
      <c r="BF107" s="15">
        <v>1</v>
      </c>
    </row>
    <row r="108" spans="1:58" ht="52.35" customHeight="1">
      <c r="A108" s="1658"/>
      <c r="B108" s="1659"/>
      <c r="C108" s="78" t="s">
        <v>32</v>
      </c>
      <c r="D108" s="103">
        <f>E108+F108</f>
        <v>8.35</v>
      </c>
      <c r="E108" s="103"/>
      <c r="F108" s="103">
        <f>SUM(G108:K108,O108:AR108)</f>
        <v>8.35</v>
      </c>
      <c r="G108" s="103">
        <v>0.24</v>
      </c>
      <c r="H108" s="103">
        <v>1.95</v>
      </c>
      <c r="I108" s="103"/>
      <c r="J108" s="103">
        <v>2.2400000000000002</v>
      </c>
      <c r="K108" s="103">
        <v>3.8</v>
      </c>
      <c r="L108" s="103"/>
      <c r="M108" s="103">
        <v>3.8</v>
      </c>
      <c r="N108" s="103"/>
      <c r="O108" s="103"/>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v>0.12</v>
      </c>
      <c r="AS108" s="103"/>
      <c r="AT108" s="34" t="s">
        <v>223</v>
      </c>
      <c r="AU108" s="34" t="s">
        <v>2051</v>
      </c>
      <c r="AV108" s="34"/>
      <c r="AW108" s="34"/>
      <c r="AX108" s="39" t="s">
        <v>1920</v>
      </c>
      <c r="AY108" s="34" t="s">
        <v>1923</v>
      </c>
      <c r="AZ108" s="39" t="s">
        <v>2052</v>
      </c>
      <c r="BE108" s="15">
        <v>1</v>
      </c>
    </row>
    <row r="109" spans="1:58" ht="20.100000000000001" customHeight="1">
      <c r="A109" s="1658"/>
      <c r="B109" s="1659"/>
      <c r="C109" s="78" t="s">
        <v>32</v>
      </c>
      <c r="D109" s="103">
        <f>E109+F109</f>
        <v>2.23</v>
      </c>
      <c r="E109" s="103"/>
      <c r="F109" s="103">
        <f>SUM(G109:K109,O109:AR109)</f>
        <v>2.23</v>
      </c>
      <c r="G109" s="103">
        <v>1.39</v>
      </c>
      <c r="H109" s="103"/>
      <c r="I109" s="103"/>
      <c r="J109" s="103"/>
      <c r="K109" s="103">
        <v>0.84</v>
      </c>
      <c r="L109" s="103"/>
      <c r="M109" s="103">
        <v>0.84</v>
      </c>
      <c r="N109" s="103"/>
      <c r="O109" s="103"/>
      <c r="P109" s="103"/>
      <c r="Q109" s="103"/>
      <c r="R109" s="103"/>
      <c r="S109" s="103"/>
      <c r="T109" s="103"/>
      <c r="U109" s="103"/>
      <c r="V109" s="103"/>
      <c r="W109" s="103"/>
      <c r="X109" s="103"/>
      <c r="Y109" s="103"/>
      <c r="Z109" s="103"/>
      <c r="AA109" s="103"/>
      <c r="AB109" s="103"/>
      <c r="AC109" s="103"/>
      <c r="AD109" s="103"/>
      <c r="AE109" s="103"/>
      <c r="AF109" s="103"/>
      <c r="AG109" s="103"/>
      <c r="AH109" s="103"/>
      <c r="AI109" s="103"/>
      <c r="AJ109" s="103"/>
      <c r="AK109" s="103"/>
      <c r="AL109" s="103"/>
      <c r="AM109" s="103"/>
      <c r="AN109" s="103"/>
      <c r="AO109" s="103"/>
      <c r="AP109" s="103"/>
      <c r="AQ109" s="103"/>
      <c r="AR109" s="103"/>
      <c r="AS109" s="103"/>
      <c r="AT109" s="34" t="s">
        <v>224</v>
      </c>
      <c r="AU109" s="34" t="s">
        <v>2053</v>
      </c>
      <c r="AV109" s="34"/>
      <c r="AW109" s="34" t="s">
        <v>1992</v>
      </c>
      <c r="AX109" s="39" t="s">
        <v>1920</v>
      </c>
      <c r="AY109" s="34" t="s">
        <v>1923</v>
      </c>
      <c r="AZ109" s="39" t="s">
        <v>1924</v>
      </c>
      <c r="BE109" s="15">
        <v>1</v>
      </c>
    </row>
    <row r="110" spans="1:58" ht="96.6" customHeight="1">
      <c r="A110" s="1658"/>
      <c r="B110" s="1659"/>
      <c r="C110" s="78" t="s">
        <v>32</v>
      </c>
      <c r="D110" s="103">
        <f>E110+F110</f>
        <v>8.17</v>
      </c>
      <c r="E110" s="103"/>
      <c r="F110" s="103">
        <f>SUM(G110:K110,O110:AR110)</f>
        <v>8.17</v>
      </c>
      <c r="G110" s="103">
        <v>0.6</v>
      </c>
      <c r="H110" s="103">
        <v>1.1499999999999999</v>
      </c>
      <c r="I110" s="103">
        <v>2.9200000000000004</v>
      </c>
      <c r="J110" s="103">
        <v>0</v>
      </c>
      <c r="K110" s="103">
        <v>3.5</v>
      </c>
      <c r="L110" s="103">
        <v>0</v>
      </c>
      <c r="M110" s="103">
        <v>3.5</v>
      </c>
      <c r="N110" s="103"/>
      <c r="O110" s="103"/>
      <c r="P110" s="103"/>
      <c r="Q110" s="103"/>
      <c r="R110" s="103"/>
      <c r="S110" s="103"/>
      <c r="T110" s="103"/>
      <c r="U110" s="103"/>
      <c r="V110" s="103"/>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34" t="s">
        <v>225</v>
      </c>
      <c r="AU110" s="34" t="s">
        <v>2054</v>
      </c>
      <c r="AV110" s="34"/>
      <c r="AW110" s="34"/>
      <c r="AX110" s="39" t="s">
        <v>1920</v>
      </c>
      <c r="AY110" s="34" t="s">
        <v>2055</v>
      </c>
      <c r="AZ110" s="39" t="s">
        <v>2056</v>
      </c>
      <c r="BF110" s="15">
        <v>1</v>
      </c>
    </row>
    <row r="111" spans="1:58" ht="47.25" hidden="1" customHeight="1">
      <c r="A111" s="224"/>
      <c r="B111" s="217"/>
      <c r="C111" s="78"/>
      <c r="D111" s="103"/>
      <c r="E111" s="103"/>
      <c r="F111" s="103">
        <v>2.84</v>
      </c>
      <c r="G111" s="103"/>
      <c r="H111" s="103"/>
      <c r="I111" s="103"/>
      <c r="J111" s="103"/>
      <c r="K111" s="103"/>
      <c r="L111" s="103"/>
      <c r="M111" s="103"/>
      <c r="N111" s="103"/>
      <c r="O111" s="103"/>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34" t="s">
        <v>225</v>
      </c>
      <c r="AU111" s="34" t="s">
        <v>2057</v>
      </c>
      <c r="AV111" s="34"/>
      <c r="AW111" s="34"/>
      <c r="AX111" s="39"/>
      <c r="AY111" s="34" t="s">
        <v>1923</v>
      </c>
      <c r="AZ111" s="39" t="s">
        <v>2058</v>
      </c>
    </row>
    <row r="112" spans="1:58" ht="31.5" hidden="1" customHeight="1">
      <c r="A112" s="224"/>
      <c r="B112" s="217"/>
      <c r="C112" s="78"/>
      <c r="D112" s="103"/>
      <c r="E112" s="103"/>
      <c r="F112" s="103">
        <v>1</v>
      </c>
      <c r="G112" s="103"/>
      <c r="H112" s="103"/>
      <c r="I112" s="103"/>
      <c r="J112" s="103"/>
      <c r="K112" s="103"/>
      <c r="L112" s="103"/>
      <c r="M112" s="103"/>
      <c r="N112" s="103"/>
      <c r="O112" s="103"/>
      <c r="P112" s="103"/>
      <c r="Q112" s="103"/>
      <c r="R112" s="103"/>
      <c r="S112" s="103"/>
      <c r="T112" s="103"/>
      <c r="U112" s="103"/>
      <c r="V112" s="103"/>
      <c r="W112" s="103"/>
      <c r="X112" s="103"/>
      <c r="Y112" s="103"/>
      <c r="Z112" s="103"/>
      <c r="AA112" s="103"/>
      <c r="AB112" s="103"/>
      <c r="AC112" s="103"/>
      <c r="AD112" s="103"/>
      <c r="AE112" s="103"/>
      <c r="AF112" s="103"/>
      <c r="AG112" s="103"/>
      <c r="AH112" s="103"/>
      <c r="AI112" s="103"/>
      <c r="AJ112" s="103"/>
      <c r="AK112" s="103"/>
      <c r="AL112" s="103"/>
      <c r="AM112" s="103"/>
      <c r="AN112" s="103"/>
      <c r="AO112" s="103"/>
      <c r="AP112" s="103"/>
      <c r="AQ112" s="103"/>
      <c r="AR112" s="103"/>
      <c r="AS112" s="103"/>
      <c r="AT112" s="34" t="s">
        <v>225</v>
      </c>
      <c r="AU112" s="34" t="s">
        <v>479</v>
      </c>
      <c r="AV112" s="34"/>
      <c r="AW112" s="34"/>
      <c r="AX112" s="39"/>
      <c r="AY112" s="34" t="s">
        <v>1973</v>
      </c>
      <c r="AZ112" s="39" t="s">
        <v>2059</v>
      </c>
    </row>
    <row r="113" spans="1:57" ht="31.5" hidden="1" customHeight="1">
      <c r="A113" s="224"/>
      <c r="B113" s="217"/>
      <c r="C113" s="78"/>
      <c r="D113" s="103"/>
      <c r="E113" s="103"/>
      <c r="F113" s="103">
        <v>3.5</v>
      </c>
      <c r="G113" s="103"/>
      <c r="H113" s="103"/>
      <c r="I113" s="103"/>
      <c r="J113" s="103"/>
      <c r="K113" s="103"/>
      <c r="L113" s="103"/>
      <c r="M113" s="103"/>
      <c r="N113" s="103"/>
      <c r="O113" s="103"/>
      <c r="P113" s="103"/>
      <c r="Q113" s="103"/>
      <c r="R113" s="103"/>
      <c r="S113" s="103"/>
      <c r="T113" s="103"/>
      <c r="U113" s="103"/>
      <c r="V113" s="103"/>
      <c r="W113" s="103"/>
      <c r="X113" s="103"/>
      <c r="Y113" s="103"/>
      <c r="Z113" s="103"/>
      <c r="AA113" s="103"/>
      <c r="AB113" s="103"/>
      <c r="AC113" s="103"/>
      <c r="AD113" s="103"/>
      <c r="AE113" s="103"/>
      <c r="AF113" s="103"/>
      <c r="AG113" s="103"/>
      <c r="AH113" s="103"/>
      <c r="AI113" s="103"/>
      <c r="AJ113" s="103"/>
      <c r="AK113" s="103"/>
      <c r="AL113" s="103"/>
      <c r="AM113" s="103"/>
      <c r="AN113" s="103"/>
      <c r="AO113" s="103"/>
      <c r="AP113" s="103"/>
      <c r="AQ113" s="103"/>
      <c r="AR113" s="103"/>
      <c r="AS113" s="103"/>
      <c r="AT113" s="34" t="s">
        <v>225</v>
      </c>
      <c r="AU113" s="34" t="s">
        <v>2060</v>
      </c>
      <c r="AV113" s="34"/>
      <c r="AW113" s="34"/>
      <c r="AX113" s="39"/>
      <c r="AY113" s="34" t="s">
        <v>1923</v>
      </c>
      <c r="AZ113" s="39" t="s">
        <v>2058</v>
      </c>
    </row>
    <row r="114" spans="1:57" ht="31.5" hidden="1" customHeight="1">
      <c r="A114" s="224"/>
      <c r="B114" s="217"/>
      <c r="C114" s="78"/>
      <c r="D114" s="103"/>
      <c r="E114" s="103"/>
      <c r="F114" s="103">
        <v>0.83</v>
      </c>
      <c r="G114" s="103"/>
      <c r="H114" s="103"/>
      <c r="I114" s="103"/>
      <c r="J114" s="103"/>
      <c r="K114" s="103"/>
      <c r="L114" s="103"/>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34" t="s">
        <v>225</v>
      </c>
      <c r="AU114" s="34" t="s">
        <v>2061</v>
      </c>
      <c r="AV114" s="34"/>
      <c r="AW114" s="34"/>
      <c r="AX114" s="39"/>
      <c r="AY114" s="34" t="s">
        <v>1923</v>
      </c>
      <c r="AZ114" s="39" t="s">
        <v>2058</v>
      </c>
    </row>
    <row r="115" spans="1:57" ht="21" customHeight="1">
      <c r="A115" s="1658">
        <v>28</v>
      </c>
      <c r="B115" s="1659" t="s">
        <v>2047</v>
      </c>
      <c r="C115" s="78" t="s">
        <v>32</v>
      </c>
      <c r="D115" s="103">
        <f>E115+F115</f>
        <v>2.5</v>
      </c>
      <c r="E115" s="103"/>
      <c r="F115" s="103">
        <f>SUM(G115:K115,O115:AR115)</f>
        <v>2.5</v>
      </c>
      <c r="G115" s="103">
        <v>0.56999999999999995</v>
      </c>
      <c r="H115" s="103">
        <v>0.45</v>
      </c>
      <c r="I115" s="103">
        <v>1.48</v>
      </c>
      <c r="J115" s="103"/>
      <c r="K115" s="103"/>
      <c r="L115" s="103"/>
      <c r="M115" s="103"/>
      <c r="N115" s="103"/>
      <c r="O115" s="103"/>
      <c r="P115" s="103"/>
      <c r="Q115" s="103"/>
      <c r="R115" s="103"/>
      <c r="S115" s="103"/>
      <c r="T115" s="103"/>
      <c r="U115" s="103"/>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34" t="s">
        <v>226</v>
      </c>
      <c r="AU115" s="34" t="s">
        <v>2062</v>
      </c>
      <c r="AV115" s="34"/>
      <c r="AW115" s="34"/>
      <c r="AX115" s="63" t="s">
        <v>1920</v>
      </c>
      <c r="AY115" s="38" t="s">
        <v>1923</v>
      </c>
      <c r="AZ115" s="39" t="s">
        <v>1971</v>
      </c>
      <c r="BD115" s="15">
        <v>1</v>
      </c>
    </row>
    <row r="116" spans="1:57" ht="15.75" hidden="1" customHeight="1">
      <c r="A116" s="1658"/>
      <c r="B116" s="1659"/>
      <c r="C116" s="78"/>
      <c r="D116" s="103"/>
      <c r="E116" s="103"/>
      <c r="F116" s="103">
        <v>0.5</v>
      </c>
      <c r="G116" s="103"/>
      <c r="H116" s="103"/>
      <c r="I116" s="103"/>
      <c r="J116" s="103"/>
      <c r="K116" s="103"/>
      <c r="L116" s="103"/>
      <c r="M116" s="103"/>
      <c r="N116" s="103"/>
      <c r="O116" s="103"/>
      <c r="P116" s="103"/>
      <c r="Q116" s="103"/>
      <c r="R116" s="103"/>
      <c r="S116" s="103"/>
      <c r="T116" s="103"/>
      <c r="U116" s="103"/>
      <c r="V116" s="103"/>
      <c r="W116" s="103"/>
      <c r="X116" s="103"/>
      <c r="Y116" s="103"/>
      <c r="Z116" s="103"/>
      <c r="AA116" s="103"/>
      <c r="AB116" s="103"/>
      <c r="AC116" s="103"/>
      <c r="AD116" s="103"/>
      <c r="AE116" s="103"/>
      <c r="AF116" s="103"/>
      <c r="AG116" s="103"/>
      <c r="AH116" s="103"/>
      <c r="AI116" s="103"/>
      <c r="AJ116" s="103"/>
      <c r="AK116" s="103"/>
      <c r="AL116" s="103"/>
      <c r="AM116" s="103"/>
      <c r="AN116" s="103"/>
      <c r="AO116" s="103"/>
      <c r="AP116" s="103"/>
      <c r="AQ116" s="103"/>
      <c r="AR116" s="103"/>
      <c r="AS116" s="103"/>
      <c r="AT116" s="34" t="s">
        <v>226</v>
      </c>
      <c r="AU116" s="34" t="s">
        <v>392</v>
      </c>
      <c r="AV116" s="34"/>
      <c r="AW116" s="34"/>
      <c r="AX116" s="63"/>
      <c r="AY116" s="38" t="s">
        <v>1923</v>
      </c>
      <c r="AZ116" s="39" t="s">
        <v>1924</v>
      </c>
      <c r="BA116" s="40"/>
    </row>
    <row r="117" spans="1:57" ht="15.75" hidden="1" customHeight="1">
      <c r="A117" s="1658"/>
      <c r="B117" s="1659"/>
      <c r="C117" s="78"/>
      <c r="D117" s="103"/>
      <c r="E117" s="103"/>
      <c r="F117" s="103">
        <v>2</v>
      </c>
      <c r="G117" s="103"/>
      <c r="H117" s="103"/>
      <c r="I117" s="103"/>
      <c r="J117" s="103"/>
      <c r="K117" s="103"/>
      <c r="L117" s="103"/>
      <c r="M117" s="103"/>
      <c r="N117" s="103"/>
      <c r="O117" s="103"/>
      <c r="P117" s="103"/>
      <c r="Q117" s="103"/>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34" t="s">
        <v>226</v>
      </c>
      <c r="AU117" s="34" t="s">
        <v>1876</v>
      </c>
      <c r="AV117" s="34"/>
      <c r="AW117" s="34"/>
      <c r="AX117" s="63"/>
      <c r="AY117" s="38" t="s">
        <v>1923</v>
      </c>
      <c r="AZ117" s="39" t="s">
        <v>1924</v>
      </c>
      <c r="BA117" s="40"/>
    </row>
    <row r="118" spans="1:57" ht="39" customHeight="1">
      <c r="A118" s="1658"/>
      <c r="B118" s="1659"/>
      <c r="C118" s="78" t="s">
        <v>32</v>
      </c>
      <c r="D118" s="103">
        <f t="shared" ref="D118:D125" si="12">E118+F118</f>
        <v>1.61</v>
      </c>
      <c r="E118" s="103"/>
      <c r="F118" s="103">
        <f>SUM(G118:K118,O118:AR118)</f>
        <v>1.61</v>
      </c>
      <c r="G118" s="103"/>
      <c r="H118" s="103"/>
      <c r="I118" s="103">
        <v>1.61</v>
      </c>
      <c r="J118" s="103"/>
      <c r="K118" s="103"/>
      <c r="L118" s="103"/>
      <c r="M118" s="103"/>
      <c r="N118" s="103"/>
      <c r="O118" s="103"/>
      <c r="P118" s="103"/>
      <c r="Q118" s="103"/>
      <c r="R118" s="103"/>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34" t="s">
        <v>227</v>
      </c>
      <c r="AU118" s="34" t="s">
        <v>666</v>
      </c>
      <c r="AV118" s="34"/>
      <c r="AW118" s="34"/>
      <c r="AX118" s="39" t="s">
        <v>1920</v>
      </c>
      <c r="AY118" s="34" t="s">
        <v>1923</v>
      </c>
      <c r="AZ118" s="39" t="s">
        <v>2063</v>
      </c>
      <c r="BE118" s="15">
        <v>1</v>
      </c>
    </row>
    <row r="119" spans="1:57" ht="52.35" customHeight="1">
      <c r="A119" s="1658"/>
      <c r="B119" s="1659"/>
      <c r="C119" s="78" t="s">
        <v>32</v>
      </c>
      <c r="D119" s="103">
        <f t="shared" si="12"/>
        <v>4.42</v>
      </c>
      <c r="E119" s="103"/>
      <c r="F119" s="103">
        <f>SUM(G119:K119,O119:AR119)</f>
        <v>4.42</v>
      </c>
      <c r="G119" s="103">
        <v>3.06</v>
      </c>
      <c r="H119" s="103">
        <v>0.4</v>
      </c>
      <c r="I119" s="103">
        <v>0.96</v>
      </c>
      <c r="J119" s="103"/>
      <c r="K119" s="103"/>
      <c r="L119" s="103"/>
      <c r="M119" s="103"/>
      <c r="N119" s="103"/>
      <c r="O119" s="103"/>
      <c r="P119" s="103"/>
      <c r="Q119" s="103"/>
      <c r="R119" s="103"/>
      <c r="S119" s="103"/>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3"/>
      <c r="AR119" s="103"/>
      <c r="AS119" s="103"/>
      <c r="AT119" s="34" t="s">
        <v>487</v>
      </c>
      <c r="AU119" s="34" t="s">
        <v>2064</v>
      </c>
      <c r="AV119" s="34"/>
      <c r="AW119" s="34"/>
      <c r="AX119" s="39" t="s">
        <v>1920</v>
      </c>
      <c r="AY119" s="34" t="s">
        <v>1923</v>
      </c>
      <c r="AZ119" s="39" t="s">
        <v>2065</v>
      </c>
      <c r="BE119" s="15">
        <v>1</v>
      </c>
    </row>
    <row r="120" spans="1:57" ht="50.1" customHeight="1">
      <c r="A120" s="1658"/>
      <c r="B120" s="1659"/>
      <c r="C120" s="78" t="s">
        <v>32</v>
      </c>
      <c r="D120" s="103">
        <f t="shared" si="12"/>
        <v>5.63</v>
      </c>
      <c r="E120" s="103"/>
      <c r="F120" s="103">
        <f>SUM(G120:K120,O120:AR120)</f>
        <v>5.63</v>
      </c>
      <c r="G120" s="103">
        <v>3.28</v>
      </c>
      <c r="H120" s="103"/>
      <c r="I120" s="103">
        <v>2.35</v>
      </c>
      <c r="J120" s="103"/>
      <c r="K120" s="103"/>
      <c r="L120" s="103"/>
      <c r="M120" s="103"/>
      <c r="N120" s="103"/>
      <c r="O120" s="103"/>
      <c r="P120" s="103"/>
      <c r="Q120" s="103"/>
      <c r="R120" s="103"/>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34" t="s">
        <v>229</v>
      </c>
      <c r="AU120" s="34" t="s">
        <v>615</v>
      </c>
      <c r="AV120" s="34"/>
      <c r="AW120" s="34"/>
      <c r="AX120" s="39" t="s">
        <v>1920</v>
      </c>
      <c r="AY120" s="34" t="s">
        <v>1923</v>
      </c>
      <c r="AZ120" s="39" t="s">
        <v>2066</v>
      </c>
      <c r="BE120" s="15">
        <v>1</v>
      </c>
    </row>
    <row r="121" spans="1:57" ht="12" hidden="1" customHeight="1">
      <c r="A121" s="1658"/>
      <c r="B121" s="1659"/>
      <c r="C121" s="78" t="s">
        <v>32</v>
      </c>
      <c r="D121" s="222">
        <f t="shared" si="12"/>
        <v>0.5</v>
      </c>
      <c r="E121" s="222"/>
      <c r="F121" s="222">
        <v>0.5</v>
      </c>
      <c r="G121" s="103"/>
      <c r="H121" s="103"/>
      <c r="I121" s="103"/>
      <c r="J121" s="103"/>
      <c r="K121" s="103"/>
      <c r="L121" s="103"/>
      <c r="M121" s="103"/>
      <c r="N121" s="103"/>
      <c r="O121" s="103"/>
      <c r="P121" s="103"/>
      <c r="Q121" s="103"/>
      <c r="R121" s="103"/>
      <c r="S121" s="103"/>
      <c r="T121" s="103"/>
      <c r="U121" s="103"/>
      <c r="V121" s="103"/>
      <c r="W121" s="103"/>
      <c r="X121" s="103"/>
      <c r="Y121" s="103"/>
      <c r="Z121" s="103"/>
      <c r="AA121" s="103"/>
      <c r="AB121" s="103"/>
      <c r="AC121" s="103"/>
      <c r="AD121" s="103"/>
      <c r="AE121" s="103"/>
      <c r="AF121" s="103"/>
      <c r="AG121" s="103"/>
      <c r="AH121" s="103"/>
      <c r="AI121" s="103"/>
      <c r="AJ121" s="103"/>
      <c r="AK121" s="103"/>
      <c r="AL121" s="103"/>
      <c r="AM121" s="103"/>
      <c r="AN121" s="103"/>
      <c r="AO121" s="103"/>
      <c r="AP121" s="103"/>
      <c r="AQ121" s="103"/>
      <c r="AR121" s="103"/>
      <c r="AS121" s="103"/>
      <c r="AT121" s="34" t="s">
        <v>229</v>
      </c>
      <c r="AU121" s="34"/>
      <c r="AV121" s="34"/>
      <c r="AW121" s="34"/>
      <c r="AX121" s="39"/>
      <c r="AY121" s="34" t="s">
        <v>1923</v>
      </c>
      <c r="AZ121" s="39" t="s">
        <v>1926</v>
      </c>
    </row>
    <row r="122" spans="1:57" ht="27" hidden="1" customHeight="1">
      <c r="A122" s="1658"/>
      <c r="B122" s="1659"/>
      <c r="C122" s="78" t="s">
        <v>32</v>
      </c>
      <c r="D122" s="222">
        <f t="shared" si="12"/>
        <v>5.13</v>
      </c>
      <c r="E122" s="222"/>
      <c r="F122" s="222">
        <v>5.13</v>
      </c>
      <c r="G122" s="103"/>
      <c r="H122" s="103"/>
      <c r="I122" s="103"/>
      <c r="J122" s="103"/>
      <c r="K122" s="103"/>
      <c r="L122" s="103"/>
      <c r="M122" s="103"/>
      <c r="N122" s="103"/>
      <c r="O122" s="103"/>
      <c r="P122" s="103"/>
      <c r="Q122" s="103"/>
      <c r="R122" s="103"/>
      <c r="S122" s="103"/>
      <c r="T122" s="103"/>
      <c r="U122" s="103"/>
      <c r="V122" s="103"/>
      <c r="W122" s="103"/>
      <c r="X122" s="103"/>
      <c r="Y122" s="103"/>
      <c r="Z122" s="103"/>
      <c r="AA122" s="103"/>
      <c r="AB122" s="103"/>
      <c r="AC122" s="103"/>
      <c r="AD122" s="103"/>
      <c r="AE122" s="103"/>
      <c r="AF122" s="103"/>
      <c r="AG122" s="103"/>
      <c r="AH122" s="103"/>
      <c r="AI122" s="103"/>
      <c r="AJ122" s="103"/>
      <c r="AK122" s="103"/>
      <c r="AL122" s="103"/>
      <c r="AM122" s="103"/>
      <c r="AN122" s="103"/>
      <c r="AO122" s="103"/>
      <c r="AP122" s="103"/>
      <c r="AQ122" s="103"/>
      <c r="AR122" s="103"/>
      <c r="AS122" s="103"/>
      <c r="AT122" s="34" t="s">
        <v>229</v>
      </c>
      <c r="AU122" s="34"/>
      <c r="AV122" s="34"/>
      <c r="AW122" s="34"/>
      <c r="AX122" s="39"/>
      <c r="AY122" s="34" t="s">
        <v>1923</v>
      </c>
      <c r="AZ122" s="39" t="s">
        <v>1926</v>
      </c>
    </row>
    <row r="123" spans="1:57" ht="31.5">
      <c r="A123" s="1658"/>
      <c r="B123" s="1659"/>
      <c r="C123" s="78" t="s">
        <v>32</v>
      </c>
      <c r="D123" s="103">
        <f t="shared" si="12"/>
        <v>3.3</v>
      </c>
      <c r="E123" s="103"/>
      <c r="F123" s="103">
        <f>SUM(G123:K123,O123:AR123)</f>
        <v>3.3</v>
      </c>
      <c r="G123" s="103"/>
      <c r="H123" s="103"/>
      <c r="I123" s="103"/>
      <c r="J123" s="103"/>
      <c r="K123" s="103">
        <v>3.3</v>
      </c>
      <c r="L123" s="103"/>
      <c r="M123" s="103">
        <v>3.3</v>
      </c>
      <c r="N123" s="103"/>
      <c r="O123" s="103"/>
      <c r="P123" s="103"/>
      <c r="Q123" s="103"/>
      <c r="R123" s="103"/>
      <c r="S123" s="103"/>
      <c r="T123" s="103"/>
      <c r="U123" s="103"/>
      <c r="V123" s="103"/>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03"/>
      <c r="AR123" s="103"/>
      <c r="AS123" s="103"/>
      <c r="AT123" s="34" t="s">
        <v>230</v>
      </c>
      <c r="AU123" s="34" t="s">
        <v>2067</v>
      </c>
      <c r="AV123" s="34"/>
      <c r="AW123" s="34"/>
      <c r="AX123" s="39" t="s">
        <v>1920</v>
      </c>
      <c r="AY123" s="34" t="s">
        <v>1923</v>
      </c>
      <c r="AZ123" s="39" t="s">
        <v>2044</v>
      </c>
      <c r="BD123" s="15">
        <v>1</v>
      </c>
    </row>
    <row r="124" spans="1:57" ht="34.35" customHeight="1">
      <c r="A124" s="1658"/>
      <c r="B124" s="1659"/>
      <c r="C124" s="78" t="s">
        <v>32</v>
      </c>
      <c r="D124" s="103">
        <f t="shared" si="12"/>
        <v>30</v>
      </c>
      <c r="E124" s="103"/>
      <c r="F124" s="103">
        <f>SUM(G124:K124,O124:AR124)</f>
        <v>30</v>
      </c>
      <c r="G124" s="103"/>
      <c r="H124" s="103"/>
      <c r="I124" s="103"/>
      <c r="J124" s="103"/>
      <c r="K124" s="103">
        <v>30</v>
      </c>
      <c r="L124" s="103"/>
      <c r="M124" s="103">
        <v>30</v>
      </c>
      <c r="N124" s="103"/>
      <c r="O124" s="103"/>
      <c r="P124" s="103"/>
      <c r="Q124" s="103"/>
      <c r="R124" s="103"/>
      <c r="S124" s="103"/>
      <c r="T124" s="103"/>
      <c r="U124" s="103"/>
      <c r="V124" s="103"/>
      <c r="W124" s="103"/>
      <c r="X124" s="103"/>
      <c r="Y124" s="103"/>
      <c r="Z124" s="103"/>
      <c r="AA124" s="103"/>
      <c r="AB124" s="103"/>
      <c r="AC124" s="103"/>
      <c r="AD124" s="103"/>
      <c r="AE124" s="103"/>
      <c r="AF124" s="103"/>
      <c r="AG124" s="103"/>
      <c r="AH124" s="103"/>
      <c r="AI124" s="103"/>
      <c r="AJ124" s="103"/>
      <c r="AK124" s="103"/>
      <c r="AL124" s="103"/>
      <c r="AM124" s="103"/>
      <c r="AN124" s="103"/>
      <c r="AO124" s="103"/>
      <c r="AP124" s="103"/>
      <c r="AQ124" s="103"/>
      <c r="AR124" s="103"/>
      <c r="AS124" s="103"/>
      <c r="AT124" s="34" t="s">
        <v>231</v>
      </c>
      <c r="AU124" s="34" t="s">
        <v>1533</v>
      </c>
      <c r="AV124" s="34"/>
      <c r="AW124" s="34"/>
      <c r="AX124" s="39" t="s">
        <v>1920</v>
      </c>
      <c r="AY124" s="34" t="s">
        <v>1923</v>
      </c>
      <c r="AZ124" s="39" t="s">
        <v>2044</v>
      </c>
      <c r="BD124" s="15">
        <v>1</v>
      </c>
    </row>
    <row r="125" spans="1:57" ht="34.35" customHeight="1">
      <c r="A125" s="1658"/>
      <c r="B125" s="1659"/>
      <c r="C125" s="78" t="s">
        <v>32</v>
      </c>
      <c r="D125" s="103">
        <f t="shared" si="12"/>
        <v>32.61</v>
      </c>
      <c r="E125" s="103"/>
      <c r="F125" s="103">
        <f>SUM(G125:K125,O125:AR125)</f>
        <v>32.61</v>
      </c>
      <c r="G125" s="103">
        <v>3.11</v>
      </c>
      <c r="H125" s="103">
        <v>1.5</v>
      </c>
      <c r="I125" s="103"/>
      <c r="J125" s="103">
        <v>3.49</v>
      </c>
      <c r="K125" s="103">
        <v>23.41</v>
      </c>
      <c r="L125" s="103"/>
      <c r="M125" s="103">
        <v>23.41</v>
      </c>
      <c r="N125" s="103"/>
      <c r="O125" s="103"/>
      <c r="P125" s="103">
        <v>0.36</v>
      </c>
      <c r="Q125" s="103"/>
      <c r="R125" s="103"/>
      <c r="S125" s="103"/>
      <c r="T125" s="103"/>
      <c r="U125" s="103"/>
      <c r="V125" s="103"/>
      <c r="W125" s="103"/>
      <c r="X125" s="103"/>
      <c r="Y125" s="103"/>
      <c r="Z125" s="103"/>
      <c r="AA125" s="103"/>
      <c r="AB125" s="103"/>
      <c r="AC125" s="103"/>
      <c r="AD125" s="103"/>
      <c r="AE125" s="103"/>
      <c r="AF125" s="103"/>
      <c r="AG125" s="103">
        <v>0.74</v>
      </c>
      <c r="AH125" s="103"/>
      <c r="AI125" s="103"/>
      <c r="AJ125" s="103"/>
      <c r="AK125" s="103"/>
      <c r="AL125" s="103"/>
      <c r="AM125" s="103"/>
      <c r="AN125" s="103"/>
      <c r="AO125" s="103"/>
      <c r="AP125" s="103"/>
      <c r="AQ125" s="103"/>
      <c r="AR125" s="103"/>
      <c r="AS125" s="103"/>
      <c r="AT125" s="34" t="s">
        <v>233</v>
      </c>
      <c r="AU125" s="34" t="s">
        <v>615</v>
      </c>
      <c r="AV125" s="34"/>
      <c r="AW125" s="34"/>
      <c r="AX125" s="63" t="s">
        <v>1920</v>
      </c>
      <c r="AY125" s="34" t="s">
        <v>1923</v>
      </c>
      <c r="AZ125" s="39" t="s">
        <v>2068</v>
      </c>
      <c r="BE125" s="15">
        <v>1</v>
      </c>
    </row>
    <row r="126" spans="1:57" ht="15.75" hidden="1" customHeight="1">
      <c r="A126" s="1658"/>
      <c r="B126" s="1659"/>
      <c r="C126" s="78"/>
      <c r="D126" s="103"/>
      <c r="E126" s="103"/>
      <c r="F126" s="103">
        <v>0.5</v>
      </c>
      <c r="G126" s="103"/>
      <c r="H126" s="103"/>
      <c r="I126" s="103"/>
      <c r="J126" s="103"/>
      <c r="K126" s="103"/>
      <c r="L126" s="103"/>
      <c r="M126" s="103"/>
      <c r="N126" s="103"/>
      <c r="O126" s="103"/>
      <c r="P126" s="103"/>
      <c r="Q126" s="103"/>
      <c r="R126" s="103"/>
      <c r="S126" s="103"/>
      <c r="T126" s="103"/>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34" t="s">
        <v>233</v>
      </c>
      <c r="AU126" s="34" t="s">
        <v>503</v>
      </c>
      <c r="AV126" s="34"/>
      <c r="AW126" s="34"/>
      <c r="AX126" s="63"/>
      <c r="AY126" s="34" t="s">
        <v>1923</v>
      </c>
      <c r="AZ126" s="63" t="s">
        <v>2002</v>
      </c>
    </row>
    <row r="127" spans="1:57" ht="15.75" hidden="1" customHeight="1">
      <c r="A127" s="1658"/>
      <c r="B127" s="1659"/>
      <c r="C127" s="78"/>
      <c r="D127" s="103"/>
      <c r="E127" s="103"/>
      <c r="F127" s="103">
        <v>0.5</v>
      </c>
      <c r="G127" s="103"/>
      <c r="H127" s="103"/>
      <c r="I127" s="103"/>
      <c r="J127" s="103"/>
      <c r="K127" s="103"/>
      <c r="L127" s="103"/>
      <c r="M127" s="103"/>
      <c r="N127" s="103"/>
      <c r="O127" s="103"/>
      <c r="P127" s="103"/>
      <c r="Q127" s="103"/>
      <c r="R127" s="103"/>
      <c r="S127" s="103"/>
      <c r="T127" s="103"/>
      <c r="U127" s="103"/>
      <c r="V127" s="103"/>
      <c r="W127" s="103"/>
      <c r="X127" s="103"/>
      <c r="Y127" s="103"/>
      <c r="Z127" s="103"/>
      <c r="AA127" s="103"/>
      <c r="AB127" s="103"/>
      <c r="AC127" s="103"/>
      <c r="AD127" s="103"/>
      <c r="AE127" s="103"/>
      <c r="AF127" s="103"/>
      <c r="AG127" s="103"/>
      <c r="AH127" s="103"/>
      <c r="AI127" s="103"/>
      <c r="AJ127" s="103"/>
      <c r="AK127" s="103"/>
      <c r="AL127" s="103"/>
      <c r="AM127" s="103"/>
      <c r="AN127" s="103"/>
      <c r="AO127" s="103"/>
      <c r="AP127" s="103"/>
      <c r="AQ127" s="103"/>
      <c r="AR127" s="103"/>
      <c r="AS127" s="103"/>
      <c r="AT127" s="34" t="s">
        <v>233</v>
      </c>
      <c r="AU127" s="34" t="s">
        <v>503</v>
      </c>
      <c r="AV127" s="34"/>
      <c r="AW127" s="34"/>
      <c r="AX127" s="63"/>
      <c r="AY127" s="34" t="s">
        <v>1923</v>
      </c>
      <c r="AZ127" s="63" t="s">
        <v>2002</v>
      </c>
    </row>
    <row r="128" spans="1:57" ht="15.75" hidden="1" customHeight="1">
      <c r="A128" s="1658"/>
      <c r="B128" s="1659"/>
      <c r="C128" s="78"/>
      <c r="D128" s="103"/>
      <c r="E128" s="103"/>
      <c r="F128" s="103">
        <v>0.38</v>
      </c>
      <c r="G128" s="103"/>
      <c r="H128" s="103"/>
      <c r="I128" s="103"/>
      <c r="J128" s="103"/>
      <c r="K128" s="103"/>
      <c r="L128" s="103"/>
      <c r="M128" s="103"/>
      <c r="N128" s="103"/>
      <c r="O128" s="103"/>
      <c r="P128" s="103"/>
      <c r="Q128" s="103"/>
      <c r="R128" s="103"/>
      <c r="S128" s="103"/>
      <c r="T128" s="103"/>
      <c r="U128" s="103"/>
      <c r="V128" s="103"/>
      <c r="W128" s="103"/>
      <c r="X128" s="103"/>
      <c r="Y128" s="103"/>
      <c r="Z128" s="103"/>
      <c r="AA128" s="103"/>
      <c r="AB128" s="103"/>
      <c r="AC128" s="103"/>
      <c r="AD128" s="103"/>
      <c r="AE128" s="103"/>
      <c r="AF128" s="103"/>
      <c r="AG128" s="103"/>
      <c r="AH128" s="103"/>
      <c r="AI128" s="103"/>
      <c r="AJ128" s="103"/>
      <c r="AK128" s="103"/>
      <c r="AL128" s="103"/>
      <c r="AM128" s="103"/>
      <c r="AN128" s="103"/>
      <c r="AO128" s="103"/>
      <c r="AP128" s="103"/>
      <c r="AQ128" s="103"/>
      <c r="AR128" s="103"/>
      <c r="AS128" s="103"/>
      <c r="AT128" s="34" t="s">
        <v>233</v>
      </c>
      <c r="AU128" s="34" t="s">
        <v>786</v>
      </c>
      <c r="AV128" s="34"/>
      <c r="AW128" s="34"/>
      <c r="AX128" s="63"/>
      <c r="AY128" s="34" t="s">
        <v>1923</v>
      </c>
      <c r="AZ128" s="63" t="s">
        <v>2002</v>
      </c>
    </row>
    <row r="129" spans="1:52" ht="15.75" hidden="1" customHeight="1">
      <c r="A129" s="1658"/>
      <c r="B129" s="1659"/>
      <c r="C129" s="78"/>
      <c r="D129" s="103"/>
      <c r="E129" s="103"/>
      <c r="F129" s="103">
        <v>0.12</v>
      </c>
      <c r="G129" s="103"/>
      <c r="H129" s="103"/>
      <c r="I129" s="103"/>
      <c r="J129" s="103"/>
      <c r="K129" s="103"/>
      <c r="L129" s="103"/>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103"/>
      <c r="AS129" s="103"/>
      <c r="AT129" s="34" t="s">
        <v>233</v>
      </c>
      <c r="AU129" s="34" t="s">
        <v>503</v>
      </c>
      <c r="AV129" s="34"/>
      <c r="AW129" s="34"/>
      <c r="AX129" s="63"/>
      <c r="AY129" s="34" t="s">
        <v>1923</v>
      </c>
      <c r="AZ129" s="63" t="s">
        <v>2002</v>
      </c>
    </row>
    <row r="130" spans="1:52" ht="15.75" hidden="1" customHeight="1">
      <c r="A130" s="1658"/>
      <c r="B130" s="1659"/>
      <c r="C130" s="78"/>
      <c r="D130" s="103"/>
      <c r="E130" s="103"/>
      <c r="F130" s="103">
        <v>0.8</v>
      </c>
      <c r="G130" s="103"/>
      <c r="H130" s="103"/>
      <c r="I130" s="103"/>
      <c r="J130" s="103"/>
      <c r="K130" s="103"/>
      <c r="L130" s="103"/>
      <c r="M130" s="103"/>
      <c r="N130" s="103"/>
      <c r="O130" s="103"/>
      <c r="P130" s="103"/>
      <c r="Q130" s="103"/>
      <c r="R130" s="103"/>
      <c r="S130" s="103"/>
      <c r="T130" s="103"/>
      <c r="U130" s="103"/>
      <c r="V130" s="103"/>
      <c r="W130" s="103"/>
      <c r="X130" s="103"/>
      <c r="Y130" s="103"/>
      <c r="Z130" s="103"/>
      <c r="AA130" s="103"/>
      <c r="AB130" s="103"/>
      <c r="AC130" s="103"/>
      <c r="AD130" s="103"/>
      <c r="AE130" s="103"/>
      <c r="AF130" s="103"/>
      <c r="AG130" s="103"/>
      <c r="AH130" s="103"/>
      <c r="AI130" s="103"/>
      <c r="AJ130" s="103"/>
      <c r="AK130" s="103"/>
      <c r="AL130" s="103"/>
      <c r="AM130" s="103"/>
      <c r="AN130" s="103"/>
      <c r="AO130" s="103"/>
      <c r="AP130" s="103"/>
      <c r="AQ130" s="103"/>
      <c r="AR130" s="103"/>
      <c r="AS130" s="103"/>
      <c r="AT130" s="34" t="s">
        <v>233</v>
      </c>
      <c r="AU130" s="34" t="s">
        <v>503</v>
      </c>
      <c r="AV130" s="34"/>
      <c r="AW130" s="34"/>
      <c r="AX130" s="63"/>
      <c r="AY130" s="34" t="s">
        <v>1923</v>
      </c>
      <c r="AZ130" s="39" t="s">
        <v>1926</v>
      </c>
    </row>
    <row r="131" spans="1:52" ht="15.75" hidden="1" customHeight="1">
      <c r="A131" s="1658"/>
      <c r="B131" s="1659"/>
      <c r="C131" s="78"/>
      <c r="D131" s="103"/>
      <c r="E131" s="103"/>
      <c r="F131" s="103">
        <v>0.3</v>
      </c>
      <c r="G131" s="103"/>
      <c r="H131" s="103"/>
      <c r="I131" s="103"/>
      <c r="J131" s="103"/>
      <c r="K131" s="103"/>
      <c r="L131" s="103"/>
      <c r="M131" s="103"/>
      <c r="N131" s="103"/>
      <c r="O131" s="103"/>
      <c r="P131" s="103"/>
      <c r="Q131" s="103"/>
      <c r="R131" s="103"/>
      <c r="S131" s="103"/>
      <c r="T131" s="103"/>
      <c r="U131" s="103"/>
      <c r="V131" s="103"/>
      <c r="W131" s="103"/>
      <c r="X131" s="103"/>
      <c r="Y131" s="103"/>
      <c r="Z131" s="103"/>
      <c r="AA131" s="103"/>
      <c r="AB131" s="103"/>
      <c r="AC131" s="103"/>
      <c r="AD131" s="103"/>
      <c r="AE131" s="103"/>
      <c r="AF131" s="103"/>
      <c r="AG131" s="103"/>
      <c r="AH131" s="103"/>
      <c r="AI131" s="103"/>
      <c r="AJ131" s="103"/>
      <c r="AK131" s="103"/>
      <c r="AL131" s="103"/>
      <c r="AM131" s="103"/>
      <c r="AN131" s="103"/>
      <c r="AO131" s="103"/>
      <c r="AP131" s="103"/>
      <c r="AQ131" s="103"/>
      <c r="AR131" s="103"/>
      <c r="AS131" s="103"/>
      <c r="AT131" s="34" t="s">
        <v>233</v>
      </c>
      <c r="AU131" s="34" t="s">
        <v>503</v>
      </c>
      <c r="AV131" s="34"/>
      <c r="AW131" s="34"/>
      <c r="AX131" s="63"/>
      <c r="AY131" s="34" t="s">
        <v>1923</v>
      </c>
      <c r="AZ131" s="63" t="s">
        <v>2002</v>
      </c>
    </row>
    <row r="132" spans="1:52" ht="15.75" hidden="1" customHeight="1">
      <c r="A132" s="1658"/>
      <c r="B132" s="1659"/>
      <c r="C132" s="78"/>
      <c r="D132" s="103"/>
      <c r="E132" s="103"/>
      <c r="F132" s="103">
        <v>0.34</v>
      </c>
      <c r="G132" s="103"/>
      <c r="H132" s="103"/>
      <c r="I132" s="103"/>
      <c r="J132" s="103"/>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3"/>
      <c r="AR132" s="103"/>
      <c r="AS132" s="103"/>
      <c r="AT132" s="34" t="s">
        <v>233</v>
      </c>
      <c r="AU132" s="34" t="s">
        <v>503</v>
      </c>
      <c r="AV132" s="34"/>
      <c r="AW132" s="34"/>
      <c r="AX132" s="63"/>
      <c r="AY132" s="34" t="s">
        <v>1923</v>
      </c>
      <c r="AZ132" s="63" t="s">
        <v>2002</v>
      </c>
    </row>
    <row r="133" spans="1:52" ht="15.75" hidden="1" customHeight="1">
      <c r="A133" s="1658"/>
      <c r="B133" s="1659"/>
      <c r="C133" s="78"/>
      <c r="D133" s="103"/>
      <c r="E133" s="103"/>
      <c r="F133" s="103">
        <v>0.56999999999999995</v>
      </c>
      <c r="G133" s="103"/>
      <c r="H133" s="103"/>
      <c r="I133" s="103"/>
      <c r="J133" s="103"/>
      <c r="K133" s="103"/>
      <c r="L133" s="103"/>
      <c r="M133" s="103"/>
      <c r="N133" s="103"/>
      <c r="O133" s="103"/>
      <c r="P133" s="103"/>
      <c r="Q133" s="103"/>
      <c r="R133" s="103"/>
      <c r="S133" s="103"/>
      <c r="T133" s="103"/>
      <c r="U133" s="103"/>
      <c r="V133" s="103"/>
      <c r="W133" s="103"/>
      <c r="X133" s="103"/>
      <c r="Y133" s="103"/>
      <c r="Z133" s="103"/>
      <c r="AA133" s="103"/>
      <c r="AB133" s="103"/>
      <c r="AC133" s="103"/>
      <c r="AD133" s="103"/>
      <c r="AE133" s="103"/>
      <c r="AF133" s="103"/>
      <c r="AG133" s="103"/>
      <c r="AH133" s="103"/>
      <c r="AI133" s="103"/>
      <c r="AJ133" s="103"/>
      <c r="AK133" s="103"/>
      <c r="AL133" s="103"/>
      <c r="AM133" s="103"/>
      <c r="AN133" s="103"/>
      <c r="AO133" s="103"/>
      <c r="AP133" s="103"/>
      <c r="AQ133" s="103"/>
      <c r="AR133" s="103"/>
      <c r="AS133" s="103"/>
      <c r="AT133" s="34" t="s">
        <v>233</v>
      </c>
      <c r="AU133" s="34" t="s">
        <v>786</v>
      </c>
      <c r="AV133" s="34"/>
      <c r="AW133" s="34"/>
      <c r="AX133" s="63"/>
      <c r="AY133" s="34" t="s">
        <v>1923</v>
      </c>
      <c r="AZ133" s="63" t="s">
        <v>2002</v>
      </c>
    </row>
    <row r="134" spans="1:52" ht="15.75" hidden="1" customHeight="1">
      <c r="A134" s="1658"/>
      <c r="B134" s="1659"/>
      <c r="C134" s="78"/>
      <c r="D134" s="103"/>
      <c r="E134" s="103"/>
      <c r="F134" s="103">
        <v>0.5</v>
      </c>
      <c r="G134" s="103"/>
      <c r="H134" s="103"/>
      <c r="I134" s="103"/>
      <c r="J134" s="103"/>
      <c r="K134" s="103"/>
      <c r="L134" s="103"/>
      <c r="M134" s="103"/>
      <c r="N134" s="103"/>
      <c r="O134" s="103"/>
      <c r="P134" s="103"/>
      <c r="Q134" s="103"/>
      <c r="R134" s="103"/>
      <c r="S134" s="103"/>
      <c r="T134" s="103"/>
      <c r="U134" s="103"/>
      <c r="V134" s="103"/>
      <c r="W134" s="103"/>
      <c r="X134" s="103"/>
      <c r="Y134" s="103"/>
      <c r="Z134" s="103"/>
      <c r="AA134" s="103"/>
      <c r="AB134" s="103"/>
      <c r="AC134" s="103"/>
      <c r="AD134" s="103"/>
      <c r="AE134" s="103"/>
      <c r="AF134" s="103"/>
      <c r="AG134" s="103"/>
      <c r="AH134" s="103"/>
      <c r="AI134" s="103"/>
      <c r="AJ134" s="103"/>
      <c r="AK134" s="103"/>
      <c r="AL134" s="103"/>
      <c r="AM134" s="103"/>
      <c r="AN134" s="103"/>
      <c r="AO134" s="103"/>
      <c r="AP134" s="103"/>
      <c r="AQ134" s="103"/>
      <c r="AR134" s="103"/>
      <c r="AS134" s="103"/>
      <c r="AT134" s="34" t="s">
        <v>233</v>
      </c>
      <c r="AU134" s="34" t="s">
        <v>786</v>
      </c>
      <c r="AV134" s="34"/>
      <c r="AW134" s="34"/>
      <c r="AX134" s="63"/>
      <c r="AY134" s="34" t="s">
        <v>1923</v>
      </c>
      <c r="AZ134" s="63" t="s">
        <v>2002</v>
      </c>
    </row>
    <row r="135" spans="1:52" ht="15.75" hidden="1" customHeight="1">
      <c r="A135" s="1658"/>
      <c r="B135" s="1659"/>
      <c r="C135" s="78"/>
      <c r="D135" s="103"/>
      <c r="E135" s="103"/>
      <c r="F135" s="103">
        <v>0.4</v>
      </c>
      <c r="G135" s="103"/>
      <c r="H135" s="103"/>
      <c r="I135" s="103"/>
      <c r="J135" s="103"/>
      <c r="K135" s="103"/>
      <c r="L135" s="103"/>
      <c r="M135" s="103"/>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03"/>
      <c r="AJ135" s="103"/>
      <c r="AK135" s="103"/>
      <c r="AL135" s="103"/>
      <c r="AM135" s="103"/>
      <c r="AN135" s="103"/>
      <c r="AO135" s="103"/>
      <c r="AP135" s="103"/>
      <c r="AQ135" s="103"/>
      <c r="AR135" s="103"/>
      <c r="AS135" s="103"/>
      <c r="AT135" s="34" t="s">
        <v>233</v>
      </c>
      <c r="AU135" s="34" t="s">
        <v>503</v>
      </c>
      <c r="AV135" s="34"/>
      <c r="AW135" s="34"/>
      <c r="AX135" s="63"/>
      <c r="AY135" s="34" t="s">
        <v>1923</v>
      </c>
      <c r="AZ135" s="63" t="s">
        <v>2002</v>
      </c>
    </row>
    <row r="136" spans="1:52" ht="15.75" hidden="1" customHeight="1">
      <c r="A136" s="1658"/>
      <c r="B136" s="1659"/>
      <c r="C136" s="78"/>
      <c r="D136" s="103"/>
      <c r="E136" s="103"/>
      <c r="F136" s="103">
        <v>0.35</v>
      </c>
      <c r="G136" s="103"/>
      <c r="H136" s="103"/>
      <c r="I136" s="103"/>
      <c r="J136" s="103"/>
      <c r="K136" s="103"/>
      <c r="L136" s="103"/>
      <c r="M136" s="103"/>
      <c r="N136" s="103"/>
      <c r="O136" s="103"/>
      <c r="P136" s="103"/>
      <c r="Q136" s="103"/>
      <c r="R136" s="103"/>
      <c r="S136" s="103"/>
      <c r="T136" s="103"/>
      <c r="U136" s="103"/>
      <c r="V136" s="103"/>
      <c r="W136" s="103"/>
      <c r="X136" s="103"/>
      <c r="Y136" s="103"/>
      <c r="Z136" s="103"/>
      <c r="AA136" s="103"/>
      <c r="AB136" s="103"/>
      <c r="AC136" s="103"/>
      <c r="AD136" s="103"/>
      <c r="AE136" s="103"/>
      <c r="AF136" s="103"/>
      <c r="AG136" s="103"/>
      <c r="AH136" s="103"/>
      <c r="AI136" s="103"/>
      <c r="AJ136" s="103"/>
      <c r="AK136" s="103"/>
      <c r="AL136" s="103"/>
      <c r="AM136" s="103"/>
      <c r="AN136" s="103"/>
      <c r="AO136" s="103"/>
      <c r="AP136" s="103"/>
      <c r="AQ136" s="103"/>
      <c r="AR136" s="103"/>
      <c r="AS136" s="103"/>
      <c r="AT136" s="34" t="s">
        <v>233</v>
      </c>
      <c r="AU136" s="34" t="s">
        <v>503</v>
      </c>
      <c r="AV136" s="34"/>
      <c r="AW136" s="34"/>
      <c r="AX136" s="63"/>
      <c r="AY136" s="34" t="s">
        <v>1923</v>
      </c>
      <c r="AZ136" s="63" t="s">
        <v>2002</v>
      </c>
    </row>
    <row r="137" spans="1:52" ht="15.75" hidden="1" customHeight="1">
      <c r="A137" s="1658"/>
      <c r="B137" s="1659"/>
      <c r="C137" s="78"/>
      <c r="D137" s="103"/>
      <c r="E137" s="103"/>
      <c r="F137" s="103">
        <v>1.65</v>
      </c>
      <c r="G137" s="103"/>
      <c r="H137" s="103"/>
      <c r="I137" s="103"/>
      <c r="J137" s="103"/>
      <c r="K137" s="103"/>
      <c r="L137" s="103"/>
      <c r="M137" s="103"/>
      <c r="N137" s="103"/>
      <c r="O137" s="103"/>
      <c r="P137" s="103"/>
      <c r="Q137" s="103"/>
      <c r="R137" s="103"/>
      <c r="S137" s="103"/>
      <c r="T137" s="103"/>
      <c r="U137" s="103"/>
      <c r="V137" s="103"/>
      <c r="W137" s="103"/>
      <c r="X137" s="103"/>
      <c r="Y137" s="103"/>
      <c r="Z137" s="103"/>
      <c r="AA137" s="103"/>
      <c r="AB137" s="103"/>
      <c r="AC137" s="103"/>
      <c r="AD137" s="103"/>
      <c r="AE137" s="103"/>
      <c r="AF137" s="103"/>
      <c r="AG137" s="103"/>
      <c r="AH137" s="103"/>
      <c r="AI137" s="103"/>
      <c r="AJ137" s="103"/>
      <c r="AK137" s="103"/>
      <c r="AL137" s="103"/>
      <c r="AM137" s="103"/>
      <c r="AN137" s="103"/>
      <c r="AO137" s="103"/>
      <c r="AP137" s="103"/>
      <c r="AQ137" s="103"/>
      <c r="AR137" s="103"/>
      <c r="AS137" s="103"/>
      <c r="AT137" s="34" t="s">
        <v>233</v>
      </c>
      <c r="AU137" s="34" t="s">
        <v>503</v>
      </c>
      <c r="AV137" s="34"/>
      <c r="AW137" s="34"/>
      <c r="AX137" s="63"/>
      <c r="AY137" s="34" t="s">
        <v>1923</v>
      </c>
      <c r="AZ137" s="63" t="s">
        <v>2002</v>
      </c>
    </row>
    <row r="138" spans="1:52" ht="15.75" hidden="1" customHeight="1">
      <c r="A138" s="1658"/>
      <c r="B138" s="1659"/>
      <c r="C138" s="78"/>
      <c r="D138" s="103"/>
      <c r="E138" s="103"/>
      <c r="F138" s="103">
        <v>1</v>
      </c>
      <c r="G138" s="103"/>
      <c r="H138" s="103"/>
      <c r="I138" s="103"/>
      <c r="J138" s="103"/>
      <c r="K138" s="103"/>
      <c r="L138" s="103"/>
      <c r="M138" s="103"/>
      <c r="N138" s="103"/>
      <c r="O138" s="103"/>
      <c r="P138" s="103"/>
      <c r="Q138" s="103"/>
      <c r="R138" s="103"/>
      <c r="S138" s="103"/>
      <c r="T138" s="103"/>
      <c r="U138" s="103"/>
      <c r="V138" s="103"/>
      <c r="W138" s="103"/>
      <c r="X138" s="103"/>
      <c r="Y138" s="103"/>
      <c r="Z138" s="103"/>
      <c r="AA138" s="103"/>
      <c r="AB138" s="103"/>
      <c r="AC138" s="103"/>
      <c r="AD138" s="103"/>
      <c r="AE138" s="103"/>
      <c r="AF138" s="103"/>
      <c r="AG138" s="103"/>
      <c r="AH138" s="103"/>
      <c r="AI138" s="103"/>
      <c r="AJ138" s="103"/>
      <c r="AK138" s="103"/>
      <c r="AL138" s="103"/>
      <c r="AM138" s="103"/>
      <c r="AN138" s="103"/>
      <c r="AO138" s="103"/>
      <c r="AP138" s="103"/>
      <c r="AQ138" s="103"/>
      <c r="AR138" s="103"/>
      <c r="AS138" s="103"/>
      <c r="AT138" s="34" t="s">
        <v>233</v>
      </c>
      <c r="AU138" s="34" t="s">
        <v>1184</v>
      </c>
      <c r="AV138" s="34"/>
      <c r="AW138" s="34"/>
      <c r="AX138" s="63"/>
      <c r="AY138" s="34" t="s">
        <v>1923</v>
      </c>
      <c r="AZ138" s="63" t="s">
        <v>2002</v>
      </c>
    </row>
    <row r="139" spans="1:52" ht="15.75" hidden="1" customHeight="1">
      <c r="A139" s="1658"/>
      <c r="B139" s="1659"/>
      <c r="C139" s="78"/>
      <c r="D139" s="103"/>
      <c r="E139" s="103"/>
      <c r="F139" s="103">
        <v>1.5</v>
      </c>
      <c r="G139" s="103"/>
      <c r="H139" s="103"/>
      <c r="I139" s="103"/>
      <c r="J139" s="103"/>
      <c r="K139" s="103"/>
      <c r="L139" s="103"/>
      <c r="M139" s="103"/>
      <c r="N139" s="103"/>
      <c r="O139" s="103"/>
      <c r="P139" s="103"/>
      <c r="Q139" s="103"/>
      <c r="R139" s="103"/>
      <c r="S139" s="103"/>
      <c r="T139" s="103"/>
      <c r="U139" s="103"/>
      <c r="V139" s="103"/>
      <c r="W139" s="103"/>
      <c r="X139" s="103"/>
      <c r="Y139" s="103"/>
      <c r="Z139" s="103"/>
      <c r="AA139" s="103"/>
      <c r="AB139" s="103"/>
      <c r="AC139" s="103"/>
      <c r="AD139" s="103"/>
      <c r="AE139" s="103"/>
      <c r="AF139" s="103"/>
      <c r="AG139" s="103"/>
      <c r="AH139" s="103"/>
      <c r="AI139" s="103"/>
      <c r="AJ139" s="103"/>
      <c r="AK139" s="103"/>
      <c r="AL139" s="103"/>
      <c r="AM139" s="103"/>
      <c r="AN139" s="103"/>
      <c r="AO139" s="103"/>
      <c r="AP139" s="103"/>
      <c r="AQ139" s="103"/>
      <c r="AR139" s="103"/>
      <c r="AS139" s="103"/>
      <c r="AT139" s="34" t="s">
        <v>233</v>
      </c>
      <c r="AU139" s="34" t="s">
        <v>503</v>
      </c>
      <c r="AV139" s="34"/>
      <c r="AW139" s="34"/>
      <c r="AX139" s="63"/>
      <c r="AY139" s="34" t="s">
        <v>1923</v>
      </c>
      <c r="AZ139" s="63" t="s">
        <v>2002</v>
      </c>
    </row>
    <row r="140" spans="1:52" ht="15.75" hidden="1" customHeight="1">
      <c r="A140" s="1658"/>
      <c r="B140" s="1659"/>
      <c r="C140" s="78"/>
      <c r="D140" s="103"/>
      <c r="E140" s="103"/>
      <c r="F140" s="103">
        <v>1</v>
      </c>
      <c r="G140" s="103"/>
      <c r="H140" s="103"/>
      <c r="I140" s="103"/>
      <c r="J140" s="103"/>
      <c r="K140" s="103"/>
      <c r="L140" s="103"/>
      <c r="M140" s="103"/>
      <c r="N140" s="103"/>
      <c r="O140" s="103"/>
      <c r="P140" s="103"/>
      <c r="Q140" s="103"/>
      <c r="R140" s="103"/>
      <c r="S140" s="103"/>
      <c r="T140" s="103"/>
      <c r="U140" s="103"/>
      <c r="V140" s="103"/>
      <c r="W140" s="103"/>
      <c r="X140" s="103"/>
      <c r="Y140" s="103"/>
      <c r="Z140" s="103"/>
      <c r="AA140" s="103"/>
      <c r="AB140" s="103"/>
      <c r="AC140" s="103"/>
      <c r="AD140" s="103"/>
      <c r="AE140" s="103"/>
      <c r="AF140" s="103"/>
      <c r="AG140" s="103"/>
      <c r="AH140" s="103"/>
      <c r="AI140" s="103"/>
      <c r="AJ140" s="103"/>
      <c r="AK140" s="103"/>
      <c r="AL140" s="103"/>
      <c r="AM140" s="103"/>
      <c r="AN140" s="103"/>
      <c r="AO140" s="103"/>
      <c r="AP140" s="103"/>
      <c r="AQ140" s="103"/>
      <c r="AR140" s="103"/>
      <c r="AS140" s="103"/>
      <c r="AT140" s="34" t="s">
        <v>233</v>
      </c>
      <c r="AU140" s="34" t="s">
        <v>786</v>
      </c>
      <c r="AV140" s="34"/>
      <c r="AW140" s="34"/>
      <c r="AX140" s="63"/>
      <c r="AY140" s="34" t="s">
        <v>1923</v>
      </c>
      <c r="AZ140" s="63" t="s">
        <v>2002</v>
      </c>
    </row>
    <row r="141" spans="1:52" ht="15.75" hidden="1" customHeight="1">
      <c r="A141" s="1658"/>
      <c r="B141" s="1659"/>
      <c r="C141" s="78"/>
      <c r="D141" s="103"/>
      <c r="E141" s="103"/>
      <c r="F141" s="103">
        <v>0.43</v>
      </c>
      <c r="G141" s="103"/>
      <c r="H141" s="103"/>
      <c r="I141" s="103"/>
      <c r="J141" s="103"/>
      <c r="K141" s="103"/>
      <c r="L141" s="103"/>
      <c r="M141" s="103"/>
      <c r="N141" s="103"/>
      <c r="O141" s="103"/>
      <c r="P141" s="103"/>
      <c r="Q141" s="103"/>
      <c r="R141" s="103"/>
      <c r="S141" s="103"/>
      <c r="T141" s="103"/>
      <c r="U141" s="103"/>
      <c r="V141" s="103"/>
      <c r="W141" s="103"/>
      <c r="X141" s="103"/>
      <c r="Y141" s="103"/>
      <c r="Z141" s="103"/>
      <c r="AA141" s="103"/>
      <c r="AB141" s="103"/>
      <c r="AC141" s="103"/>
      <c r="AD141" s="103"/>
      <c r="AE141" s="103"/>
      <c r="AF141" s="103"/>
      <c r="AG141" s="103"/>
      <c r="AH141" s="103"/>
      <c r="AI141" s="103"/>
      <c r="AJ141" s="103"/>
      <c r="AK141" s="103"/>
      <c r="AL141" s="103"/>
      <c r="AM141" s="103"/>
      <c r="AN141" s="103"/>
      <c r="AO141" s="103"/>
      <c r="AP141" s="103"/>
      <c r="AQ141" s="103"/>
      <c r="AR141" s="103"/>
      <c r="AS141" s="103"/>
      <c r="AT141" s="34" t="s">
        <v>233</v>
      </c>
      <c r="AU141" s="34"/>
      <c r="AV141" s="34"/>
      <c r="AW141" s="34"/>
      <c r="AX141" s="63"/>
      <c r="AY141" s="34" t="s">
        <v>1923</v>
      </c>
      <c r="AZ141" s="63" t="s">
        <v>2002</v>
      </c>
    </row>
    <row r="142" spans="1:52" ht="15.75" hidden="1" customHeight="1">
      <c r="A142" s="1658"/>
      <c r="B142" s="1659"/>
      <c r="C142" s="78"/>
      <c r="D142" s="103"/>
      <c r="E142" s="103"/>
      <c r="F142" s="103">
        <v>16.18</v>
      </c>
      <c r="G142" s="103"/>
      <c r="H142" s="103"/>
      <c r="I142" s="103"/>
      <c r="J142" s="103"/>
      <c r="K142" s="103"/>
      <c r="L142" s="103"/>
      <c r="M142" s="103"/>
      <c r="N142" s="103"/>
      <c r="O142" s="103"/>
      <c r="P142" s="103"/>
      <c r="Q142" s="103"/>
      <c r="R142" s="103"/>
      <c r="S142" s="103"/>
      <c r="T142" s="103"/>
      <c r="U142" s="103"/>
      <c r="V142" s="103"/>
      <c r="W142" s="103"/>
      <c r="X142" s="103"/>
      <c r="Y142" s="103"/>
      <c r="Z142" s="103"/>
      <c r="AA142" s="103"/>
      <c r="AB142" s="103"/>
      <c r="AC142" s="103"/>
      <c r="AD142" s="103"/>
      <c r="AE142" s="103"/>
      <c r="AF142" s="103"/>
      <c r="AG142" s="103"/>
      <c r="AH142" s="103"/>
      <c r="AI142" s="103"/>
      <c r="AJ142" s="103"/>
      <c r="AK142" s="103"/>
      <c r="AL142" s="103"/>
      <c r="AM142" s="103"/>
      <c r="AN142" s="103"/>
      <c r="AO142" s="103"/>
      <c r="AP142" s="103"/>
      <c r="AQ142" s="103"/>
      <c r="AR142" s="103"/>
      <c r="AS142" s="103"/>
      <c r="AT142" s="34" t="s">
        <v>233</v>
      </c>
      <c r="AU142" s="34" t="s">
        <v>503</v>
      </c>
      <c r="AV142" s="34"/>
      <c r="AW142" s="34"/>
      <c r="AX142" s="63"/>
      <c r="AY142" s="34" t="s">
        <v>1923</v>
      </c>
      <c r="AZ142" s="39" t="s">
        <v>1926</v>
      </c>
    </row>
    <row r="143" spans="1:52" ht="15.75" hidden="1" customHeight="1">
      <c r="A143" s="1658"/>
      <c r="B143" s="1659"/>
      <c r="C143" s="78"/>
      <c r="D143" s="103"/>
      <c r="E143" s="103"/>
      <c r="F143" s="103">
        <v>0.36</v>
      </c>
      <c r="G143" s="103"/>
      <c r="H143" s="103"/>
      <c r="I143" s="103"/>
      <c r="J143" s="103"/>
      <c r="K143" s="103"/>
      <c r="L143" s="103"/>
      <c r="M143" s="103"/>
      <c r="N143" s="103"/>
      <c r="O143" s="103"/>
      <c r="P143" s="103"/>
      <c r="Q143" s="103"/>
      <c r="R143" s="103"/>
      <c r="S143" s="103"/>
      <c r="T143" s="103"/>
      <c r="U143" s="103"/>
      <c r="V143" s="103"/>
      <c r="W143" s="103"/>
      <c r="X143" s="103"/>
      <c r="Y143" s="103"/>
      <c r="Z143" s="103"/>
      <c r="AA143" s="103"/>
      <c r="AB143" s="103"/>
      <c r="AC143" s="103"/>
      <c r="AD143" s="103"/>
      <c r="AE143" s="103"/>
      <c r="AF143" s="103"/>
      <c r="AG143" s="103"/>
      <c r="AH143" s="103"/>
      <c r="AI143" s="103"/>
      <c r="AJ143" s="103"/>
      <c r="AK143" s="103"/>
      <c r="AL143" s="103"/>
      <c r="AM143" s="103"/>
      <c r="AN143" s="103"/>
      <c r="AO143" s="103"/>
      <c r="AP143" s="103"/>
      <c r="AQ143" s="103"/>
      <c r="AR143" s="103"/>
      <c r="AS143" s="103"/>
      <c r="AT143" s="34" t="s">
        <v>233</v>
      </c>
      <c r="AU143" s="34"/>
      <c r="AV143" s="34"/>
      <c r="AW143" s="34"/>
      <c r="AX143" s="63"/>
      <c r="AY143" s="34" t="s">
        <v>1923</v>
      </c>
      <c r="AZ143" s="63" t="s">
        <v>2002</v>
      </c>
    </row>
    <row r="144" spans="1:52" ht="15.75" hidden="1" customHeight="1">
      <c r="A144" s="1658"/>
      <c r="B144" s="1659"/>
      <c r="C144" s="78"/>
      <c r="D144" s="103"/>
      <c r="E144" s="103"/>
      <c r="F144" s="103">
        <v>0.74</v>
      </c>
      <c r="G144" s="103"/>
      <c r="H144" s="103"/>
      <c r="I144" s="103"/>
      <c r="J144" s="103"/>
      <c r="K144" s="103"/>
      <c r="L144" s="103"/>
      <c r="M144" s="103"/>
      <c r="N144" s="103"/>
      <c r="O144" s="103"/>
      <c r="P144" s="103"/>
      <c r="Q144" s="103"/>
      <c r="R144" s="103"/>
      <c r="S144" s="103"/>
      <c r="T144" s="103"/>
      <c r="U144" s="103"/>
      <c r="V144" s="103"/>
      <c r="W144" s="103"/>
      <c r="X144" s="103"/>
      <c r="Y144" s="103"/>
      <c r="Z144" s="103"/>
      <c r="AA144" s="103"/>
      <c r="AB144" s="103"/>
      <c r="AC144" s="103"/>
      <c r="AD144" s="103"/>
      <c r="AE144" s="103"/>
      <c r="AF144" s="103"/>
      <c r="AG144" s="103"/>
      <c r="AH144" s="103"/>
      <c r="AI144" s="103"/>
      <c r="AJ144" s="103"/>
      <c r="AK144" s="103"/>
      <c r="AL144" s="103"/>
      <c r="AM144" s="103"/>
      <c r="AN144" s="103"/>
      <c r="AO144" s="103"/>
      <c r="AP144" s="103"/>
      <c r="AQ144" s="103"/>
      <c r="AR144" s="103"/>
      <c r="AS144" s="103"/>
      <c r="AT144" s="34" t="s">
        <v>233</v>
      </c>
      <c r="AU144" s="34"/>
      <c r="AV144" s="34"/>
      <c r="AW144" s="34"/>
      <c r="AX144" s="63"/>
      <c r="AY144" s="34" t="s">
        <v>1923</v>
      </c>
      <c r="AZ144" s="63" t="s">
        <v>2002</v>
      </c>
    </row>
    <row r="145" spans="1:58" ht="15.75" hidden="1" customHeight="1">
      <c r="A145" s="1658"/>
      <c r="B145" s="1659"/>
      <c r="C145" s="78"/>
      <c r="D145" s="103"/>
      <c r="E145" s="103"/>
      <c r="F145" s="103">
        <v>0.61</v>
      </c>
      <c r="G145" s="103"/>
      <c r="H145" s="103"/>
      <c r="I145" s="103"/>
      <c r="J145" s="103"/>
      <c r="K145" s="103"/>
      <c r="L145" s="103"/>
      <c r="M145" s="103"/>
      <c r="N145" s="103"/>
      <c r="O145" s="103"/>
      <c r="P145" s="103"/>
      <c r="Q145" s="103"/>
      <c r="R145" s="103"/>
      <c r="S145" s="103"/>
      <c r="T145" s="103"/>
      <c r="U145" s="103"/>
      <c r="V145" s="103"/>
      <c r="W145" s="103"/>
      <c r="X145" s="103"/>
      <c r="Y145" s="103"/>
      <c r="Z145" s="103"/>
      <c r="AA145" s="103"/>
      <c r="AB145" s="103"/>
      <c r="AC145" s="103"/>
      <c r="AD145" s="103"/>
      <c r="AE145" s="103"/>
      <c r="AF145" s="103"/>
      <c r="AG145" s="103"/>
      <c r="AH145" s="103"/>
      <c r="AI145" s="103"/>
      <c r="AJ145" s="103"/>
      <c r="AK145" s="103"/>
      <c r="AL145" s="103"/>
      <c r="AM145" s="103"/>
      <c r="AN145" s="103"/>
      <c r="AO145" s="103"/>
      <c r="AP145" s="103"/>
      <c r="AQ145" s="103"/>
      <c r="AR145" s="103"/>
      <c r="AS145" s="103"/>
      <c r="AT145" s="34" t="s">
        <v>233</v>
      </c>
      <c r="AU145" s="34"/>
      <c r="AV145" s="34"/>
      <c r="AW145" s="34"/>
      <c r="AX145" s="63"/>
      <c r="AY145" s="34" t="s">
        <v>1923</v>
      </c>
      <c r="AZ145" s="63" t="s">
        <v>2002</v>
      </c>
    </row>
    <row r="146" spans="1:58" ht="15.75" hidden="1" customHeight="1">
      <c r="A146" s="1658"/>
      <c r="B146" s="1659"/>
      <c r="C146" s="78"/>
      <c r="D146" s="103"/>
      <c r="E146" s="103"/>
      <c r="F146" s="103">
        <v>0.88</v>
      </c>
      <c r="G146" s="103"/>
      <c r="H146" s="103"/>
      <c r="I146" s="103"/>
      <c r="J146" s="103"/>
      <c r="K146" s="103"/>
      <c r="L146" s="103"/>
      <c r="M146" s="103"/>
      <c r="N146" s="103"/>
      <c r="O146" s="103"/>
      <c r="P146" s="103"/>
      <c r="Q146" s="103"/>
      <c r="R146" s="103"/>
      <c r="S146" s="103"/>
      <c r="T146" s="103"/>
      <c r="U146" s="103"/>
      <c r="V146" s="103"/>
      <c r="W146" s="103"/>
      <c r="X146" s="103"/>
      <c r="Y146" s="103"/>
      <c r="Z146" s="103"/>
      <c r="AA146" s="103"/>
      <c r="AB146" s="103"/>
      <c r="AC146" s="103"/>
      <c r="AD146" s="103"/>
      <c r="AE146" s="103"/>
      <c r="AF146" s="103"/>
      <c r="AG146" s="103"/>
      <c r="AH146" s="103"/>
      <c r="AI146" s="103"/>
      <c r="AJ146" s="103"/>
      <c r="AK146" s="103"/>
      <c r="AL146" s="103"/>
      <c r="AM146" s="103"/>
      <c r="AN146" s="103"/>
      <c r="AO146" s="103"/>
      <c r="AP146" s="103"/>
      <c r="AQ146" s="103"/>
      <c r="AR146" s="103"/>
      <c r="AS146" s="103"/>
      <c r="AT146" s="34" t="s">
        <v>233</v>
      </c>
      <c r="AU146" s="34"/>
      <c r="AV146" s="34"/>
      <c r="AW146" s="34"/>
      <c r="AX146" s="63"/>
      <c r="AY146" s="34" t="s">
        <v>1923</v>
      </c>
      <c r="AZ146" s="63" t="s">
        <v>2002</v>
      </c>
    </row>
    <row r="147" spans="1:58" ht="35.1" customHeight="1">
      <c r="A147" s="1658"/>
      <c r="B147" s="1659"/>
      <c r="C147" s="78" t="s">
        <v>32</v>
      </c>
      <c r="D147" s="103">
        <f>E147+F147</f>
        <v>0.44</v>
      </c>
      <c r="E147" s="103"/>
      <c r="F147" s="103">
        <f>SUM(G147:K147,O147:AR147)</f>
        <v>0.44</v>
      </c>
      <c r="G147" s="103">
        <v>0.11</v>
      </c>
      <c r="H147" s="103">
        <v>0.13</v>
      </c>
      <c r="I147" s="103">
        <v>0.01</v>
      </c>
      <c r="J147" s="103">
        <v>0.19</v>
      </c>
      <c r="K147" s="103"/>
      <c r="L147" s="103"/>
      <c r="M147" s="103"/>
      <c r="N147" s="103"/>
      <c r="O147" s="103"/>
      <c r="P147" s="103"/>
      <c r="Q147" s="103"/>
      <c r="R147" s="103"/>
      <c r="S147" s="103"/>
      <c r="T147" s="103"/>
      <c r="U147" s="103"/>
      <c r="V147" s="103"/>
      <c r="W147" s="103"/>
      <c r="X147" s="103"/>
      <c r="Y147" s="103"/>
      <c r="Z147" s="103"/>
      <c r="AA147" s="103"/>
      <c r="AB147" s="103"/>
      <c r="AC147" s="103"/>
      <c r="AD147" s="103"/>
      <c r="AE147" s="103"/>
      <c r="AF147" s="103"/>
      <c r="AG147" s="103"/>
      <c r="AH147" s="103"/>
      <c r="AI147" s="103"/>
      <c r="AJ147" s="103"/>
      <c r="AK147" s="103"/>
      <c r="AL147" s="103"/>
      <c r="AM147" s="103"/>
      <c r="AN147" s="103"/>
      <c r="AO147" s="103"/>
      <c r="AP147" s="103"/>
      <c r="AQ147" s="103"/>
      <c r="AR147" s="103"/>
      <c r="AS147" s="103"/>
      <c r="AT147" s="34" t="s">
        <v>234</v>
      </c>
      <c r="AU147" s="34" t="s">
        <v>305</v>
      </c>
      <c r="AV147" s="34"/>
      <c r="AW147" s="34"/>
      <c r="AX147" s="39" t="s">
        <v>1920</v>
      </c>
      <c r="AY147" s="34" t="s">
        <v>1923</v>
      </c>
      <c r="AZ147" s="39" t="s">
        <v>2069</v>
      </c>
      <c r="BE147" s="15">
        <v>1</v>
      </c>
    </row>
    <row r="148" spans="1:58" ht="48" customHeight="1">
      <c r="A148" s="1658"/>
      <c r="B148" s="1659"/>
      <c r="C148" s="78" t="s">
        <v>32</v>
      </c>
      <c r="D148" s="103">
        <f>E148+F148</f>
        <v>2.89</v>
      </c>
      <c r="E148" s="103"/>
      <c r="F148" s="103">
        <f>SUM(G148:K148,O148:AR148)-0.44</f>
        <v>2.89</v>
      </c>
      <c r="G148" s="103">
        <v>0.25</v>
      </c>
      <c r="H148" s="103">
        <v>0.86</v>
      </c>
      <c r="I148" s="103"/>
      <c r="J148" s="103">
        <v>2.2000000000000002</v>
      </c>
      <c r="K148" s="103"/>
      <c r="L148" s="103"/>
      <c r="M148" s="103"/>
      <c r="N148" s="103"/>
      <c r="O148" s="103"/>
      <c r="P148" s="103"/>
      <c r="Q148" s="103"/>
      <c r="R148" s="103"/>
      <c r="S148" s="103"/>
      <c r="T148" s="103"/>
      <c r="U148" s="103"/>
      <c r="V148" s="103"/>
      <c r="W148" s="103"/>
      <c r="X148" s="103"/>
      <c r="Y148" s="103"/>
      <c r="Z148" s="103"/>
      <c r="AA148" s="103">
        <v>0.02</v>
      </c>
      <c r="AB148" s="103"/>
      <c r="AC148" s="103"/>
      <c r="AD148" s="103"/>
      <c r="AE148" s="103"/>
      <c r="AF148" s="103"/>
      <c r="AG148" s="103"/>
      <c r="AH148" s="103"/>
      <c r="AI148" s="103"/>
      <c r="AJ148" s="103"/>
      <c r="AK148" s="103"/>
      <c r="AL148" s="103"/>
      <c r="AM148" s="103"/>
      <c r="AN148" s="103"/>
      <c r="AO148" s="103"/>
      <c r="AP148" s="103"/>
      <c r="AQ148" s="103"/>
      <c r="AR148" s="103"/>
      <c r="AS148" s="103"/>
      <c r="AT148" s="34" t="s">
        <v>235</v>
      </c>
      <c r="AU148" s="34" t="s">
        <v>2070</v>
      </c>
      <c r="AV148" s="34"/>
      <c r="AW148" s="34"/>
      <c r="AX148" s="39" t="s">
        <v>1920</v>
      </c>
      <c r="AY148" s="34" t="s">
        <v>1917</v>
      </c>
      <c r="AZ148" s="39" t="s">
        <v>2071</v>
      </c>
      <c r="BF148" s="15">
        <v>1</v>
      </c>
    </row>
    <row r="149" spans="1:58" ht="47.25">
      <c r="A149" s="1658">
        <v>28</v>
      </c>
      <c r="B149" s="1659" t="s">
        <v>2047</v>
      </c>
      <c r="C149" s="78" t="s">
        <v>32</v>
      </c>
      <c r="D149" s="103">
        <f>E149+F149</f>
        <v>14.85</v>
      </c>
      <c r="E149" s="103"/>
      <c r="F149" s="103">
        <f>SUM(G149:K149,O149:AR149)</f>
        <v>14.85</v>
      </c>
      <c r="G149" s="103">
        <v>0.35</v>
      </c>
      <c r="H149" s="103"/>
      <c r="I149" s="103"/>
      <c r="J149" s="103"/>
      <c r="K149" s="103">
        <v>14.5</v>
      </c>
      <c r="L149" s="103"/>
      <c r="M149" s="103">
        <v>14.5</v>
      </c>
      <c r="N149" s="103"/>
      <c r="O149" s="103"/>
      <c r="P149" s="103"/>
      <c r="Q149" s="103"/>
      <c r="R149" s="103"/>
      <c r="S149" s="103"/>
      <c r="T149" s="103"/>
      <c r="U149" s="103"/>
      <c r="V149" s="103"/>
      <c r="W149" s="103"/>
      <c r="X149" s="103"/>
      <c r="Y149" s="103"/>
      <c r="Z149" s="103"/>
      <c r="AA149" s="103"/>
      <c r="AB149" s="103"/>
      <c r="AC149" s="103"/>
      <c r="AD149" s="103"/>
      <c r="AE149" s="103"/>
      <c r="AF149" s="103"/>
      <c r="AG149" s="103"/>
      <c r="AH149" s="103"/>
      <c r="AI149" s="103"/>
      <c r="AJ149" s="103"/>
      <c r="AK149" s="103"/>
      <c r="AL149" s="103"/>
      <c r="AM149" s="103"/>
      <c r="AN149" s="103"/>
      <c r="AO149" s="103"/>
      <c r="AP149" s="103"/>
      <c r="AQ149" s="103"/>
      <c r="AR149" s="103"/>
      <c r="AS149" s="103"/>
      <c r="AT149" s="34" t="s">
        <v>429</v>
      </c>
      <c r="AU149" s="34" t="s">
        <v>2072</v>
      </c>
      <c r="AV149" s="34"/>
      <c r="AW149" s="34" t="s">
        <v>1995</v>
      </c>
      <c r="AX149" s="39" t="s">
        <v>1920</v>
      </c>
      <c r="AY149" s="34" t="s">
        <v>1923</v>
      </c>
      <c r="AZ149" s="39" t="s">
        <v>2073</v>
      </c>
      <c r="BE149" s="15">
        <v>1</v>
      </c>
    </row>
    <row r="150" spans="1:58" ht="31.5" hidden="1" customHeight="1">
      <c r="A150" s="1658"/>
      <c r="B150" s="1659"/>
      <c r="C150" s="78"/>
      <c r="D150" s="103"/>
      <c r="E150" s="103"/>
      <c r="F150" s="103">
        <v>0.35</v>
      </c>
      <c r="G150" s="103"/>
      <c r="H150" s="103"/>
      <c r="I150" s="103"/>
      <c r="J150" s="103"/>
      <c r="K150" s="103"/>
      <c r="L150" s="103"/>
      <c r="M150" s="103"/>
      <c r="N150" s="103"/>
      <c r="O150" s="103"/>
      <c r="P150" s="103"/>
      <c r="Q150" s="103"/>
      <c r="R150" s="103"/>
      <c r="S150" s="103"/>
      <c r="T150" s="103"/>
      <c r="U150" s="103"/>
      <c r="V150" s="103"/>
      <c r="W150" s="103"/>
      <c r="X150" s="103"/>
      <c r="Y150" s="103"/>
      <c r="Z150" s="103"/>
      <c r="AA150" s="103"/>
      <c r="AB150" s="103"/>
      <c r="AC150" s="103"/>
      <c r="AD150" s="103"/>
      <c r="AE150" s="103"/>
      <c r="AF150" s="103"/>
      <c r="AG150" s="103"/>
      <c r="AH150" s="103"/>
      <c r="AI150" s="103"/>
      <c r="AJ150" s="103"/>
      <c r="AK150" s="103"/>
      <c r="AL150" s="103"/>
      <c r="AM150" s="103"/>
      <c r="AN150" s="103"/>
      <c r="AO150" s="103"/>
      <c r="AP150" s="103"/>
      <c r="AQ150" s="103"/>
      <c r="AR150" s="103"/>
      <c r="AS150" s="103"/>
      <c r="AT150" s="34" t="s">
        <v>429</v>
      </c>
      <c r="AU150" s="34" t="s">
        <v>513</v>
      </c>
      <c r="AV150" s="34"/>
      <c r="AW150" s="34"/>
      <c r="AX150" s="39"/>
      <c r="AY150" s="34" t="s">
        <v>1923</v>
      </c>
      <c r="AZ150" s="39" t="s">
        <v>1924</v>
      </c>
    </row>
    <row r="151" spans="1:58" ht="15.75" hidden="1" customHeight="1">
      <c r="A151" s="1658"/>
      <c r="B151" s="1659"/>
      <c r="C151" s="78"/>
      <c r="D151" s="103"/>
      <c r="E151" s="103"/>
      <c r="F151" s="103">
        <v>1.5</v>
      </c>
      <c r="G151" s="103"/>
      <c r="H151" s="103"/>
      <c r="I151" s="103"/>
      <c r="J151" s="103"/>
      <c r="K151" s="103"/>
      <c r="L151" s="103"/>
      <c r="M151" s="103"/>
      <c r="N151" s="103"/>
      <c r="O151" s="103"/>
      <c r="P151" s="103"/>
      <c r="Q151" s="103"/>
      <c r="R151" s="103"/>
      <c r="S151" s="103"/>
      <c r="T151" s="103"/>
      <c r="U151" s="103"/>
      <c r="V151" s="103"/>
      <c r="W151" s="103"/>
      <c r="X151" s="103"/>
      <c r="Y151" s="103"/>
      <c r="Z151" s="103"/>
      <c r="AA151" s="103"/>
      <c r="AB151" s="103"/>
      <c r="AC151" s="103"/>
      <c r="AD151" s="103"/>
      <c r="AE151" s="103"/>
      <c r="AF151" s="103"/>
      <c r="AG151" s="103"/>
      <c r="AH151" s="103"/>
      <c r="AI151" s="103"/>
      <c r="AJ151" s="103"/>
      <c r="AK151" s="103"/>
      <c r="AL151" s="103"/>
      <c r="AM151" s="103"/>
      <c r="AN151" s="103"/>
      <c r="AO151" s="103"/>
      <c r="AP151" s="103"/>
      <c r="AQ151" s="103"/>
      <c r="AR151" s="103"/>
      <c r="AS151" s="103"/>
      <c r="AT151" s="34" t="s">
        <v>429</v>
      </c>
      <c r="AU151" s="34" t="s">
        <v>514</v>
      </c>
      <c r="AV151" s="34"/>
      <c r="AW151" s="34"/>
      <c r="AX151" s="39"/>
      <c r="AY151" s="34" t="s">
        <v>1923</v>
      </c>
      <c r="AZ151" s="39" t="s">
        <v>1924</v>
      </c>
    </row>
    <row r="152" spans="1:58" ht="15.75" hidden="1" customHeight="1">
      <c r="A152" s="1658"/>
      <c r="B152" s="1659"/>
      <c r="C152" s="78"/>
      <c r="D152" s="103"/>
      <c r="E152" s="103"/>
      <c r="F152" s="103">
        <v>13</v>
      </c>
      <c r="G152" s="103"/>
      <c r="H152" s="103"/>
      <c r="I152" s="103"/>
      <c r="J152" s="103"/>
      <c r="K152" s="103"/>
      <c r="L152" s="103"/>
      <c r="M152" s="103"/>
      <c r="N152" s="103"/>
      <c r="O152" s="103"/>
      <c r="P152" s="103"/>
      <c r="Q152" s="103"/>
      <c r="R152" s="103"/>
      <c r="S152" s="103"/>
      <c r="T152" s="103"/>
      <c r="U152" s="103"/>
      <c r="V152" s="103"/>
      <c r="W152" s="103"/>
      <c r="X152" s="103"/>
      <c r="Y152" s="103"/>
      <c r="Z152" s="103"/>
      <c r="AA152" s="103"/>
      <c r="AB152" s="103"/>
      <c r="AC152" s="103"/>
      <c r="AD152" s="103"/>
      <c r="AE152" s="103"/>
      <c r="AF152" s="103"/>
      <c r="AG152" s="103"/>
      <c r="AH152" s="103"/>
      <c r="AI152" s="103"/>
      <c r="AJ152" s="103"/>
      <c r="AK152" s="103"/>
      <c r="AL152" s="103"/>
      <c r="AM152" s="103"/>
      <c r="AN152" s="103"/>
      <c r="AO152" s="103"/>
      <c r="AP152" s="103"/>
      <c r="AQ152" s="103"/>
      <c r="AR152" s="103"/>
      <c r="AS152" s="103"/>
      <c r="AT152" s="34" t="s">
        <v>429</v>
      </c>
      <c r="AU152" s="34" t="s">
        <v>430</v>
      </c>
      <c r="AV152" s="34"/>
      <c r="AW152" s="34"/>
      <c r="AX152" s="39"/>
      <c r="AY152" s="34" t="s">
        <v>1923</v>
      </c>
      <c r="AZ152" s="39" t="s">
        <v>2074</v>
      </c>
    </row>
    <row r="153" spans="1:58" ht="35.1" customHeight="1">
      <c r="A153" s="1658"/>
      <c r="B153" s="1659"/>
      <c r="C153" s="78" t="s">
        <v>32</v>
      </c>
      <c r="D153" s="103">
        <f>E153+F153</f>
        <v>17.18</v>
      </c>
      <c r="E153" s="103"/>
      <c r="F153" s="103">
        <f>SUM(G153:K153,O153:AR153)</f>
        <v>17.18</v>
      </c>
      <c r="G153" s="103">
        <v>8.58</v>
      </c>
      <c r="H153" s="103">
        <v>0.3</v>
      </c>
      <c r="I153" s="103"/>
      <c r="J153" s="103"/>
      <c r="K153" s="103">
        <v>8.3000000000000007</v>
      </c>
      <c r="L153" s="103"/>
      <c r="M153" s="103">
        <v>8.3000000000000007</v>
      </c>
      <c r="N153" s="103"/>
      <c r="O153" s="103"/>
      <c r="P153" s="103"/>
      <c r="Q153" s="103"/>
      <c r="R153" s="103"/>
      <c r="S153" s="103"/>
      <c r="T153" s="103"/>
      <c r="U153" s="103"/>
      <c r="V153" s="103"/>
      <c r="W153" s="103"/>
      <c r="X153" s="103"/>
      <c r="Y153" s="103"/>
      <c r="Z153" s="103"/>
      <c r="AA153" s="103"/>
      <c r="AB153" s="103"/>
      <c r="AC153" s="103"/>
      <c r="AD153" s="103"/>
      <c r="AE153" s="103"/>
      <c r="AF153" s="103"/>
      <c r="AG153" s="103"/>
      <c r="AH153" s="103"/>
      <c r="AI153" s="103"/>
      <c r="AJ153" s="103"/>
      <c r="AK153" s="103"/>
      <c r="AL153" s="103"/>
      <c r="AM153" s="103"/>
      <c r="AN153" s="103"/>
      <c r="AO153" s="103"/>
      <c r="AP153" s="103"/>
      <c r="AQ153" s="103"/>
      <c r="AR153" s="103"/>
      <c r="AS153" s="103"/>
      <c r="AT153" s="34" t="s">
        <v>237</v>
      </c>
      <c r="AU153" s="34" t="s">
        <v>615</v>
      </c>
      <c r="AV153" s="34"/>
      <c r="AW153" s="34"/>
      <c r="AX153" s="39" t="s">
        <v>1920</v>
      </c>
      <c r="AY153" s="34" t="s">
        <v>1917</v>
      </c>
      <c r="AZ153" s="39" t="s">
        <v>2075</v>
      </c>
      <c r="BF153" s="15">
        <v>1</v>
      </c>
    </row>
    <row r="154" spans="1:58" ht="51.6" customHeight="1">
      <c r="A154" s="1658"/>
      <c r="B154" s="1659"/>
      <c r="C154" s="78" t="s">
        <v>32</v>
      </c>
      <c r="D154" s="103">
        <f>E154+F154</f>
        <v>16.671999999999997</v>
      </c>
      <c r="E154" s="103"/>
      <c r="F154" s="103">
        <f>SUM(G154:K154,O154:AR154)</f>
        <v>16.671999999999997</v>
      </c>
      <c r="G154" s="103">
        <v>5.7</v>
      </c>
      <c r="H154" s="103">
        <v>6</v>
      </c>
      <c r="I154" s="103">
        <v>2.27</v>
      </c>
      <c r="J154" s="103">
        <v>1.802</v>
      </c>
      <c r="K154" s="103"/>
      <c r="L154" s="103"/>
      <c r="M154" s="103"/>
      <c r="N154" s="103"/>
      <c r="O154" s="103"/>
      <c r="P154" s="103"/>
      <c r="Q154" s="103"/>
      <c r="R154" s="103"/>
      <c r="S154" s="103"/>
      <c r="T154" s="103"/>
      <c r="U154" s="103"/>
      <c r="V154" s="103"/>
      <c r="W154" s="103"/>
      <c r="X154" s="103"/>
      <c r="Y154" s="103"/>
      <c r="Z154" s="103"/>
      <c r="AA154" s="103">
        <v>0.5</v>
      </c>
      <c r="AB154" s="103">
        <v>0.4</v>
      </c>
      <c r="AC154" s="103"/>
      <c r="AD154" s="103"/>
      <c r="AE154" s="103"/>
      <c r="AF154" s="103"/>
      <c r="AG154" s="103"/>
      <c r="AH154" s="103"/>
      <c r="AI154" s="103"/>
      <c r="AJ154" s="103"/>
      <c r="AK154" s="103"/>
      <c r="AL154" s="103"/>
      <c r="AM154" s="103"/>
      <c r="AN154" s="103"/>
      <c r="AO154" s="103"/>
      <c r="AP154" s="103"/>
      <c r="AQ154" s="103"/>
      <c r="AR154" s="103"/>
      <c r="AS154" s="103"/>
      <c r="AT154" s="34" t="s">
        <v>238</v>
      </c>
      <c r="AU154" s="34" t="s">
        <v>2076</v>
      </c>
      <c r="AV154" s="34"/>
      <c r="AW154" s="34"/>
      <c r="AX154" s="63" t="s">
        <v>1970</v>
      </c>
      <c r="AY154" s="34" t="s">
        <v>1923</v>
      </c>
      <c r="AZ154" s="63" t="s">
        <v>2077</v>
      </c>
      <c r="BE154" s="15">
        <v>1</v>
      </c>
    </row>
    <row r="155" spans="1:58" ht="15.75" hidden="1" customHeight="1">
      <c r="A155" s="1658"/>
      <c r="B155" s="1659"/>
      <c r="C155" s="78" t="s">
        <v>32</v>
      </c>
      <c r="D155" s="103">
        <v>0.67</v>
      </c>
      <c r="E155" s="103"/>
      <c r="F155" s="103">
        <v>0.67</v>
      </c>
      <c r="G155" s="103">
        <v>0.5</v>
      </c>
      <c r="H155" s="103"/>
      <c r="I155" s="103">
        <v>0.17</v>
      </c>
      <c r="J155" s="103"/>
      <c r="K155" s="103"/>
      <c r="L155" s="103"/>
      <c r="M155" s="103"/>
      <c r="N155" s="103"/>
      <c r="O155" s="103"/>
      <c r="P155" s="103"/>
      <c r="Q155" s="103"/>
      <c r="R155" s="103"/>
      <c r="S155" s="103"/>
      <c r="T155" s="103"/>
      <c r="U155" s="103"/>
      <c r="V155" s="103"/>
      <c r="W155" s="103"/>
      <c r="X155" s="103"/>
      <c r="Y155" s="103"/>
      <c r="Z155" s="103"/>
      <c r="AA155" s="103"/>
      <c r="AB155" s="103"/>
      <c r="AC155" s="103"/>
      <c r="AD155" s="103"/>
      <c r="AE155" s="103"/>
      <c r="AF155" s="103"/>
      <c r="AG155" s="103"/>
      <c r="AH155" s="103"/>
      <c r="AI155" s="103"/>
      <c r="AJ155" s="103"/>
      <c r="AK155" s="103"/>
      <c r="AL155" s="103"/>
      <c r="AM155" s="103"/>
      <c r="AN155" s="103"/>
      <c r="AO155" s="103"/>
      <c r="AP155" s="103"/>
      <c r="AQ155" s="103"/>
      <c r="AR155" s="103"/>
      <c r="AS155" s="103"/>
      <c r="AT155" s="38" t="s">
        <v>238</v>
      </c>
      <c r="AU155" s="34"/>
      <c r="AV155" s="34"/>
      <c r="AW155" s="34"/>
      <c r="AX155" s="63"/>
      <c r="AY155" s="34" t="s">
        <v>1923</v>
      </c>
      <c r="AZ155" s="63" t="s">
        <v>2078</v>
      </c>
      <c r="BA155" s="65" t="s">
        <v>2079</v>
      </c>
    </row>
    <row r="156" spans="1:58" ht="15.75" hidden="1" customHeight="1">
      <c r="A156" s="1658"/>
      <c r="B156" s="1659"/>
      <c r="C156" s="78" t="s">
        <v>32</v>
      </c>
      <c r="D156" s="103">
        <v>16</v>
      </c>
      <c r="E156" s="103"/>
      <c r="F156" s="103">
        <v>16</v>
      </c>
      <c r="G156" s="103">
        <v>5.2</v>
      </c>
      <c r="H156" s="103">
        <v>6</v>
      </c>
      <c r="I156" s="103">
        <v>2.1</v>
      </c>
      <c r="J156" s="103">
        <v>1.8</v>
      </c>
      <c r="K156" s="103"/>
      <c r="L156" s="103"/>
      <c r="M156" s="103"/>
      <c r="N156" s="103"/>
      <c r="O156" s="103"/>
      <c r="P156" s="103"/>
      <c r="Q156" s="103"/>
      <c r="R156" s="103"/>
      <c r="S156" s="103"/>
      <c r="T156" s="103"/>
      <c r="U156" s="103"/>
      <c r="V156" s="103"/>
      <c r="W156" s="103"/>
      <c r="X156" s="103"/>
      <c r="Y156" s="103"/>
      <c r="Z156" s="103"/>
      <c r="AA156" s="103">
        <v>0.5</v>
      </c>
      <c r="AB156" s="103">
        <v>0.4</v>
      </c>
      <c r="AC156" s="103"/>
      <c r="AD156" s="103"/>
      <c r="AE156" s="103"/>
      <c r="AF156" s="103"/>
      <c r="AG156" s="103"/>
      <c r="AH156" s="103"/>
      <c r="AI156" s="103"/>
      <c r="AJ156" s="103"/>
      <c r="AK156" s="103"/>
      <c r="AL156" s="103"/>
      <c r="AM156" s="103"/>
      <c r="AN156" s="103"/>
      <c r="AO156" s="103"/>
      <c r="AP156" s="103"/>
      <c r="AQ156" s="103"/>
      <c r="AR156" s="103"/>
      <c r="AS156" s="103"/>
      <c r="AT156" s="38" t="s">
        <v>238</v>
      </c>
      <c r="AU156" s="34"/>
      <c r="AV156" s="34"/>
      <c r="AW156" s="34"/>
      <c r="AX156" s="63"/>
      <c r="AY156" s="34" t="s">
        <v>1923</v>
      </c>
      <c r="AZ156" s="63" t="s">
        <v>1924</v>
      </c>
      <c r="BA156" s="65" t="s">
        <v>530</v>
      </c>
    </row>
    <row r="157" spans="1:58" ht="63">
      <c r="A157" s="1658"/>
      <c r="B157" s="1659"/>
      <c r="C157" s="78" t="s">
        <v>32</v>
      </c>
      <c r="D157" s="103">
        <f>E157+F157</f>
        <v>5.9</v>
      </c>
      <c r="E157" s="103"/>
      <c r="F157" s="103">
        <f>SUM(G157:K157,O157:AR157)</f>
        <v>5.9</v>
      </c>
      <c r="G157" s="103">
        <v>0.2</v>
      </c>
      <c r="H157" s="103">
        <v>0.4</v>
      </c>
      <c r="I157" s="103">
        <v>1.8</v>
      </c>
      <c r="J157" s="103"/>
      <c r="K157" s="103">
        <v>3.5</v>
      </c>
      <c r="L157" s="103"/>
      <c r="M157" s="103">
        <v>3.5</v>
      </c>
      <c r="N157" s="103"/>
      <c r="O157" s="103"/>
      <c r="P157" s="103"/>
      <c r="Q157" s="103"/>
      <c r="R157" s="103"/>
      <c r="S157" s="103"/>
      <c r="T157" s="103"/>
      <c r="U157" s="103"/>
      <c r="V157" s="103"/>
      <c r="W157" s="103"/>
      <c r="X157" s="103"/>
      <c r="Y157" s="103"/>
      <c r="Z157" s="103"/>
      <c r="AA157" s="103"/>
      <c r="AB157" s="103"/>
      <c r="AC157" s="103"/>
      <c r="AD157" s="103"/>
      <c r="AE157" s="103"/>
      <c r="AF157" s="103"/>
      <c r="AG157" s="103"/>
      <c r="AH157" s="103"/>
      <c r="AI157" s="103"/>
      <c r="AJ157" s="103"/>
      <c r="AK157" s="103"/>
      <c r="AL157" s="103"/>
      <c r="AM157" s="103"/>
      <c r="AN157" s="103"/>
      <c r="AO157" s="103"/>
      <c r="AP157" s="103"/>
      <c r="AQ157" s="103"/>
      <c r="AR157" s="103"/>
      <c r="AS157" s="103"/>
      <c r="AT157" s="34" t="s">
        <v>239</v>
      </c>
      <c r="AU157" s="34" t="s">
        <v>2080</v>
      </c>
      <c r="AV157" s="34"/>
      <c r="AW157" s="34"/>
      <c r="AX157" s="39" t="s">
        <v>1920</v>
      </c>
      <c r="AY157" s="34" t="s">
        <v>1917</v>
      </c>
      <c r="AZ157" s="39" t="s">
        <v>2081</v>
      </c>
      <c r="BF157" s="15">
        <v>1</v>
      </c>
    </row>
    <row r="158" spans="1:58" ht="15.75" hidden="1" customHeight="1">
      <c r="A158" s="1658"/>
      <c r="B158" s="1659"/>
      <c r="C158" s="78"/>
      <c r="D158" s="103"/>
      <c r="E158" s="103"/>
      <c r="F158" s="103">
        <v>0.11</v>
      </c>
      <c r="G158" s="103"/>
      <c r="H158" s="103"/>
      <c r="I158" s="103"/>
      <c r="J158" s="103"/>
      <c r="K158" s="103"/>
      <c r="L158" s="103"/>
      <c r="M158" s="103"/>
      <c r="N158" s="103"/>
      <c r="O158" s="103"/>
      <c r="P158" s="103"/>
      <c r="Q158" s="103"/>
      <c r="R158" s="103"/>
      <c r="S158" s="103"/>
      <c r="T158" s="103"/>
      <c r="U158" s="103"/>
      <c r="V158" s="103"/>
      <c r="W158" s="103"/>
      <c r="X158" s="103"/>
      <c r="Y158" s="103"/>
      <c r="Z158" s="103"/>
      <c r="AA158" s="103"/>
      <c r="AB158" s="103"/>
      <c r="AC158" s="103"/>
      <c r="AD158" s="103"/>
      <c r="AE158" s="103"/>
      <c r="AF158" s="103"/>
      <c r="AG158" s="103"/>
      <c r="AH158" s="103"/>
      <c r="AI158" s="103"/>
      <c r="AJ158" s="103"/>
      <c r="AK158" s="103"/>
      <c r="AL158" s="103"/>
      <c r="AM158" s="103"/>
      <c r="AN158" s="103"/>
      <c r="AO158" s="103"/>
      <c r="AP158" s="103"/>
      <c r="AQ158" s="103"/>
      <c r="AR158" s="103"/>
      <c r="AS158" s="103"/>
      <c r="AT158" s="34" t="s">
        <v>239</v>
      </c>
      <c r="AU158" s="34" t="s">
        <v>1687</v>
      </c>
      <c r="AV158" s="34"/>
      <c r="AW158" s="34"/>
      <c r="AX158" s="39"/>
      <c r="AY158" s="34" t="s">
        <v>1923</v>
      </c>
      <c r="AZ158" s="39" t="s">
        <v>1924</v>
      </c>
    </row>
    <row r="159" spans="1:58" ht="15.75" hidden="1" customHeight="1">
      <c r="A159" s="1658"/>
      <c r="B159" s="1659"/>
      <c r="C159" s="78"/>
      <c r="D159" s="103"/>
      <c r="E159" s="103"/>
      <c r="F159" s="103">
        <v>1</v>
      </c>
      <c r="G159" s="103"/>
      <c r="H159" s="103"/>
      <c r="I159" s="103"/>
      <c r="J159" s="103"/>
      <c r="K159" s="103"/>
      <c r="L159" s="103"/>
      <c r="M159" s="103"/>
      <c r="N159" s="103"/>
      <c r="O159" s="103"/>
      <c r="P159" s="103"/>
      <c r="Q159" s="103"/>
      <c r="R159" s="103"/>
      <c r="S159" s="103"/>
      <c r="T159" s="103"/>
      <c r="U159" s="103"/>
      <c r="V159" s="103"/>
      <c r="W159" s="103"/>
      <c r="X159" s="103"/>
      <c r="Y159" s="103"/>
      <c r="Z159" s="103"/>
      <c r="AA159" s="103"/>
      <c r="AB159" s="103"/>
      <c r="AC159" s="103"/>
      <c r="AD159" s="103"/>
      <c r="AE159" s="103"/>
      <c r="AF159" s="103"/>
      <c r="AG159" s="103"/>
      <c r="AH159" s="103"/>
      <c r="AI159" s="103"/>
      <c r="AJ159" s="103"/>
      <c r="AK159" s="103"/>
      <c r="AL159" s="103"/>
      <c r="AM159" s="103"/>
      <c r="AN159" s="103"/>
      <c r="AO159" s="103"/>
      <c r="AP159" s="103"/>
      <c r="AQ159" s="103"/>
      <c r="AR159" s="103"/>
      <c r="AS159" s="103"/>
      <c r="AT159" s="34" t="s">
        <v>239</v>
      </c>
      <c r="AU159" s="34" t="s">
        <v>533</v>
      </c>
      <c r="AV159" s="34"/>
      <c r="AW159" s="34"/>
      <c r="AX159" s="39"/>
      <c r="AY159" s="34" t="s">
        <v>1923</v>
      </c>
      <c r="AZ159" s="39" t="s">
        <v>1924</v>
      </c>
    </row>
    <row r="160" spans="1:58" ht="15.75" hidden="1" customHeight="1">
      <c r="A160" s="1658"/>
      <c r="B160" s="1659"/>
      <c r="C160" s="78"/>
      <c r="D160" s="103"/>
      <c r="E160" s="103"/>
      <c r="F160" s="103">
        <v>0.86</v>
      </c>
      <c r="G160" s="103"/>
      <c r="H160" s="103"/>
      <c r="I160" s="103"/>
      <c r="J160" s="103"/>
      <c r="K160" s="103"/>
      <c r="L160" s="103"/>
      <c r="M160" s="103"/>
      <c r="N160" s="103"/>
      <c r="O160" s="103"/>
      <c r="P160" s="103"/>
      <c r="Q160" s="103"/>
      <c r="R160" s="103"/>
      <c r="S160" s="103"/>
      <c r="T160" s="103"/>
      <c r="U160" s="103"/>
      <c r="V160" s="103"/>
      <c r="W160" s="103"/>
      <c r="X160" s="103"/>
      <c r="Y160" s="103"/>
      <c r="Z160" s="103"/>
      <c r="AA160" s="103"/>
      <c r="AB160" s="103"/>
      <c r="AC160" s="103"/>
      <c r="AD160" s="103"/>
      <c r="AE160" s="103"/>
      <c r="AF160" s="103"/>
      <c r="AG160" s="103"/>
      <c r="AH160" s="103"/>
      <c r="AI160" s="103"/>
      <c r="AJ160" s="103"/>
      <c r="AK160" s="103"/>
      <c r="AL160" s="103"/>
      <c r="AM160" s="103"/>
      <c r="AN160" s="103"/>
      <c r="AO160" s="103"/>
      <c r="AP160" s="103"/>
      <c r="AQ160" s="103"/>
      <c r="AR160" s="103"/>
      <c r="AS160" s="103"/>
      <c r="AT160" s="34" t="s">
        <v>239</v>
      </c>
      <c r="AU160" s="34" t="s">
        <v>328</v>
      </c>
      <c r="AV160" s="34"/>
      <c r="AW160" s="34"/>
      <c r="AX160" s="39"/>
      <c r="AY160" s="34" t="s">
        <v>1923</v>
      </c>
      <c r="AZ160" s="39" t="s">
        <v>1971</v>
      </c>
    </row>
    <row r="161" spans="1:57" ht="15.75" hidden="1" customHeight="1">
      <c r="A161" s="1658"/>
      <c r="B161" s="1659"/>
      <c r="C161" s="78"/>
      <c r="D161" s="103"/>
      <c r="E161" s="103"/>
      <c r="F161" s="103">
        <v>0.2</v>
      </c>
      <c r="G161" s="103"/>
      <c r="H161" s="103"/>
      <c r="I161" s="103"/>
      <c r="J161" s="103"/>
      <c r="K161" s="103"/>
      <c r="L161" s="103"/>
      <c r="M161" s="103"/>
      <c r="N161" s="103"/>
      <c r="O161" s="103"/>
      <c r="P161" s="103"/>
      <c r="Q161" s="103"/>
      <c r="R161" s="103"/>
      <c r="S161" s="103"/>
      <c r="T161" s="103"/>
      <c r="U161" s="103"/>
      <c r="V161" s="103"/>
      <c r="W161" s="103"/>
      <c r="X161" s="103"/>
      <c r="Y161" s="103"/>
      <c r="Z161" s="103"/>
      <c r="AA161" s="103"/>
      <c r="AB161" s="103"/>
      <c r="AC161" s="103"/>
      <c r="AD161" s="103"/>
      <c r="AE161" s="103"/>
      <c r="AF161" s="103"/>
      <c r="AG161" s="103"/>
      <c r="AH161" s="103"/>
      <c r="AI161" s="103"/>
      <c r="AJ161" s="103"/>
      <c r="AK161" s="103"/>
      <c r="AL161" s="103"/>
      <c r="AM161" s="103"/>
      <c r="AN161" s="103"/>
      <c r="AO161" s="103"/>
      <c r="AP161" s="103"/>
      <c r="AQ161" s="103"/>
      <c r="AR161" s="103"/>
      <c r="AS161" s="103"/>
      <c r="AT161" s="34" t="s">
        <v>239</v>
      </c>
      <c r="AU161" s="34" t="s">
        <v>451</v>
      </c>
      <c r="AV161" s="34"/>
      <c r="AW161" s="34"/>
      <c r="AX161" s="39"/>
      <c r="AY161" s="34" t="s">
        <v>1923</v>
      </c>
      <c r="AZ161" s="39" t="s">
        <v>1971</v>
      </c>
    </row>
    <row r="162" spans="1:57" ht="31.5" hidden="1" customHeight="1">
      <c r="A162" s="1658"/>
      <c r="B162" s="1659"/>
      <c r="C162" s="78"/>
      <c r="D162" s="103"/>
      <c r="E162" s="103"/>
      <c r="F162" s="103">
        <v>1.93</v>
      </c>
      <c r="G162" s="103"/>
      <c r="H162" s="103"/>
      <c r="I162" s="103"/>
      <c r="J162" s="103"/>
      <c r="K162" s="103"/>
      <c r="L162" s="103"/>
      <c r="M162" s="103"/>
      <c r="N162" s="103"/>
      <c r="O162" s="103"/>
      <c r="P162" s="103"/>
      <c r="Q162" s="103"/>
      <c r="R162" s="103"/>
      <c r="S162" s="103"/>
      <c r="T162" s="103"/>
      <c r="U162" s="103"/>
      <c r="V162" s="103"/>
      <c r="W162" s="103"/>
      <c r="X162" s="103"/>
      <c r="Y162" s="103"/>
      <c r="Z162" s="103"/>
      <c r="AA162" s="103"/>
      <c r="AB162" s="103"/>
      <c r="AC162" s="103"/>
      <c r="AD162" s="103"/>
      <c r="AE162" s="103"/>
      <c r="AF162" s="103"/>
      <c r="AG162" s="103"/>
      <c r="AH162" s="103"/>
      <c r="AI162" s="103"/>
      <c r="AJ162" s="103"/>
      <c r="AK162" s="103"/>
      <c r="AL162" s="103"/>
      <c r="AM162" s="103"/>
      <c r="AN162" s="103"/>
      <c r="AO162" s="103"/>
      <c r="AP162" s="103"/>
      <c r="AQ162" s="103"/>
      <c r="AR162" s="103"/>
      <c r="AS162" s="103"/>
      <c r="AT162" s="34" t="s">
        <v>239</v>
      </c>
      <c r="AU162" s="34" t="s">
        <v>534</v>
      </c>
      <c r="AV162" s="34"/>
      <c r="AW162" s="34"/>
      <c r="AX162" s="39"/>
      <c r="AY162" s="34" t="s">
        <v>1917</v>
      </c>
      <c r="AZ162" s="39" t="s">
        <v>1974</v>
      </c>
    </row>
    <row r="163" spans="1:57" ht="31.5" hidden="1" customHeight="1">
      <c r="A163" s="1658"/>
      <c r="B163" s="1659"/>
      <c r="C163" s="78"/>
      <c r="D163" s="103"/>
      <c r="E163" s="103"/>
      <c r="F163" s="103">
        <v>1.8</v>
      </c>
      <c r="G163" s="103"/>
      <c r="H163" s="103"/>
      <c r="I163" s="103"/>
      <c r="J163" s="103"/>
      <c r="K163" s="103"/>
      <c r="L163" s="103"/>
      <c r="M163" s="103"/>
      <c r="N163" s="103"/>
      <c r="O163" s="103"/>
      <c r="P163" s="103"/>
      <c r="Q163" s="103"/>
      <c r="R163" s="103"/>
      <c r="S163" s="103"/>
      <c r="T163" s="103"/>
      <c r="U163" s="103"/>
      <c r="V163" s="103"/>
      <c r="W163" s="103"/>
      <c r="X163" s="103"/>
      <c r="Y163" s="103"/>
      <c r="Z163" s="103"/>
      <c r="AA163" s="103"/>
      <c r="AB163" s="103"/>
      <c r="AC163" s="103"/>
      <c r="AD163" s="103"/>
      <c r="AE163" s="103"/>
      <c r="AF163" s="103"/>
      <c r="AG163" s="103"/>
      <c r="AH163" s="103"/>
      <c r="AI163" s="103"/>
      <c r="AJ163" s="103"/>
      <c r="AK163" s="103"/>
      <c r="AL163" s="103"/>
      <c r="AM163" s="103"/>
      <c r="AN163" s="103"/>
      <c r="AO163" s="103"/>
      <c r="AP163" s="103"/>
      <c r="AQ163" s="103"/>
      <c r="AR163" s="103"/>
      <c r="AS163" s="103"/>
      <c r="AT163" s="34" t="s">
        <v>239</v>
      </c>
      <c r="AU163" s="34" t="s">
        <v>537</v>
      </c>
      <c r="AV163" s="34"/>
      <c r="AW163" s="34"/>
      <c r="AX163" s="39"/>
      <c r="AY163" s="34" t="s">
        <v>1923</v>
      </c>
      <c r="AZ163" s="39" t="s">
        <v>1924</v>
      </c>
    </row>
    <row r="164" spans="1:57" ht="19.350000000000001" customHeight="1">
      <c r="A164" s="1658"/>
      <c r="B164" s="1659"/>
      <c r="C164" s="78" t="s">
        <v>32</v>
      </c>
      <c r="D164" s="103">
        <f>E164+F164</f>
        <v>1</v>
      </c>
      <c r="E164" s="103"/>
      <c r="F164" s="103">
        <f>SUM(G164:K164,O164:AR164)</f>
        <v>1</v>
      </c>
      <c r="G164" s="103"/>
      <c r="H164" s="103"/>
      <c r="I164" s="103">
        <v>1</v>
      </c>
      <c r="J164" s="103"/>
      <c r="K164" s="103"/>
      <c r="L164" s="103"/>
      <c r="M164" s="103"/>
      <c r="N164" s="103"/>
      <c r="O164" s="103"/>
      <c r="P164" s="103"/>
      <c r="Q164" s="103"/>
      <c r="R164" s="103"/>
      <c r="S164" s="103"/>
      <c r="T164" s="103"/>
      <c r="U164" s="103"/>
      <c r="V164" s="103"/>
      <c r="W164" s="103"/>
      <c r="X164" s="103"/>
      <c r="Y164" s="103"/>
      <c r="Z164" s="103"/>
      <c r="AA164" s="103"/>
      <c r="AB164" s="103"/>
      <c r="AC164" s="103"/>
      <c r="AD164" s="103"/>
      <c r="AE164" s="103"/>
      <c r="AF164" s="103"/>
      <c r="AG164" s="103"/>
      <c r="AH164" s="103"/>
      <c r="AI164" s="103"/>
      <c r="AJ164" s="103"/>
      <c r="AK164" s="103"/>
      <c r="AL164" s="103"/>
      <c r="AM164" s="103"/>
      <c r="AN164" s="103"/>
      <c r="AO164" s="103"/>
      <c r="AP164" s="103"/>
      <c r="AQ164" s="103"/>
      <c r="AR164" s="103"/>
      <c r="AS164" s="103"/>
      <c r="AT164" s="34" t="s">
        <v>240</v>
      </c>
      <c r="AU164" s="34" t="s">
        <v>457</v>
      </c>
      <c r="AV164" s="34"/>
      <c r="AW164" s="34" t="s">
        <v>2082</v>
      </c>
      <c r="AX164" s="39" t="s">
        <v>1920</v>
      </c>
      <c r="AY164" s="34" t="s">
        <v>1923</v>
      </c>
      <c r="AZ164" s="39" t="s">
        <v>1971</v>
      </c>
      <c r="BD164" s="15">
        <v>1</v>
      </c>
    </row>
    <row r="165" spans="1:57" ht="19.350000000000001" customHeight="1">
      <c r="A165" s="1658"/>
      <c r="B165" s="1659"/>
      <c r="C165" s="78" t="s">
        <v>32</v>
      </c>
      <c r="D165" s="103">
        <f>E165+F165</f>
        <v>0.38</v>
      </c>
      <c r="E165" s="103"/>
      <c r="F165" s="103">
        <f>SUM(G165:K165,O165:AR165)</f>
        <v>0.38</v>
      </c>
      <c r="G165" s="103">
        <v>0.38</v>
      </c>
      <c r="H165" s="103"/>
      <c r="I165" s="103"/>
      <c r="J165" s="103"/>
      <c r="K165" s="103"/>
      <c r="L165" s="103"/>
      <c r="M165" s="103"/>
      <c r="N165" s="103"/>
      <c r="O165" s="103"/>
      <c r="P165" s="103"/>
      <c r="Q165" s="103"/>
      <c r="R165" s="103"/>
      <c r="S165" s="103"/>
      <c r="T165" s="103"/>
      <c r="U165" s="103"/>
      <c r="V165" s="103"/>
      <c r="W165" s="103"/>
      <c r="X165" s="103"/>
      <c r="Y165" s="103"/>
      <c r="Z165" s="103"/>
      <c r="AA165" s="103"/>
      <c r="AB165" s="103"/>
      <c r="AC165" s="103"/>
      <c r="AD165" s="103"/>
      <c r="AE165" s="103"/>
      <c r="AF165" s="103"/>
      <c r="AG165" s="103"/>
      <c r="AH165" s="103"/>
      <c r="AI165" s="103"/>
      <c r="AJ165" s="103"/>
      <c r="AK165" s="103"/>
      <c r="AL165" s="103"/>
      <c r="AM165" s="103"/>
      <c r="AN165" s="103"/>
      <c r="AO165" s="103"/>
      <c r="AP165" s="103"/>
      <c r="AQ165" s="103"/>
      <c r="AR165" s="103"/>
      <c r="AS165" s="103"/>
      <c r="AT165" s="34" t="s">
        <v>241</v>
      </c>
      <c r="AU165" s="34" t="s">
        <v>458</v>
      </c>
      <c r="AV165" s="34"/>
      <c r="AW165" s="34"/>
      <c r="AX165" s="39" t="s">
        <v>1920</v>
      </c>
      <c r="AY165" s="34" t="s">
        <v>1923</v>
      </c>
      <c r="AZ165" s="39" t="s">
        <v>1971</v>
      </c>
      <c r="BD165" s="15">
        <v>1</v>
      </c>
    </row>
    <row r="166" spans="1:57" s="24" customFormat="1" ht="24" customHeight="1">
      <c r="A166" s="189" t="s">
        <v>560</v>
      </c>
      <c r="B166" s="25" t="s">
        <v>106</v>
      </c>
      <c r="C166" s="26" t="s">
        <v>35</v>
      </c>
      <c r="D166" s="192">
        <f>E166+F166</f>
        <v>25.08</v>
      </c>
      <c r="E166" s="103">
        <f>SUM(E167:E169)</f>
        <v>0</v>
      </c>
      <c r="F166" s="192">
        <f>SUM(G166:K166,O166:AS166)</f>
        <v>25.08</v>
      </c>
      <c r="G166" s="192">
        <f>SUM(G167:G169)</f>
        <v>0</v>
      </c>
      <c r="H166" s="192">
        <f t="shared" ref="H166:AS166" si="13">SUM(H167:H169)</f>
        <v>0</v>
      </c>
      <c r="I166" s="192">
        <f t="shared" si="13"/>
        <v>0</v>
      </c>
      <c r="J166" s="192">
        <f t="shared" si="13"/>
        <v>0</v>
      </c>
      <c r="K166" s="192">
        <f t="shared" si="13"/>
        <v>24.9</v>
      </c>
      <c r="L166" s="192">
        <f t="shared" si="13"/>
        <v>0</v>
      </c>
      <c r="M166" s="192">
        <f t="shared" si="13"/>
        <v>24.9</v>
      </c>
      <c r="N166" s="192">
        <f t="shared" si="13"/>
        <v>0</v>
      </c>
      <c r="O166" s="192">
        <f t="shared" si="13"/>
        <v>0</v>
      </c>
      <c r="P166" s="192">
        <f t="shared" si="13"/>
        <v>0</v>
      </c>
      <c r="Q166" s="192">
        <f t="shared" si="13"/>
        <v>0</v>
      </c>
      <c r="R166" s="192">
        <f t="shared" si="13"/>
        <v>0</v>
      </c>
      <c r="S166" s="192">
        <f t="shared" si="13"/>
        <v>0</v>
      </c>
      <c r="T166" s="192">
        <f t="shared" si="13"/>
        <v>0</v>
      </c>
      <c r="U166" s="192">
        <f t="shared" si="13"/>
        <v>0</v>
      </c>
      <c r="V166" s="192">
        <f t="shared" si="13"/>
        <v>0</v>
      </c>
      <c r="W166" s="192">
        <f t="shared" si="13"/>
        <v>0</v>
      </c>
      <c r="X166" s="192">
        <f t="shared" si="13"/>
        <v>0</v>
      </c>
      <c r="Y166" s="192">
        <f t="shared" si="13"/>
        <v>0</v>
      </c>
      <c r="Z166" s="192">
        <f t="shared" si="13"/>
        <v>0</v>
      </c>
      <c r="AA166" s="192">
        <f t="shared" si="13"/>
        <v>0</v>
      </c>
      <c r="AB166" s="192">
        <f t="shared" si="13"/>
        <v>0</v>
      </c>
      <c r="AC166" s="192">
        <f t="shared" si="13"/>
        <v>0</v>
      </c>
      <c r="AD166" s="192">
        <f t="shared" si="13"/>
        <v>0</v>
      </c>
      <c r="AE166" s="192">
        <f t="shared" si="13"/>
        <v>0</v>
      </c>
      <c r="AF166" s="192">
        <f t="shared" si="13"/>
        <v>0</v>
      </c>
      <c r="AG166" s="192">
        <f t="shared" si="13"/>
        <v>0.18</v>
      </c>
      <c r="AH166" s="192">
        <f t="shared" si="13"/>
        <v>0</v>
      </c>
      <c r="AI166" s="192">
        <f t="shared" si="13"/>
        <v>0</v>
      </c>
      <c r="AJ166" s="192">
        <f t="shared" si="13"/>
        <v>0</v>
      </c>
      <c r="AK166" s="192">
        <f t="shared" si="13"/>
        <v>0</v>
      </c>
      <c r="AL166" s="192">
        <f t="shared" si="13"/>
        <v>0</v>
      </c>
      <c r="AM166" s="192">
        <f t="shared" si="13"/>
        <v>0</v>
      </c>
      <c r="AN166" s="192">
        <f t="shared" si="13"/>
        <v>0</v>
      </c>
      <c r="AO166" s="192">
        <f t="shared" si="13"/>
        <v>0</v>
      </c>
      <c r="AP166" s="192">
        <f t="shared" si="13"/>
        <v>0</v>
      </c>
      <c r="AQ166" s="192">
        <f t="shared" si="13"/>
        <v>0</v>
      </c>
      <c r="AR166" s="192">
        <f t="shared" si="13"/>
        <v>0</v>
      </c>
      <c r="AS166" s="192">
        <f t="shared" si="13"/>
        <v>0</v>
      </c>
      <c r="AT166" s="29"/>
      <c r="AU166" s="29"/>
      <c r="AV166" s="29"/>
      <c r="AW166" s="29"/>
      <c r="AX166" s="30"/>
      <c r="AY166" s="29"/>
      <c r="AZ166" s="30"/>
      <c r="BB166" s="41"/>
    </row>
    <row r="167" spans="1:57" s="24" customFormat="1" ht="35.1" customHeight="1">
      <c r="A167" s="193">
        <v>29</v>
      </c>
      <c r="B167" s="56" t="s">
        <v>552</v>
      </c>
      <c r="C167" s="78" t="s">
        <v>35</v>
      </c>
      <c r="D167" s="103">
        <v>3.5</v>
      </c>
      <c r="E167" s="103"/>
      <c r="F167" s="103">
        <v>3.5</v>
      </c>
      <c r="G167" s="192"/>
      <c r="H167" s="192"/>
      <c r="I167" s="192"/>
      <c r="J167" s="192"/>
      <c r="K167" s="192">
        <v>3.5</v>
      </c>
      <c r="L167" s="192"/>
      <c r="M167" s="192">
        <v>3.5</v>
      </c>
      <c r="N167" s="192"/>
      <c r="O167" s="192"/>
      <c r="P167" s="192"/>
      <c r="Q167" s="192"/>
      <c r="R167" s="192"/>
      <c r="S167" s="192"/>
      <c r="T167" s="192"/>
      <c r="U167" s="192"/>
      <c r="V167" s="192"/>
      <c r="W167" s="192"/>
      <c r="X167" s="192"/>
      <c r="Y167" s="192"/>
      <c r="Z167" s="192"/>
      <c r="AA167" s="192"/>
      <c r="AB167" s="192"/>
      <c r="AC167" s="192"/>
      <c r="AD167" s="192"/>
      <c r="AE167" s="192"/>
      <c r="AF167" s="192"/>
      <c r="AG167" s="192"/>
      <c r="AH167" s="192"/>
      <c r="AI167" s="192"/>
      <c r="AJ167" s="192"/>
      <c r="AK167" s="192"/>
      <c r="AL167" s="192"/>
      <c r="AM167" s="192"/>
      <c r="AN167" s="192"/>
      <c r="AO167" s="192"/>
      <c r="AP167" s="192"/>
      <c r="AQ167" s="192"/>
      <c r="AR167" s="192"/>
      <c r="AS167" s="192"/>
      <c r="AT167" s="34" t="s">
        <v>222</v>
      </c>
      <c r="AU167" s="34" t="s">
        <v>2083</v>
      </c>
      <c r="AV167" s="34"/>
      <c r="AW167" s="34"/>
      <c r="AX167" s="39" t="s">
        <v>1920</v>
      </c>
      <c r="AY167" s="34" t="s">
        <v>1923</v>
      </c>
      <c r="AZ167" s="39" t="s">
        <v>1924</v>
      </c>
      <c r="BB167" s="41"/>
      <c r="BE167" s="24">
        <v>1</v>
      </c>
    </row>
    <row r="168" spans="1:57" ht="34.35" customHeight="1">
      <c r="A168" s="193">
        <v>30</v>
      </c>
      <c r="B168" s="56" t="s">
        <v>554</v>
      </c>
      <c r="C168" s="78" t="s">
        <v>35</v>
      </c>
      <c r="D168" s="103">
        <v>16.579999999999998</v>
      </c>
      <c r="E168" s="103"/>
      <c r="F168" s="103">
        <v>16.579999999999998</v>
      </c>
      <c r="G168" s="103"/>
      <c r="H168" s="103"/>
      <c r="I168" s="103"/>
      <c r="J168" s="103"/>
      <c r="K168" s="194">
        <v>16.399999999999999</v>
      </c>
      <c r="L168" s="194"/>
      <c r="M168" s="194">
        <v>16.399999999999999</v>
      </c>
      <c r="N168" s="103"/>
      <c r="O168" s="103"/>
      <c r="P168" s="103"/>
      <c r="Q168" s="103"/>
      <c r="R168" s="103"/>
      <c r="S168" s="103"/>
      <c r="T168" s="103"/>
      <c r="U168" s="103"/>
      <c r="V168" s="103"/>
      <c r="W168" s="103"/>
      <c r="X168" s="103"/>
      <c r="Y168" s="103"/>
      <c r="Z168" s="103"/>
      <c r="AA168" s="103"/>
      <c r="AB168" s="103"/>
      <c r="AC168" s="103"/>
      <c r="AD168" s="103"/>
      <c r="AE168" s="103"/>
      <c r="AF168" s="103"/>
      <c r="AG168" s="103">
        <v>0.18</v>
      </c>
      <c r="AH168" s="103"/>
      <c r="AI168" s="103"/>
      <c r="AJ168" s="103"/>
      <c r="AK168" s="103"/>
      <c r="AL168" s="103"/>
      <c r="AM168" s="103"/>
      <c r="AN168" s="103"/>
      <c r="AO168" s="103"/>
      <c r="AP168" s="103"/>
      <c r="AQ168" s="103"/>
      <c r="AR168" s="103"/>
      <c r="AS168" s="103"/>
      <c r="AT168" s="34" t="s">
        <v>228</v>
      </c>
      <c r="AU168" s="34" t="s">
        <v>2084</v>
      </c>
      <c r="AV168" s="34"/>
      <c r="AW168" s="34"/>
      <c r="AX168" s="39" t="s">
        <v>1920</v>
      </c>
      <c r="AY168" s="34" t="s">
        <v>1917</v>
      </c>
      <c r="AZ168" s="39" t="s">
        <v>1924</v>
      </c>
      <c r="BB168" s="41"/>
      <c r="BE168" s="15">
        <v>1</v>
      </c>
    </row>
    <row r="169" spans="1:57" ht="31.5">
      <c r="A169" s="193">
        <v>31</v>
      </c>
      <c r="B169" s="56" t="s">
        <v>558</v>
      </c>
      <c r="C169" s="78" t="s">
        <v>35</v>
      </c>
      <c r="D169" s="103">
        <f t="shared" ref="D169:D174" si="14">E169+F169</f>
        <v>5</v>
      </c>
      <c r="E169" s="103"/>
      <c r="F169" s="103">
        <f>SUM(G169:K169,O169:AR169)</f>
        <v>5</v>
      </c>
      <c r="G169" s="103"/>
      <c r="H169" s="103"/>
      <c r="I169" s="103"/>
      <c r="J169" s="103"/>
      <c r="K169" s="194">
        <v>5</v>
      </c>
      <c r="L169" s="103"/>
      <c r="M169" s="194">
        <v>5</v>
      </c>
      <c r="N169" s="103"/>
      <c r="O169" s="103"/>
      <c r="P169" s="103"/>
      <c r="Q169" s="103"/>
      <c r="R169" s="103"/>
      <c r="S169" s="103"/>
      <c r="T169" s="103"/>
      <c r="U169" s="103"/>
      <c r="V169" s="103"/>
      <c r="W169" s="103"/>
      <c r="X169" s="103"/>
      <c r="Y169" s="103"/>
      <c r="Z169" s="103"/>
      <c r="AA169" s="103"/>
      <c r="AB169" s="103"/>
      <c r="AC169" s="103"/>
      <c r="AD169" s="103"/>
      <c r="AE169" s="103"/>
      <c r="AF169" s="103"/>
      <c r="AG169" s="103"/>
      <c r="AH169" s="103"/>
      <c r="AI169" s="103"/>
      <c r="AJ169" s="103"/>
      <c r="AK169" s="103"/>
      <c r="AL169" s="103"/>
      <c r="AM169" s="103"/>
      <c r="AN169" s="103"/>
      <c r="AO169" s="103"/>
      <c r="AP169" s="103"/>
      <c r="AQ169" s="103"/>
      <c r="AR169" s="103"/>
      <c r="AS169" s="103"/>
      <c r="AT169" s="34" t="s">
        <v>232</v>
      </c>
      <c r="AU169" s="34" t="s">
        <v>559</v>
      </c>
      <c r="AV169" s="34"/>
      <c r="AW169" s="34"/>
      <c r="AX169" s="39" t="s">
        <v>1920</v>
      </c>
      <c r="AY169" s="34" t="s">
        <v>1923</v>
      </c>
      <c r="AZ169" s="39" t="s">
        <v>1924</v>
      </c>
      <c r="BB169" s="41"/>
      <c r="BE169" s="15">
        <v>1</v>
      </c>
    </row>
    <row r="170" spans="1:57" s="24" customFormat="1" ht="20.45" customHeight="1">
      <c r="A170" s="189" t="s">
        <v>581</v>
      </c>
      <c r="B170" s="98" t="s">
        <v>98</v>
      </c>
      <c r="C170" s="99" t="s">
        <v>34</v>
      </c>
      <c r="D170" s="192">
        <f>E170+F170</f>
        <v>70.350000000000009</v>
      </c>
      <c r="E170" s="29">
        <f>SUM(E171:E175)</f>
        <v>0</v>
      </c>
      <c r="F170" s="29">
        <f>SUM(G170:K170,O170:AS170)</f>
        <v>70.350000000000009</v>
      </c>
      <c r="G170" s="29">
        <f>SUM(G171:G175)</f>
        <v>0</v>
      </c>
      <c r="H170" s="29">
        <f t="shared" ref="H170:AS170" si="15">SUM(H171:H175)</f>
        <v>0</v>
      </c>
      <c r="I170" s="29">
        <f t="shared" si="15"/>
        <v>0</v>
      </c>
      <c r="J170" s="29">
        <f t="shared" si="15"/>
        <v>0.4</v>
      </c>
      <c r="K170" s="29">
        <f t="shared" si="15"/>
        <v>57.7</v>
      </c>
      <c r="L170" s="29">
        <f t="shared" si="15"/>
        <v>0</v>
      </c>
      <c r="M170" s="29">
        <f t="shared" si="15"/>
        <v>57.7</v>
      </c>
      <c r="N170" s="29">
        <f t="shared" si="15"/>
        <v>0</v>
      </c>
      <c r="O170" s="29">
        <f t="shared" si="15"/>
        <v>0</v>
      </c>
      <c r="P170" s="29">
        <f t="shared" si="15"/>
        <v>0</v>
      </c>
      <c r="Q170" s="29">
        <f t="shared" si="15"/>
        <v>0</v>
      </c>
      <c r="R170" s="29">
        <f t="shared" si="15"/>
        <v>0</v>
      </c>
      <c r="S170" s="29">
        <f t="shared" si="15"/>
        <v>0</v>
      </c>
      <c r="T170" s="29">
        <f t="shared" si="15"/>
        <v>0</v>
      </c>
      <c r="U170" s="29">
        <f t="shared" si="15"/>
        <v>0</v>
      </c>
      <c r="V170" s="29">
        <f t="shared" si="15"/>
        <v>0</v>
      </c>
      <c r="W170" s="29">
        <f t="shared" si="15"/>
        <v>0</v>
      </c>
      <c r="X170" s="29">
        <f t="shared" si="15"/>
        <v>0</v>
      </c>
      <c r="Y170" s="29">
        <f t="shared" si="15"/>
        <v>0</v>
      </c>
      <c r="Z170" s="29">
        <f t="shared" si="15"/>
        <v>0</v>
      </c>
      <c r="AA170" s="29">
        <f t="shared" si="15"/>
        <v>0</v>
      </c>
      <c r="AB170" s="29">
        <f t="shared" si="15"/>
        <v>0</v>
      </c>
      <c r="AC170" s="29">
        <f t="shared" si="15"/>
        <v>0</v>
      </c>
      <c r="AD170" s="29">
        <f t="shared" si="15"/>
        <v>0</v>
      </c>
      <c r="AE170" s="29">
        <f t="shared" si="15"/>
        <v>0</v>
      </c>
      <c r="AF170" s="29">
        <f t="shared" si="15"/>
        <v>0</v>
      </c>
      <c r="AG170" s="29">
        <f t="shared" si="15"/>
        <v>0.03</v>
      </c>
      <c r="AH170" s="29">
        <f t="shared" si="15"/>
        <v>0</v>
      </c>
      <c r="AI170" s="29">
        <f t="shared" si="15"/>
        <v>0</v>
      </c>
      <c r="AJ170" s="29">
        <f t="shared" si="15"/>
        <v>0</v>
      </c>
      <c r="AK170" s="29">
        <f t="shared" si="15"/>
        <v>0</v>
      </c>
      <c r="AL170" s="29">
        <f t="shared" si="15"/>
        <v>0</v>
      </c>
      <c r="AM170" s="29">
        <f t="shared" si="15"/>
        <v>0</v>
      </c>
      <c r="AN170" s="29">
        <f t="shared" si="15"/>
        <v>0.02</v>
      </c>
      <c r="AO170" s="29">
        <f t="shared" si="15"/>
        <v>0</v>
      </c>
      <c r="AP170" s="29">
        <f t="shared" si="15"/>
        <v>12.2</v>
      </c>
      <c r="AQ170" s="29">
        <f t="shared" si="15"/>
        <v>0</v>
      </c>
      <c r="AR170" s="29">
        <f t="shared" si="15"/>
        <v>0</v>
      </c>
      <c r="AS170" s="29">
        <f t="shared" si="15"/>
        <v>0</v>
      </c>
      <c r="AT170" s="29"/>
      <c r="AU170" s="29"/>
      <c r="AV170" s="29"/>
      <c r="AW170" s="29"/>
      <c r="AX170" s="30"/>
      <c r="AY170" s="29"/>
      <c r="AZ170" s="30"/>
      <c r="BB170" s="41"/>
    </row>
    <row r="171" spans="1:57" s="24" customFormat="1" ht="19.350000000000001" customHeight="1">
      <c r="A171" s="193">
        <v>32</v>
      </c>
      <c r="B171" s="88" t="s">
        <v>2085</v>
      </c>
      <c r="C171" s="102" t="s">
        <v>34</v>
      </c>
      <c r="D171" s="194">
        <f t="shared" si="14"/>
        <v>12.2</v>
      </c>
      <c r="E171" s="194"/>
      <c r="F171" s="194">
        <f>SUM(G171:K171,O171:AR171)</f>
        <v>12.2</v>
      </c>
      <c r="G171" s="194"/>
      <c r="H171" s="194"/>
      <c r="I171" s="194"/>
      <c r="J171" s="194"/>
      <c r="K171" s="194"/>
      <c r="L171" s="194"/>
      <c r="M171" s="194"/>
      <c r="N171" s="194"/>
      <c r="O171" s="194"/>
      <c r="P171" s="194"/>
      <c r="Q171" s="194"/>
      <c r="R171" s="194"/>
      <c r="S171" s="194"/>
      <c r="T171" s="194"/>
      <c r="U171" s="194"/>
      <c r="V171" s="194"/>
      <c r="W171" s="194"/>
      <c r="X171" s="194"/>
      <c r="Y171" s="194"/>
      <c r="Z171" s="194"/>
      <c r="AA171" s="194"/>
      <c r="AB171" s="194"/>
      <c r="AC171" s="194"/>
      <c r="AD171" s="194"/>
      <c r="AE171" s="194"/>
      <c r="AF171" s="194"/>
      <c r="AG171" s="194"/>
      <c r="AH171" s="194"/>
      <c r="AI171" s="194"/>
      <c r="AJ171" s="194"/>
      <c r="AK171" s="194"/>
      <c r="AL171" s="194"/>
      <c r="AM171" s="194"/>
      <c r="AN171" s="194"/>
      <c r="AO171" s="194"/>
      <c r="AP171" s="194">
        <v>12.2</v>
      </c>
      <c r="AQ171" s="194"/>
      <c r="AR171" s="194"/>
      <c r="AS171" s="194"/>
      <c r="AT171" s="34" t="s">
        <v>2086</v>
      </c>
      <c r="AU171" s="34"/>
      <c r="AV171" s="34"/>
      <c r="AW171" s="34"/>
      <c r="AX171" s="39" t="s">
        <v>1920</v>
      </c>
      <c r="AY171" s="34" t="s">
        <v>1923</v>
      </c>
      <c r="AZ171" s="39" t="s">
        <v>2014</v>
      </c>
      <c r="BB171" s="41"/>
      <c r="BC171" s="41"/>
      <c r="BD171" s="24">
        <v>1</v>
      </c>
    </row>
    <row r="172" spans="1:57" s="24" customFormat="1" ht="19.350000000000001" customHeight="1">
      <c r="A172" s="193">
        <v>33</v>
      </c>
      <c r="B172" s="88" t="s">
        <v>2087</v>
      </c>
      <c r="C172" s="102" t="s">
        <v>34</v>
      </c>
      <c r="D172" s="194">
        <f t="shared" si="14"/>
        <v>7.5</v>
      </c>
      <c r="E172" s="194"/>
      <c r="F172" s="194">
        <f>SUM(G172:K172,O172:AR172)</f>
        <v>7.5</v>
      </c>
      <c r="G172" s="194"/>
      <c r="H172" s="194"/>
      <c r="I172" s="194"/>
      <c r="J172" s="194"/>
      <c r="K172" s="194">
        <v>7.5</v>
      </c>
      <c r="L172" s="194"/>
      <c r="M172" s="194">
        <v>7.5</v>
      </c>
      <c r="N172" s="194"/>
      <c r="O172" s="194"/>
      <c r="P172" s="194"/>
      <c r="Q172" s="194"/>
      <c r="R172" s="194"/>
      <c r="S172" s="194"/>
      <c r="T172" s="194"/>
      <c r="U172" s="194"/>
      <c r="V172" s="194"/>
      <c r="W172" s="194"/>
      <c r="X172" s="194"/>
      <c r="Y172" s="194"/>
      <c r="Z172" s="194"/>
      <c r="AA172" s="194"/>
      <c r="AB172" s="194"/>
      <c r="AC172" s="194"/>
      <c r="AD172" s="194"/>
      <c r="AE172" s="194"/>
      <c r="AF172" s="194"/>
      <c r="AG172" s="194"/>
      <c r="AH172" s="194"/>
      <c r="AI172" s="194"/>
      <c r="AJ172" s="194"/>
      <c r="AK172" s="194"/>
      <c r="AL172" s="194"/>
      <c r="AM172" s="194"/>
      <c r="AN172" s="194"/>
      <c r="AO172" s="194"/>
      <c r="AP172" s="194"/>
      <c r="AQ172" s="194"/>
      <c r="AR172" s="194"/>
      <c r="AS172" s="194"/>
      <c r="AT172" s="34" t="s">
        <v>237</v>
      </c>
      <c r="AU172" s="34" t="s">
        <v>2088</v>
      </c>
      <c r="AV172" s="34"/>
      <c r="AW172" s="34"/>
      <c r="AX172" s="39" t="s">
        <v>1920</v>
      </c>
      <c r="AY172" s="34" t="s">
        <v>1923</v>
      </c>
      <c r="AZ172" s="39" t="s">
        <v>2014</v>
      </c>
      <c r="BB172" s="41"/>
      <c r="BC172" s="41"/>
      <c r="BD172" s="24">
        <v>1</v>
      </c>
    </row>
    <row r="173" spans="1:57" s="24" customFormat="1" ht="36" customHeight="1">
      <c r="A173" s="193">
        <v>34</v>
      </c>
      <c r="B173" s="88" t="s">
        <v>2089</v>
      </c>
      <c r="C173" s="102" t="s">
        <v>34</v>
      </c>
      <c r="D173" s="194">
        <f t="shared" si="14"/>
        <v>2.65</v>
      </c>
      <c r="E173" s="194"/>
      <c r="F173" s="194">
        <f>SUM(G173:K173,O173:AR173)</f>
        <v>2.65</v>
      </c>
      <c r="G173" s="194"/>
      <c r="H173" s="194"/>
      <c r="I173" s="194"/>
      <c r="J173" s="194">
        <v>0.1</v>
      </c>
      <c r="K173" s="194">
        <v>2.5</v>
      </c>
      <c r="L173" s="194"/>
      <c r="M173" s="194">
        <v>2.5</v>
      </c>
      <c r="N173" s="194"/>
      <c r="O173" s="194"/>
      <c r="P173" s="194"/>
      <c r="Q173" s="194"/>
      <c r="R173" s="194"/>
      <c r="S173" s="194"/>
      <c r="T173" s="194"/>
      <c r="U173" s="194"/>
      <c r="V173" s="194"/>
      <c r="W173" s="194"/>
      <c r="X173" s="194"/>
      <c r="Y173" s="194"/>
      <c r="Z173" s="194"/>
      <c r="AA173" s="194"/>
      <c r="AB173" s="194"/>
      <c r="AC173" s="194"/>
      <c r="AD173" s="194"/>
      <c r="AE173" s="194"/>
      <c r="AF173" s="194"/>
      <c r="AG173" s="194">
        <v>0.03</v>
      </c>
      <c r="AH173" s="194"/>
      <c r="AI173" s="194"/>
      <c r="AJ173" s="194"/>
      <c r="AK173" s="194"/>
      <c r="AL173" s="194"/>
      <c r="AM173" s="194"/>
      <c r="AN173" s="194">
        <v>0.02</v>
      </c>
      <c r="AO173" s="194"/>
      <c r="AP173" s="194"/>
      <c r="AQ173" s="194"/>
      <c r="AR173" s="194"/>
      <c r="AS173" s="194"/>
      <c r="AT173" s="34" t="s">
        <v>237</v>
      </c>
      <c r="AU173" s="34" t="s">
        <v>387</v>
      </c>
      <c r="AV173" s="140"/>
      <c r="AW173" s="140"/>
      <c r="AX173" s="39" t="s">
        <v>1920</v>
      </c>
      <c r="AY173" s="140" t="s">
        <v>1923</v>
      </c>
      <c r="AZ173" s="39" t="s">
        <v>2014</v>
      </c>
      <c r="BB173" s="41"/>
      <c r="BC173" s="41"/>
      <c r="BD173" s="24">
        <v>1</v>
      </c>
    </row>
    <row r="174" spans="1:57" s="24" customFormat="1" ht="18.600000000000001" customHeight="1">
      <c r="A174" s="193">
        <v>35</v>
      </c>
      <c r="B174" s="88" t="s">
        <v>561</v>
      </c>
      <c r="C174" s="102" t="s">
        <v>34</v>
      </c>
      <c r="D174" s="194">
        <f t="shared" si="14"/>
        <v>3</v>
      </c>
      <c r="E174" s="194"/>
      <c r="F174" s="194">
        <f>SUM(G174:K174,O174:AR174)</f>
        <v>3</v>
      </c>
      <c r="G174" s="194"/>
      <c r="H174" s="194"/>
      <c r="I174" s="194"/>
      <c r="J174" s="194"/>
      <c r="K174" s="194">
        <v>3</v>
      </c>
      <c r="L174" s="194"/>
      <c r="M174" s="194">
        <v>3</v>
      </c>
      <c r="N174" s="194"/>
      <c r="O174" s="194"/>
      <c r="P174" s="194"/>
      <c r="Q174" s="194"/>
      <c r="R174" s="194"/>
      <c r="S174" s="194"/>
      <c r="T174" s="194"/>
      <c r="U174" s="194"/>
      <c r="V174" s="194"/>
      <c r="W174" s="194"/>
      <c r="X174" s="194"/>
      <c r="Y174" s="194"/>
      <c r="Z174" s="194"/>
      <c r="AA174" s="194"/>
      <c r="AB174" s="194"/>
      <c r="AC174" s="194"/>
      <c r="AD174" s="194"/>
      <c r="AE174" s="194"/>
      <c r="AF174" s="194"/>
      <c r="AG174" s="194"/>
      <c r="AH174" s="194"/>
      <c r="AI174" s="194"/>
      <c r="AJ174" s="194"/>
      <c r="AK174" s="194"/>
      <c r="AL174" s="194"/>
      <c r="AM174" s="194"/>
      <c r="AN174" s="194"/>
      <c r="AO174" s="194"/>
      <c r="AP174" s="194"/>
      <c r="AQ174" s="194"/>
      <c r="AR174" s="194"/>
      <c r="AS174" s="194"/>
      <c r="AT174" s="34" t="s">
        <v>237</v>
      </c>
      <c r="AU174" s="34" t="s">
        <v>471</v>
      </c>
      <c r="AV174" s="140"/>
      <c r="AW174" s="140"/>
      <c r="AX174" s="39" t="s">
        <v>1920</v>
      </c>
      <c r="AY174" s="140" t="s">
        <v>1923</v>
      </c>
      <c r="AZ174" s="39" t="s">
        <v>1924</v>
      </c>
      <c r="BB174" s="41"/>
      <c r="BC174" s="41"/>
      <c r="BE174" s="24">
        <v>1</v>
      </c>
    </row>
    <row r="175" spans="1:57" s="24" customFormat="1" ht="18.600000000000001" customHeight="1">
      <c r="A175" s="193">
        <v>36</v>
      </c>
      <c r="B175" s="88" t="s">
        <v>2090</v>
      </c>
      <c r="C175" s="102" t="s">
        <v>34</v>
      </c>
      <c r="D175" s="194">
        <f>E175+F175</f>
        <v>45</v>
      </c>
      <c r="E175" s="194"/>
      <c r="F175" s="194">
        <f>SUM(G175:K175,O175:AR175)</f>
        <v>45</v>
      </c>
      <c r="G175" s="194">
        <v>0</v>
      </c>
      <c r="H175" s="194">
        <v>0</v>
      </c>
      <c r="I175" s="194">
        <v>0</v>
      </c>
      <c r="J175" s="194">
        <v>0.3</v>
      </c>
      <c r="K175" s="194">
        <v>44.7</v>
      </c>
      <c r="L175" s="194">
        <v>0</v>
      </c>
      <c r="M175" s="194">
        <v>44.7</v>
      </c>
      <c r="N175" s="194">
        <v>0</v>
      </c>
      <c r="O175" s="194">
        <v>0</v>
      </c>
      <c r="P175" s="194">
        <v>0</v>
      </c>
      <c r="Q175" s="194">
        <v>0</v>
      </c>
      <c r="R175" s="194">
        <v>0</v>
      </c>
      <c r="S175" s="194">
        <v>0</v>
      </c>
      <c r="T175" s="194">
        <v>0</v>
      </c>
      <c r="U175" s="194">
        <v>0</v>
      </c>
      <c r="V175" s="194">
        <v>0</v>
      </c>
      <c r="W175" s="194">
        <v>0</v>
      </c>
      <c r="X175" s="194">
        <v>0</v>
      </c>
      <c r="Y175" s="194">
        <v>0</v>
      </c>
      <c r="Z175" s="194">
        <v>0</v>
      </c>
      <c r="AA175" s="194">
        <v>0</v>
      </c>
      <c r="AB175" s="194">
        <v>0</v>
      </c>
      <c r="AC175" s="194">
        <v>0</v>
      </c>
      <c r="AD175" s="194">
        <v>0</v>
      </c>
      <c r="AE175" s="194">
        <v>0</v>
      </c>
      <c r="AF175" s="194">
        <v>0</v>
      </c>
      <c r="AG175" s="194">
        <v>0</v>
      </c>
      <c r="AH175" s="194">
        <v>0</v>
      </c>
      <c r="AI175" s="194">
        <v>0</v>
      </c>
      <c r="AJ175" s="194">
        <v>0</v>
      </c>
      <c r="AK175" s="194">
        <v>0</v>
      </c>
      <c r="AL175" s="194">
        <v>0</v>
      </c>
      <c r="AM175" s="194">
        <v>0</v>
      </c>
      <c r="AN175" s="194">
        <v>0</v>
      </c>
      <c r="AO175" s="194">
        <v>0</v>
      </c>
      <c r="AP175" s="194">
        <v>0</v>
      </c>
      <c r="AQ175" s="194">
        <v>0</v>
      </c>
      <c r="AR175" s="194">
        <v>0</v>
      </c>
      <c r="AS175" s="194">
        <v>0</v>
      </c>
      <c r="AT175" s="34" t="s">
        <v>860</v>
      </c>
      <c r="AU175" s="34" t="s">
        <v>615</v>
      </c>
      <c r="AV175" s="140"/>
      <c r="AW175" s="140"/>
      <c r="AX175" s="39" t="s">
        <v>1920</v>
      </c>
      <c r="AY175" s="140" t="s">
        <v>1923</v>
      </c>
      <c r="AZ175" s="39" t="s">
        <v>2014</v>
      </c>
      <c r="BB175" s="41"/>
      <c r="BC175" s="41"/>
      <c r="BD175" s="24">
        <v>1</v>
      </c>
    </row>
    <row r="176" spans="1:57" s="24" customFormat="1" ht="22.35" customHeight="1">
      <c r="A176" s="189" t="s">
        <v>640</v>
      </c>
      <c r="B176" s="25" t="s">
        <v>122</v>
      </c>
      <c r="C176" s="26" t="s">
        <v>44</v>
      </c>
      <c r="D176" s="192">
        <f>E176+F176</f>
        <v>469.54</v>
      </c>
      <c r="E176" s="103">
        <f>SUM(E177:E225)</f>
        <v>0</v>
      </c>
      <c r="F176" s="192">
        <f>SUM(G176:K176,O176:AS176)</f>
        <v>469.54</v>
      </c>
      <c r="G176" s="192">
        <f t="shared" ref="G176:AS176" si="16">SUM(G177:G225)</f>
        <v>78.58</v>
      </c>
      <c r="H176" s="192">
        <f t="shared" si="16"/>
        <v>28.490000000000006</v>
      </c>
      <c r="I176" s="192">
        <f t="shared" si="16"/>
        <v>53.46</v>
      </c>
      <c r="J176" s="192">
        <f t="shared" si="16"/>
        <v>139.56</v>
      </c>
      <c r="K176" s="192">
        <f t="shared" si="16"/>
        <v>143.5</v>
      </c>
      <c r="L176" s="192">
        <f t="shared" si="16"/>
        <v>0</v>
      </c>
      <c r="M176" s="192">
        <f t="shared" si="16"/>
        <v>143.5</v>
      </c>
      <c r="N176" s="192">
        <f t="shared" si="16"/>
        <v>0</v>
      </c>
      <c r="O176" s="192">
        <f t="shared" si="16"/>
        <v>0</v>
      </c>
      <c r="P176" s="192">
        <f t="shared" si="16"/>
        <v>2.5799999999999996</v>
      </c>
      <c r="Q176" s="192">
        <f t="shared" si="16"/>
        <v>0</v>
      </c>
      <c r="R176" s="192">
        <f t="shared" si="16"/>
        <v>0</v>
      </c>
      <c r="S176" s="192">
        <f t="shared" si="16"/>
        <v>0</v>
      </c>
      <c r="T176" s="192">
        <f t="shared" si="16"/>
        <v>0.2</v>
      </c>
      <c r="U176" s="192">
        <f t="shared" si="16"/>
        <v>0</v>
      </c>
      <c r="V176" s="192">
        <f t="shared" si="16"/>
        <v>0</v>
      </c>
      <c r="W176" s="192">
        <f t="shared" si="16"/>
        <v>0.01</v>
      </c>
      <c r="X176" s="192">
        <f t="shared" si="16"/>
        <v>0</v>
      </c>
      <c r="Y176" s="192">
        <f t="shared" si="16"/>
        <v>0</v>
      </c>
      <c r="Z176" s="192">
        <f t="shared" si="16"/>
        <v>0</v>
      </c>
      <c r="AA176" s="192">
        <f t="shared" si="16"/>
        <v>9.7399999999999984</v>
      </c>
      <c r="AB176" s="192">
        <f t="shared" si="16"/>
        <v>0.9</v>
      </c>
      <c r="AC176" s="192">
        <f t="shared" si="16"/>
        <v>0</v>
      </c>
      <c r="AD176" s="192">
        <f t="shared" si="16"/>
        <v>0</v>
      </c>
      <c r="AE176" s="192">
        <f t="shared" si="16"/>
        <v>0</v>
      </c>
      <c r="AF176" s="192">
        <f t="shared" si="16"/>
        <v>0</v>
      </c>
      <c r="AG176" s="192">
        <f t="shared" si="16"/>
        <v>9.5399999999999974</v>
      </c>
      <c r="AH176" s="192">
        <f t="shared" si="16"/>
        <v>0.06</v>
      </c>
      <c r="AI176" s="192">
        <f t="shared" si="16"/>
        <v>0</v>
      </c>
      <c r="AJ176" s="192">
        <f t="shared" si="16"/>
        <v>0</v>
      </c>
      <c r="AK176" s="192">
        <f t="shared" si="16"/>
        <v>0</v>
      </c>
      <c r="AL176" s="192">
        <f t="shared" si="16"/>
        <v>0.8</v>
      </c>
      <c r="AM176" s="192">
        <f t="shared" si="16"/>
        <v>0</v>
      </c>
      <c r="AN176" s="192">
        <f t="shared" si="16"/>
        <v>0.04</v>
      </c>
      <c r="AO176" s="192">
        <f t="shared" si="16"/>
        <v>0</v>
      </c>
      <c r="AP176" s="192">
        <f t="shared" si="16"/>
        <v>0.69</v>
      </c>
      <c r="AQ176" s="192">
        <f t="shared" si="16"/>
        <v>1.02</v>
      </c>
      <c r="AR176" s="192">
        <f t="shared" si="16"/>
        <v>0.37</v>
      </c>
      <c r="AS176" s="192">
        <f t="shared" si="16"/>
        <v>0</v>
      </c>
      <c r="AT176" s="29"/>
      <c r="AU176" s="29"/>
      <c r="AV176" s="29"/>
      <c r="AW176" s="29"/>
      <c r="AX176" s="30"/>
      <c r="AY176" s="29"/>
      <c r="AZ176" s="30"/>
    </row>
    <row r="177" spans="1:58" ht="96.6" customHeight="1">
      <c r="A177" s="193">
        <v>37</v>
      </c>
      <c r="B177" s="56" t="s">
        <v>2091</v>
      </c>
      <c r="C177" s="78" t="s">
        <v>44</v>
      </c>
      <c r="D177" s="103">
        <f>F177+E177</f>
        <v>114.45000000000002</v>
      </c>
      <c r="E177" s="103"/>
      <c r="F177" s="103">
        <f>SUM(G177:K177,O177:AR177)</f>
        <v>114.45000000000002</v>
      </c>
      <c r="G177" s="103">
        <v>29.61</v>
      </c>
      <c r="H177" s="103">
        <v>5.28</v>
      </c>
      <c r="I177" s="103">
        <v>6.2200000000000006</v>
      </c>
      <c r="J177" s="103">
        <v>36.169999999999995</v>
      </c>
      <c r="K177" s="103">
        <v>23.68</v>
      </c>
      <c r="L177" s="103"/>
      <c r="M177" s="103">
        <v>23.68</v>
      </c>
      <c r="N177" s="103"/>
      <c r="O177" s="103"/>
      <c r="P177" s="103">
        <v>2.0299999999999998</v>
      </c>
      <c r="Q177" s="103"/>
      <c r="R177" s="103"/>
      <c r="S177" s="103"/>
      <c r="T177" s="103"/>
      <c r="U177" s="103"/>
      <c r="V177" s="103"/>
      <c r="W177" s="103">
        <v>0.01</v>
      </c>
      <c r="X177" s="103"/>
      <c r="Y177" s="103"/>
      <c r="Z177" s="103"/>
      <c r="AA177" s="103">
        <v>4.42</v>
      </c>
      <c r="AB177" s="103">
        <v>0.86</v>
      </c>
      <c r="AC177" s="103"/>
      <c r="AD177" s="103"/>
      <c r="AE177" s="103"/>
      <c r="AF177" s="103"/>
      <c r="AG177" s="103">
        <v>3.4000000000000004</v>
      </c>
      <c r="AH177" s="103"/>
      <c r="AI177" s="103"/>
      <c r="AJ177" s="103"/>
      <c r="AK177" s="103"/>
      <c r="AL177" s="103">
        <v>0.8</v>
      </c>
      <c r="AM177" s="103"/>
      <c r="AN177" s="103">
        <v>0.04</v>
      </c>
      <c r="AO177" s="103"/>
      <c r="AP177" s="103">
        <v>0.69</v>
      </c>
      <c r="AQ177" s="103">
        <v>1.02</v>
      </c>
      <c r="AR177" s="103">
        <v>0.21999999999999997</v>
      </c>
      <c r="AS177" s="103"/>
      <c r="AT177" s="103" t="s">
        <v>2092</v>
      </c>
      <c r="AU177" s="34"/>
      <c r="AV177" s="34"/>
      <c r="AW177" s="34"/>
      <c r="AX177" s="63">
        <v>2021</v>
      </c>
      <c r="AY177" s="34" t="s">
        <v>1917</v>
      </c>
      <c r="AZ177" s="63" t="s">
        <v>2093</v>
      </c>
      <c r="BF177" s="15">
        <v>1</v>
      </c>
    </row>
    <row r="178" spans="1:58" ht="15.75" hidden="1" customHeight="1">
      <c r="A178" s="193"/>
      <c r="B178" s="226"/>
      <c r="C178" s="102" t="s">
        <v>44</v>
      </c>
      <c r="D178" s="194">
        <v>9.06</v>
      </c>
      <c r="E178" s="194"/>
      <c r="F178" s="194">
        <v>9.06</v>
      </c>
      <c r="G178" s="194"/>
      <c r="H178" s="194"/>
      <c r="I178" s="194"/>
      <c r="J178" s="194"/>
      <c r="K178" s="194"/>
      <c r="L178" s="194"/>
      <c r="M178" s="194"/>
      <c r="N178" s="194"/>
      <c r="O178" s="194"/>
      <c r="P178" s="194"/>
      <c r="Q178" s="194"/>
      <c r="R178" s="194"/>
      <c r="S178" s="194"/>
      <c r="T178" s="194"/>
      <c r="U178" s="194"/>
      <c r="V178" s="194"/>
      <c r="W178" s="194"/>
      <c r="X178" s="194"/>
      <c r="Y178" s="194"/>
      <c r="Z178" s="194"/>
      <c r="AA178" s="194"/>
      <c r="AB178" s="194"/>
      <c r="AC178" s="194"/>
      <c r="AD178" s="194"/>
      <c r="AE178" s="194"/>
      <c r="AF178" s="194"/>
      <c r="AG178" s="194"/>
      <c r="AH178" s="194"/>
      <c r="AI178" s="194"/>
      <c r="AJ178" s="194"/>
      <c r="AK178" s="194"/>
      <c r="AL178" s="194"/>
      <c r="AM178" s="194"/>
      <c r="AN178" s="194"/>
      <c r="AO178" s="194"/>
      <c r="AP178" s="194"/>
      <c r="AQ178" s="194"/>
      <c r="AR178" s="194"/>
      <c r="AS178" s="194"/>
      <c r="AT178" s="34" t="s">
        <v>224</v>
      </c>
      <c r="AU178" s="159" t="s">
        <v>389</v>
      </c>
      <c r="AV178" s="34"/>
      <c r="AW178" s="34"/>
      <c r="AX178" s="39"/>
      <c r="AY178" s="34" t="s">
        <v>1986</v>
      </c>
      <c r="AZ178" s="39"/>
      <c r="BB178" s="41"/>
    </row>
    <row r="179" spans="1:58" ht="31.5" hidden="1" customHeight="1">
      <c r="A179" s="193"/>
      <c r="B179" s="56"/>
      <c r="C179" s="78"/>
      <c r="D179" s="103"/>
      <c r="E179" s="103"/>
      <c r="F179" s="103"/>
      <c r="G179" s="103"/>
      <c r="H179" s="103"/>
      <c r="I179" s="103"/>
      <c r="J179" s="103"/>
      <c r="K179" s="103"/>
      <c r="L179" s="103"/>
      <c r="M179" s="103"/>
      <c r="N179" s="103"/>
      <c r="O179" s="103"/>
      <c r="P179" s="103"/>
      <c r="Q179" s="103"/>
      <c r="R179" s="103"/>
      <c r="S179" s="103"/>
      <c r="T179" s="103"/>
      <c r="U179" s="103"/>
      <c r="V179" s="103"/>
      <c r="W179" s="103"/>
      <c r="X179" s="103"/>
      <c r="Y179" s="103"/>
      <c r="Z179" s="103"/>
      <c r="AA179" s="103"/>
      <c r="AB179" s="103"/>
      <c r="AC179" s="103"/>
      <c r="AD179" s="103"/>
      <c r="AE179" s="103"/>
      <c r="AF179" s="103"/>
      <c r="AG179" s="103"/>
      <c r="AH179" s="103"/>
      <c r="AI179" s="103"/>
      <c r="AJ179" s="103"/>
      <c r="AK179" s="103"/>
      <c r="AL179" s="103"/>
      <c r="AM179" s="103"/>
      <c r="AN179" s="103"/>
      <c r="AO179" s="103"/>
      <c r="AP179" s="103"/>
      <c r="AQ179" s="103"/>
      <c r="AR179" s="103"/>
      <c r="AS179" s="103"/>
      <c r="AT179" s="103" t="s">
        <v>232</v>
      </c>
      <c r="AU179" s="34"/>
      <c r="AV179" s="34"/>
      <c r="AW179" s="34"/>
      <c r="AX179" s="63"/>
      <c r="AY179" s="34" t="s">
        <v>1917</v>
      </c>
      <c r="AZ179" s="63" t="s">
        <v>2094</v>
      </c>
    </row>
    <row r="180" spans="1:58" ht="15.75" hidden="1" customHeight="1">
      <c r="A180" s="193"/>
      <c r="B180" s="56"/>
      <c r="C180" s="78"/>
      <c r="D180" s="103"/>
      <c r="E180" s="103"/>
      <c r="F180" s="103">
        <v>7.44</v>
      </c>
      <c r="G180" s="103"/>
      <c r="H180" s="103"/>
      <c r="I180" s="103"/>
      <c r="J180" s="103"/>
      <c r="K180" s="103"/>
      <c r="L180" s="103"/>
      <c r="M180" s="103"/>
      <c r="N180" s="103"/>
      <c r="O180" s="103"/>
      <c r="P180" s="103"/>
      <c r="Q180" s="103"/>
      <c r="R180" s="103"/>
      <c r="S180" s="103"/>
      <c r="T180" s="103"/>
      <c r="U180" s="103"/>
      <c r="V180" s="103"/>
      <c r="W180" s="103"/>
      <c r="X180" s="103"/>
      <c r="Y180" s="103"/>
      <c r="Z180" s="103"/>
      <c r="AA180" s="103"/>
      <c r="AB180" s="103"/>
      <c r="AC180" s="103"/>
      <c r="AD180" s="103"/>
      <c r="AE180" s="103"/>
      <c r="AF180" s="103"/>
      <c r="AG180" s="103"/>
      <c r="AH180" s="103"/>
      <c r="AI180" s="103"/>
      <c r="AJ180" s="103"/>
      <c r="AK180" s="103"/>
      <c r="AL180" s="103"/>
      <c r="AM180" s="103"/>
      <c r="AN180" s="103"/>
      <c r="AO180" s="103"/>
      <c r="AP180" s="103"/>
      <c r="AQ180" s="103"/>
      <c r="AR180" s="103"/>
      <c r="AS180" s="103"/>
      <c r="AT180" s="103" t="s">
        <v>233</v>
      </c>
      <c r="AU180" s="34" t="s">
        <v>2095</v>
      </c>
      <c r="AV180" s="34"/>
      <c r="AW180" s="34"/>
      <c r="AX180" s="63">
        <v>2021</v>
      </c>
      <c r="AY180" s="34" t="s">
        <v>1917</v>
      </c>
      <c r="AZ180" s="39" t="s">
        <v>1926</v>
      </c>
    </row>
    <row r="181" spans="1:58" ht="31.5" hidden="1" customHeight="1">
      <c r="A181" s="193"/>
      <c r="B181" s="56"/>
      <c r="C181" s="78"/>
      <c r="D181" s="103"/>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D181" s="103"/>
      <c r="AE181" s="103"/>
      <c r="AF181" s="103"/>
      <c r="AG181" s="103"/>
      <c r="AH181" s="103"/>
      <c r="AI181" s="103"/>
      <c r="AJ181" s="103"/>
      <c r="AK181" s="103"/>
      <c r="AL181" s="103"/>
      <c r="AM181" s="103"/>
      <c r="AN181" s="103"/>
      <c r="AO181" s="103"/>
      <c r="AP181" s="103"/>
      <c r="AQ181" s="103"/>
      <c r="AR181" s="103"/>
      <c r="AS181" s="103"/>
      <c r="AT181" s="103" t="s">
        <v>235</v>
      </c>
      <c r="AU181" s="34"/>
      <c r="AV181" s="34"/>
      <c r="AW181" s="34"/>
      <c r="AX181" s="63"/>
      <c r="AY181" s="34" t="s">
        <v>1917</v>
      </c>
      <c r="AZ181" s="63" t="s">
        <v>2093</v>
      </c>
    </row>
    <row r="182" spans="1:58" ht="15.75" hidden="1" customHeight="1">
      <c r="A182" s="193"/>
      <c r="B182" s="56"/>
      <c r="C182" s="78"/>
      <c r="D182" s="103"/>
      <c r="E182" s="103"/>
      <c r="F182" s="103"/>
      <c r="G182" s="103"/>
      <c r="H182" s="103"/>
      <c r="I182" s="103"/>
      <c r="J182" s="103"/>
      <c r="K182" s="103"/>
      <c r="L182" s="103"/>
      <c r="M182" s="103"/>
      <c r="N182" s="103"/>
      <c r="O182" s="103"/>
      <c r="P182" s="103"/>
      <c r="Q182" s="103"/>
      <c r="R182" s="103"/>
      <c r="S182" s="103"/>
      <c r="T182" s="103"/>
      <c r="U182" s="103"/>
      <c r="V182" s="103"/>
      <c r="W182" s="103"/>
      <c r="X182" s="103"/>
      <c r="Y182" s="103"/>
      <c r="Z182" s="103"/>
      <c r="AA182" s="103"/>
      <c r="AB182" s="103"/>
      <c r="AC182" s="103"/>
      <c r="AD182" s="103"/>
      <c r="AE182" s="103"/>
      <c r="AF182" s="103"/>
      <c r="AG182" s="103"/>
      <c r="AH182" s="103"/>
      <c r="AI182" s="103"/>
      <c r="AJ182" s="103"/>
      <c r="AK182" s="103"/>
      <c r="AL182" s="103"/>
      <c r="AM182" s="103"/>
      <c r="AN182" s="103"/>
      <c r="AO182" s="103"/>
      <c r="AP182" s="103"/>
      <c r="AQ182" s="103"/>
      <c r="AR182" s="103"/>
      <c r="AS182" s="103"/>
      <c r="AT182" s="103" t="s">
        <v>238</v>
      </c>
      <c r="AU182" s="34"/>
      <c r="AV182" s="34"/>
      <c r="AW182" s="34"/>
      <c r="AX182" s="63"/>
      <c r="AY182" s="34" t="s">
        <v>1986</v>
      </c>
      <c r="AZ182" s="63"/>
      <c r="BA182" s="15" t="s">
        <v>2096</v>
      </c>
    </row>
    <row r="183" spans="1:58" ht="15.75" hidden="1" customHeight="1">
      <c r="A183" s="193"/>
      <c r="B183" s="56"/>
      <c r="C183" s="78"/>
      <c r="D183" s="103"/>
      <c r="E183" s="103"/>
      <c r="F183" s="103"/>
      <c r="G183" s="103"/>
      <c r="H183" s="103"/>
      <c r="I183" s="103"/>
      <c r="J183" s="103"/>
      <c r="K183" s="103"/>
      <c r="L183" s="103"/>
      <c r="M183" s="103"/>
      <c r="N183" s="103"/>
      <c r="O183" s="103"/>
      <c r="P183" s="103"/>
      <c r="Q183" s="103"/>
      <c r="R183" s="103"/>
      <c r="S183" s="103"/>
      <c r="T183" s="103"/>
      <c r="U183" s="103"/>
      <c r="V183" s="103"/>
      <c r="W183" s="103"/>
      <c r="X183" s="103"/>
      <c r="Y183" s="103"/>
      <c r="Z183" s="103"/>
      <c r="AA183" s="103"/>
      <c r="AB183" s="103"/>
      <c r="AC183" s="103"/>
      <c r="AD183" s="103"/>
      <c r="AE183" s="103"/>
      <c r="AF183" s="103"/>
      <c r="AG183" s="103"/>
      <c r="AH183" s="103"/>
      <c r="AI183" s="103"/>
      <c r="AJ183" s="103"/>
      <c r="AK183" s="103"/>
      <c r="AL183" s="103"/>
      <c r="AM183" s="103"/>
      <c r="AN183" s="103"/>
      <c r="AO183" s="103"/>
      <c r="AP183" s="103"/>
      <c r="AQ183" s="103"/>
      <c r="AR183" s="103"/>
      <c r="AS183" s="103"/>
      <c r="AT183" s="103" t="s">
        <v>241</v>
      </c>
      <c r="AU183" s="34"/>
      <c r="AV183" s="34"/>
      <c r="AW183" s="34"/>
      <c r="AX183" s="63"/>
      <c r="AY183" s="34" t="s">
        <v>1986</v>
      </c>
      <c r="AZ183" s="63" t="s">
        <v>2097</v>
      </c>
    </row>
    <row r="184" spans="1:58" ht="15.75" hidden="1" customHeight="1">
      <c r="A184" s="193"/>
      <c r="B184" s="56"/>
      <c r="C184" s="78"/>
      <c r="D184" s="103"/>
      <c r="E184" s="103"/>
      <c r="F184" s="103"/>
      <c r="G184" s="103"/>
      <c r="H184" s="103"/>
      <c r="I184" s="103"/>
      <c r="J184" s="103"/>
      <c r="K184" s="103"/>
      <c r="L184" s="103"/>
      <c r="M184" s="103"/>
      <c r="N184" s="103"/>
      <c r="O184" s="103"/>
      <c r="P184" s="103"/>
      <c r="Q184" s="103"/>
      <c r="R184" s="103"/>
      <c r="S184" s="103"/>
      <c r="T184" s="103"/>
      <c r="U184" s="103"/>
      <c r="V184" s="103"/>
      <c r="W184" s="103"/>
      <c r="X184" s="103"/>
      <c r="Y184" s="103"/>
      <c r="Z184" s="103"/>
      <c r="AA184" s="103"/>
      <c r="AB184" s="103"/>
      <c r="AC184" s="103"/>
      <c r="AD184" s="103"/>
      <c r="AE184" s="103"/>
      <c r="AF184" s="103"/>
      <c r="AG184" s="103"/>
      <c r="AH184" s="103"/>
      <c r="AI184" s="103"/>
      <c r="AJ184" s="103"/>
      <c r="AK184" s="103"/>
      <c r="AL184" s="103"/>
      <c r="AM184" s="103"/>
      <c r="AN184" s="103"/>
      <c r="AO184" s="103"/>
      <c r="AP184" s="103"/>
      <c r="AQ184" s="103"/>
      <c r="AR184" s="103"/>
      <c r="AS184" s="103"/>
      <c r="AT184" s="103" t="s">
        <v>231</v>
      </c>
      <c r="AU184" s="34"/>
      <c r="AV184" s="34"/>
      <c r="AW184" s="34"/>
      <c r="AX184" s="63"/>
      <c r="AY184" s="34" t="s">
        <v>1917</v>
      </c>
      <c r="AZ184" s="63" t="s">
        <v>2098</v>
      </c>
    </row>
    <row r="185" spans="1:58" ht="47.25">
      <c r="A185" s="193">
        <v>38</v>
      </c>
      <c r="B185" s="56" t="s">
        <v>2099</v>
      </c>
      <c r="C185" s="78" t="s">
        <v>44</v>
      </c>
      <c r="D185" s="103">
        <f>F185+E185</f>
        <v>47.239999999999995</v>
      </c>
      <c r="E185" s="103"/>
      <c r="F185" s="103">
        <f>SUM(G185:K185,O185:AR185)</f>
        <v>47.239999999999995</v>
      </c>
      <c r="G185" s="103">
        <f>5.75-0.9+2</f>
        <v>6.85</v>
      </c>
      <c r="H185" s="103">
        <v>2.95</v>
      </c>
      <c r="I185" s="103">
        <v>7.45</v>
      </c>
      <c r="J185" s="103">
        <v>10.41</v>
      </c>
      <c r="K185" s="103">
        <f>13.4-2.7+8.02</f>
        <v>18.72</v>
      </c>
      <c r="L185" s="103"/>
      <c r="M185" s="103">
        <v>18.72</v>
      </c>
      <c r="N185" s="103"/>
      <c r="O185" s="103"/>
      <c r="P185" s="103">
        <v>0.17</v>
      </c>
      <c r="Q185" s="103"/>
      <c r="R185" s="103"/>
      <c r="S185" s="103"/>
      <c r="T185" s="103"/>
      <c r="U185" s="103"/>
      <c r="V185" s="103"/>
      <c r="W185" s="103"/>
      <c r="X185" s="103"/>
      <c r="Y185" s="103"/>
      <c r="Z185" s="103"/>
      <c r="AA185" s="103"/>
      <c r="AB185" s="103"/>
      <c r="AC185" s="103"/>
      <c r="AD185" s="103"/>
      <c r="AE185" s="103"/>
      <c r="AF185" s="103"/>
      <c r="AG185" s="103">
        <v>0.69</v>
      </c>
      <c r="AH185" s="103"/>
      <c r="AI185" s="103"/>
      <c r="AJ185" s="103"/>
      <c r="AK185" s="103"/>
      <c r="AL185" s="103"/>
      <c r="AM185" s="103"/>
      <c r="AN185" s="103"/>
      <c r="AO185" s="103"/>
      <c r="AP185" s="103"/>
      <c r="AQ185" s="103"/>
      <c r="AR185" s="103"/>
      <c r="AS185" s="103"/>
      <c r="AT185" s="103" t="s">
        <v>2100</v>
      </c>
      <c r="AU185" s="34"/>
      <c r="AV185" s="34"/>
      <c r="AW185" s="34" t="s">
        <v>2101</v>
      </c>
      <c r="AX185" s="63">
        <v>2021</v>
      </c>
      <c r="AY185" s="34" t="s">
        <v>1917</v>
      </c>
      <c r="AZ185" s="39" t="s">
        <v>2102</v>
      </c>
      <c r="BF185" s="15">
        <v>1</v>
      </c>
    </row>
    <row r="186" spans="1:58" ht="15.75" hidden="1" customHeight="1">
      <c r="A186" s="193"/>
      <c r="B186" s="56"/>
      <c r="C186" s="78"/>
      <c r="D186" s="103"/>
      <c r="E186" s="103"/>
      <c r="F186" s="103"/>
      <c r="G186" s="103"/>
      <c r="H186" s="103"/>
      <c r="I186" s="103"/>
      <c r="J186" s="103"/>
      <c r="K186" s="103"/>
      <c r="L186" s="103"/>
      <c r="M186" s="103"/>
      <c r="N186" s="103"/>
      <c r="O186" s="103"/>
      <c r="P186" s="103"/>
      <c r="Q186" s="103"/>
      <c r="R186" s="103"/>
      <c r="S186" s="103"/>
      <c r="T186" s="103"/>
      <c r="U186" s="103"/>
      <c r="V186" s="103"/>
      <c r="W186" s="103"/>
      <c r="X186" s="103"/>
      <c r="Y186" s="103"/>
      <c r="Z186" s="103"/>
      <c r="AA186" s="103"/>
      <c r="AB186" s="103"/>
      <c r="AC186" s="103"/>
      <c r="AD186" s="103"/>
      <c r="AE186" s="103"/>
      <c r="AF186" s="103"/>
      <c r="AG186" s="103"/>
      <c r="AH186" s="103"/>
      <c r="AI186" s="103"/>
      <c r="AJ186" s="103"/>
      <c r="AK186" s="103"/>
      <c r="AL186" s="103"/>
      <c r="AM186" s="103"/>
      <c r="AN186" s="103"/>
      <c r="AO186" s="103"/>
      <c r="AP186" s="103"/>
      <c r="AQ186" s="103"/>
      <c r="AR186" s="103"/>
      <c r="AS186" s="103"/>
      <c r="AT186" s="103" t="s">
        <v>231</v>
      </c>
      <c r="AU186" s="34"/>
      <c r="AV186" s="34"/>
      <c r="AW186" s="34"/>
      <c r="AX186" s="63"/>
      <c r="AY186" s="34" t="s">
        <v>1917</v>
      </c>
      <c r="AZ186" s="63" t="s">
        <v>2098</v>
      </c>
    </row>
    <row r="187" spans="1:58" ht="15.75" hidden="1" customHeight="1">
      <c r="A187" s="193"/>
      <c r="B187" s="56"/>
      <c r="C187" s="78"/>
      <c r="D187" s="103"/>
      <c r="E187" s="103"/>
      <c r="F187" s="103"/>
      <c r="G187" s="103"/>
      <c r="H187" s="103"/>
      <c r="I187" s="103"/>
      <c r="J187" s="103"/>
      <c r="K187" s="103"/>
      <c r="L187" s="103"/>
      <c r="M187" s="103"/>
      <c r="N187" s="103"/>
      <c r="O187" s="103"/>
      <c r="P187" s="103"/>
      <c r="Q187" s="103"/>
      <c r="R187" s="103"/>
      <c r="S187" s="103"/>
      <c r="T187" s="103"/>
      <c r="U187" s="103"/>
      <c r="V187" s="103"/>
      <c r="W187" s="103"/>
      <c r="X187" s="103"/>
      <c r="Y187" s="103"/>
      <c r="Z187" s="103"/>
      <c r="AA187" s="103"/>
      <c r="AB187" s="103"/>
      <c r="AC187" s="103"/>
      <c r="AD187" s="103"/>
      <c r="AE187" s="103"/>
      <c r="AF187" s="103"/>
      <c r="AG187" s="103"/>
      <c r="AH187" s="103"/>
      <c r="AI187" s="103"/>
      <c r="AJ187" s="103"/>
      <c r="AK187" s="103"/>
      <c r="AL187" s="103"/>
      <c r="AM187" s="103"/>
      <c r="AN187" s="103"/>
      <c r="AO187" s="103"/>
      <c r="AP187" s="103"/>
      <c r="AQ187" s="103"/>
      <c r="AR187" s="103"/>
      <c r="AS187" s="103"/>
      <c r="AT187" s="103" t="s">
        <v>237</v>
      </c>
      <c r="AU187" s="34"/>
      <c r="AV187" s="34"/>
      <c r="AW187" s="34"/>
      <c r="AX187" s="63"/>
      <c r="AY187" s="34" t="s">
        <v>1917</v>
      </c>
      <c r="AZ187" s="63" t="s">
        <v>1924</v>
      </c>
    </row>
    <row r="188" spans="1:58" ht="31.5" hidden="1" customHeight="1">
      <c r="A188" s="193"/>
      <c r="B188" s="56"/>
      <c r="C188" s="78"/>
      <c r="D188" s="103"/>
      <c r="E188" s="103"/>
      <c r="F188" s="103"/>
      <c r="G188" s="103"/>
      <c r="H188" s="103"/>
      <c r="I188" s="103"/>
      <c r="J188" s="103"/>
      <c r="K188" s="103"/>
      <c r="L188" s="103"/>
      <c r="M188" s="103"/>
      <c r="N188" s="103"/>
      <c r="O188" s="103"/>
      <c r="P188" s="103"/>
      <c r="Q188" s="103"/>
      <c r="R188" s="103"/>
      <c r="S188" s="103"/>
      <c r="T188" s="103"/>
      <c r="U188" s="103"/>
      <c r="V188" s="103"/>
      <c r="W188" s="103"/>
      <c r="X188" s="103"/>
      <c r="Y188" s="103"/>
      <c r="Z188" s="103"/>
      <c r="AA188" s="103"/>
      <c r="AB188" s="103"/>
      <c r="AC188" s="103"/>
      <c r="AD188" s="103"/>
      <c r="AE188" s="103"/>
      <c r="AF188" s="103"/>
      <c r="AG188" s="103"/>
      <c r="AH188" s="103"/>
      <c r="AI188" s="103"/>
      <c r="AJ188" s="103"/>
      <c r="AK188" s="103"/>
      <c r="AL188" s="103"/>
      <c r="AM188" s="103"/>
      <c r="AN188" s="103"/>
      <c r="AO188" s="103"/>
      <c r="AP188" s="103"/>
      <c r="AQ188" s="103"/>
      <c r="AR188" s="103"/>
      <c r="AS188" s="103"/>
      <c r="AT188" s="103" t="s">
        <v>239</v>
      </c>
      <c r="AU188" s="34"/>
      <c r="AV188" s="34"/>
      <c r="AW188" s="34"/>
      <c r="AX188" s="63"/>
      <c r="AY188" s="34" t="s">
        <v>1973</v>
      </c>
      <c r="AZ188" s="63" t="s">
        <v>2103</v>
      </c>
    </row>
    <row r="189" spans="1:58" ht="31.5" hidden="1" customHeight="1">
      <c r="A189" s="193"/>
      <c r="B189" s="56"/>
      <c r="C189" s="78"/>
      <c r="D189" s="103"/>
      <c r="E189" s="103"/>
      <c r="F189" s="103"/>
      <c r="G189" s="103">
        <f>5.75-0.9+2</f>
        <v>6.85</v>
      </c>
      <c r="H189" s="103">
        <v>2.95</v>
      </c>
      <c r="I189" s="103">
        <v>7.45</v>
      </c>
      <c r="J189" s="103">
        <v>10.41</v>
      </c>
      <c r="K189" s="103">
        <f>13.4-2.7+8.02</f>
        <v>18.72</v>
      </c>
      <c r="L189" s="103"/>
      <c r="M189" s="103">
        <v>18.72</v>
      </c>
      <c r="N189" s="103"/>
      <c r="O189" s="103"/>
      <c r="P189" s="103">
        <v>0.17</v>
      </c>
      <c r="Q189" s="103"/>
      <c r="R189" s="103"/>
      <c r="S189" s="103"/>
      <c r="T189" s="103"/>
      <c r="U189" s="103"/>
      <c r="V189" s="103"/>
      <c r="W189" s="103"/>
      <c r="X189" s="103"/>
      <c r="Y189" s="103"/>
      <c r="Z189" s="103"/>
      <c r="AA189" s="103"/>
      <c r="AB189" s="103"/>
      <c r="AC189" s="103"/>
      <c r="AD189" s="103"/>
      <c r="AE189" s="103"/>
      <c r="AF189" s="103"/>
      <c r="AG189" s="103">
        <v>0.69</v>
      </c>
      <c r="AH189" s="103"/>
      <c r="AI189" s="103"/>
      <c r="AJ189" s="103"/>
      <c r="AK189" s="103"/>
      <c r="AL189" s="103"/>
      <c r="AM189" s="103"/>
      <c r="AN189" s="103"/>
      <c r="AO189" s="103"/>
      <c r="AP189" s="103"/>
      <c r="AQ189" s="103"/>
      <c r="AR189" s="103"/>
      <c r="AS189" s="103"/>
      <c r="AT189" s="103" t="s">
        <v>240</v>
      </c>
      <c r="AU189" s="34"/>
      <c r="AV189" s="34"/>
      <c r="AW189" s="34" t="s">
        <v>2101</v>
      </c>
      <c r="AX189" s="63">
        <v>2021</v>
      </c>
      <c r="AY189" s="34" t="s">
        <v>1917</v>
      </c>
      <c r="AZ189" s="63" t="s">
        <v>2104</v>
      </c>
    </row>
    <row r="190" spans="1:58" s="24" customFormat="1" ht="47.25">
      <c r="A190" s="193">
        <v>39</v>
      </c>
      <c r="B190" s="33" t="s">
        <v>2105</v>
      </c>
      <c r="C190" s="34" t="s">
        <v>44</v>
      </c>
      <c r="D190" s="103">
        <f>F190+E190</f>
        <v>12.97</v>
      </c>
      <c r="E190" s="103"/>
      <c r="F190" s="103">
        <f>SUM(G190:K190,O190:AR190)</f>
        <v>12.97</v>
      </c>
      <c r="G190" s="103">
        <v>3.5</v>
      </c>
      <c r="H190" s="103">
        <v>1.24</v>
      </c>
      <c r="I190" s="103">
        <v>3.7</v>
      </c>
      <c r="J190" s="103">
        <v>1.45</v>
      </c>
      <c r="K190" s="103">
        <v>1.98</v>
      </c>
      <c r="L190" s="103"/>
      <c r="M190" s="103">
        <v>1.98</v>
      </c>
      <c r="N190" s="103"/>
      <c r="O190" s="103"/>
      <c r="P190" s="103"/>
      <c r="Q190" s="103"/>
      <c r="R190" s="103"/>
      <c r="S190" s="103"/>
      <c r="T190" s="103"/>
      <c r="U190" s="103"/>
      <c r="V190" s="103"/>
      <c r="W190" s="103"/>
      <c r="X190" s="103"/>
      <c r="Y190" s="103"/>
      <c r="Z190" s="103"/>
      <c r="AA190" s="103"/>
      <c r="AB190" s="103"/>
      <c r="AC190" s="103"/>
      <c r="AD190" s="103"/>
      <c r="AE190" s="103"/>
      <c r="AF190" s="103"/>
      <c r="AG190" s="103">
        <v>1.1000000000000001</v>
      </c>
      <c r="AH190" s="103"/>
      <c r="AI190" s="103"/>
      <c r="AJ190" s="103"/>
      <c r="AK190" s="103"/>
      <c r="AL190" s="103"/>
      <c r="AM190" s="103"/>
      <c r="AN190" s="103"/>
      <c r="AO190" s="103"/>
      <c r="AP190" s="103"/>
      <c r="AQ190" s="103"/>
      <c r="AR190" s="103"/>
      <c r="AS190" s="103"/>
      <c r="AT190" s="103" t="s">
        <v>2106</v>
      </c>
      <c r="AU190" s="103"/>
      <c r="AV190" s="34"/>
      <c r="AW190" s="34"/>
      <c r="AX190" s="39" t="s">
        <v>1920</v>
      </c>
      <c r="AY190" s="34" t="s">
        <v>1917</v>
      </c>
      <c r="AZ190" s="39" t="s">
        <v>2107</v>
      </c>
      <c r="BA190" s="15" t="s">
        <v>2108</v>
      </c>
      <c r="BB190" s="41"/>
      <c r="BF190" s="15">
        <v>1</v>
      </c>
    </row>
    <row r="191" spans="1:58" ht="15.75" hidden="1" customHeight="1">
      <c r="A191" s="193"/>
      <c r="B191" s="60"/>
      <c r="C191" s="102" t="s">
        <v>44</v>
      </c>
      <c r="D191" s="194">
        <v>3.24</v>
      </c>
      <c r="E191" s="194"/>
      <c r="F191" s="194">
        <v>3.24</v>
      </c>
      <c r="G191" s="194"/>
      <c r="H191" s="194"/>
      <c r="I191" s="194"/>
      <c r="J191" s="194"/>
      <c r="K191" s="194"/>
      <c r="L191" s="194"/>
      <c r="M191" s="194"/>
      <c r="N191" s="194"/>
      <c r="O191" s="194"/>
      <c r="P191" s="194"/>
      <c r="Q191" s="194"/>
      <c r="R191" s="194"/>
      <c r="S191" s="194"/>
      <c r="T191" s="194"/>
      <c r="U191" s="194"/>
      <c r="V191" s="194"/>
      <c r="W191" s="194"/>
      <c r="X191" s="194"/>
      <c r="Y191" s="194"/>
      <c r="Z191" s="194"/>
      <c r="AA191" s="194"/>
      <c r="AB191" s="194"/>
      <c r="AC191" s="194"/>
      <c r="AD191" s="194"/>
      <c r="AE191" s="194"/>
      <c r="AF191" s="194"/>
      <c r="AG191" s="194"/>
      <c r="AH191" s="194"/>
      <c r="AI191" s="194"/>
      <c r="AJ191" s="194"/>
      <c r="AK191" s="194"/>
      <c r="AL191" s="194"/>
      <c r="AM191" s="194"/>
      <c r="AN191" s="194"/>
      <c r="AO191" s="194"/>
      <c r="AP191" s="194"/>
      <c r="AQ191" s="194"/>
      <c r="AR191" s="194"/>
      <c r="AS191" s="194"/>
      <c r="AT191" s="34" t="s">
        <v>224</v>
      </c>
      <c r="AU191" s="159" t="s">
        <v>417</v>
      </c>
      <c r="AV191" s="34"/>
      <c r="AW191" s="34"/>
      <c r="AX191" s="39"/>
      <c r="AY191" s="34" t="s">
        <v>1986</v>
      </c>
      <c r="AZ191" s="39"/>
      <c r="BB191" s="41"/>
    </row>
    <row r="192" spans="1:58" ht="15.75" hidden="1" customHeight="1">
      <c r="A192" s="193"/>
      <c r="B192" s="60"/>
      <c r="C192" s="102"/>
      <c r="D192" s="194"/>
      <c r="E192" s="194"/>
      <c r="F192" s="194"/>
      <c r="G192" s="194"/>
      <c r="H192" s="194"/>
      <c r="I192" s="194"/>
      <c r="J192" s="194"/>
      <c r="K192" s="194"/>
      <c r="L192" s="194"/>
      <c r="M192" s="194"/>
      <c r="N192" s="194"/>
      <c r="O192" s="194"/>
      <c r="P192" s="194"/>
      <c r="Q192" s="194"/>
      <c r="R192" s="194"/>
      <c r="S192" s="194"/>
      <c r="T192" s="194"/>
      <c r="U192" s="194"/>
      <c r="V192" s="194"/>
      <c r="W192" s="194"/>
      <c r="X192" s="194"/>
      <c r="Y192" s="194"/>
      <c r="Z192" s="194"/>
      <c r="AA192" s="194"/>
      <c r="AB192" s="194"/>
      <c r="AC192" s="194"/>
      <c r="AD192" s="194"/>
      <c r="AE192" s="194"/>
      <c r="AF192" s="194"/>
      <c r="AG192" s="194"/>
      <c r="AH192" s="194"/>
      <c r="AI192" s="194"/>
      <c r="AJ192" s="194"/>
      <c r="AK192" s="194"/>
      <c r="AL192" s="194"/>
      <c r="AM192" s="194"/>
      <c r="AN192" s="194"/>
      <c r="AO192" s="194"/>
      <c r="AP192" s="194"/>
      <c r="AQ192" s="194"/>
      <c r="AR192" s="194"/>
      <c r="AS192" s="194"/>
      <c r="AT192" s="34" t="s">
        <v>230</v>
      </c>
      <c r="AU192" s="159"/>
      <c r="AV192" s="34"/>
      <c r="AW192" s="34"/>
      <c r="AX192" s="39"/>
      <c r="AY192" s="34" t="s">
        <v>1917</v>
      </c>
      <c r="AZ192" s="39" t="s">
        <v>1924</v>
      </c>
      <c r="BA192" s="15" t="s">
        <v>2109</v>
      </c>
      <c r="BB192" s="41"/>
    </row>
    <row r="193" spans="1:58" s="24" customFormat="1" ht="31.5" hidden="1" customHeight="1">
      <c r="A193" s="193"/>
      <c r="B193" s="33"/>
      <c r="C193" s="34"/>
      <c r="D193" s="103"/>
      <c r="E193" s="103"/>
      <c r="F193" s="103"/>
      <c r="G193" s="103"/>
      <c r="H193" s="103"/>
      <c r="I193" s="103"/>
      <c r="J193" s="103"/>
      <c r="K193" s="103"/>
      <c r="L193" s="103"/>
      <c r="M193" s="103"/>
      <c r="N193" s="103"/>
      <c r="O193" s="103"/>
      <c r="P193" s="103"/>
      <c r="Q193" s="103"/>
      <c r="R193" s="103"/>
      <c r="S193" s="103"/>
      <c r="T193" s="103"/>
      <c r="U193" s="103"/>
      <c r="V193" s="103"/>
      <c r="W193" s="103"/>
      <c r="X193" s="103"/>
      <c r="Y193" s="103"/>
      <c r="Z193" s="103"/>
      <c r="AA193" s="103"/>
      <c r="AB193" s="103"/>
      <c r="AC193" s="103"/>
      <c r="AD193" s="103"/>
      <c r="AE193" s="103"/>
      <c r="AF193" s="103"/>
      <c r="AG193" s="103"/>
      <c r="AH193" s="103"/>
      <c r="AI193" s="103"/>
      <c r="AJ193" s="103"/>
      <c r="AK193" s="103"/>
      <c r="AL193" s="103"/>
      <c r="AM193" s="103"/>
      <c r="AN193" s="103"/>
      <c r="AO193" s="103"/>
      <c r="AP193" s="103"/>
      <c r="AQ193" s="103"/>
      <c r="AR193" s="103"/>
      <c r="AS193" s="103"/>
      <c r="AT193" s="103" t="s">
        <v>239</v>
      </c>
      <c r="AU193" s="103"/>
      <c r="AV193" s="34"/>
      <c r="AW193" s="34"/>
      <c r="AX193" s="39"/>
      <c r="AY193" s="34" t="s">
        <v>1973</v>
      </c>
      <c r="AZ193" s="39" t="s">
        <v>2103</v>
      </c>
      <c r="BB193" s="41"/>
      <c r="BF193" s="15"/>
    </row>
    <row r="194" spans="1:58" ht="47.25">
      <c r="A194" s="193">
        <v>40</v>
      </c>
      <c r="B194" s="56" t="s">
        <v>591</v>
      </c>
      <c r="C194" s="78" t="s">
        <v>44</v>
      </c>
      <c r="D194" s="103">
        <f>F194+E194</f>
        <v>28</v>
      </c>
      <c r="E194" s="103"/>
      <c r="F194" s="103">
        <f>SUM(G194:K194,O194:AR194)</f>
        <v>28</v>
      </c>
      <c r="G194" s="103">
        <v>3.09</v>
      </c>
      <c r="H194" s="103">
        <v>3.1</v>
      </c>
      <c r="I194" s="103">
        <v>1.8</v>
      </c>
      <c r="J194" s="103">
        <v>5.21</v>
      </c>
      <c r="K194" s="103">
        <v>12</v>
      </c>
      <c r="L194" s="103"/>
      <c r="M194" s="103">
        <v>12</v>
      </c>
      <c r="N194" s="103"/>
      <c r="O194" s="103"/>
      <c r="P194" s="103"/>
      <c r="Q194" s="103"/>
      <c r="R194" s="103"/>
      <c r="S194" s="103"/>
      <c r="T194" s="103"/>
      <c r="U194" s="103"/>
      <c r="V194" s="103"/>
      <c r="W194" s="103"/>
      <c r="X194" s="103"/>
      <c r="Y194" s="103"/>
      <c r="Z194" s="103"/>
      <c r="AA194" s="103">
        <v>1</v>
      </c>
      <c r="AB194" s="103"/>
      <c r="AC194" s="103"/>
      <c r="AD194" s="103"/>
      <c r="AE194" s="103"/>
      <c r="AF194" s="103"/>
      <c r="AG194" s="103">
        <v>1.8</v>
      </c>
      <c r="AH194" s="103"/>
      <c r="AI194" s="103"/>
      <c r="AJ194" s="103"/>
      <c r="AK194" s="103"/>
      <c r="AL194" s="103"/>
      <c r="AM194" s="103"/>
      <c r="AN194" s="103"/>
      <c r="AO194" s="103"/>
      <c r="AP194" s="103"/>
      <c r="AQ194" s="103"/>
      <c r="AR194" s="103"/>
      <c r="AS194" s="103"/>
      <c r="AT194" s="103" t="s">
        <v>592</v>
      </c>
      <c r="AU194" s="103" t="s">
        <v>615</v>
      </c>
      <c r="AV194" s="34"/>
      <c r="AW194" s="34" t="s">
        <v>2110</v>
      </c>
      <c r="AX194" s="39" t="s">
        <v>1920</v>
      </c>
      <c r="AY194" s="34" t="s">
        <v>1917</v>
      </c>
      <c r="AZ194" s="39" t="s">
        <v>2102</v>
      </c>
      <c r="BB194" s="41"/>
      <c r="BF194" s="15">
        <v>1</v>
      </c>
    </row>
    <row r="195" spans="1:58" ht="15.75" hidden="1" customHeight="1">
      <c r="A195" s="193"/>
      <c r="B195" s="56"/>
      <c r="C195" s="78"/>
      <c r="D195" s="103"/>
      <c r="E195" s="103"/>
      <c r="F195" s="103">
        <v>2.06</v>
      </c>
      <c r="G195" s="103"/>
      <c r="H195" s="103"/>
      <c r="I195" s="103"/>
      <c r="J195" s="103"/>
      <c r="K195" s="103"/>
      <c r="L195" s="103"/>
      <c r="M195" s="103"/>
      <c r="N195" s="103"/>
      <c r="O195" s="103"/>
      <c r="P195" s="103"/>
      <c r="Q195" s="103"/>
      <c r="R195" s="103"/>
      <c r="S195" s="103"/>
      <c r="T195" s="103"/>
      <c r="U195" s="103"/>
      <c r="V195" s="103"/>
      <c r="W195" s="103"/>
      <c r="X195" s="103"/>
      <c r="Y195" s="103"/>
      <c r="Z195" s="103"/>
      <c r="AA195" s="103"/>
      <c r="AB195" s="103"/>
      <c r="AC195" s="103"/>
      <c r="AD195" s="103"/>
      <c r="AE195" s="103"/>
      <c r="AF195" s="103"/>
      <c r="AG195" s="103"/>
      <c r="AH195" s="103"/>
      <c r="AI195" s="103"/>
      <c r="AJ195" s="103"/>
      <c r="AK195" s="103"/>
      <c r="AL195" s="103"/>
      <c r="AM195" s="103"/>
      <c r="AN195" s="103"/>
      <c r="AO195" s="103"/>
      <c r="AP195" s="103"/>
      <c r="AQ195" s="103"/>
      <c r="AR195" s="103"/>
      <c r="AS195" s="103"/>
      <c r="AT195" s="103" t="s">
        <v>221</v>
      </c>
      <c r="AU195" s="103"/>
      <c r="AV195" s="34"/>
      <c r="AW195" s="34"/>
      <c r="AX195" s="39"/>
      <c r="AY195" s="34" t="s">
        <v>1986</v>
      </c>
      <c r="AZ195" s="39"/>
      <c r="BB195" s="41"/>
    </row>
    <row r="196" spans="1:58" ht="15.75" hidden="1" customHeight="1">
      <c r="A196" s="193"/>
      <c r="B196" s="33"/>
      <c r="C196" s="102"/>
      <c r="D196" s="227"/>
      <c r="E196" s="227"/>
      <c r="F196" s="227"/>
      <c r="G196" s="194"/>
      <c r="H196" s="194"/>
      <c r="I196" s="194"/>
      <c r="J196" s="194"/>
      <c r="K196" s="194"/>
      <c r="L196" s="194"/>
      <c r="M196" s="194"/>
      <c r="N196" s="194"/>
      <c r="O196" s="194"/>
      <c r="P196" s="194"/>
      <c r="Q196" s="194"/>
      <c r="R196" s="194"/>
      <c r="S196" s="194"/>
      <c r="T196" s="194"/>
      <c r="U196" s="194"/>
      <c r="V196" s="194"/>
      <c r="W196" s="194"/>
      <c r="X196" s="194"/>
      <c r="Y196" s="194"/>
      <c r="Z196" s="194"/>
      <c r="AA196" s="194"/>
      <c r="AB196" s="194"/>
      <c r="AC196" s="194"/>
      <c r="AD196" s="194"/>
      <c r="AE196" s="194"/>
      <c r="AF196" s="194"/>
      <c r="AG196" s="194"/>
      <c r="AH196" s="194"/>
      <c r="AI196" s="194"/>
      <c r="AJ196" s="194"/>
      <c r="AK196" s="194"/>
      <c r="AL196" s="194"/>
      <c r="AM196" s="194"/>
      <c r="AN196" s="194"/>
      <c r="AO196" s="194"/>
      <c r="AP196" s="194"/>
      <c r="AQ196" s="194"/>
      <c r="AR196" s="194"/>
      <c r="AS196" s="194"/>
      <c r="AT196" s="34" t="s">
        <v>229</v>
      </c>
      <c r="AU196" s="103" t="s">
        <v>615</v>
      </c>
      <c r="AV196" s="34"/>
      <c r="AW196" s="34"/>
      <c r="AX196" s="39"/>
      <c r="AY196" s="34" t="s">
        <v>2111</v>
      </c>
      <c r="AZ196" s="39"/>
      <c r="BB196" s="41"/>
    </row>
    <row r="197" spans="1:58" ht="15.75" hidden="1" customHeight="1">
      <c r="A197" s="193"/>
      <c r="B197" s="56"/>
      <c r="C197" s="78"/>
      <c r="D197" s="103"/>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103"/>
      <c r="AD197" s="103"/>
      <c r="AE197" s="103"/>
      <c r="AF197" s="103"/>
      <c r="AG197" s="103"/>
      <c r="AH197" s="103"/>
      <c r="AI197" s="103"/>
      <c r="AJ197" s="103"/>
      <c r="AK197" s="103"/>
      <c r="AL197" s="103"/>
      <c r="AM197" s="103"/>
      <c r="AN197" s="103"/>
      <c r="AO197" s="103"/>
      <c r="AP197" s="103"/>
      <c r="AQ197" s="103"/>
      <c r="AR197" s="103"/>
      <c r="AS197" s="103"/>
      <c r="AT197" s="103" t="s">
        <v>234</v>
      </c>
      <c r="AU197" s="103" t="s">
        <v>2112</v>
      </c>
      <c r="AV197" s="34"/>
      <c r="AW197" s="34"/>
      <c r="AX197" s="39"/>
      <c r="AY197" s="34" t="s">
        <v>1986</v>
      </c>
      <c r="AZ197" s="39"/>
      <c r="BB197" s="41"/>
    </row>
    <row r="198" spans="1:58" ht="15.75" hidden="1" customHeight="1">
      <c r="A198" s="193"/>
      <c r="B198" s="56"/>
      <c r="C198" s="78"/>
      <c r="D198" s="103"/>
      <c r="E198" s="103"/>
      <c r="F198" s="103"/>
      <c r="G198" s="103"/>
      <c r="H198" s="103"/>
      <c r="I198" s="103"/>
      <c r="J198" s="103"/>
      <c r="K198" s="103"/>
      <c r="L198" s="103"/>
      <c r="M198" s="103"/>
      <c r="N198" s="103"/>
      <c r="O198" s="103"/>
      <c r="P198" s="103"/>
      <c r="Q198" s="103"/>
      <c r="R198" s="103"/>
      <c r="S198" s="103"/>
      <c r="T198" s="103"/>
      <c r="U198" s="103"/>
      <c r="V198" s="103"/>
      <c r="W198" s="103"/>
      <c r="X198" s="103"/>
      <c r="Y198" s="103"/>
      <c r="Z198" s="103"/>
      <c r="AA198" s="103"/>
      <c r="AB198" s="103"/>
      <c r="AC198" s="103"/>
      <c r="AD198" s="103"/>
      <c r="AE198" s="103"/>
      <c r="AF198" s="103"/>
      <c r="AG198" s="103"/>
      <c r="AH198" s="103"/>
      <c r="AI198" s="103"/>
      <c r="AJ198" s="103"/>
      <c r="AK198" s="103"/>
      <c r="AL198" s="103"/>
      <c r="AM198" s="103"/>
      <c r="AN198" s="103"/>
      <c r="AO198" s="103"/>
      <c r="AP198" s="103"/>
      <c r="AQ198" s="103"/>
      <c r="AR198" s="103"/>
      <c r="AS198" s="103"/>
      <c r="AT198" s="103" t="s">
        <v>236</v>
      </c>
      <c r="AU198" s="103"/>
      <c r="AV198" s="34"/>
      <c r="AW198" s="34"/>
      <c r="AX198" s="39"/>
      <c r="AY198" s="34" t="s">
        <v>1917</v>
      </c>
      <c r="AZ198" s="39" t="s">
        <v>1924</v>
      </c>
      <c r="BB198" s="41"/>
    </row>
    <row r="199" spans="1:58" ht="34.35" customHeight="1">
      <c r="A199" s="193">
        <v>41</v>
      </c>
      <c r="B199" s="56" t="s">
        <v>601</v>
      </c>
      <c r="C199" s="78" t="s">
        <v>44</v>
      </c>
      <c r="D199" s="103">
        <f>F199+E199</f>
        <v>3</v>
      </c>
      <c r="E199" s="103"/>
      <c r="F199" s="103">
        <f>SUM(G199:K199,O199:AR199)</f>
        <v>3</v>
      </c>
      <c r="G199" s="103">
        <v>0.3</v>
      </c>
      <c r="H199" s="103"/>
      <c r="I199" s="103"/>
      <c r="J199" s="103">
        <v>2.1</v>
      </c>
      <c r="K199" s="194">
        <v>0.6</v>
      </c>
      <c r="L199" s="103"/>
      <c r="M199" s="194">
        <v>0.6</v>
      </c>
      <c r="N199" s="103"/>
      <c r="O199" s="103"/>
      <c r="P199" s="103"/>
      <c r="Q199" s="103"/>
      <c r="R199" s="103"/>
      <c r="S199" s="103"/>
      <c r="T199" s="103"/>
      <c r="U199" s="103"/>
      <c r="V199" s="103"/>
      <c r="W199" s="103"/>
      <c r="X199" s="103"/>
      <c r="Y199" s="103"/>
      <c r="Z199" s="103"/>
      <c r="AA199" s="103"/>
      <c r="AB199" s="103"/>
      <c r="AC199" s="103"/>
      <c r="AD199" s="103"/>
      <c r="AE199" s="103"/>
      <c r="AF199" s="103"/>
      <c r="AG199" s="103"/>
      <c r="AH199" s="103"/>
      <c r="AI199" s="103"/>
      <c r="AJ199" s="103"/>
      <c r="AK199" s="103"/>
      <c r="AL199" s="103"/>
      <c r="AM199" s="103"/>
      <c r="AN199" s="103"/>
      <c r="AO199" s="103"/>
      <c r="AP199" s="103"/>
      <c r="AQ199" s="103"/>
      <c r="AR199" s="103"/>
      <c r="AS199" s="103"/>
      <c r="AT199" s="34" t="s">
        <v>228</v>
      </c>
      <c r="AU199" s="34"/>
      <c r="AV199" s="34"/>
      <c r="AW199" s="34"/>
      <c r="AX199" s="39" t="s">
        <v>1920</v>
      </c>
      <c r="AY199" s="34" t="s">
        <v>1917</v>
      </c>
      <c r="AZ199" s="39" t="s">
        <v>2113</v>
      </c>
      <c r="BB199" s="41"/>
    </row>
    <row r="200" spans="1:58" s="24" customFormat="1" ht="19.350000000000001" customHeight="1">
      <c r="A200" s="193">
        <v>42</v>
      </c>
      <c r="B200" s="88" t="s">
        <v>2114</v>
      </c>
      <c r="C200" s="102" t="s">
        <v>44</v>
      </c>
      <c r="D200" s="103">
        <f>F200+E200</f>
        <v>34</v>
      </c>
      <c r="E200" s="103"/>
      <c r="F200" s="103">
        <f>SUM(G200:K200,O200:AR200)</f>
        <v>34</v>
      </c>
      <c r="G200" s="194">
        <v>9.8000000000000007</v>
      </c>
      <c r="H200" s="194"/>
      <c r="I200" s="194"/>
      <c r="J200" s="194">
        <v>7.8</v>
      </c>
      <c r="K200" s="194">
        <v>16.2</v>
      </c>
      <c r="L200" s="194"/>
      <c r="M200" s="194">
        <v>16.2</v>
      </c>
      <c r="N200" s="194"/>
      <c r="O200" s="194"/>
      <c r="P200" s="194">
        <v>0.2</v>
      </c>
      <c r="Q200" s="194"/>
      <c r="R200" s="194"/>
      <c r="S200" s="194"/>
      <c r="T200" s="194"/>
      <c r="U200" s="194"/>
      <c r="V200" s="194"/>
      <c r="W200" s="194"/>
      <c r="X200" s="194"/>
      <c r="Y200" s="194"/>
      <c r="Z200" s="194"/>
      <c r="AA200" s="194"/>
      <c r="AB200" s="194"/>
      <c r="AC200" s="194"/>
      <c r="AD200" s="194"/>
      <c r="AE200" s="194"/>
      <c r="AF200" s="194"/>
      <c r="AG200" s="194"/>
      <c r="AH200" s="194"/>
      <c r="AI200" s="194"/>
      <c r="AJ200" s="194"/>
      <c r="AK200" s="194"/>
      <c r="AL200" s="194"/>
      <c r="AM200" s="194"/>
      <c r="AN200" s="194"/>
      <c r="AO200" s="194"/>
      <c r="AP200" s="194"/>
      <c r="AQ200" s="194"/>
      <c r="AR200" s="194"/>
      <c r="AS200" s="194"/>
      <c r="AT200" s="34" t="s">
        <v>233</v>
      </c>
      <c r="AU200" s="34"/>
      <c r="AV200" s="34"/>
      <c r="AW200" s="34"/>
      <c r="AX200" s="39" t="s">
        <v>1920</v>
      </c>
      <c r="AY200" s="34" t="s">
        <v>1917</v>
      </c>
      <c r="AZ200" s="39" t="s">
        <v>1926</v>
      </c>
      <c r="BB200" s="41"/>
      <c r="BC200" s="41"/>
      <c r="BF200" s="15"/>
    </row>
    <row r="201" spans="1:58" s="24" customFormat="1" ht="31.5">
      <c r="A201" s="193">
        <v>43</v>
      </c>
      <c r="B201" s="33" t="s">
        <v>2115</v>
      </c>
      <c r="C201" s="34" t="s">
        <v>44</v>
      </c>
      <c r="D201" s="103">
        <f>F201+E201</f>
        <v>4.01</v>
      </c>
      <c r="E201" s="103"/>
      <c r="F201" s="103">
        <f>SUM(G201:K201,O201:AR201)</f>
        <v>4.01</v>
      </c>
      <c r="G201" s="103">
        <v>0.62</v>
      </c>
      <c r="H201" s="103"/>
      <c r="I201" s="103">
        <v>1</v>
      </c>
      <c r="J201" s="103">
        <v>1.1399999999999999</v>
      </c>
      <c r="K201" s="103">
        <v>1.1499999999999999</v>
      </c>
      <c r="L201" s="103"/>
      <c r="M201" s="103">
        <v>1.1499999999999999</v>
      </c>
      <c r="N201" s="103"/>
      <c r="O201" s="103"/>
      <c r="P201" s="103"/>
      <c r="Q201" s="103"/>
      <c r="R201" s="103"/>
      <c r="S201" s="103"/>
      <c r="T201" s="103"/>
      <c r="U201" s="103"/>
      <c r="V201" s="103"/>
      <c r="W201" s="103"/>
      <c r="X201" s="103"/>
      <c r="Y201" s="103"/>
      <c r="Z201" s="103"/>
      <c r="AA201" s="103"/>
      <c r="AB201" s="103"/>
      <c r="AC201" s="103"/>
      <c r="AD201" s="103"/>
      <c r="AE201" s="103"/>
      <c r="AF201" s="103"/>
      <c r="AG201" s="103">
        <v>0.1</v>
      </c>
      <c r="AH201" s="103"/>
      <c r="AI201" s="103"/>
      <c r="AJ201" s="103"/>
      <c r="AK201" s="103"/>
      <c r="AL201" s="103"/>
      <c r="AM201" s="103"/>
      <c r="AN201" s="103"/>
      <c r="AO201" s="103"/>
      <c r="AP201" s="103"/>
      <c r="AQ201" s="103"/>
      <c r="AR201" s="103"/>
      <c r="AS201" s="103"/>
      <c r="AT201" s="103" t="s">
        <v>2116</v>
      </c>
      <c r="AU201" s="103"/>
      <c r="AV201" s="34"/>
      <c r="AW201" s="34"/>
      <c r="AX201" s="39" t="s">
        <v>1920</v>
      </c>
      <c r="AY201" s="34" t="s">
        <v>1986</v>
      </c>
      <c r="AZ201" s="39"/>
      <c r="BB201" s="41"/>
      <c r="BC201" s="41">
        <v>1</v>
      </c>
    </row>
    <row r="202" spans="1:58" s="24" customFormat="1" ht="15.75" hidden="1" customHeight="1">
      <c r="A202" s="193"/>
      <c r="B202" s="33"/>
      <c r="C202" s="34"/>
      <c r="D202" s="103"/>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103"/>
      <c r="AD202" s="103"/>
      <c r="AE202" s="103"/>
      <c r="AF202" s="103"/>
      <c r="AG202" s="103"/>
      <c r="AH202" s="103"/>
      <c r="AI202" s="103"/>
      <c r="AJ202" s="103"/>
      <c r="AK202" s="103"/>
      <c r="AL202" s="103"/>
      <c r="AM202" s="103"/>
      <c r="AN202" s="103"/>
      <c r="AO202" s="103"/>
      <c r="AP202" s="103"/>
      <c r="AQ202" s="103"/>
      <c r="AR202" s="103"/>
      <c r="AS202" s="103"/>
      <c r="AT202" s="103" t="s">
        <v>224</v>
      </c>
      <c r="AU202" s="103" t="s">
        <v>2117</v>
      </c>
      <c r="AV202" s="34"/>
      <c r="AW202" s="34"/>
      <c r="AX202" s="39"/>
      <c r="AY202" s="34" t="s">
        <v>1986</v>
      </c>
      <c r="AZ202" s="39"/>
      <c r="BB202" s="41"/>
      <c r="BC202" s="41"/>
    </row>
    <row r="203" spans="1:58" s="24" customFormat="1" ht="15.75" hidden="1" customHeight="1">
      <c r="A203" s="193"/>
      <c r="B203" s="33"/>
      <c r="C203" s="34"/>
      <c r="D203" s="103"/>
      <c r="E203" s="103"/>
      <c r="F203" s="103"/>
      <c r="G203" s="103"/>
      <c r="H203" s="103"/>
      <c r="I203" s="103"/>
      <c r="J203" s="103"/>
      <c r="K203" s="103"/>
      <c r="L203" s="103"/>
      <c r="M203" s="103"/>
      <c r="N203" s="103"/>
      <c r="O203" s="103"/>
      <c r="P203" s="103"/>
      <c r="Q203" s="103"/>
      <c r="R203" s="103"/>
      <c r="S203" s="103"/>
      <c r="T203" s="103"/>
      <c r="U203" s="103"/>
      <c r="V203" s="103"/>
      <c r="W203" s="103"/>
      <c r="X203" s="103"/>
      <c r="Y203" s="103"/>
      <c r="Z203" s="103"/>
      <c r="AA203" s="103"/>
      <c r="AB203" s="103"/>
      <c r="AC203" s="103"/>
      <c r="AD203" s="103"/>
      <c r="AE203" s="103"/>
      <c r="AF203" s="103"/>
      <c r="AG203" s="103"/>
      <c r="AH203" s="103"/>
      <c r="AI203" s="103"/>
      <c r="AJ203" s="103"/>
      <c r="AK203" s="103"/>
      <c r="AL203" s="103"/>
      <c r="AM203" s="103"/>
      <c r="AN203" s="103"/>
      <c r="AO203" s="103"/>
      <c r="AP203" s="103"/>
      <c r="AQ203" s="103"/>
      <c r="AR203" s="103"/>
      <c r="AS203" s="103"/>
      <c r="AT203" s="34" t="s">
        <v>230</v>
      </c>
      <c r="AU203" s="103"/>
      <c r="AV203" s="34"/>
      <c r="AW203" s="34"/>
      <c r="AX203" s="39"/>
      <c r="AY203" s="34" t="s">
        <v>1923</v>
      </c>
      <c r="AZ203" s="39" t="s">
        <v>1924</v>
      </c>
      <c r="BB203" s="41"/>
      <c r="BC203" s="41"/>
    </row>
    <row r="204" spans="1:58" ht="63">
      <c r="A204" s="193">
        <v>44</v>
      </c>
      <c r="B204" s="56" t="s">
        <v>2118</v>
      </c>
      <c r="C204" s="78" t="s">
        <v>44</v>
      </c>
      <c r="D204" s="103">
        <f>F204+E204</f>
        <v>16.5</v>
      </c>
      <c r="E204" s="103"/>
      <c r="F204" s="103">
        <f>SUM(G204:K204,O204:AR204)</f>
        <v>16.5</v>
      </c>
      <c r="G204" s="103">
        <v>1.2</v>
      </c>
      <c r="H204" s="103">
        <v>2.6</v>
      </c>
      <c r="I204" s="103">
        <v>0.5</v>
      </c>
      <c r="J204" s="103">
        <v>4.0999999999999996</v>
      </c>
      <c r="K204" s="103">
        <v>7.3</v>
      </c>
      <c r="L204" s="103"/>
      <c r="M204" s="103">
        <v>7.3</v>
      </c>
      <c r="N204" s="103"/>
      <c r="O204" s="103"/>
      <c r="P204" s="103"/>
      <c r="Q204" s="103"/>
      <c r="R204" s="103"/>
      <c r="S204" s="103"/>
      <c r="T204" s="103"/>
      <c r="U204" s="103"/>
      <c r="V204" s="103"/>
      <c r="W204" s="103"/>
      <c r="X204" s="103"/>
      <c r="Y204" s="103"/>
      <c r="Z204" s="103"/>
      <c r="AA204" s="103"/>
      <c r="AB204" s="103"/>
      <c r="AC204" s="103"/>
      <c r="AD204" s="103"/>
      <c r="AE204" s="103"/>
      <c r="AF204" s="103"/>
      <c r="AG204" s="103">
        <v>0.8</v>
      </c>
      <c r="AH204" s="103"/>
      <c r="AI204" s="103"/>
      <c r="AJ204" s="103"/>
      <c r="AK204" s="103"/>
      <c r="AL204" s="103"/>
      <c r="AM204" s="103"/>
      <c r="AN204" s="103"/>
      <c r="AO204" s="103"/>
      <c r="AP204" s="103"/>
      <c r="AQ204" s="103"/>
      <c r="AR204" s="103"/>
      <c r="AS204" s="103"/>
      <c r="AT204" s="103" t="s">
        <v>2119</v>
      </c>
      <c r="AU204" s="103" t="s">
        <v>615</v>
      </c>
      <c r="AV204" s="34"/>
      <c r="AW204" s="34"/>
      <c r="AX204" s="63"/>
      <c r="AY204" s="34" t="s">
        <v>1923</v>
      </c>
      <c r="AZ204" s="63" t="s">
        <v>1924</v>
      </c>
      <c r="BB204" s="41"/>
      <c r="BE204" s="15">
        <v>1</v>
      </c>
    </row>
    <row r="205" spans="1:58" ht="15.75" hidden="1" customHeight="1">
      <c r="A205" s="193"/>
      <c r="B205" s="56"/>
      <c r="C205" s="78"/>
      <c r="D205" s="103"/>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103"/>
      <c r="AD205" s="103"/>
      <c r="AE205" s="103"/>
      <c r="AF205" s="103"/>
      <c r="AG205" s="103"/>
      <c r="AH205" s="103"/>
      <c r="AI205" s="103"/>
      <c r="AJ205" s="103"/>
      <c r="AK205" s="103"/>
      <c r="AL205" s="103"/>
      <c r="AM205" s="103"/>
      <c r="AN205" s="103"/>
      <c r="AO205" s="103"/>
      <c r="AP205" s="103"/>
      <c r="AQ205" s="103"/>
      <c r="AR205" s="103"/>
      <c r="AS205" s="103"/>
      <c r="AT205" s="103" t="s">
        <v>231</v>
      </c>
      <c r="AU205" s="103"/>
      <c r="AV205" s="34"/>
      <c r="AW205" s="34"/>
      <c r="AX205" s="63"/>
      <c r="AY205" s="34" t="s">
        <v>1923</v>
      </c>
      <c r="AZ205" s="63" t="s">
        <v>1924</v>
      </c>
      <c r="BB205" s="41"/>
    </row>
    <row r="206" spans="1:58" ht="15.75" hidden="1" customHeight="1">
      <c r="A206" s="193"/>
      <c r="B206" s="56"/>
      <c r="C206" s="78"/>
      <c r="D206" s="103"/>
      <c r="E206" s="103"/>
      <c r="F206" s="103"/>
      <c r="G206" s="103"/>
      <c r="H206" s="103"/>
      <c r="I206" s="103"/>
      <c r="J206" s="103"/>
      <c r="K206" s="103"/>
      <c r="L206" s="103"/>
      <c r="M206" s="103"/>
      <c r="N206" s="103"/>
      <c r="O206" s="103"/>
      <c r="P206" s="103"/>
      <c r="Q206" s="103"/>
      <c r="R206" s="103"/>
      <c r="S206" s="103"/>
      <c r="T206" s="103"/>
      <c r="U206" s="103"/>
      <c r="V206" s="103"/>
      <c r="W206" s="103"/>
      <c r="X206" s="103"/>
      <c r="Y206" s="103"/>
      <c r="Z206" s="103"/>
      <c r="AA206" s="103"/>
      <c r="AB206" s="103"/>
      <c r="AC206" s="103"/>
      <c r="AD206" s="103"/>
      <c r="AE206" s="103"/>
      <c r="AF206" s="103"/>
      <c r="AG206" s="103"/>
      <c r="AH206" s="103"/>
      <c r="AI206" s="103"/>
      <c r="AJ206" s="103"/>
      <c r="AK206" s="103"/>
      <c r="AL206" s="103"/>
      <c r="AM206" s="103"/>
      <c r="AN206" s="103"/>
      <c r="AO206" s="103"/>
      <c r="AP206" s="103"/>
      <c r="AQ206" s="103"/>
      <c r="AR206" s="103"/>
      <c r="AS206" s="103"/>
      <c r="AT206" s="103" t="s">
        <v>228</v>
      </c>
      <c r="AU206" s="103"/>
      <c r="AV206" s="34"/>
      <c r="AW206" s="34"/>
      <c r="AX206" s="63"/>
      <c r="AY206" s="34" t="s">
        <v>1923</v>
      </c>
      <c r="AZ206" s="63" t="s">
        <v>1924</v>
      </c>
      <c r="BB206" s="41"/>
    </row>
    <row r="207" spans="1:58" ht="15.75" hidden="1" customHeight="1">
      <c r="A207" s="193"/>
      <c r="B207" s="56"/>
      <c r="C207" s="78"/>
      <c r="D207" s="103"/>
      <c r="E207" s="103"/>
      <c r="F207" s="103"/>
      <c r="G207" s="103"/>
      <c r="H207" s="103"/>
      <c r="I207" s="103"/>
      <c r="J207" s="103"/>
      <c r="K207" s="103"/>
      <c r="L207" s="103"/>
      <c r="M207" s="103"/>
      <c r="N207" s="103"/>
      <c r="O207" s="103"/>
      <c r="P207" s="103"/>
      <c r="Q207" s="103"/>
      <c r="R207" s="103"/>
      <c r="S207" s="103"/>
      <c r="T207" s="103"/>
      <c r="U207" s="103"/>
      <c r="V207" s="103"/>
      <c r="W207" s="103"/>
      <c r="X207" s="103"/>
      <c r="Y207" s="103"/>
      <c r="Z207" s="103"/>
      <c r="AA207" s="103"/>
      <c r="AB207" s="103"/>
      <c r="AC207" s="103"/>
      <c r="AD207" s="103"/>
      <c r="AE207" s="103"/>
      <c r="AF207" s="103"/>
      <c r="AG207" s="103"/>
      <c r="AH207" s="103"/>
      <c r="AI207" s="103"/>
      <c r="AJ207" s="103"/>
      <c r="AK207" s="103"/>
      <c r="AL207" s="103"/>
      <c r="AM207" s="103"/>
      <c r="AN207" s="103"/>
      <c r="AO207" s="103"/>
      <c r="AP207" s="103"/>
      <c r="AQ207" s="103"/>
      <c r="AR207" s="103"/>
      <c r="AS207" s="103"/>
      <c r="AT207" s="103" t="s">
        <v>233</v>
      </c>
      <c r="AU207" s="103"/>
      <c r="AV207" s="34"/>
      <c r="AW207" s="34"/>
      <c r="AX207" s="63"/>
      <c r="AY207" s="34" t="s">
        <v>1923</v>
      </c>
      <c r="AZ207" s="39" t="s">
        <v>1926</v>
      </c>
      <c r="BB207" s="41"/>
    </row>
    <row r="208" spans="1:58" ht="15.75" hidden="1" customHeight="1">
      <c r="A208" s="193"/>
      <c r="B208" s="56"/>
      <c r="C208" s="78"/>
      <c r="D208" s="103"/>
      <c r="E208" s="103"/>
      <c r="F208" s="103"/>
      <c r="G208" s="103"/>
      <c r="H208" s="103"/>
      <c r="I208" s="103"/>
      <c r="J208" s="103"/>
      <c r="K208" s="103"/>
      <c r="L208" s="103"/>
      <c r="M208" s="103"/>
      <c r="N208" s="103"/>
      <c r="O208" s="103"/>
      <c r="P208" s="103"/>
      <c r="Q208" s="103"/>
      <c r="R208" s="103"/>
      <c r="S208" s="103"/>
      <c r="T208" s="103"/>
      <c r="U208" s="103"/>
      <c r="V208" s="103"/>
      <c r="W208" s="103"/>
      <c r="X208" s="103"/>
      <c r="Y208" s="103"/>
      <c r="Z208" s="103"/>
      <c r="AA208" s="103"/>
      <c r="AB208" s="103"/>
      <c r="AC208" s="103"/>
      <c r="AD208" s="103"/>
      <c r="AE208" s="103"/>
      <c r="AF208" s="103"/>
      <c r="AG208" s="103"/>
      <c r="AH208" s="103"/>
      <c r="AI208" s="103"/>
      <c r="AJ208" s="103"/>
      <c r="AK208" s="103"/>
      <c r="AL208" s="103"/>
      <c r="AM208" s="103"/>
      <c r="AN208" s="103"/>
      <c r="AO208" s="103"/>
      <c r="AP208" s="103"/>
      <c r="AQ208" s="103"/>
      <c r="AR208" s="103"/>
      <c r="AS208" s="103"/>
      <c r="AT208" s="103" t="s">
        <v>237</v>
      </c>
      <c r="AU208" s="103"/>
      <c r="AV208" s="34"/>
      <c r="AW208" s="34"/>
      <c r="AX208" s="63"/>
      <c r="AY208" s="34" t="s">
        <v>1923</v>
      </c>
      <c r="AZ208" s="63" t="s">
        <v>1924</v>
      </c>
      <c r="BB208" s="41"/>
    </row>
    <row r="209" spans="1:58" ht="15.75" hidden="1" customHeight="1">
      <c r="A209" s="193"/>
      <c r="B209" s="56"/>
      <c r="C209" s="78"/>
      <c r="D209" s="103"/>
      <c r="E209" s="103"/>
      <c r="F209" s="103"/>
      <c r="G209" s="103"/>
      <c r="H209" s="103"/>
      <c r="I209" s="103"/>
      <c r="J209" s="103"/>
      <c r="K209" s="103"/>
      <c r="L209" s="103"/>
      <c r="M209" s="103"/>
      <c r="N209" s="103"/>
      <c r="O209" s="103"/>
      <c r="P209" s="103"/>
      <c r="Q209" s="103"/>
      <c r="R209" s="103"/>
      <c r="S209" s="103"/>
      <c r="T209" s="103"/>
      <c r="U209" s="103"/>
      <c r="V209" s="103"/>
      <c r="W209" s="103"/>
      <c r="X209" s="103"/>
      <c r="Y209" s="103"/>
      <c r="Z209" s="103"/>
      <c r="AA209" s="103"/>
      <c r="AB209" s="103"/>
      <c r="AC209" s="103"/>
      <c r="AD209" s="103"/>
      <c r="AE209" s="103"/>
      <c r="AF209" s="103"/>
      <c r="AG209" s="103"/>
      <c r="AH209" s="103"/>
      <c r="AI209" s="103"/>
      <c r="AJ209" s="103"/>
      <c r="AK209" s="103"/>
      <c r="AL209" s="103"/>
      <c r="AM209" s="103"/>
      <c r="AN209" s="103"/>
      <c r="AO209" s="103"/>
      <c r="AP209" s="103"/>
      <c r="AQ209" s="103"/>
      <c r="AR209" s="103"/>
      <c r="AS209" s="103"/>
      <c r="AT209" s="103" t="s">
        <v>241</v>
      </c>
      <c r="AU209" s="103"/>
      <c r="AV209" s="34"/>
      <c r="AW209" s="34"/>
      <c r="AX209" s="63"/>
      <c r="AY209" s="34" t="s">
        <v>1923</v>
      </c>
      <c r="AZ209" s="63" t="s">
        <v>1924</v>
      </c>
      <c r="BB209" s="41"/>
    </row>
    <row r="210" spans="1:58" s="24" customFormat="1" ht="47.25">
      <c r="A210" s="193">
        <v>45</v>
      </c>
      <c r="B210" s="88" t="s">
        <v>596</v>
      </c>
      <c r="C210" s="102" t="s">
        <v>44</v>
      </c>
      <c r="D210" s="103">
        <f>F210+E210</f>
        <v>4.4000000000000004</v>
      </c>
      <c r="E210" s="103"/>
      <c r="F210" s="103">
        <f>SUM(G210:K210,O210:AR210)</f>
        <v>4.4000000000000004</v>
      </c>
      <c r="G210" s="194">
        <v>0.6</v>
      </c>
      <c r="H210" s="194">
        <v>1.1000000000000001</v>
      </c>
      <c r="I210" s="194"/>
      <c r="J210" s="194"/>
      <c r="K210" s="194">
        <v>1.9</v>
      </c>
      <c r="L210" s="194"/>
      <c r="M210" s="194">
        <v>1.9</v>
      </c>
      <c r="N210" s="194"/>
      <c r="O210" s="194"/>
      <c r="P210" s="194"/>
      <c r="Q210" s="194"/>
      <c r="R210" s="194"/>
      <c r="S210" s="194"/>
      <c r="T210" s="194"/>
      <c r="U210" s="194"/>
      <c r="V210" s="194"/>
      <c r="W210" s="194"/>
      <c r="X210" s="194"/>
      <c r="Y210" s="194"/>
      <c r="Z210" s="194"/>
      <c r="AA210" s="194"/>
      <c r="AB210" s="194"/>
      <c r="AC210" s="194"/>
      <c r="AD210" s="194"/>
      <c r="AE210" s="194"/>
      <c r="AF210" s="194"/>
      <c r="AG210" s="194">
        <v>0.8</v>
      </c>
      <c r="AH210" s="194"/>
      <c r="AI210" s="194"/>
      <c r="AJ210" s="194"/>
      <c r="AK210" s="194"/>
      <c r="AL210" s="194"/>
      <c r="AM210" s="194"/>
      <c r="AN210" s="194"/>
      <c r="AO210" s="194"/>
      <c r="AP210" s="194"/>
      <c r="AQ210" s="194"/>
      <c r="AR210" s="194"/>
      <c r="AS210" s="194"/>
      <c r="AT210" s="34" t="s">
        <v>597</v>
      </c>
      <c r="AU210" s="34" t="s">
        <v>615</v>
      </c>
      <c r="AV210" s="34"/>
      <c r="AW210" s="34"/>
      <c r="AX210" s="63"/>
      <c r="AY210" s="34" t="s">
        <v>1923</v>
      </c>
      <c r="AZ210" s="63" t="s">
        <v>1924</v>
      </c>
      <c r="BB210" s="41"/>
      <c r="BC210" s="41"/>
      <c r="BE210" s="15">
        <v>1</v>
      </c>
    </row>
    <row r="211" spans="1:58" s="24" customFormat="1" ht="15.75" hidden="1" customHeight="1">
      <c r="A211" s="193"/>
      <c r="B211" s="88"/>
      <c r="C211" s="102"/>
      <c r="D211" s="103"/>
      <c r="E211" s="103"/>
      <c r="F211" s="103"/>
      <c r="G211" s="194"/>
      <c r="H211" s="194"/>
      <c r="I211" s="194"/>
      <c r="J211" s="194"/>
      <c r="K211" s="194"/>
      <c r="L211" s="194"/>
      <c r="M211" s="194"/>
      <c r="N211" s="194"/>
      <c r="O211" s="194"/>
      <c r="P211" s="194"/>
      <c r="Q211" s="194"/>
      <c r="R211" s="194"/>
      <c r="S211" s="194"/>
      <c r="T211" s="194"/>
      <c r="U211" s="194"/>
      <c r="V211" s="194"/>
      <c r="W211" s="194"/>
      <c r="X211" s="194"/>
      <c r="Y211" s="194"/>
      <c r="Z211" s="194"/>
      <c r="AA211" s="194"/>
      <c r="AB211" s="194"/>
      <c r="AC211" s="194"/>
      <c r="AD211" s="194"/>
      <c r="AE211" s="194"/>
      <c r="AF211" s="194"/>
      <c r="AG211" s="194"/>
      <c r="AH211" s="194"/>
      <c r="AI211" s="194"/>
      <c r="AJ211" s="194"/>
      <c r="AK211" s="194"/>
      <c r="AL211" s="194"/>
      <c r="AM211" s="194"/>
      <c r="AN211" s="194"/>
      <c r="AO211" s="194"/>
      <c r="AP211" s="194"/>
      <c r="AQ211" s="194"/>
      <c r="AR211" s="194"/>
      <c r="AS211" s="194"/>
      <c r="AT211" s="34" t="s">
        <v>232</v>
      </c>
      <c r="AU211" s="34"/>
      <c r="AV211" s="34"/>
      <c r="AW211" s="34"/>
      <c r="AX211" s="63"/>
      <c r="AY211" s="34" t="s">
        <v>1923</v>
      </c>
      <c r="AZ211" s="63" t="s">
        <v>1924</v>
      </c>
      <c r="BB211" s="41"/>
      <c r="BC211" s="41"/>
    </row>
    <row r="212" spans="1:58" s="24" customFormat="1" ht="15.75" hidden="1" customHeight="1">
      <c r="A212" s="193"/>
      <c r="B212" s="88"/>
      <c r="C212" s="102"/>
      <c r="D212" s="103"/>
      <c r="E212" s="103"/>
      <c r="F212" s="103"/>
      <c r="G212" s="194"/>
      <c r="H212" s="194"/>
      <c r="I212" s="194"/>
      <c r="J212" s="194"/>
      <c r="K212" s="194"/>
      <c r="L212" s="194"/>
      <c r="M212" s="194"/>
      <c r="N212" s="194"/>
      <c r="O212" s="194"/>
      <c r="P212" s="194"/>
      <c r="Q212" s="194"/>
      <c r="R212" s="194"/>
      <c r="S212" s="194"/>
      <c r="T212" s="194"/>
      <c r="U212" s="194"/>
      <c r="V212" s="194"/>
      <c r="W212" s="194"/>
      <c r="X212" s="194"/>
      <c r="Y212" s="194"/>
      <c r="Z212" s="194"/>
      <c r="AA212" s="194"/>
      <c r="AB212" s="194"/>
      <c r="AC212" s="194"/>
      <c r="AD212" s="194"/>
      <c r="AE212" s="194"/>
      <c r="AF212" s="194"/>
      <c r="AG212" s="194"/>
      <c r="AH212" s="194"/>
      <c r="AI212" s="194"/>
      <c r="AJ212" s="194"/>
      <c r="AK212" s="194"/>
      <c r="AL212" s="194"/>
      <c r="AM212" s="194"/>
      <c r="AN212" s="194"/>
      <c r="AO212" s="194"/>
      <c r="AP212" s="194"/>
      <c r="AQ212" s="194"/>
      <c r="AR212" s="194"/>
      <c r="AS212" s="194"/>
      <c r="AT212" s="34" t="s">
        <v>239</v>
      </c>
      <c r="AU212" s="34"/>
      <c r="AV212" s="34"/>
      <c r="AW212" s="34"/>
      <c r="AX212" s="63"/>
      <c r="AY212" s="34" t="s">
        <v>1923</v>
      </c>
      <c r="AZ212" s="63" t="s">
        <v>1924</v>
      </c>
      <c r="BB212" s="41"/>
      <c r="BC212" s="41"/>
    </row>
    <row r="213" spans="1:58" s="24" customFormat="1" ht="15.75" hidden="1" customHeight="1">
      <c r="A213" s="193"/>
      <c r="B213" s="88"/>
      <c r="C213" s="102"/>
      <c r="D213" s="103"/>
      <c r="E213" s="103"/>
      <c r="F213" s="103"/>
      <c r="G213" s="194"/>
      <c r="H213" s="194"/>
      <c r="I213" s="194"/>
      <c r="J213" s="194"/>
      <c r="K213" s="194"/>
      <c r="L213" s="194"/>
      <c r="M213" s="194"/>
      <c r="N213" s="194"/>
      <c r="O213" s="194"/>
      <c r="P213" s="194"/>
      <c r="Q213" s="194"/>
      <c r="R213" s="194"/>
      <c r="S213" s="194"/>
      <c r="T213" s="194"/>
      <c r="U213" s="194"/>
      <c r="V213" s="194"/>
      <c r="W213" s="194"/>
      <c r="X213" s="194"/>
      <c r="Y213" s="194"/>
      <c r="Z213" s="194"/>
      <c r="AA213" s="194"/>
      <c r="AB213" s="194"/>
      <c r="AC213" s="194"/>
      <c r="AD213" s="194"/>
      <c r="AE213" s="194"/>
      <c r="AF213" s="194"/>
      <c r="AG213" s="194"/>
      <c r="AH213" s="194"/>
      <c r="AI213" s="194"/>
      <c r="AJ213" s="194"/>
      <c r="AK213" s="194"/>
      <c r="AL213" s="194"/>
      <c r="AM213" s="194"/>
      <c r="AN213" s="194"/>
      <c r="AO213" s="194"/>
      <c r="AP213" s="194"/>
      <c r="AQ213" s="194"/>
      <c r="AR213" s="194"/>
      <c r="AS213" s="194"/>
      <c r="AT213" s="34" t="s">
        <v>227</v>
      </c>
      <c r="AU213" s="34"/>
      <c r="AV213" s="34"/>
      <c r="AW213" s="34"/>
      <c r="AX213" s="63"/>
      <c r="AY213" s="34" t="s">
        <v>1923</v>
      </c>
      <c r="AZ213" s="63" t="s">
        <v>1924</v>
      </c>
      <c r="BB213" s="41"/>
      <c r="BC213" s="41"/>
    </row>
    <row r="214" spans="1:58" s="24" customFormat="1" ht="35.1" customHeight="1">
      <c r="A214" s="193">
        <v>46</v>
      </c>
      <c r="B214" s="33" t="s">
        <v>2120</v>
      </c>
      <c r="C214" s="34" t="s">
        <v>44</v>
      </c>
      <c r="D214" s="103">
        <f>F214+E214</f>
        <v>6.4</v>
      </c>
      <c r="E214" s="103"/>
      <c r="F214" s="103">
        <f>SUM(G214:K214,O214:AR214)</f>
        <v>6.4</v>
      </c>
      <c r="G214" s="103">
        <v>3</v>
      </c>
      <c r="H214" s="103">
        <v>0.3</v>
      </c>
      <c r="I214" s="103"/>
      <c r="J214" s="103">
        <v>0.4</v>
      </c>
      <c r="K214" s="103">
        <v>2.7</v>
      </c>
      <c r="L214" s="103"/>
      <c r="M214" s="103">
        <v>2.7</v>
      </c>
      <c r="N214" s="103"/>
      <c r="O214" s="103"/>
      <c r="P214" s="103"/>
      <c r="Q214" s="103"/>
      <c r="R214" s="103"/>
      <c r="S214" s="103"/>
      <c r="T214" s="103"/>
      <c r="U214" s="103"/>
      <c r="V214" s="103"/>
      <c r="W214" s="103"/>
      <c r="X214" s="103"/>
      <c r="Y214" s="103"/>
      <c r="Z214" s="103"/>
      <c r="AA214" s="103"/>
      <c r="AB214" s="103"/>
      <c r="AC214" s="103"/>
      <c r="AD214" s="103"/>
      <c r="AE214" s="103"/>
      <c r="AF214" s="103"/>
      <c r="AG214" s="103"/>
      <c r="AH214" s="103"/>
      <c r="AI214" s="103"/>
      <c r="AJ214" s="103"/>
      <c r="AK214" s="103"/>
      <c r="AL214" s="103"/>
      <c r="AM214" s="103"/>
      <c r="AN214" s="103"/>
      <c r="AO214" s="103"/>
      <c r="AP214" s="103"/>
      <c r="AQ214" s="103"/>
      <c r="AR214" s="103"/>
      <c r="AS214" s="103"/>
      <c r="AT214" s="103" t="s">
        <v>241</v>
      </c>
      <c r="AU214" s="103"/>
      <c r="AV214" s="34"/>
      <c r="AW214" s="34"/>
      <c r="AX214" s="39" t="s">
        <v>1920</v>
      </c>
      <c r="AY214" s="34" t="s">
        <v>1917</v>
      </c>
      <c r="AZ214" s="39" t="s">
        <v>1924</v>
      </c>
      <c r="BB214" s="41"/>
      <c r="BF214" s="24">
        <v>1</v>
      </c>
    </row>
    <row r="215" spans="1:58" ht="31.5">
      <c r="A215" s="193">
        <v>47</v>
      </c>
      <c r="B215" s="56" t="s">
        <v>605</v>
      </c>
      <c r="C215" s="78" t="s">
        <v>44</v>
      </c>
      <c r="D215" s="103">
        <f>F215+E215</f>
        <v>1.55</v>
      </c>
      <c r="E215" s="103"/>
      <c r="F215" s="103">
        <f>SUM(G215:K215,O215:AR215)</f>
        <v>1.55</v>
      </c>
      <c r="G215" s="103">
        <v>0.45</v>
      </c>
      <c r="H215" s="103"/>
      <c r="I215" s="103">
        <v>0.3</v>
      </c>
      <c r="J215" s="103">
        <v>0.44</v>
      </c>
      <c r="K215" s="103">
        <v>0.2</v>
      </c>
      <c r="L215" s="103"/>
      <c r="M215" s="103">
        <v>0.2</v>
      </c>
      <c r="N215" s="103"/>
      <c r="O215" s="103"/>
      <c r="P215" s="103"/>
      <c r="Q215" s="103"/>
      <c r="R215" s="103"/>
      <c r="S215" s="103"/>
      <c r="T215" s="103">
        <v>0.1</v>
      </c>
      <c r="U215" s="103"/>
      <c r="V215" s="103"/>
      <c r="W215" s="103"/>
      <c r="X215" s="103"/>
      <c r="Y215" s="103"/>
      <c r="Z215" s="103"/>
      <c r="AA215" s="103"/>
      <c r="AB215" s="103"/>
      <c r="AC215" s="103"/>
      <c r="AD215" s="103"/>
      <c r="AE215" s="103"/>
      <c r="AF215" s="103"/>
      <c r="AG215" s="103">
        <v>0.03</v>
      </c>
      <c r="AH215" s="103">
        <v>0.03</v>
      </c>
      <c r="AI215" s="103"/>
      <c r="AJ215" s="103"/>
      <c r="AK215" s="103"/>
      <c r="AL215" s="103"/>
      <c r="AM215" s="103"/>
      <c r="AN215" s="103"/>
      <c r="AO215" s="103"/>
      <c r="AP215" s="103"/>
      <c r="AQ215" s="103"/>
      <c r="AR215" s="103"/>
      <c r="AS215" s="103"/>
      <c r="AT215" s="34" t="s">
        <v>2121</v>
      </c>
      <c r="AU215" s="34"/>
      <c r="AV215" s="34"/>
      <c r="AW215" s="34" t="s">
        <v>2018</v>
      </c>
      <c r="AX215" s="63">
        <v>2021</v>
      </c>
      <c r="AY215" s="34" t="s">
        <v>1917</v>
      </c>
      <c r="AZ215" s="39" t="s">
        <v>2102</v>
      </c>
      <c r="BF215" s="24">
        <v>1</v>
      </c>
    </row>
    <row r="216" spans="1:58" ht="15.75" hidden="1" customHeight="1">
      <c r="A216" s="193"/>
      <c r="B216" s="56"/>
      <c r="C216" s="78"/>
      <c r="D216" s="103"/>
      <c r="E216" s="103"/>
      <c r="F216" s="103"/>
      <c r="G216" s="103"/>
      <c r="H216" s="103"/>
      <c r="I216" s="103"/>
      <c r="J216" s="103"/>
      <c r="K216" s="103"/>
      <c r="L216" s="103"/>
      <c r="M216" s="103"/>
      <c r="N216" s="103"/>
      <c r="O216" s="103"/>
      <c r="P216" s="103"/>
      <c r="Q216" s="103"/>
      <c r="R216" s="103"/>
      <c r="S216" s="103"/>
      <c r="T216" s="103"/>
      <c r="U216" s="103"/>
      <c r="V216" s="103"/>
      <c r="W216" s="103"/>
      <c r="X216" s="103"/>
      <c r="Y216" s="103"/>
      <c r="Z216" s="103"/>
      <c r="AA216" s="103"/>
      <c r="AB216" s="103"/>
      <c r="AC216" s="103"/>
      <c r="AD216" s="103"/>
      <c r="AE216" s="103"/>
      <c r="AF216" s="103"/>
      <c r="AG216" s="103"/>
      <c r="AH216" s="103"/>
      <c r="AI216" s="103"/>
      <c r="AJ216" s="103"/>
      <c r="AK216" s="103"/>
      <c r="AL216" s="103"/>
      <c r="AM216" s="103"/>
      <c r="AN216" s="103"/>
      <c r="AO216" s="103"/>
      <c r="AP216" s="103"/>
      <c r="AQ216" s="103"/>
      <c r="AR216" s="103"/>
      <c r="AS216" s="103"/>
      <c r="AT216" s="34" t="s">
        <v>317</v>
      </c>
      <c r="AU216" s="34"/>
      <c r="AV216" s="34"/>
      <c r="AW216" s="34"/>
      <c r="AX216" s="63"/>
      <c r="AY216" s="34" t="s">
        <v>1986</v>
      </c>
      <c r="AZ216" s="63"/>
      <c r="BF216" s="24"/>
    </row>
    <row r="217" spans="1:58" ht="31.5" hidden="1" customHeight="1">
      <c r="A217" s="193"/>
      <c r="B217" s="56"/>
      <c r="C217" s="78"/>
      <c r="D217" s="103"/>
      <c r="E217" s="103"/>
      <c r="F217" s="103"/>
      <c r="G217" s="103">
        <v>0.45</v>
      </c>
      <c r="H217" s="103"/>
      <c r="I217" s="103">
        <v>0.3</v>
      </c>
      <c r="J217" s="103">
        <v>0.44</v>
      </c>
      <c r="K217" s="103">
        <v>0.2</v>
      </c>
      <c r="L217" s="103"/>
      <c r="M217" s="103">
        <v>0.2</v>
      </c>
      <c r="N217" s="103"/>
      <c r="O217" s="103"/>
      <c r="P217" s="103"/>
      <c r="Q217" s="103"/>
      <c r="R217" s="103"/>
      <c r="S217" s="103"/>
      <c r="T217" s="103">
        <v>0.1</v>
      </c>
      <c r="U217" s="103"/>
      <c r="V217" s="103"/>
      <c r="W217" s="103"/>
      <c r="X217" s="103"/>
      <c r="Y217" s="103"/>
      <c r="Z217" s="103"/>
      <c r="AA217" s="103"/>
      <c r="AB217" s="103"/>
      <c r="AC217" s="103"/>
      <c r="AD217" s="103"/>
      <c r="AE217" s="103"/>
      <c r="AF217" s="103"/>
      <c r="AG217" s="103">
        <v>0.03</v>
      </c>
      <c r="AH217" s="103">
        <v>0.03</v>
      </c>
      <c r="AI217" s="103"/>
      <c r="AJ217" s="103"/>
      <c r="AK217" s="103"/>
      <c r="AL217" s="103"/>
      <c r="AM217" s="103"/>
      <c r="AN217" s="103"/>
      <c r="AO217" s="103"/>
      <c r="AP217" s="103"/>
      <c r="AQ217" s="103"/>
      <c r="AR217" s="103"/>
      <c r="AS217" s="103"/>
      <c r="AT217" s="34" t="s">
        <v>225</v>
      </c>
      <c r="AU217" s="34"/>
      <c r="AV217" s="34"/>
      <c r="AW217" s="34" t="s">
        <v>2018</v>
      </c>
      <c r="AX217" s="63">
        <v>2021</v>
      </c>
      <c r="AY217" s="34" t="s">
        <v>1917</v>
      </c>
      <c r="AZ217" s="63" t="s">
        <v>2122</v>
      </c>
      <c r="BF217" s="24"/>
    </row>
    <row r="218" spans="1:58" ht="18.600000000000001" customHeight="1">
      <c r="A218" s="193">
        <v>48</v>
      </c>
      <c r="B218" s="151" t="s">
        <v>607</v>
      </c>
      <c r="C218" s="78" t="s">
        <v>44</v>
      </c>
      <c r="D218" s="103">
        <f>F218+E218</f>
        <v>4.9000000000000004</v>
      </c>
      <c r="E218" s="103"/>
      <c r="F218" s="103">
        <f>SUM(G218:K218,O218:AR218)</f>
        <v>4.9000000000000004</v>
      </c>
      <c r="G218" s="103"/>
      <c r="H218" s="103"/>
      <c r="I218" s="103">
        <v>4.9000000000000004</v>
      </c>
      <c r="J218" s="103"/>
      <c r="K218" s="103"/>
      <c r="L218" s="103"/>
      <c r="M218" s="103"/>
      <c r="N218" s="103"/>
      <c r="O218" s="103"/>
      <c r="P218" s="103"/>
      <c r="Q218" s="103"/>
      <c r="R218" s="103"/>
      <c r="S218" s="103"/>
      <c r="T218" s="103"/>
      <c r="U218" s="103"/>
      <c r="V218" s="103"/>
      <c r="W218" s="103"/>
      <c r="X218" s="103"/>
      <c r="Y218" s="103"/>
      <c r="Z218" s="103"/>
      <c r="AA218" s="103"/>
      <c r="AB218" s="103"/>
      <c r="AC218" s="103"/>
      <c r="AD218" s="103"/>
      <c r="AE218" s="103"/>
      <c r="AF218" s="103"/>
      <c r="AG218" s="103"/>
      <c r="AH218" s="103"/>
      <c r="AI218" s="103"/>
      <c r="AJ218" s="103"/>
      <c r="AK218" s="103"/>
      <c r="AL218" s="103"/>
      <c r="AM218" s="103"/>
      <c r="AN218" s="103"/>
      <c r="AO218" s="103"/>
      <c r="AP218" s="103"/>
      <c r="AQ218" s="103"/>
      <c r="AR218" s="103"/>
      <c r="AS218" s="103"/>
      <c r="AT218" s="47" t="s">
        <v>240</v>
      </c>
      <c r="AU218" s="103" t="s">
        <v>305</v>
      </c>
      <c r="AV218" s="34"/>
      <c r="AW218" s="34"/>
      <c r="AX218" s="39" t="s">
        <v>1920</v>
      </c>
      <c r="AY218" s="34" t="s">
        <v>1923</v>
      </c>
      <c r="AZ218" s="63" t="s">
        <v>1924</v>
      </c>
      <c r="BB218" s="41"/>
      <c r="BE218" s="15">
        <v>1</v>
      </c>
    </row>
    <row r="219" spans="1:58" ht="66.599999999999994" customHeight="1">
      <c r="A219" s="193">
        <v>49</v>
      </c>
      <c r="B219" s="88" t="s">
        <v>2123</v>
      </c>
      <c r="C219" s="102" t="s">
        <v>44</v>
      </c>
      <c r="D219" s="103">
        <f>F219+E219</f>
        <v>1.7000000000000002</v>
      </c>
      <c r="E219" s="103"/>
      <c r="F219" s="103">
        <f>SUM(G219:K219,O219:AR219)</f>
        <v>1.7000000000000002</v>
      </c>
      <c r="G219" s="195">
        <v>0.5</v>
      </c>
      <c r="H219" s="195"/>
      <c r="I219" s="195">
        <v>1.05</v>
      </c>
      <c r="J219" s="195">
        <v>0.05</v>
      </c>
      <c r="K219" s="228"/>
      <c r="L219" s="195"/>
      <c r="M219" s="195"/>
      <c r="N219" s="195"/>
      <c r="O219" s="195"/>
      <c r="P219" s="195"/>
      <c r="Q219" s="195"/>
      <c r="R219" s="195"/>
      <c r="S219" s="195"/>
      <c r="T219" s="195"/>
      <c r="U219" s="195"/>
      <c r="V219" s="195"/>
      <c r="W219" s="195"/>
      <c r="X219" s="195"/>
      <c r="Y219" s="195"/>
      <c r="Z219" s="195"/>
      <c r="AA219" s="195">
        <v>0.06</v>
      </c>
      <c r="AB219" s="195">
        <v>0.04</v>
      </c>
      <c r="AC219" s="195"/>
      <c r="AD219" s="195"/>
      <c r="AE219" s="195"/>
      <c r="AF219" s="195"/>
      <c r="AG219" s="195"/>
      <c r="AH219" s="195"/>
      <c r="AI219" s="195"/>
      <c r="AJ219" s="195"/>
      <c r="AK219" s="195"/>
      <c r="AL219" s="195"/>
      <c r="AM219" s="195"/>
      <c r="AN219" s="195"/>
      <c r="AO219" s="195"/>
      <c r="AP219" s="195"/>
      <c r="AQ219" s="195"/>
      <c r="AR219" s="195"/>
      <c r="AS219" s="195"/>
      <c r="AT219" s="34" t="s">
        <v>225</v>
      </c>
      <c r="AU219" s="34" t="s">
        <v>1341</v>
      </c>
      <c r="AV219" s="140"/>
      <c r="AW219" s="140" t="s">
        <v>2018</v>
      </c>
      <c r="AX219" s="63">
        <v>2021</v>
      </c>
      <c r="AY219" s="140" t="s">
        <v>1923</v>
      </c>
      <c r="AZ219" s="63" t="s">
        <v>1924</v>
      </c>
      <c r="BB219" s="41"/>
      <c r="BE219" s="15">
        <v>1</v>
      </c>
    </row>
    <row r="220" spans="1:58" s="24" customFormat="1" ht="51.6" customHeight="1">
      <c r="A220" s="193">
        <v>50</v>
      </c>
      <c r="B220" s="33" t="s">
        <v>608</v>
      </c>
      <c r="C220" s="34" t="s">
        <v>44</v>
      </c>
      <c r="D220" s="103">
        <f>F220+E220</f>
        <v>19.649999999999999</v>
      </c>
      <c r="E220" s="103"/>
      <c r="F220" s="103">
        <f>SUM(G220:K220,O220:AR220)</f>
        <v>19.649999999999999</v>
      </c>
      <c r="G220" s="103">
        <v>0.8</v>
      </c>
      <c r="H220" s="103">
        <v>1.6</v>
      </c>
      <c r="I220" s="103">
        <v>2</v>
      </c>
      <c r="J220" s="103">
        <v>11.2</v>
      </c>
      <c r="K220" s="103">
        <v>4.05</v>
      </c>
      <c r="L220" s="103"/>
      <c r="M220" s="103">
        <v>4.05</v>
      </c>
      <c r="N220" s="103"/>
      <c r="O220" s="103"/>
      <c r="P220" s="103"/>
      <c r="Q220" s="103"/>
      <c r="R220" s="103"/>
      <c r="S220" s="103"/>
      <c r="T220" s="103"/>
      <c r="U220" s="103"/>
      <c r="V220" s="103"/>
      <c r="W220" s="103"/>
      <c r="X220" s="103"/>
      <c r="Y220" s="103"/>
      <c r="Z220" s="103"/>
      <c r="AA220" s="103"/>
      <c r="AB220" s="103"/>
      <c r="AC220" s="103"/>
      <c r="AD220" s="103"/>
      <c r="AE220" s="103"/>
      <c r="AF220" s="103"/>
      <c r="AG220" s="103"/>
      <c r="AH220" s="103"/>
      <c r="AI220" s="103"/>
      <c r="AJ220" s="103"/>
      <c r="AK220" s="103"/>
      <c r="AL220" s="103"/>
      <c r="AM220" s="103"/>
      <c r="AN220" s="103"/>
      <c r="AO220" s="103"/>
      <c r="AP220" s="103"/>
      <c r="AQ220" s="103"/>
      <c r="AR220" s="103"/>
      <c r="AS220" s="103"/>
      <c r="AT220" s="103" t="s">
        <v>2124</v>
      </c>
      <c r="AU220" s="103"/>
      <c r="AV220" s="34"/>
      <c r="AW220" s="34"/>
      <c r="AX220" s="39" t="s">
        <v>1920</v>
      </c>
      <c r="AY220" s="34" t="s">
        <v>1923</v>
      </c>
      <c r="AZ220" s="39" t="s">
        <v>1924</v>
      </c>
      <c r="BB220" s="41"/>
      <c r="BC220" s="41"/>
      <c r="BE220" s="15">
        <v>1</v>
      </c>
    </row>
    <row r="221" spans="1:58" s="24" customFormat="1" ht="15.75" hidden="1" customHeight="1">
      <c r="A221" s="193"/>
      <c r="B221" s="33"/>
      <c r="C221" s="34"/>
      <c r="D221" s="103"/>
      <c r="E221" s="103"/>
      <c r="F221" s="103"/>
      <c r="G221" s="103"/>
      <c r="H221" s="103"/>
      <c r="I221" s="103"/>
      <c r="J221" s="103"/>
      <c r="K221" s="103"/>
      <c r="L221" s="103"/>
      <c r="M221" s="103"/>
      <c r="N221" s="103"/>
      <c r="O221" s="103"/>
      <c r="P221" s="103"/>
      <c r="Q221" s="103"/>
      <c r="R221" s="103"/>
      <c r="S221" s="103"/>
      <c r="T221" s="103"/>
      <c r="U221" s="103"/>
      <c r="V221" s="103"/>
      <c r="W221" s="103"/>
      <c r="X221" s="103"/>
      <c r="Y221" s="103"/>
      <c r="Z221" s="103"/>
      <c r="AA221" s="103"/>
      <c r="AB221" s="103"/>
      <c r="AC221" s="103"/>
      <c r="AD221" s="103"/>
      <c r="AE221" s="103"/>
      <c r="AF221" s="103"/>
      <c r="AG221" s="103"/>
      <c r="AH221" s="103"/>
      <c r="AI221" s="103"/>
      <c r="AJ221" s="103"/>
      <c r="AK221" s="103"/>
      <c r="AL221" s="103"/>
      <c r="AM221" s="103"/>
      <c r="AN221" s="103"/>
      <c r="AO221" s="103"/>
      <c r="AP221" s="103"/>
      <c r="AQ221" s="103"/>
      <c r="AR221" s="103"/>
      <c r="AS221" s="103"/>
      <c r="AT221" s="103" t="s">
        <v>317</v>
      </c>
      <c r="AU221" s="103"/>
      <c r="AV221" s="34"/>
      <c r="AW221" s="34"/>
      <c r="AX221" s="39"/>
      <c r="AY221" s="34" t="s">
        <v>1923</v>
      </c>
      <c r="AZ221" s="39" t="s">
        <v>1924</v>
      </c>
      <c r="BB221" s="41"/>
      <c r="BC221" s="41"/>
      <c r="BE221" s="15"/>
    </row>
    <row r="222" spans="1:58" s="24" customFormat="1" ht="15.75" hidden="1" customHeight="1">
      <c r="A222" s="193"/>
      <c r="B222" s="33"/>
      <c r="C222" s="34"/>
      <c r="D222" s="103"/>
      <c r="E222" s="103"/>
      <c r="F222" s="103"/>
      <c r="G222" s="103">
        <v>0.8</v>
      </c>
      <c r="H222" s="103">
        <v>1.6</v>
      </c>
      <c r="I222" s="103">
        <v>2</v>
      </c>
      <c r="J222" s="103">
        <v>11.2</v>
      </c>
      <c r="K222" s="103">
        <v>4.05</v>
      </c>
      <c r="L222" s="103"/>
      <c r="M222" s="103">
        <v>4.05</v>
      </c>
      <c r="N222" s="103"/>
      <c r="O222" s="103"/>
      <c r="P222" s="103"/>
      <c r="Q222" s="103"/>
      <c r="R222" s="103"/>
      <c r="S222" s="103"/>
      <c r="T222" s="103"/>
      <c r="U222" s="103"/>
      <c r="V222" s="103"/>
      <c r="W222" s="103"/>
      <c r="X222" s="103"/>
      <c r="Y222" s="103"/>
      <c r="Z222" s="103"/>
      <c r="AA222" s="103"/>
      <c r="AB222" s="103"/>
      <c r="AC222" s="103"/>
      <c r="AD222" s="103"/>
      <c r="AE222" s="103"/>
      <c r="AF222" s="103"/>
      <c r="AG222" s="103"/>
      <c r="AH222" s="103"/>
      <c r="AI222" s="103"/>
      <c r="AJ222" s="103"/>
      <c r="AK222" s="103"/>
      <c r="AL222" s="103"/>
      <c r="AM222" s="103"/>
      <c r="AN222" s="103"/>
      <c r="AO222" s="103"/>
      <c r="AP222" s="103"/>
      <c r="AQ222" s="103"/>
      <c r="AR222" s="103"/>
      <c r="AS222" s="103"/>
      <c r="AT222" s="103" t="s">
        <v>235</v>
      </c>
      <c r="AU222" s="103"/>
      <c r="AV222" s="34"/>
      <c r="AW222" s="34"/>
      <c r="AX222" s="39" t="s">
        <v>1920</v>
      </c>
      <c r="AY222" s="34" t="s">
        <v>1923</v>
      </c>
      <c r="AZ222" s="39" t="s">
        <v>2125</v>
      </c>
      <c r="BA222" s="24">
        <v>4.92</v>
      </c>
      <c r="BB222" s="41"/>
      <c r="BC222" s="41"/>
      <c r="BE222" s="15"/>
    </row>
    <row r="223" spans="1:58" s="24" customFormat="1" ht="15.75" hidden="1" customHeight="1">
      <c r="A223" s="193"/>
      <c r="B223" s="33"/>
      <c r="C223" s="34"/>
      <c r="D223" s="103"/>
      <c r="E223" s="103"/>
      <c r="F223" s="103"/>
      <c r="G223" s="103"/>
      <c r="H223" s="103"/>
      <c r="I223" s="103"/>
      <c r="J223" s="103"/>
      <c r="K223" s="103"/>
      <c r="L223" s="103"/>
      <c r="M223" s="103"/>
      <c r="N223" s="103"/>
      <c r="O223" s="103"/>
      <c r="P223" s="103"/>
      <c r="Q223" s="103"/>
      <c r="R223" s="103"/>
      <c r="S223" s="103"/>
      <c r="T223" s="103"/>
      <c r="U223" s="103"/>
      <c r="V223" s="103"/>
      <c r="W223" s="103"/>
      <c r="X223" s="103"/>
      <c r="Y223" s="103"/>
      <c r="Z223" s="103"/>
      <c r="AA223" s="103"/>
      <c r="AB223" s="103"/>
      <c r="AC223" s="103"/>
      <c r="AD223" s="103"/>
      <c r="AE223" s="103"/>
      <c r="AF223" s="103"/>
      <c r="AG223" s="103"/>
      <c r="AH223" s="103"/>
      <c r="AI223" s="103"/>
      <c r="AJ223" s="103"/>
      <c r="AK223" s="103"/>
      <c r="AL223" s="103"/>
      <c r="AM223" s="103"/>
      <c r="AN223" s="103"/>
      <c r="AO223" s="103"/>
      <c r="AP223" s="103"/>
      <c r="AQ223" s="103"/>
      <c r="AR223" s="103"/>
      <c r="AS223" s="103"/>
      <c r="AT223" s="103" t="s">
        <v>232</v>
      </c>
      <c r="AU223" s="103"/>
      <c r="AV223" s="34"/>
      <c r="AW223" s="34"/>
      <c r="AX223" s="39"/>
      <c r="AY223" s="34" t="s">
        <v>1923</v>
      </c>
      <c r="AZ223" s="39" t="s">
        <v>1924</v>
      </c>
      <c r="BB223" s="41"/>
      <c r="BC223" s="41"/>
      <c r="BE223" s="15"/>
    </row>
    <row r="224" spans="1:58" s="24" customFormat="1" ht="15.75" hidden="1" customHeight="1">
      <c r="A224" s="193"/>
      <c r="B224" s="33"/>
      <c r="C224" s="34"/>
      <c r="D224" s="103"/>
      <c r="E224" s="103"/>
      <c r="F224" s="103">
        <v>4.91</v>
      </c>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103"/>
      <c r="AD224" s="103"/>
      <c r="AE224" s="103"/>
      <c r="AF224" s="103"/>
      <c r="AG224" s="103"/>
      <c r="AH224" s="103"/>
      <c r="AI224" s="103"/>
      <c r="AJ224" s="103"/>
      <c r="AK224" s="103"/>
      <c r="AL224" s="103"/>
      <c r="AM224" s="103"/>
      <c r="AN224" s="103"/>
      <c r="AO224" s="103"/>
      <c r="AP224" s="103"/>
      <c r="AQ224" s="103"/>
      <c r="AR224" s="103"/>
      <c r="AS224" s="103"/>
      <c r="AT224" s="103" t="s">
        <v>233</v>
      </c>
      <c r="AU224" s="103"/>
      <c r="AV224" s="34"/>
      <c r="AW224" s="34"/>
      <c r="AX224" s="39"/>
      <c r="AY224" s="34" t="s">
        <v>1923</v>
      </c>
      <c r="AZ224" s="39" t="s">
        <v>1926</v>
      </c>
      <c r="BB224" s="41"/>
      <c r="BC224" s="41"/>
      <c r="BE224" s="15"/>
    </row>
    <row r="225" spans="1:58" ht="20.100000000000001" customHeight="1">
      <c r="A225" s="193">
        <v>51</v>
      </c>
      <c r="B225" s="33" t="s">
        <v>619</v>
      </c>
      <c r="C225" s="102" t="s">
        <v>44</v>
      </c>
      <c r="D225" s="194">
        <f>F225+E225</f>
        <v>102.33</v>
      </c>
      <c r="E225" s="194"/>
      <c r="F225" s="194">
        <f>SUM(G225:K225,O225:AR225)</f>
        <v>102.33</v>
      </c>
      <c r="G225" s="194">
        <v>10.16</v>
      </c>
      <c r="H225" s="194">
        <v>5.77</v>
      </c>
      <c r="I225" s="194">
        <v>14.79</v>
      </c>
      <c r="J225" s="194">
        <v>37.04</v>
      </c>
      <c r="K225" s="194">
        <v>30.05</v>
      </c>
      <c r="L225" s="194">
        <v>0</v>
      </c>
      <c r="M225" s="194">
        <v>30.05</v>
      </c>
      <c r="N225" s="194">
        <v>0</v>
      </c>
      <c r="O225" s="194">
        <v>0</v>
      </c>
      <c r="P225" s="194">
        <v>0.01</v>
      </c>
      <c r="Q225" s="194">
        <v>0</v>
      </c>
      <c r="R225" s="194">
        <v>0</v>
      </c>
      <c r="S225" s="194">
        <v>0</v>
      </c>
      <c r="T225" s="194">
        <v>0</v>
      </c>
      <c r="U225" s="194">
        <v>0</v>
      </c>
      <c r="V225" s="194">
        <v>0</v>
      </c>
      <c r="W225" s="194">
        <v>0</v>
      </c>
      <c r="X225" s="194">
        <v>0</v>
      </c>
      <c r="Y225" s="194">
        <v>0</v>
      </c>
      <c r="Z225" s="194">
        <v>0</v>
      </c>
      <c r="AA225" s="194">
        <v>4.26</v>
      </c>
      <c r="AB225" s="194">
        <v>0</v>
      </c>
      <c r="AC225" s="194">
        <v>0</v>
      </c>
      <c r="AD225" s="194">
        <v>0</v>
      </c>
      <c r="AE225" s="194">
        <v>0</v>
      </c>
      <c r="AF225" s="194">
        <v>0</v>
      </c>
      <c r="AG225" s="194">
        <v>0.1</v>
      </c>
      <c r="AH225" s="194">
        <v>0</v>
      </c>
      <c r="AI225" s="194">
        <v>0</v>
      </c>
      <c r="AJ225" s="194">
        <v>0</v>
      </c>
      <c r="AK225" s="194">
        <v>0</v>
      </c>
      <c r="AL225" s="194">
        <v>0</v>
      </c>
      <c r="AM225" s="194">
        <v>0</v>
      </c>
      <c r="AN225" s="194">
        <v>0</v>
      </c>
      <c r="AO225" s="194">
        <v>0</v>
      </c>
      <c r="AP225" s="194">
        <v>0</v>
      </c>
      <c r="AQ225" s="194">
        <v>0</v>
      </c>
      <c r="AR225" s="194">
        <v>0.15</v>
      </c>
      <c r="AS225" s="194"/>
      <c r="AT225" s="34" t="s">
        <v>860</v>
      </c>
      <c r="AU225" s="159"/>
      <c r="AV225" s="34"/>
      <c r="AW225" s="34"/>
      <c r="AX225" s="39" t="s">
        <v>1920</v>
      </c>
      <c r="AY225" s="34" t="s">
        <v>1917</v>
      </c>
      <c r="AZ225" s="39" t="s">
        <v>1924</v>
      </c>
      <c r="BB225" s="41"/>
      <c r="BF225" s="15">
        <v>1</v>
      </c>
    </row>
    <row r="226" spans="1:58" ht="15.75" hidden="1" customHeight="1">
      <c r="A226" s="193"/>
      <c r="B226" s="33" t="s">
        <v>619</v>
      </c>
      <c r="C226" s="102"/>
      <c r="D226" s="194"/>
      <c r="E226" s="194"/>
      <c r="F226" s="194">
        <v>26.84</v>
      </c>
      <c r="G226" s="194"/>
      <c r="H226" s="194"/>
      <c r="I226" s="194"/>
      <c r="J226" s="194"/>
      <c r="K226" s="194"/>
      <c r="L226" s="194"/>
      <c r="M226" s="194"/>
      <c r="N226" s="194"/>
      <c r="O226" s="194"/>
      <c r="P226" s="194"/>
      <c r="Q226" s="194"/>
      <c r="R226" s="194"/>
      <c r="S226" s="194"/>
      <c r="T226" s="194"/>
      <c r="U226" s="194"/>
      <c r="V226" s="194"/>
      <c r="W226" s="194"/>
      <c r="X226" s="194"/>
      <c r="Y226" s="194"/>
      <c r="Z226" s="194"/>
      <c r="AA226" s="194"/>
      <c r="AB226" s="194"/>
      <c r="AC226" s="194"/>
      <c r="AD226" s="194"/>
      <c r="AE226" s="194"/>
      <c r="AF226" s="194"/>
      <c r="AG226" s="194"/>
      <c r="AH226" s="194"/>
      <c r="AI226" s="194"/>
      <c r="AJ226" s="194"/>
      <c r="AK226" s="194"/>
      <c r="AL226" s="194"/>
      <c r="AM226" s="194"/>
      <c r="AN226" s="194"/>
      <c r="AO226" s="194"/>
      <c r="AP226" s="194"/>
      <c r="AQ226" s="194"/>
      <c r="AR226" s="194"/>
      <c r="AS226" s="194"/>
      <c r="AT226" s="103" t="s">
        <v>317</v>
      </c>
      <c r="AU226" s="159"/>
      <c r="AV226" s="34"/>
      <c r="AW226" s="34"/>
      <c r="AX226" s="39"/>
      <c r="AY226" s="38" t="s">
        <v>1923</v>
      </c>
      <c r="AZ226" s="39" t="s">
        <v>1924</v>
      </c>
      <c r="BB226" s="41"/>
    </row>
    <row r="227" spans="1:58" ht="15.75" hidden="1" customHeight="1">
      <c r="A227" s="193"/>
      <c r="B227" s="33" t="s">
        <v>619</v>
      </c>
      <c r="C227" s="102"/>
      <c r="D227" s="194"/>
      <c r="E227" s="194"/>
      <c r="F227" s="194">
        <v>0.82</v>
      </c>
      <c r="G227" s="194"/>
      <c r="H227" s="194"/>
      <c r="I227" s="194"/>
      <c r="J227" s="194"/>
      <c r="K227" s="194"/>
      <c r="L227" s="194"/>
      <c r="M227" s="194"/>
      <c r="N227" s="194"/>
      <c r="O227" s="194"/>
      <c r="P227" s="194"/>
      <c r="Q227" s="194"/>
      <c r="R227" s="194"/>
      <c r="S227" s="194"/>
      <c r="T227" s="194"/>
      <c r="U227" s="194"/>
      <c r="V227" s="194"/>
      <c r="W227" s="194"/>
      <c r="X227" s="194"/>
      <c r="Y227" s="194"/>
      <c r="Z227" s="194"/>
      <c r="AA227" s="194"/>
      <c r="AB227" s="194"/>
      <c r="AC227" s="194"/>
      <c r="AD227" s="194"/>
      <c r="AE227" s="194"/>
      <c r="AF227" s="194"/>
      <c r="AG227" s="194"/>
      <c r="AH227" s="194"/>
      <c r="AI227" s="194"/>
      <c r="AJ227" s="194"/>
      <c r="AK227" s="194"/>
      <c r="AL227" s="194"/>
      <c r="AM227" s="194"/>
      <c r="AN227" s="194"/>
      <c r="AO227" s="194"/>
      <c r="AP227" s="194"/>
      <c r="AQ227" s="194"/>
      <c r="AR227" s="194"/>
      <c r="AS227" s="194"/>
      <c r="AT227" s="34" t="s">
        <v>221</v>
      </c>
      <c r="AU227" s="159"/>
      <c r="AV227" s="34"/>
      <c r="AW227" s="34"/>
      <c r="AX227" s="39"/>
      <c r="AY227" s="34" t="s">
        <v>1986</v>
      </c>
      <c r="AZ227" s="39"/>
      <c r="BB227" s="41"/>
    </row>
    <row r="228" spans="1:58" ht="15.75" hidden="1" customHeight="1">
      <c r="A228" s="193"/>
      <c r="B228" s="60" t="s">
        <v>621</v>
      </c>
      <c r="C228" s="102"/>
      <c r="D228" s="194"/>
      <c r="E228" s="194"/>
      <c r="F228" s="194">
        <v>0.5</v>
      </c>
      <c r="G228" s="194"/>
      <c r="H228" s="194"/>
      <c r="I228" s="194"/>
      <c r="J228" s="194"/>
      <c r="K228" s="194"/>
      <c r="L228" s="194"/>
      <c r="M228" s="194"/>
      <c r="N228" s="194"/>
      <c r="O228" s="194"/>
      <c r="P228" s="194"/>
      <c r="Q228" s="194"/>
      <c r="R228" s="194"/>
      <c r="S228" s="194"/>
      <c r="T228" s="194"/>
      <c r="U228" s="194"/>
      <c r="V228" s="194"/>
      <c r="W228" s="194"/>
      <c r="X228" s="194"/>
      <c r="Y228" s="194"/>
      <c r="Z228" s="194"/>
      <c r="AA228" s="194"/>
      <c r="AB228" s="194"/>
      <c r="AC228" s="194"/>
      <c r="AD228" s="194"/>
      <c r="AE228" s="194"/>
      <c r="AF228" s="194"/>
      <c r="AG228" s="194"/>
      <c r="AH228" s="194"/>
      <c r="AI228" s="194"/>
      <c r="AJ228" s="194"/>
      <c r="AK228" s="194"/>
      <c r="AL228" s="194"/>
      <c r="AM228" s="194"/>
      <c r="AN228" s="194"/>
      <c r="AO228" s="194"/>
      <c r="AP228" s="194"/>
      <c r="AQ228" s="194"/>
      <c r="AR228" s="194"/>
      <c r="AS228" s="194"/>
      <c r="AT228" s="34" t="s">
        <v>222</v>
      </c>
      <c r="AU228" s="159" t="s">
        <v>2126</v>
      </c>
      <c r="AV228" s="34"/>
      <c r="AW228" s="34"/>
      <c r="AX228" s="39"/>
      <c r="AY228" s="34" t="s">
        <v>1923</v>
      </c>
      <c r="AZ228" s="39" t="s">
        <v>1924</v>
      </c>
      <c r="BA228" s="218" t="s">
        <v>2126</v>
      </c>
      <c r="BB228" s="41"/>
    </row>
    <row r="229" spans="1:58" s="61" customFormat="1" ht="15.75" hidden="1" customHeight="1">
      <c r="A229" s="220" t="s">
        <v>193</v>
      </c>
      <c r="B229" s="33" t="s">
        <v>619</v>
      </c>
      <c r="C229" s="102" t="s">
        <v>44</v>
      </c>
      <c r="D229" s="194">
        <v>3.82</v>
      </c>
      <c r="E229" s="194"/>
      <c r="F229" s="194">
        <v>3.82</v>
      </c>
      <c r="G229" s="194"/>
      <c r="H229" s="194"/>
      <c r="I229" s="194"/>
      <c r="J229" s="194"/>
      <c r="K229" s="194"/>
      <c r="L229" s="194"/>
      <c r="M229" s="194"/>
      <c r="N229" s="194"/>
      <c r="O229" s="194"/>
      <c r="P229" s="194"/>
      <c r="Q229" s="194"/>
      <c r="R229" s="194"/>
      <c r="S229" s="194"/>
      <c r="T229" s="194"/>
      <c r="U229" s="194"/>
      <c r="V229" s="194"/>
      <c r="W229" s="194"/>
      <c r="X229" s="194"/>
      <c r="Y229" s="194"/>
      <c r="Z229" s="194"/>
      <c r="AA229" s="194"/>
      <c r="AB229" s="194"/>
      <c r="AC229" s="194"/>
      <c r="AD229" s="194"/>
      <c r="AE229" s="194"/>
      <c r="AF229" s="194"/>
      <c r="AG229" s="194"/>
      <c r="AH229" s="194"/>
      <c r="AI229" s="194"/>
      <c r="AJ229" s="194"/>
      <c r="AK229" s="194"/>
      <c r="AL229" s="194"/>
      <c r="AM229" s="194"/>
      <c r="AN229" s="194"/>
      <c r="AO229" s="194"/>
      <c r="AP229" s="194"/>
      <c r="AQ229" s="194"/>
      <c r="AR229" s="194"/>
      <c r="AS229" s="194"/>
      <c r="AT229" s="34" t="s">
        <v>223</v>
      </c>
      <c r="AU229" s="159"/>
      <c r="AV229" s="34"/>
      <c r="AW229" s="34"/>
      <c r="AX229" s="39"/>
      <c r="AY229" s="140" t="s">
        <v>1923</v>
      </c>
      <c r="AZ229" s="63" t="s">
        <v>1924</v>
      </c>
      <c r="BA229" s="65"/>
      <c r="BB229" s="202"/>
    </row>
    <row r="230" spans="1:58" ht="15.75" hidden="1" customHeight="1">
      <c r="A230" s="193">
        <v>6</v>
      </c>
      <c r="B230" s="60" t="s">
        <v>619</v>
      </c>
      <c r="C230" s="102" t="s">
        <v>44</v>
      </c>
      <c r="D230" s="194">
        <v>0.51</v>
      </c>
      <c r="E230" s="194"/>
      <c r="F230" s="194">
        <v>0.51</v>
      </c>
      <c r="G230" s="194"/>
      <c r="H230" s="194"/>
      <c r="I230" s="194"/>
      <c r="J230" s="194"/>
      <c r="K230" s="194"/>
      <c r="L230" s="194"/>
      <c r="M230" s="194"/>
      <c r="N230" s="194"/>
      <c r="O230" s="194"/>
      <c r="P230" s="194"/>
      <c r="Q230" s="194"/>
      <c r="R230" s="194"/>
      <c r="S230" s="194"/>
      <c r="T230" s="194"/>
      <c r="U230" s="194"/>
      <c r="V230" s="194"/>
      <c r="W230" s="194"/>
      <c r="X230" s="194"/>
      <c r="Y230" s="194"/>
      <c r="Z230" s="194"/>
      <c r="AA230" s="194"/>
      <c r="AB230" s="194"/>
      <c r="AC230" s="194"/>
      <c r="AD230" s="194"/>
      <c r="AE230" s="194"/>
      <c r="AF230" s="194"/>
      <c r="AG230" s="194"/>
      <c r="AH230" s="194"/>
      <c r="AI230" s="194"/>
      <c r="AJ230" s="194"/>
      <c r="AK230" s="194"/>
      <c r="AL230" s="194"/>
      <c r="AM230" s="194"/>
      <c r="AN230" s="194"/>
      <c r="AO230" s="194"/>
      <c r="AP230" s="194"/>
      <c r="AQ230" s="194"/>
      <c r="AR230" s="194"/>
      <c r="AS230" s="194"/>
      <c r="AT230" s="34" t="s">
        <v>224</v>
      </c>
      <c r="AU230" s="159" t="s">
        <v>615</v>
      </c>
      <c r="AV230" s="34"/>
      <c r="AW230" s="34"/>
      <c r="AX230" s="39"/>
      <c r="AY230" s="34" t="s">
        <v>1986</v>
      </c>
      <c r="AZ230" s="39"/>
      <c r="BB230" s="41"/>
    </row>
    <row r="231" spans="1:58" ht="15.75" hidden="1" customHeight="1">
      <c r="A231" s="220"/>
      <c r="B231" s="60" t="s">
        <v>619</v>
      </c>
      <c r="C231" s="102"/>
      <c r="D231" s="194"/>
      <c r="E231" s="194"/>
      <c r="F231" s="194">
        <v>1.19</v>
      </c>
      <c r="G231" s="194"/>
      <c r="H231" s="194"/>
      <c r="I231" s="194"/>
      <c r="J231" s="194"/>
      <c r="K231" s="194"/>
      <c r="L231" s="194"/>
      <c r="M231" s="194"/>
      <c r="N231" s="194"/>
      <c r="O231" s="194"/>
      <c r="P231" s="194"/>
      <c r="Q231" s="194"/>
      <c r="R231" s="194"/>
      <c r="S231" s="194"/>
      <c r="T231" s="194"/>
      <c r="U231" s="194"/>
      <c r="V231" s="194"/>
      <c r="W231" s="194"/>
      <c r="X231" s="194"/>
      <c r="Y231" s="194"/>
      <c r="Z231" s="194"/>
      <c r="AA231" s="194"/>
      <c r="AB231" s="194"/>
      <c r="AC231" s="194"/>
      <c r="AD231" s="194"/>
      <c r="AE231" s="194"/>
      <c r="AF231" s="194"/>
      <c r="AG231" s="194"/>
      <c r="AH231" s="194"/>
      <c r="AI231" s="194"/>
      <c r="AJ231" s="194"/>
      <c r="AK231" s="194"/>
      <c r="AL231" s="194"/>
      <c r="AM231" s="194"/>
      <c r="AN231" s="194"/>
      <c r="AO231" s="194"/>
      <c r="AP231" s="194"/>
      <c r="AQ231" s="194"/>
      <c r="AR231" s="194"/>
      <c r="AS231" s="194"/>
      <c r="AT231" s="34" t="s">
        <v>225</v>
      </c>
      <c r="AU231" s="159"/>
      <c r="AV231" s="34"/>
      <c r="AW231" s="34"/>
      <c r="AX231" s="39"/>
      <c r="AY231" s="34" t="s">
        <v>1917</v>
      </c>
      <c r="AZ231" s="63" t="s">
        <v>1924</v>
      </c>
      <c r="BB231" s="41"/>
    </row>
    <row r="232" spans="1:58" ht="15.75" hidden="1" customHeight="1">
      <c r="A232" s="193"/>
      <c r="B232" s="33" t="s">
        <v>619</v>
      </c>
      <c r="C232" s="102"/>
      <c r="D232" s="194"/>
      <c r="E232" s="194"/>
      <c r="F232" s="194">
        <v>0.28000000000000003</v>
      </c>
      <c r="G232" s="194"/>
      <c r="H232" s="194"/>
      <c r="I232" s="194"/>
      <c r="J232" s="194"/>
      <c r="K232" s="194"/>
      <c r="L232" s="194"/>
      <c r="M232" s="194"/>
      <c r="N232" s="194"/>
      <c r="O232" s="194"/>
      <c r="P232" s="194"/>
      <c r="Q232" s="194"/>
      <c r="R232" s="194"/>
      <c r="S232" s="194"/>
      <c r="T232" s="194"/>
      <c r="U232" s="194"/>
      <c r="V232" s="194"/>
      <c r="W232" s="194"/>
      <c r="X232" s="194"/>
      <c r="Y232" s="194"/>
      <c r="Z232" s="194"/>
      <c r="AA232" s="194"/>
      <c r="AB232" s="194"/>
      <c r="AC232" s="194"/>
      <c r="AD232" s="194"/>
      <c r="AE232" s="194"/>
      <c r="AF232" s="194"/>
      <c r="AG232" s="194"/>
      <c r="AH232" s="194"/>
      <c r="AI232" s="194"/>
      <c r="AJ232" s="194"/>
      <c r="AK232" s="194"/>
      <c r="AL232" s="194"/>
      <c r="AM232" s="194"/>
      <c r="AN232" s="194"/>
      <c r="AO232" s="194"/>
      <c r="AP232" s="194"/>
      <c r="AQ232" s="194"/>
      <c r="AR232" s="194"/>
      <c r="AS232" s="194"/>
      <c r="AT232" s="34" t="s">
        <v>226</v>
      </c>
      <c r="AU232" s="159" t="s">
        <v>615</v>
      </c>
      <c r="AV232" s="34"/>
      <c r="AW232" s="34"/>
      <c r="AX232" s="39"/>
      <c r="AY232" s="34" t="s">
        <v>1986</v>
      </c>
      <c r="AZ232" s="39"/>
      <c r="BA232" s="40"/>
      <c r="BB232" s="15" t="s">
        <v>2127</v>
      </c>
      <c r="BC232" s="41"/>
    </row>
    <row r="233" spans="1:58" s="61" customFormat="1" ht="15.75" hidden="1" customHeight="1">
      <c r="A233" s="220" t="s">
        <v>193</v>
      </c>
      <c r="B233" s="33" t="s">
        <v>619</v>
      </c>
      <c r="C233" s="102"/>
      <c r="D233" s="194"/>
      <c r="E233" s="194"/>
      <c r="F233" s="194">
        <v>4.38</v>
      </c>
      <c r="G233" s="194"/>
      <c r="H233" s="194"/>
      <c r="I233" s="194"/>
      <c r="J233" s="194"/>
      <c r="K233" s="194"/>
      <c r="L233" s="194"/>
      <c r="M233" s="194"/>
      <c r="N233" s="194"/>
      <c r="O233" s="194"/>
      <c r="P233" s="194"/>
      <c r="Q233" s="194"/>
      <c r="R233" s="194"/>
      <c r="S233" s="194"/>
      <c r="T233" s="194"/>
      <c r="U233" s="194"/>
      <c r="V233" s="194"/>
      <c r="W233" s="194"/>
      <c r="X233" s="194"/>
      <c r="Y233" s="194"/>
      <c r="Z233" s="194"/>
      <c r="AA233" s="194"/>
      <c r="AB233" s="194"/>
      <c r="AC233" s="194"/>
      <c r="AD233" s="194"/>
      <c r="AE233" s="194"/>
      <c r="AF233" s="194"/>
      <c r="AG233" s="194"/>
      <c r="AH233" s="194"/>
      <c r="AI233" s="194"/>
      <c r="AJ233" s="194"/>
      <c r="AK233" s="194"/>
      <c r="AL233" s="194"/>
      <c r="AM233" s="194"/>
      <c r="AN233" s="194"/>
      <c r="AO233" s="194"/>
      <c r="AP233" s="194"/>
      <c r="AQ233" s="194"/>
      <c r="AR233" s="194"/>
      <c r="AS233" s="194"/>
      <c r="AT233" s="34" t="s">
        <v>227</v>
      </c>
      <c r="AU233" s="159" t="s">
        <v>615</v>
      </c>
      <c r="AV233" s="34"/>
      <c r="AW233" s="34"/>
      <c r="AX233" s="39"/>
      <c r="AY233" s="38" t="s">
        <v>1923</v>
      </c>
      <c r="AZ233" s="39" t="s">
        <v>1924</v>
      </c>
      <c r="BA233" s="15"/>
      <c r="BB233" s="202"/>
    </row>
    <row r="234" spans="1:58" ht="15.75" hidden="1" customHeight="1">
      <c r="A234" s="193"/>
      <c r="B234" s="33" t="s">
        <v>619</v>
      </c>
      <c r="C234" s="102" t="s">
        <v>44</v>
      </c>
      <c r="D234" s="227">
        <f>F234+E234</f>
        <v>2.5099999999999998</v>
      </c>
      <c r="E234" s="227"/>
      <c r="F234" s="227">
        <v>2.5099999999999998</v>
      </c>
      <c r="G234" s="194"/>
      <c r="H234" s="194"/>
      <c r="I234" s="194"/>
      <c r="J234" s="194"/>
      <c r="K234" s="194"/>
      <c r="L234" s="194"/>
      <c r="M234" s="194"/>
      <c r="N234" s="194"/>
      <c r="O234" s="194"/>
      <c r="P234" s="194"/>
      <c r="Q234" s="194"/>
      <c r="R234" s="194"/>
      <c r="S234" s="194"/>
      <c r="T234" s="194"/>
      <c r="U234" s="194"/>
      <c r="V234" s="194"/>
      <c r="W234" s="194"/>
      <c r="X234" s="194"/>
      <c r="Y234" s="194"/>
      <c r="Z234" s="194"/>
      <c r="AA234" s="194"/>
      <c r="AB234" s="194"/>
      <c r="AC234" s="194"/>
      <c r="AD234" s="194"/>
      <c r="AE234" s="194"/>
      <c r="AF234" s="194"/>
      <c r="AG234" s="194"/>
      <c r="AH234" s="194"/>
      <c r="AI234" s="194"/>
      <c r="AJ234" s="194"/>
      <c r="AK234" s="194"/>
      <c r="AL234" s="194"/>
      <c r="AM234" s="194"/>
      <c r="AN234" s="194"/>
      <c r="AO234" s="194"/>
      <c r="AP234" s="194"/>
      <c r="AQ234" s="194"/>
      <c r="AR234" s="194"/>
      <c r="AS234" s="194"/>
      <c r="AT234" s="34" t="s">
        <v>229</v>
      </c>
      <c r="AU234" s="103" t="s">
        <v>615</v>
      </c>
      <c r="AV234" s="34"/>
      <c r="AW234" s="34"/>
      <c r="AX234" s="39"/>
      <c r="AY234" s="38" t="s">
        <v>1923</v>
      </c>
      <c r="AZ234" s="39" t="s">
        <v>1924</v>
      </c>
      <c r="BB234" s="41"/>
    </row>
    <row r="235" spans="1:58" ht="15.75" hidden="1" customHeight="1">
      <c r="A235" s="193"/>
      <c r="B235" s="33" t="s">
        <v>619</v>
      </c>
      <c r="C235" s="102"/>
      <c r="D235" s="194"/>
      <c r="E235" s="194"/>
      <c r="F235" s="194">
        <v>0.57999999999999996</v>
      </c>
      <c r="G235" s="194"/>
      <c r="H235" s="194"/>
      <c r="I235" s="194"/>
      <c r="J235" s="194"/>
      <c r="K235" s="194"/>
      <c r="L235" s="194"/>
      <c r="M235" s="194"/>
      <c r="N235" s="194"/>
      <c r="O235" s="194"/>
      <c r="P235" s="194"/>
      <c r="Q235" s="194"/>
      <c r="R235" s="194"/>
      <c r="S235" s="194"/>
      <c r="T235" s="194"/>
      <c r="U235" s="194"/>
      <c r="V235" s="194"/>
      <c r="W235" s="194"/>
      <c r="X235" s="194"/>
      <c r="Y235" s="194"/>
      <c r="Z235" s="194"/>
      <c r="AA235" s="194"/>
      <c r="AB235" s="194"/>
      <c r="AC235" s="194"/>
      <c r="AD235" s="194"/>
      <c r="AE235" s="194"/>
      <c r="AF235" s="194"/>
      <c r="AG235" s="194"/>
      <c r="AH235" s="194"/>
      <c r="AI235" s="194"/>
      <c r="AJ235" s="194"/>
      <c r="AK235" s="194"/>
      <c r="AL235" s="194"/>
      <c r="AM235" s="194"/>
      <c r="AN235" s="194"/>
      <c r="AO235" s="194"/>
      <c r="AP235" s="194"/>
      <c r="AQ235" s="194"/>
      <c r="AR235" s="194"/>
      <c r="AS235" s="194"/>
      <c r="AT235" s="34" t="s">
        <v>230</v>
      </c>
      <c r="AU235" s="159"/>
      <c r="AV235" s="34"/>
      <c r="AW235" s="34"/>
      <c r="AX235" s="39"/>
      <c r="AY235" s="34" t="s">
        <v>1923</v>
      </c>
      <c r="AZ235" s="39" t="s">
        <v>1924</v>
      </c>
      <c r="BB235" s="41"/>
    </row>
    <row r="236" spans="1:58" ht="15.75" hidden="1" customHeight="1">
      <c r="A236" s="193"/>
      <c r="B236" s="33" t="s">
        <v>619</v>
      </c>
      <c r="C236" s="102"/>
      <c r="D236" s="194"/>
      <c r="E236" s="194"/>
      <c r="F236" s="194">
        <v>0.2</v>
      </c>
      <c r="G236" s="194"/>
      <c r="H236" s="194"/>
      <c r="I236" s="194"/>
      <c r="J236" s="194"/>
      <c r="K236" s="194"/>
      <c r="L236" s="194"/>
      <c r="M236" s="194"/>
      <c r="N236" s="194"/>
      <c r="O236" s="194"/>
      <c r="P236" s="194"/>
      <c r="Q236" s="194"/>
      <c r="R236" s="194"/>
      <c r="S236" s="194"/>
      <c r="T236" s="194"/>
      <c r="U236" s="194"/>
      <c r="V236" s="194"/>
      <c r="W236" s="194"/>
      <c r="X236" s="194"/>
      <c r="Y236" s="194"/>
      <c r="Z236" s="194"/>
      <c r="AA236" s="194"/>
      <c r="AB236" s="194"/>
      <c r="AC236" s="194"/>
      <c r="AD236" s="194"/>
      <c r="AE236" s="194"/>
      <c r="AF236" s="194"/>
      <c r="AG236" s="194"/>
      <c r="AH236" s="194"/>
      <c r="AI236" s="194"/>
      <c r="AJ236" s="194"/>
      <c r="AK236" s="194"/>
      <c r="AL236" s="194"/>
      <c r="AM236" s="194"/>
      <c r="AN236" s="194"/>
      <c r="AO236" s="194"/>
      <c r="AP236" s="194"/>
      <c r="AQ236" s="194"/>
      <c r="AR236" s="194"/>
      <c r="AS236" s="194"/>
      <c r="AT236" s="34" t="s">
        <v>231</v>
      </c>
      <c r="AU236" s="159"/>
      <c r="AV236" s="34"/>
      <c r="AW236" s="34"/>
      <c r="AX236" s="39"/>
      <c r="AY236" s="34" t="s">
        <v>1923</v>
      </c>
      <c r="AZ236" s="39" t="s">
        <v>1924</v>
      </c>
      <c r="BB236" s="41"/>
    </row>
    <row r="237" spans="1:58" ht="15.75" hidden="1" customHeight="1">
      <c r="A237" s="193"/>
      <c r="B237" s="33" t="s">
        <v>619</v>
      </c>
      <c r="C237" s="102"/>
      <c r="D237" s="194"/>
      <c r="E237" s="194"/>
      <c r="F237" s="194">
        <v>1.2</v>
      </c>
      <c r="G237" s="194"/>
      <c r="H237" s="194"/>
      <c r="I237" s="194"/>
      <c r="J237" s="194"/>
      <c r="K237" s="194"/>
      <c r="L237" s="194"/>
      <c r="M237" s="194"/>
      <c r="N237" s="194"/>
      <c r="O237" s="194"/>
      <c r="P237" s="194"/>
      <c r="Q237" s="194"/>
      <c r="R237" s="194"/>
      <c r="S237" s="194"/>
      <c r="T237" s="194"/>
      <c r="U237" s="194"/>
      <c r="V237" s="194"/>
      <c r="W237" s="194"/>
      <c r="X237" s="194"/>
      <c r="Y237" s="194"/>
      <c r="Z237" s="194"/>
      <c r="AA237" s="194"/>
      <c r="AB237" s="194"/>
      <c r="AC237" s="194"/>
      <c r="AD237" s="194"/>
      <c r="AE237" s="194"/>
      <c r="AF237" s="194"/>
      <c r="AG237" s="194"/>
      <c r="AH237" s="194"/>
      <c r="AI237" s="194"/>
      <c r="AJ237" s="194"/>
      <c r="AK237" s="194"/>
      <c r="AL237" s="194"/>
      <c r="AM237" s="194"/>
      <c r="AN237" s="194"/>
      <c r="AO237" s="194"/>
      <c r="AP237" s="194"/>
      <c r="AQ237" s="194"/>
      <c r="AR237" s="194"/>
      <c r="AS237" s="194"/>
      <c r="AT237" s="103" t="s">
        <v>232</v>
      </c>
      <c r="AU237" s="159"/>
      <c r="AV237" s="34"/>
      <c r="AW237" s="34"/>
      <c r="AX237" s="39"/>
      <c r="AY237" s="34" t="s">
        <v>1923</v>
      </c>
      <c r="AZ237" s="39" t="s">
        <v>1924</v>
      </c>
      <c r="BB237" s="41"/>
    </row>
    <row r="238" spans="1:58" ht="15.75" hidden="1" customHeight="1">
      <c r="A238" s="193"/>
      <c r="B238" s="33" t="s">
        <v>619</v>
      </c>
      <c r="C238" s="102"/>
      <c r="D238" s="194"/>
      <c r="E238" s="194"/>
      <c r="F238" s="194">
        <v>5.77</v>
      </c>
      <c r="G238" s="194"/>
      <c r="H238" s="194"/>
      <c r="I238" s="194"/>
      <c r="J238" s="194"/>
      <c r="K238" s="194"/>
      <c r="L238" s="194"/>
      <c r="M238" s="194"/>
      <c r="N238" s="194"/>
      <c r="O238" s="194"/>
      <c r="P238" s="194"/>
      <c r="Q238" s="194"/>
      <c r="R238" s="194"/>
      <c r="S238" s="194"/>
      <c r="T238" s="194"/>
      <c r="U238" s="194"/>
      <c r="V238" s="194"/>
      <c r="W238" s="194"/>
      <c r="X238" s="194"/>
      <c r="Y238" s="194"/>
      <c r="Z238" s="194"/>
      <c r="AA238" s="194"/>
      <c r="AB238" s="194"/>
      <c r="AC238" s="194"/>
      <c r="AD238" s="194"/>
      <c r="AE238" s="194"/>
      <c r="AF238" s="194"/>
      <c r="AG238" s="194"/>
      <c r="AH238" s="194"/>
      <c r="AI238" s="194"/>
      <c r="AJ238" s="194"/>
      <c r="AK238" s="194"/>
      <c r="AL238" s="194"/>
      <c r="AM238" s="194"/>
      <c r="AN238" s="194"/>
      <c r="AO238" s="194"/>
      <c r="AP238" s="194"/>
      <c r="AQ238" s="194"/>
      <c r="AR238" s="194"/>
      <c r="AS238" s="194"/>
      <c r="AT238" s="34" t="s">
        <v>233</v>
      </c>
      <c r="AU238" s="103" t="s">
        <v>615</v>
      </c>
      <c r="AV238" s="34"/>
      <c r="AW238" s="34"/>
      <c r="AX238" s="39"/>
      <c r="AY238" s="34" t="s">
        <v>1917</v>
      </c>
      <c r="AZ238" s="39" t="s">
        <v>1926</v>
      </c>
      <c r="BB238" s="41"/>
    </row>
    <row r="239" spans="1:58" ht="15.75" hidden="1" customHeight="1">
      <c r="A239" s="220" t="s">
        <v>193</v>
      </c>
      <c r="B239" s="33" t="s">
        <v>619</v>
      </c>
      <c r="C239" s="102"/>
      <c r="D239" s="194"/>
      <c r="E239" s="194"/>
      <c r="F239" s="194">
        <v>2.84</v>
      </c>
      <c r="G239" s="194"/>
      <c r="H239" s="194"/>
      <c r="I239" s="194"/>
      <c r="J239" s="194"/>
      <c r="K239" s="194"/>
      <c r="L239" s="194"/>
      <c r="M239" s="194"/>
      <c r="N239" s="194"/>
      <c r="O239" s="194"/>
      <c r="P239" s="194"/>
      <c r="Q239" s="194"/>
      <c r="R239" s="194"/>
      <c r="S239" s="194"/>
      <c r="T239" s="194"/>
      <c r="U239" s="194"/>
      <c r="V239" s="194"/>
      <c r="W239" s="194"/>
      <c r="X239" s="194"/>
      <c r="Y239" s="194"/>
      <c r="Z239" s="194"/>
      <c r="AA239" s="194"/>
      <c r="AB239" s="194"/>
      <c r="AC239" s="194"/>
      <c r="AD239" s="194"/>
      <c r="AE239" s="194"/>
      <c r="AF239" s="194"/>
      <c r="AG239" s="194"/>
      <c r="AH239" s="194"/>
      <c r="AI239" s="194"/>
      <c r="AJ239" s="194"/>
      <c r="AK239" s="194"/>
      <c r="AL239" s="194"/>
      <c r="AM239" s="194"/>
      <c r="AN239" s="194"/>
      <c r="AO239" s="194"/>
      <c r="AP239" s="194"/>
      <c r="AQ239" s="194"/>
      <c r="AR239" s="194"/>
      <c r="AS239" s="194"/>
      <c r="AT239" s="34" t="s">
        <v>234</v>
      </c>
      <c r="AU239" s="34" t="s">
        <v>615</v>
      </c>
      <c r="AV239" s="34"/>
      <c r="AW239" s="34"/>
      <c r="AX239" s="39"/>
      <c r="AY239" s="34" t="s">
        <v>1923</v>
      </c>
      <c r="AZ239" s="39" t="s">
        <v>1924</v>
      </c>
      <c r="BB239" s="41"/>
    </row>
    <row r="240" spans="1:58" ht="15.75" hidden="1" customHeight="1">
      <c r="A240" s="193"/>
      <c r="B240" s="33" t="s">
        <v>619</v>
      </c>
      <c r="C240" s="102" t="s">
        <v>44</v>
      </c>
      <c r="D240" s="194">
        <f>F240+E240</f>
        <v>2.2200000000000002</v>
      </c>
      <c r="E240" s="194"/>
      <c r="F240" s="194">
        <v>2.2200000000000002</v>
      </c>
      <c r="G240" s="194">
        <v>10.16</v>
      </c>
      <c r="H240" s="194">
        <v>5.77</v>
      </c>
      <c r="I240" s="194">
        <v>14.79</v>
      </c>
      <c r="J240" s="194">
        <v>37.04</v>
      </c>
      <c r="K240" s="194">
        <v>30.05</v>
      </c>
      <c r="L240" s="194">
        <v>0</v>
      </c>
      <c r="M240" s="194">
        <v>30.05</v>
      </c>
      <c r="N240" s="194">
        <v>0</v>
      </c>
      <c r="O240" s="194">
        <v>0</v>
      </c>
      <c r="P240" s="194">
        <v>0.01</v>
      </c>
      <c r="Q240" s="194">
        <v>0</v>
      </c>
      <c r="R240" s="194">
        <v>0</v>
      </c>
      <c r="S240" s="194">
        <v>0</v>
      </c>
      <c r="T240" s="194">
        <v>0</v>
      </c>
      <c r="U240" s="194">
        <v>0</v>
      </c>
      <c r="V240" s="194">
        <v>0</v>
      </c>
      <c r="W240" s="194">
        <v>0</v>
      </c>
      <c r="X240" s="194">
        <v>0</v>
      </c>
      <c r="Y240" s="194">
        <v>0</v>
      </c>
      <c r="Z240" s="194">
        <v>0</v>
      </c>
      <c r="AA240" s="194">
        <v>4.26</v>
      </c>
      <c r="AB240" s="194">
        <v>0</v>
      </c>
      <c r="AC240" s="194">
        <v>0</v>
      </c>
      <c r="AD240" s="194">
        <v>0</v>
      </c>
      <c r="AE240" s="194">
        <v>0</v>
      </c>
      <c r="AF240" s="194">
        <v>0</v>
      </c>
      <c r="AG240" s="194">
        <v>0.1</v>
      </c>
      <c r="AH240" s="194">
        <v>0</v>
      </c>
      <c r="AI240" s="194">
        <v>0</v>
      </c>
      <c r="AJ240" s="194">
        <v>0</v>
      </c>
      <c r="AK240" s="194">
        <v>0</v>
      </c>
      <c r="AL240" s="194">
        <v>0</v>
      </c>
      <c r="AM240" s="194">
        <v>0</v>
      </c>
      <c r="AN240" s="194">
        <v>0</v>
      </c>
      <c r="AO240" s="194">
        <v>0</v>
      </c>
      <c r="AP240" s="194">
        <v>0</v>
      </c>
      <c r="AQ240" s="194">
        <v>0</v>
      </c>
      <c r="AR240" s="194">
        <v>0.15</v>
      </c>
      <c r="AS240" s="194"/>
      <c r="AT240" s="34" t="s">
        <v>235</v>
      </c>
      <c r="AU240" s="159"/>
      <c r="AV240" s="34"/>
      <c r="AW240" s="34"/>
      <c r="AX240" s="39" t="s">
        <v>1920</v>
      </c>
      <c r="AY240" s="34" t="s">
        <v>1917</v>
      </c>
      <c r="AZ240" s="63" t="s">
        <v>1924</v>
      </c>
      <c r="BB240" s="41"/>
    </row>
    <row r="241" spans="1:58" ht="15.75" hidden="1" customHeight="1">
      <c r="A241" s="193" t="e">
        <f>+A239+1</f>
        <v>#VALUE!</v>
      </c>
      <c r="B241" s="33" t="s">
        <v>619</v>
      </c>
      <c r="C241" s="102"/>
      <c r="D241" s="194"/>
      <c r="E241" s="194"/>
      <c r="F241" s="194">
        <v>6.17</v>
      </c>
      <c r="G241" s="194"/>
      <c r="H241" s="194"/>
      <c r="I241" s="194"/>
      <c r="J241" s="194"/>
      <c r="K241" s="194"/>
      <c r="L241" s="194"/>
      <c r="M241" s="194"/>
      <c r="N241" s="194"/>
      <c r="O241" s="194"/>
      <c r="P241" s="194"/>
      <c r="Q241" s="194"/>
      <c r="R241" s="194"/>
      <c r="S241" s="194"/>
      <c r="T241" s="194"/>
      <c r="U241" s="194"/>
      <c r="V241" s="194"/>
      <c r="W241" s="194"/>
      <c r="X241" s="194"/>
      <c r="Y241" s="194"/>
      <c r="Z241" s="194"/>
      <c r="AA241" s="194"/>
      <c r="AB241" s="194"/>
      <c r="AC241" s="194"/>
      <c r="AD241" s="194"/>
      <c r="AE241" s="194"/>
      <c r="AF241" s="194"/>
      <c r="AG241" s="194"/>
      <c r="AH241" s="194"/>
      <c r="AI241" s="194"/>
      <c r="AJ241" s="194"/>
      <c r="AK241" s="194"/>
      <c r="AL241" s="194"/>
      <c r="AM241" s="194"/>
      <c r="AN241" s="194"/>
      <c r="AO241" s="194"/>
      <c r="AP241" s="194"/>
      <c r="AQ241" s="194"/>
      <c r="AR241" s="194"/>
      <c r="AS241" s="194"/>
      <c r="AT241" s="34" t="s">
        <v>237</v>
      </c>
      <c r="AU241" s="159"/>
      <c r="AV241" s="34"/>
      <c r="AW241" s="34"/>
      <c r="AX241" s="39"/>
      <c r="AY241" s="34" t="s">
        <v>1923</v>
      </c>
      <c r="AZ241" s="63" t="s">
        <v>1924</v>
      </c>
      <c r="BA241" s="229"/>
      <c r="BB241" s="41"/>
    </row>
    <row r="242" spans="1:58" ht="15.75" hidden="1" customHeight="1">
      <c r="A242" s="220" t="s">
        <v>193</v>
      </c>
      <c r="B242" s="60" t="s">
        <v>619</v>
      </c>
      <c r="C242" s="102" t="s">
        <v>44</v>
      </c>
      <c r="D242" s="194"/>
      <c r="E242" s="194"/>
      <c r="F242" s="194"/>
      <c r="G242" s="194">
        <v>0.6</v>
      </c>
      <c r="H242" s="194">
        <v>0.4</v>
      </c>
      <c r="I242" s="194">
        <v>1.59</v>
      </c>
      <c r="J242" s="194">
        <v>0.5</v>
      </c>
      <c r="K242" s="194"/>
      <c r="L242" s="194"/>
      <c r="M242" s="194">
        <v>0.4</v>
      </c>
      <c r="N242" s="194"/>
      <c r="O242" s="194"/>
      <c r="P242" s="194"/>
      <c r="Q242" s="194"/>
      <c r="R242" s="194"/>
      <c r="S242" s="194"/>
      <c r="T242" s="194"/>
      <c r="U242" s="194"/>
      <c r="V242" s="194"/>
      <c r="W242" s="194"/>
      <c r="X242" s="194"/>
      <c r="Y242" s="194"/>
      <c r="Z242" s="194"/>
      <c r="AA242" s="194"/>
      <c r="AB242" s="194"/>
      <c r="AC242" s="194"/>
      <c r="AD242" s="194"/>
      <c r="AE242" s="194"/>
      <c r="AF242" s="194"/>
      <c r="AG242" s="194"/>
      <c r="AH242" s="194"/>
      <c r="AI242" s="194"/>
      <c r="AJ242" s="194"/>
      <c r="AK242" s="194"/>
      <c r="AL242" s="194"/>
      <c r="AM242" s="194"/>
      <c r="AN242" s="194"/>
      <c r="AO242" s="194"/>
      <c r="AP242" s="194"/>
      <c r="AQ242" s="194"/>
      <c r="AR242" s="194"/>
      <c r="AS242" s="194"/>
      <c r="AT242" s="38" t="s">
        <v>238</v>
      </c>
      <c r="AU242" s="159"/>
      <c r="AV242" s="34"/>
      <c r="AW242" s="34"/>
      <c r="AX242" s="39"/>
      <c r="AY242" s="34" t="s">
        <v>1923</v>
      </c>
      <c r="AZ242" s="63" t="s">
        <v>1924</v>
      </c>
      <c r="BA242" s="65"/>
      <c r="BB242" s="41"/>
    </row>
    <row r="243" spans="1:58" ht="15.75" hidden="1" customHeight="1">
      <c r="A243" s="193"/>
      <c r="B243" s="33" t="s">
        <v>619</v>
      </c>
      <c r="C243" s="102"/>
      <c r="D243" s="194"/>
      <c r="E243" s="194"/>
      <c r="F243" s="194">
        <v>1.1499999999999999</v>
      </c>
      <c r="G243" s="194"/>
      <c r="H243" s="194"/>
      <c r="I243" s="194"/>
      <c r="J243" s="194"/>
      <c r="K243" s="194"/>
      <c r="L243" s="194"/>
      <c r="M243" s="194"/>
      <c r="N243" s="194"/>
      <c r="O243" s="194"/>
      <c r="P243" s="194"/>
      <c r="Q243" s="194"/>
      <c r="R243" s="194"/>
      <c r="S243" s="194"/>
      <c r="T243" s="194"/>
      <c r="U243" s="194"/>
      <c r="V243" s="194"/>
      <c r="W243" s="194"/>
      <c r="X243" s="194"/>
      <c r="Y243" s="194"/>
      <c r="Z243" s="194"/>
      <c r="AA243" s="194"/>
      <c r="AB243" s="194"/>
      <c r="AC243" s="194"/>
      <c r="AD243" s="194"/>
      <c r="AE243" s="194"/>
      <c r="AF243" s="194"/>
      <c r="AG243" s="194"/>
      <c r="AH243" s="194"/>
      <c r="AI243" s="194"/>
      <c r="AJ243" s="194"/>
      <c r="AK243" s="194"/>
      <c r="AL243" s="194"/>
      <c r="AM243" s="194"/>
      <c r="AN243" s="194"/>
      <c r="AO243" s="194"/>
      <c r="AP243" s="194"/>
      <c r="AQ243" s="194"/>
      <c r="AR243" s="194"/>
      <c r="AS243" s="194"/>
      <c r="AT243" s="103" t="s">
        <v>239</v>
      </c>
      <c r="AU243" s="159"/>
      <c r="AV243" s="34"/>
      <c r="AW243" s="34"/>
      <c r="AX243" s="39"/>
      <c r="AY243" s="34" t="s">
        <v>1917</v>
      </c>
      <c r="AZ243" s="39" t="s">
        <v>1924</v>
      </c>
      <c r="BB243" s="41"/>
    </row>
    <row r="244" spans="1:58" ht="15.75" hidden="1" customHeight="1">
      <c r="A244" s="193"/>
      <c r="B244" s="33" t="s">
        <v>619</v>
      </c>
      <c r="C244" s="102"/>
      <c r="D244" s="194"/>
      <c r="E244" s="194"/>
      <c r="F244" s="194">
        <v>3.97</v>
      </c>
      <c r="G244" s="194"/>
      <c r="H244" s="194"/>
      <c r="I244" s="194"/>
      <c r="J244" s="194"/>
      <c r="K244" s="194"/>
      <c r="L244" s="194"/>
      <c r="M244" s="194"/>
      <c r="N244" s="194"/>
      <c r="O244" s="194"/>
      <c r="P244" s="194"/>
      <c r="Q244" s="194"/>
      <c r="R244" s="194"/>
      <c r="S244" s="194"/>
      <c r="T244" s="194"/>
      <c r="U244" s="194"/>
      <c r="V244" s="194"/>
      <c r="W244" s="194"/>
      <c r="X244" s="194"/>
      <c r="Y244" s="194"/>
      <c r="Z244" s="194"/>
      <c r="AA244" s="194"/>
      <c r="AB244" s="194"/>
      <c r="AC244" s="194"/>
      <c r="AD244" s="194"/>
      <c r="AE244" s="194"/>
      <c r="AF244" s="194"/>
      <c r="AG244" s="194"/>
      <c r="AH244" s="194"/>
      <c r="AI244" s="194"/>
      <c r="AJ244" s="194"/>
      <c r="AK244" s="194"/>
      <c r="AL244" s="194"/>
      <c r="AM244" s="194"/>
      <c r="AN244" s="194"/>
      <c r="AO244" s="194"/>
      <c r="AP244" s="194"/>
      <c r="AQ244" s="194"/>
      <c r="AR244" s="194"/>
      <c r="AS244" s="194"/>
      <c r="AT244" s="47" t="s">
        <v>240</v>
      </c>
      <c r="AU244" s="34" t="s">
        <v>240</v>
      </c>
      <c r="AV244" s="34"/>
      <c r="AW244" s="34"/>
      <c r="AX244" s="39"/>
      <c r="AY244" s="34" t="s">
        <v>1923</v>
      </c>
      <c r="AZ244" s="39" t="s">
        <v>1924</v>
      </c>
      <c r="BB244" s="41"/>
    </row>
    <row r="245" spans="1:58" ht="15.75" hidden="1" customHeight="1">
      <c r="A245" s="193"/>
      <c r="B245" s="33" t="s">
        <v>2128</v>
      </c>
      <c r="C245" s="102" t="s">
        <v>45</v>
      </c>
      <c r="D245" s="194">
        <v>0.2</v>
      </c>
      <c r="E245" s="194"/>
      <c r="F245" s="194">
        <v>0.2</v>
      </c>
      <c r="G245" s="194"/>
      <c r="H245" s="194"/>
      <c r="I245" s="194"/>
      <c r="J245" s="194"/>
      <c r="K245" s="194"/>
      <c r="L245" s="194"/>
      <c r="M245" s="194"/>
      <c r="N245" s="194"/>
      <c r="O245" s="194"/>
      <c r="P245" s="194"/>
      <c r="Q245" s="194"/>
      <c r="R245" s="194"/>
      <c r="S245" s="194"/>
      <c r="T245" s="194"/>
      <c r="U245" s="194"/>
      <c r="V245" s="194"/>
      <c r="W245" s="194"/>
      <c r="X245" s="194"/>
      <c r="Y245" s="194"/>
      <c r="Z245" s="194"/>
      <c r="AA245" s="194"/>
      <c r="AB245" s="194"/>
      <c r="AC245" s="194"/>
      <c r="AD245" s="194"/>
      <c r="AE245" s="194"/>
      <c r="AF245" s="194"/>
      <c r="AG245" s="194"/>
      <c r="AH245" s="194"/>
      <c r="AI245" s="194"/>
      <c r="AJ245" s="194"/>
      <c r="AK245" s="194"/>
      <c r="AL245" s="194"/>
      <c r="AM245" s="194"/>
      <c r="AN245" s="194"/>
      <c r="AO245" s="194"/>
      <c r="AP245" s="194"/>
      <c r="AQ245" s="194"/>
      <c r="AR245" s="194"/>
      <c r="AS245" s="194"/>
      <c r="AT245" s="47" t="s">
        <v>241</v>
      </c>
      <c r="AU245" s="34"/>
      <c r="AV245" s="34"/>
      <c r="AW245" s="34"/>
      <c r="AX245" s="39"/>
      <c r="AY245" s="34" t="s">
        <v>1923</v>
      </c>
      <c r="AZ245" s="39" t="s">
        <v>1924</v>
      </c>
      <c r="BB245" s="41"/>
    </row>
    <row r="246" spans="1:58" ht="15.75" hidden="1" customHeight="1">
      <c r="A246" s="193"/>
      <c r="B246" s="33" t="s">
        <v>2129</v>
      </c>
      <c r="C246" s="102" t="s">
        <v>45</v>
      </c>
      <c r="D246" s="194">
        <v>0.2</v>
      </c>
      <c r="E246" s="194"/>
      <c r="F246" s="194">
        <v>0.2</v>
      </c>
      <c r="G246" s="194"/>
      <c r="H246" s="194"/>
      <c r="I246" s="194"/>
      <c r="J246" s="194"/>
      <c r="K246" s="194"/>
      <c r="L246" s="194"/>
      <c r="M246" s="194"/>
      <c r="N246" s="194"/>
      <c r="O246" s="194"/>
      <c r="P246" s="194"/>
      <c r="Q246" s="194"/>
      <c r="R246" s="194"/>
      <c r="S246" s="194"/>
      <c r="T246" s="194"/>
      <c r="U246" s="194"/>
      <c r="V246" s="194"/>
      <c r="W246" s="194"/>
      <c r="X246" s="194"/>
      <c r="Y246" s="194"/>
      <c r="Z246" s="194"/>
      <c r="AA246" s="194"/>
      <c r="AB246" s="194"/>
      <c r="AC246" s="194"/>
      <c r="AD246" s="194"/>
      <c r="AE246" s="194"/>
      <c r="AF246" s="194"/>
      <c r="AG246" s="194"/>
      <c r="AH246" s="194"/>
      <c r="AI246" s="194"/>
      <c r="AJ246" s="194"/>
      <c r="AK246" s="194"/>
      <c r="AL246" s="194"/>
      <c r="AM246" s="194"/>
      <c r="AN246" s="194"/>
      <c r="AO246" s="194"/>
      <c r="AP246" s="194"/>
      <c r="AQ246" s="194"/>
      <c r="AR246" s="194"/>
      <c r="AS246" s="194"/>
      <c r="AT246" s="47" t="s">
        <v>241</v>
      </c>
      <c r="AU246" s="34"/>
      <c r="AV246" s="34"/>
      <c r="AW246" s="34"/>
      <c r="AX246" s="39"/>
      <c r="AY246" s="34" t="s">
        <v>1923</v>
      </c>
      <c r="AZ246" s="39" t="s">
        <v>1924</v>
      </c>
      <c r="BB246" s="41"/>
    </row>
    <row r="247" spans="1:58" s="24" customFormat="1" ht="18" customHeight="1">
      <c r="A247" s="189" t="s">
        <v>719</v>
      </c>
      <c r="B247" s="25" t="s">
        <v>123</v>
      </c>
      <c r="C247" s="26" t="s">
        <v>45</v>
      </c>
      <c r="D247" s="192">
        <f>E247+F247</f>
        <v>67.341500000000011</v>
      </c>
      <c r="E247" s="192">
        <f>SUM(E248:E260)</f>
        <v>0</v>
      </c>
      <c r="F247" s="192">
        <f>SUM(G247:K247,O247:AS247)</f>
        <v>67.341500000000011</v>
      </c>
      <c r="G247" s="192">
        <f>SUM(G248:G260)</f>
        <v>16.619</v>
      </c>
      <c r="H247" s="192">
        <f t="shared" ref="H247:AS247" si="17">SUM(H248:H260)</f>
        <v>4.2924999999999978</v>
      </c>
      <c r="I247" s="192">
        <f t="shared" si="17"/>
        <v>10.940000000000001</v>
      </c>
      <c r="J247" s="192">
        <f t="shared" si="17"/>
        <v>11.84</v>
      </c>
      <c r="K247" s="192">
        <f t="shared" si="17"/>
        <v>23.24</v>
      </c>
      <c r="L247" s="192">
        <f t="shared" si="17"/>
        <v>0</v>
      </c>
      <c r="M247" s="192">
        <f t="shared" si="17"/>
        <v>23.24</v>
      </c>
      <c r="N247" s="192">
        <f t="shared" si="17"/>
        <v>0</v>
      </c>
      <c r="O247" s="192">
        <f t="shared" si="17"/>
        <v>0</v>
      </c>
      <c r="P247" s="192">
        <f t="shared" si="17"/>
        <v>0.4</v>
      </c>
      <c r="Q247" s="192">
        <f t="shared" si="17"/>
        <v>0</v>
      </c>
      <c r="R247" s="192">
        <f t="shared" si="17"/>
        <v>0</v>
      </c>
      <c r="S247" s="192">
        <f t="shared" si="17"/>
        <v>0</v>
      </c>
      <c r="T247" s="192">
        <f t="shared" si="17"/>
        <v>0</v>
      </c>
      <c r="U247" s="192">
        <f t="shared" si="17"/>
        <v>0</v>
      </c>
      <c r="V247" s="192">
        <f t="shared" si="17"/>
        <v>0</v>
      </c>
      <c r="W247" s="192">
        <f t="shared" si="17"/>
        <v>0</v>
      </c>
      <c r="X247" s="192">
        <f t="shared" si="17"/>
        <v>0</v>
      </c>
      <c r="Y247" s="192">
        <f t="shared" si="17"/>
        <v>0</v>
      </c>
      <c r="Z247" s="192">
        <f t="shared" si="17"/>
        <v>0</v>
      </c>
      <c r="AA247" s="192">
        <f t="shared" si="17"/>
        <v>0</v>
      </c>
      <c r="AB247" s="192">
        <f t="shared" si="17"/>
        <v>0</v>
      </c>
      <c r="AC247" s="192">
        <f t="shared" si="17"/>
        <v>0</v>
      </c>
      <c r="AD247" s="192">
        <f t="shared" si="17"/>
        <v>0</v>
      </c>
      <c r="AE247" s="192">
        <f t="shared" si="17"/>
        <v>0</v>
      </c>
      <c r="AF247" s="192">
        <f t="shared" si="17"/>
        <v>0</v>
      </c>
      <c r="AG247" s="192">
        <f t="shared" si="17"/>
        <v>0</v>
      </c>
      <c r="AH247" s="192">
        <f t="shared" si="17"/>
        <v>0</v>
      </c>
      <c r="AI247" s="192">
        <f t="shared" si="17"/>
        <v>0</v>
      </c>
      <c r="AJ247" s="192">
        <f t="shared" si="17"/>
        <v>0</v>
      </c>
      <c r="AK247" s="192">
        <f t="shared" si="17"/>
        <v>0</v>
      </c>
      <c r="AL247" s="192">
        <f t="shared" si="17"/>
        <v>0</v>
      </c>
      <c r="AM247" s="192">
        <f t="shared" si="17"/>
        <v>0</v>
      </c>
      <c r="AN247" s="192">
        <f t="shared" si="17"/>
        <v>0.01</v>
      </c>
      <c r="AO247" s="192">
        <f t="shared" si="17"/>
        <v>0</v>
      </c>
      <c r="AP247" s="192">
        <f t="shared" si="17"/>
        <v>0</v>
      </c>
      <c r="AQ247" s="192">
        <f t="shared" si="17"/>
        <v>0</v>
      </c>
      <c r="AR247" s="192">
        <f t="shared" si="17"/>
        <v>0</v>
      </c>
      <c r="AS247" s="192">
        <f t="shared" si="17"/>
        <v>0</v>
      </c>
      <c r="AT247" s="29"/>
      <c r="AU247" s="29"/>
      <c r="AV247" s="29"/>
      <c r="AW247" s="29"/>
      <c r="AX247" s="63"/>
      <c r="AY247" s="29"/>
      <c r="AZ247" s="63"/>
    </row>
    <row r="248" spans="1:58" s="24" customFormat="1" ht="31.5">
      <c r="A248" s="193">
        <v>52</v>
      </c>
      <c r="B248" s="33" t="s">
        <v>641</v>
      </c>
      <c r="C248" s="34" t="s">
        <v>45</v>
      </c>
      <c r="D248" s="103">
        <f t="shared" ref="D248:D259" si="18">E248+F248</f>
        <v>0.4</v>
      </c>
      <c r="E248" s="103"/>
      <c r="F248" s="103">
        <f t="shared" ref="F248:F259" si="19">SUM(G248:K248,O248:AR248)</f>
        <v>0.4</v>
      </c>
      <c r="G248" s="103"/>
      <c r="H248" s="103"/>
      <c r="I248" s="103"/>
      <c r="J248" s="103"/>
      <c r="K248" s="103"/>
      <c r="L248" s="103"/>
      <c r="M248" s="103"/>
      <c r="N248" s="103"/>
      <c r="O248" s="103"/>
      <c r="P248" s="103">
        <v>0.4</v>
      </c>
      <c r="Q248" s="103"/>
      <c r="R248" s="103"/>
      <c r="S248" s="103"/>
      <c r="T248" s="103"/>
      <c r="U248" s="103"/>
      <c r="V248" s="103"/>
      <c r="W248" s="103"/>
      <c r="X248" s="103"/>
      <c r="Y248" s="103"/>
      <c r="Z248" s="103"/>
      <c r="AA248" s="103"/>
      <c r="AB248" s="103"/>
      <c r="AC248" s="103"/>
      <c r="AD248" s="103"/>
      <c r="AE248" s="103"/>
      <c r="AF248" s="103"/>
      <c r="AG248" s="103"/>
      <c r="AH248" s="103"/>
      <c r="AI248" s="103"/>
      <c r="AJ248" s="103"/>
      <c r="AK248" s="103"/>
      <c r="AL248" s="103"/>
      <c r="AM248" s="103"/>
      <c r="AN248" s="103"/>
      <c r="AO248" s="103"/>
      <c r="AP248" s="103"/>
      <c r="AQ248" s="103"/>
      <c r="AR248" s="103"/>
      <c r="AS248" s="103"/>
      <c r="AT248" s="103" t="s">
        <v>317</v>
      </c>
      <c r="AU248" s="103"/>
      <c r="AV248" s="34"/>
      <c r="AW248" s="34" t="s">
        <v>2130</v>
      </c>
      <c r="AX248" s="63">
        <v>2021</v>
      </c>
      <c r="AY248" s="34" t="s">
        <v>1917</v>
      </c>
      <c r="AZ248" s="63" t="s">
        <v>2131</v>
      </c>
      <c r="BB248" s="41"/>
      <c r="BF248" s="24">
        <v>1</v>
      </c>
    </row>
    <row r="249" spans="1:58" ht="18" customHeight="1">
      <c r="A249" s="193">
        <v>53</v>
      </c>
      <c r="B249" s="56" t="s">
        <v>665</v>
      </c>
      <c r="C249" s="78" t="s">
        <v>45</v>
      </c>
      <c r="D249" s="103">
        <f t="shared" si="18"/>
        <v>0.21</v>
      </c>
      <c r="E249" s="103"/>
      <c r="F249" s="103">
        <f t="shared" si="19"/>
        <v>0.21</v>
      </c>
      <c r="G249" s="103">
        <v>0.21</v>
      </c>
      <c r="H249" s="103"/>
      <c r="I249" s="103"/>
      <c r="J249" s="103"/>
      <c r="K249" s="194"/>
      <c r="L249" s="103"/>
      <c r="M249" s="103"/>
      <c r="N249" s="103"/>
      <c r="O249" s="103"/>
      <c r="P249" s="103"/>
      <c r="Q249" s="103"/>
      <c r="R249" s="103"/>
      <c r="S249" s="103"/>
      <c r="T249" s="103"/>
      <c r="U249" s="103"/>
      <c r="V249" s="103"/>
      <c r="W249" s="103"/>
      <c r="X249" s="103"/>
      <c r="Y249" s="103"/>
      <c r="Z249" s="103"/>
      <c r="AA249" s="103"/>
      <c r="AB249" s="103"/>
      <c r="AC249" s="103"/>
      <c r="AD249" s="103"/>
      <c r="AE249" s="103"/>
      <c r="AF249" s="103"/>
      <c r="AG249" s="103"/>
      <c r="AH249" s="103"/>
      <c r="AI249" s="103"/>
      <c r="AJ249" s="103"/>
      <c r="AK249" s="103"/>
      <c r="AL249" s="103"/>
      <c r="AM249" s="103"/>
      <c r="AN249" s="103"/>
      <c r="AO249" s="103"/>
      <c r="AP249" s="103"/>
      <c r="AQ249" s="103"/>
      <c r="AR249" s="103"/>
      <c r="AS249" s="103"/>
      <c r="AT249" s="34" t="s">
        <v>983</v>
      </c>
      <c r="AU249" s="34" t="s">
        <v>666</v>
      </c>
      <c r="AV249" s="34"/>
      <c r="AW249" s="34"/>
      <c r="AX249" s="39" t="s">
        <v>1920</v>
      </c>
      <c r="AY249" s="34" t="s">
        <v>1923</v>
      </c>
      <c r="AZ249" s="39" t="s">
        <v>1924</v>
      </c>
      <c r="BB249" s="41"/>
      <c r="BE249" s="15">
        <v>1</v>
      </c>
    </row>
    <row r="250" spans="1:58" ht="18" customHeight="1">
      <c r="A250" s="193">
        <v>54</v>
      </c>
      <c r="B250" s="56" t="s">
        <v>667</v>
      </c>
      <c r="C250" s="78" t="s">
        <v>45</v>
      </c>
      <c r="D250" s="103">
        <f t="shared" si="18"/>
        <v>0.19</v>
      </c>
      <c r="E250" s="103"/>
      <c r="F250" s="103">
        <f t="shared" si="19"/>
        <v>0.19</v>
      </c>
      <c r="G250" s="103">
        <v>0.19</v>
      </c>
      <c r="H250" s="103"/>
      <c r="I250" s="103"/>
      <c r="J250" s="103"/>
      <c r="K250" s="194"/>
      <c r="L250" s="103"/>
      <c r="M250" s="103"/>
      <c r="N250" s="103"/>
      <c r="O250" s="103"/>
      <c r="P250" s="103"/>
      <c r="Q250" s="103"/>
      <c r="R250" s="103"/>
      <c r="S250" s="103"/>
      <c r="T250" s="103"/>
      <c r="U250" s="103"/>
      <c r="V250" s="103"/>
      <c r="W250" s="103"/>
      <c r="X250" s="103"/>
      <c r="Y250" s="103"/>
      <c r="Z250" s="103"/>
      <c r="AA250" s="103"/>
      <c r="AB250" s="103"/>
      <c r="AC250" s="103"/>
      <c r="AD250" s="103"/>
      <c r="AE250" s="103"/>
      <c r="AF250" s="103"/>
      <c r="AG250" s="103"/>
      <c r="AH250" s="103"/>
      <c r="AI250" s="103"/>
      <c r="AJ250" s="103"/>
      <c r="AK250" s="103"/>
      <c r="AL250" s="103"/>
      <c r="AM250" s="103"/>
      <c r="AN250" s="103"/>
      <c r="AO250" s="103"/>
      <c r="AP250" s="103"/>
      <c r="AQ250" s="103"/>
      <c r="AR250" s="103"/>
      <c r="AS250" s="103"/>
      <c r="AT250" s="34" t="s">
        <v>983</v>
      </c>
      <c r="AU250" s="34" t="s">
        <v>666</v>
      </c>
      <c r="AV250" s="34"/>
      <c r="AW250" s="34"/>
      <c r="AX250" s="39" t="s">
        <v>1920</v>
      </c>
      <c r="AY250" s="34" t="s">
        <v>1923</v>
      </c>
      <c r="AZ250" s="39" t="s">
        <v>1924</v>
      </c>
      <c r="BB250" s="41"/>
      <c r="BE250" s="15">
        <v>1</v>
      </c>
    </row>
    <row r="251" spans="1:58" ht="18" customHeight="1">
      <c r="A251" s="193">
        <v>55</v>
      </c>
      <c r="B251" s="56" t="s">
        <v>671</v>
      </c>
      <c r="C251" s="78" t="s">
        <v>45</v>
      </c>
      <c r="D251" s="103">
        <f t="shared" si="18"/>
        <v>0.4</v>
      </c>
      <c r="E251" s="103"/>
      <c r="F251" s="103">
        <f t="shared" si="19"/>
        <v>0.4</v>
      </c>
      <c r="G251" s="103"/>
      <c r="H251" s="103"/>
      <c r="I251" s="103">
        <v>0.4</v>
      </c>
      <c r="J251" s="103"/>
      <c r="K251" s="194"/>
      <c r="L251" s="103"/>
      <c r="M251" s="103"/>
      <c r="N251" s="103"/>
      <c r="O251" s="103"/>
      <c r="P251" s="103"/>
      <c r="Q251" s="103"/>
      <c r="R251" s="103"/>
      <c r="S251" s="103"/>
      <c r="T251" s="103"/>
      <c r="U251" s="103"/>
      <c r="V251" s="103"/>
      <c r="W251" s="103"/>
      <c r="X251" s="103"/>
      <c r="Y251" s="103"/>
      <c r="Z251" s="103"/>
      <c r="AA251" s="103"/>
      <c r="AB251" s="103"/>
      <c r="AC251" s="103"/>
      <c r="AD251" s="103"/>
      <c r="AE251" s="103"/>
      <c r="AF251" s="103"/>
      <c r="AG251" s="103"/>
      <c r="AH251" s="103"/>
      <c r="AI251" s="103"/>
      <c r="AJ251" s="103"/>
      <c r="AK251" s="103"/>
      <c r="AL251" s="103"/>
      <c r="AM251" s="103"/>
      <c r="AN251" s="103"/>
      <c r="AO251" s="103"/>
      <c r="AP251" s="103"/>
      <c r="AQ251" s="103"/>
      <c r="AR251" s="103"/>
      <c r="AS251" s="103"/>
      <c r="AT251" s="34" t="s">
        <v>487</v>
      </c>
      <c r="AU251" s="34" t="s">
        <v>670</v>
      </c>
      <c r="AV251" s="34"/>
      <c r="AW251" s="34" t="s">
        <v>2132</v>
      </c>
      <c r="AX251" s="39" t="s">
        <v>1920</v>
      </c>
      <c r="AY251" s="34" t="s">
        <v>1923</v>
      </c>
      <c r="AZ251" s="39" t="s">
        <v>1924</v>
      </c>
      <c r="BB251" s="41"/>
      <c r="BD251" s="58"/>
      <c r="BE251" s="15">
        <v>1</v>
      </c>
    </row>
    <row r="252" spans="1:58" ht="18" customHeight="1">
      <c r="A252" s="193">
        <v>56</v>
      </c>
      <c r="B252" s="56" t="s">
        <v>672</v>
      </c>
      <c r="C252" s="78" t="s">
        <v>45</v>
      </c>
      <c r="D252" s="103">
        <f t="shared" si="18"/>
        <v>1.5</v>
      </c>
      <c r="E252" s="103"/>
      <c r="F252" s="103">
        <f t="shared" si="19"/>
        <v>1.5</v>
      </c>
      <c r="G252" s="103"/>
      <c r="H252" s="103"/>
      <c r="I252" s="103"/>
      <c r="J252" s="103">
        <v>1.5</v>
      </c>
      <c r="K252" s="194"/>
      <c r="L252" s="103"/>
      <c r="M252" s="103"/>
      <c r="N252" s="103"/>
      <c r="O252" s="103"/>
      <c r="P252" s="103"/>
      <c r="Q252" s="103"/>
      <c r="R252" s="103"/>
      <c r="S252" s="103"/>
      <c r="T252" s="103"/>
      <c r="U252" s="103"/>
      <c r="V252" s="103"/>
      <c r="W252" s="103"/>
      <c r="X252" s="103"/>
      <c r="Y252" s="103"/>
      <c r="Z252" s="103"/>
      <c r="AA252" s="103"/>
      <c r="AB252" s="103"/>
      <c r="AC252" s="103"/>
      <c r="AD252" s="103"/>
      <c r="AE252" s="103"/>
      <c r="AF252" s="103"/>
      <c r="AG252" s="103"/>
      <c r="AH252" s="103"/>
      <c r="AI252" s="103"/>
      <c r="AJ252" s="103"/>
      <c r="AK252" s="103"/>
      <c r="AL252" s="103"/>
      <c r="AM252" s="103"/>
      <c r="AN252" s="103"/>
      <c r="AO252" s="103"/>
      <c r="AP252" s="103"/>
      <c r="AQ252" s="103"/>
      <c r="AR252" s="103"/>
      <c r="AS252" s="103"/>
      <c r="AT252" s="34" t="s">
        <v>487</v>
      </c>
      <c r="AU252" s="34" t="s">
        <v>406</v>
      </c>
      <c r="AV252" s="34"/>
      <c r="AW252" s="34" t="s">
        <v>2132</v>
      </c>
      <c r="AX252" s="39" t="s">
        <v>1920</v>
      </c>
      <c r="AY252" s="34" t="s">
        <v>1923</v>
      </c>
      <c r="AZ252" s="39" t="s">
        <v>1924</v>
      </c>
      <c r="BB252" s="41"/>
      <c r="BD252" s="58"/>
      <c r="BE252" s="15">
        <v>1</v>
      </c>
    </row>
    <row r="253" spans="1:58" s="24" customFormat="1" ht="18" customHeight="1">
      <c r="A253" s="193">
        <v>57</v>
      </c>
      <c r="B253" s="88" t="s">
        <v>2133</v>
      </c>
      <c r="C253" s="102" t="s">
        <v>45</v>
      </c>
      <c r="D253" s="103">
        <f t="shared" si="18"/>
        <v>0.4</v>
      </c>
      <c r="E253" s="103"/>
      <c r="F253" s="103">
        <f t="shared" si="19"/>
        <v>0.4</v>
      </c>
      <c r="G253" s="103"/>
      <c r="H253" s="103"/>
      <c r="I253" s="103"/>
      <c r="J253" s="103"/>
      <c r="K253" s="230">
        <v>0.4</v>
      </c>
      <c r="L253" s="103"/>
      <c r="M253" s="103">
        <v>0.4</v>
      </c>
      <c r="N253" s="103"/>
      <c r="O253" s="103"/>
      <c r="P253" s="103"/>
      <c r="Q253" s="103"/>
      <c r="R253" s="103"/>
      <c r="S253" s="103"/>
      <c r="T253" s="103"/>
      <c r="U253" s="103"/>
      <c r="V253" s="103"/>
      <c r="W253" s="103"/>
      <c r="X253" s="103"/>
      <c r="Y253" s="103"/>
      <c r="Z253" s="103"/>
      <c r="AA253" s="103"/>
      <c r="AB253" s="103"/>
      <c r="AC253" s="103"/>
      <c r="AD253" s="103"/>
      <c r="AE253" s="103"/>
      <c r="AF253" s="103"/>
      <c r="AG253" s="103"/>
      <c r="AH253" s="103"/>
      <c r="AI253" s="103"/>
      <c r="AJ253" s="103"/>
      <c r="AK253" s="103"/>
      <c r="AL253" s="103"/>
      <c r="AM253" s="103"/>
      <c r="AN253" s="103"/>
      <c r="AO253" s="103"/>
      <c r="AP253" s="103"/>
      <c r="AQ253" s="103"/>
      <c r="AR253" s="103"/>
      <c r="AS253" s="103"/>
      <c r="AT253" s="34" t="s">
        <v>230</v>
      </c>
      <c r="AU253" s="34"/>
      <c r="AV253" s="140"/>
      <c r="AW253" s="140"/>
      <c r="AX253" s="39" t="s">
        <v>1920</v>
      </c>
      <c r="AY253" s="140" t="s">
        <v>1923</v>
      </c>
      <c r="AZ253" s="39" t="s">
        <v>2134</v>
      </c>
      <c r="BA253" s="24" t="s">
        <v>2135</v>
      </c>
      <c r="BB253" s="41"/>
      <c r="BE253" s="15">
        <v>1</v>
      </c>
    </row>
    <row r="254" spans="1:58" s="24" customFormat="1" ht="18" customHeight="1">
      <c r="A254" s="193">
        <v>58</v>
      </c>
      <c r="B254" s="88" t="s">
        <v>2136</v>
      </c>
      <c r="C254" s="102" t="s">
        <v>45</v>
      </c>
      <c r="D254" s="103">
        <f t="shared" si="18"/>
        <v>0.3</v>
      </c>
      <c r="E254" s="103"/>
      <c r="F254" s="103">
        <f t="shared" si="19"/>
        <v>0.3</v>
      </c>
      <c r="G254" s="103">
        <v>0.3</v>
      </c>
      <c r="H254" s="103"/>
      <c r="I254" s="103"/>
      <c r="J254" s="103"/>
      <c r="K254" s="230"/>
      <c r="L254" s="103"/>
      <c r="M254" s="103"/>
      <c r="N254" s="103"/>
      <c r="O254" s="103"/>
      <c r="P254" s="103"/>
      <c r="Q254" s="103"/>
      <c r="R254" s="103"/>
      <c r="S254" s="103"/>
      <c r="T254" s="103"/>
      <c r="U254" s="103"/>
      <c r="V254" s="103"/>
      <c r="W254" s="103"/>
      <c r="X254" s="103"/>
      <c r="Y254" s="103"/>
      <c r="Z254" s="103"/>
      <c r="AA254" s="103"/>
      <c r="AB254" s="103"/>
      <c r="AC254" s="103"/>
      <c r="AD254" s="103"/>
      <c r="AE254" s="103"/>
      <c r="AF254" s="103"/>
      <c r="AG254" s="103"/>
      <c r="AH254" s="103"/>
      <c r="AI254" s="103"/>
      <c r="AJ254" s="103"/>
      <c r="AK254" s="103"/>
      <c r="AL254" s="103"/>
      <c r="AM254" s="103"/>
      <c r="AN254" s="103"/>
      <c r="AO254" s="103"/>
      <c r="AP254" s="103"/>
      <c r="AQ254" s="103"/>
      <c r="AR254" s="103"/>
      <c r="AS254" s="103"/>
      <c r="AT254" s="34" t="s">
        <v>230</v>
      </c>
      <c r="AU254" s="34"/>
      <c r="AV254" s="140"/>
      <c r="AW254" s="140"/>
      <c r="AX254" s="39" t="s">
        <v>1920</v>
      </c>
      <c r="AY254" s="140" t="s">
        <v>1923</v>
      </c>
      <c r="AZ254" s="39" t="s">
        <v>2134</v>
      </c>
      <c r="BA254" s="24" t="s">
        <v>2137</v>
      </c>
      <c r="BB254" s="41"/>
      <c r="BE254" s="15">
        <v>1</v>
      </c>
    </row>
    <row r="255" spans="1:58" s="24" customFormat="1" ht="18" customHeight="1">
      <c r="A255" s="193">
        <v>59</v>
      </c>
      <c r="B255" s="88" t="s">
        <v>2138</v>
      </c>
      <c r="C255" s="102" t="s">
        <v>45</v>
      </c>
      <c r="D255" s="103">
        <f t="shared" si="18"/>
        <v>0.25</v>
      </c>
      <c r="E255" s="103"/>
      <c r="F255" s="103">
        <f t="shared" si="19"/>
        <v>0.25</v>
      </c>
      <c r="G255" s="103">
        <v>0.25</v>
      </c>
      <c r="H255" s="103"/>
      <c r="I255" s="103"/>
      <c r="J255" s="103"/>
      <c r="K255" s="230"/>
      <c r="L255" s="103"/>
      <c r="M255" s="103"/>
      <c r="N255" s="103"/>
      <c r="O255" s="103"/>
      <c r="P255" s="103"/>
      <c r="Q255" s="103"/>
      <c r="R255" s="103"/>
      <c r="S255" s="103"/>
      <c r="T255" s="103"/>
      <c r="U255" s="103"/>
      <c r="V255" s="103"/>
      <c r="W255" s="103"/>
      <c r="X255" s="103"/>
      <c r="Y255" s="103"/>
      <c r="Z255" s="103"/>
      <c r="AA255" s="103"/>
      <c r="AB255" s="103"/>
      <c r="AC255" s="103"/>
      <c r="AD255" s="103"/>
      <c r="AE255" s="103"/>
      <c r="AF255" s="103"/>
      <c r="AG255" s="103"/>
      <c r="AH255" s="103"/>
      <c r="AI255" s="103"/>
      <c r="AJ255" s="103"/>
      <c r="AK255" s="103"/>
      <c r="AL255" s="103"/>
      <c r="AM255" s="103"/>
      <c r="AN255" s="103"/>
      <c r="AO255" s="103"/>
      <c r="AP255" s="103"/>
      <c r="AQ255" s="103"/>
      <c r="AR255" s="103"/>
      <c r="AS255" s="103"/>
      <c r="AT255" s="34" t="s">
        <v>230</v>
      </c>
      <c r="AU255" s="34"/>
      <c r="AV255" s="140"/>
      <c r="AW255" s="140"/>
      <c r="AX255" s="39" t="s">
        <v>1920</v>
      </c>
      <c r="AY255" s="140" t="s">
        <v>1923</v>
      </c>
      <c r="AZ255" s="39" t="s">
        <v>2134</v>
      </c>
      <c r="BB255" s="41"/>
      <c r="BE255" s="15">
        <v>1</v>
      </c>
    </row>
    <row r="256" spans="1:58" ht="18" customHeight="1">
      <c r="A256" s="193">
        <v>60</v>
      </c>
      <c r="B256" s="88" t="s">
        <v>686</v>
      </c>
      <c r="C256" s="78" t="s">
        <v>45</v>
      </c>
      <c r="D256" s="103">
        <f t="shared" si="18"/>
        <v>0.84</v>
      </c>
      <c r="E256" s="103"/>
      <c r="F256" s="103">
        <f t="shared" si="19"/>
        <v>0.84</v>
      </c>
      <c r="G256" s="194"/>
      <c r="H256" s="195"/>
      <c r="I256" s="194"/>
      <c r="J256" s="194"/>
      <c r="K256" s="194">
        <v>0.84</v>
      </c>
      <c r="L256" s="195"/>
      <c r="M256" s="195">
        <v>0.84</v>
      </c>
      <c r="N256" s="195"/>
      <c r="O256" s="195"/>
      <c r="P256" s="195"/>
      <c r="Q256" s="195"/>
      <c r="R256" s="195"/>
      <c r="S256" s="195"/>
      <c r="T256" s="195"/>
      <c r="U256" s="195"/>
      <c r="V256" s="195"/>
      <c r="W256" s="195"/>
      <c r="X256" s="195"/>
      <c r="Y256" s="195"/>
      <c r="Z256" s="195"/>
      <c r="AA256" s="195"/>
      <c r="AB256" s="195"/>
      <c r="AC256" s="195"/>
      <c r="AD256" s="195"/>
      <c r="AE256" s="195"/>
      <c r="AF256" s="195"/>
      <c r="AG256" s="195"/>
      <c r="AH256" s="195"/>
      <c r="AI256" s="195"/>
      <c r="AJ256" s="195"/>
      <c r="AK256" s="195"/>
      <c r="AL256" s="195"/>
      <c r="AM256" s="195"/>
      <c r="AN256" s="195"/>
      <c r="AO256" s="195"/>
      <c r="AP256" s="195"/>
      <c r="AQ256" s="195"/>
      <c r="AR256" s="195"/>
      <c r="AS256" s="195"/>
      <c r="AT256" s="34" t="s">
        <v>233</v>
      </c>
      <c r="AU256" s="34"/>
      <c r="AV256" s="34"/>
      <c r="AW256" s="34"/>
      <c r="AX256" s="39" t="s">
        <v>1920</v>
      </c>
      <c r="AY256" s="34" t="s">
        <v>1917</v>
      </c>
      <c r="AZ256" s="39" t="s">
        <v>1926</v>
      </c>
      <c r="BB256" s="41"/>
      <c r="BC256" s="41"/>
      <c r="BF256" s="15">
        <v>1</v>
      </c>
    </row>
    <row r="257" spans="1:58" ht="18" customHeight="1">
      <c r="A257" s="193">
        <v>61</v>
      </c>
      <c r="B257" s="88" t="s">
        <v>687</v>
      </c>
      <c r="C257" s="78" t="s">
        <v>45</v>
      </c>
      <c r="D257" s="103">
        <f t="shared" si="18"/>
        <v>0.02</v>
      </c>
      <c r="E257" s="103"/>
      <c r="F257" s="103">
        <f t="shared" si="19"/>
        <v>0.02</v>
      </c>
      <c r="G257" s="194"/>
      <c r="H257" s="195"/>
      <c r="I257" s="194"/>
      <c r="J257" s="194">
        <v>0.02</v>
      </c>
      <c r="K257" s="228"/>
      <c r="L257" s="195"/>
      <c r="M257" s="195"/>
      <c r="N257" s="195"/>
      <c r="O257" s="195"/>
      <c r="P257" s="195"/>
      <c r="Q257" s="195"/>
      <c r="R257" s="195"/>
      <c r="S257" s="195"/>
      <c r="T257" s="195"/>
      <c r="U257" s="195"/>
      <c r="V257" s="195"/>
      <c r="W257" s="195"/>
      <c r="X257" s="195"/>
      <c r="Y257" s="195"/>
      <c r="Z257" s="195"/>
      <c r="AA257" s="195"/>
      <c r="AB257" s="195"/>
      <c r="AC257" s="195"/>
      <c r="AD257" s="195"/>
      <c r="AE257" s="195"/>
      <c r="AF257" s="195"/>
      <c r="AG257" s="195"/>
      <c r="AH257" s="195"/>
      <c r="AI257" s="195"/>
      <c r="AJ257" s="195"/>
      <c r="AK257" s="195"/>
      <c r="AL257" s="195"/>
      <c r="AM257" s="195"/>
      <c r="AN257" s="195"/>
      <c r="AO257" s="195"/>
      <c r="AP257" s="195"/>
      <c r="AQ257" s="195"/>
      <c r="AR257" s="195"/>
      <c r="AS257" s="195"/>
      <c r="AT257" s="34" t="s">
        <v>233</v>
      </c>
      <c r="AU257" s="34"/>
      <c r="AV257" s="34"/>
      <c r="AW257" s="34"/>
      <c r="AX257" s="39" t="s">
        <v>1920</v>
      </c>
      <c r="AY257" s="34" t="s">
        <v>1923</v>
      </c>
      <c r="AZ257" s="39" t="s">
        <v>1926</v>
      </c>
      <c r="BB257" s="41"/>
      <c r="BE257" s="15">
        <v>1</v>
      </c>
    </row>
    <row r="258" spans="1:58" ht="18" customHeight="1">
      <c r="A258" s="193">
        <v>62</v>
      </c>
      <c r="B258" s="88" t="s">
        <v>1846</v>
      </c>
      <c r="C258" s="78" t="s">
        <v>45</v>
      </c>
      <c r="D258" s="103">
        <f t="shared" si="18"/>
        <v>50</v>
      </c>
      <c r="E258" s="103"/>
      <c r="F258" s="103">
        <f t="shared" si="19"/>
        <v>50</v>
      </c>
      <c r="G258" s="194">
        <v>8</v>
      </c>
      <c r="H258" s="195"/>
      <c r="I258" s="194">
        <v>10</v>
      </c>
      <c r="J258" s="194">
        <v>10</v>
      </c>
      <c r="K258" s="194">
        <v>22</v>
      </c>
      <c r="L258" s="195"/>
      <c r="M258" s="195">
        <v>22</v>
      </c>
      <c r="N258" s="195"/>
      <c r="O258" s="195"/>
      <c r="P258" s="195"/>
      <c r="Q258" s="195"/>
      <c r="R258" s="195"/>
      <c r="S258" s="195"/>
      <c r="T258" s="195"/>
      <c r="U258" s="195"/>
      <c r="V258" s="195"/>
      <c r="W258" s="195"/>
      <c r="X258" s="195"/>
      <c r="Y258" s="195"/>
      <c r="Z258" s="195"/>
      <c r="AA258" s="195"/>
      <c r="AB258" s="195"/>
      <c r="AC258" s="195"/>
      <c r="AD258" s="195"/>
      <c r="AE258" s="195"/>
      <c r="AF258" s="195"/>
      <c r="AG258" s="195"/>
      <c r="AH258" s="195"/>
      <c r="AI258" s="195"/>
      <c r="AJ258" s="195"/>
      <c r="AK258" s="195"/>
      <c r="AL258" s="195"/>
      <c r="AM258" s="195"/>
      <c r="AN258" s="195"/>
      <c r="AO258" s="195"/>
      <c r="AP258" s="195"/>
      <c r="AQ258" s="195"/>
      <c r="AR258" s="195"/>
      <c r="AS258" s="195"/>
      <c r="AT258" s="34" t="s">
        <v>233</v>
      </c>
      <c r="AU258" s="34"/>
      <c r="AV258" s="34"/>
      <c r="AW258" s="34"/>
      <c r="AX258" s="39" t="s">
        <v>1920</v>
      </c>
      <c r="AY258" s="34" t="s">
        <v>1923</v>
      </c>
      <c r="AZ258" s="39" t="s">
        <v>1926</v>
      </c>
      <c r="BB258" s="41" t="s">
        <v>2139</v>
      </c>
      <c r="BC258" s="41"/>
      <c r="BE258" s="15">
        <v>1</v>
      </c>
    </row>
    <row r="259" spans="1:58" ht="18" customHeight="1">
      <c r="A259" s="193">
        <v>63</v>
      </c>
      <c r="B259" s="88" t="s">
        <v>708</v>
      </c>
      <c r="C259" s="102" t="s">
        <v>45</v>
      </c>
      <c r="D259" s="103">
        <f t="shared" si="18"/>
        <v>0.02</v>
      </c>
      <c r="E259" s="103"/>
      <c r="F259" s="103">
        <f t="shared" si="19"/>
        <v>0.02</v>
      </c>
      <c r="G259" s="195"/>
      <c r="H259" s="195">
        <v>0.02</v>
      </c>
      <c r="I259" s="195"/>
      <c r="J259" s="195"/>
      <c r="K259" s="228"/>
      <c r="L259" s="195"/>
      <c r="M259" s="195"/>
      <c r="N259" s="195"/>
      <c r="O259" s="195"/>
      <c r="P259" s="195"/>
      <c r="Q259" s="195"/>
      <c r="R259" s="195"/>
      <c r="S259" s="195"/>
      <c r="T259" s="195"/>
      <c r="U259" s="195"/>
      <c r="V259" s="195"/>
      <c r="W259" s="195"/>
      <c r="X259" s="195"/>
      <c r="Y259" s="195"/>
      <c r="Z259" s="195"/>
      <c r="AA259" s="195"/>
      <c r="AB259" s="195"/>
      <c r="AC259" s="195"/>
      <c r="AD259" s="195"/>
      <c r="AE259" s="195"/>
      <c r="AF259" s="195"/>
      <c r="AG259" s="195"/>
      <c r="AH259" s="195"/>
      <c r="AI259" s="195"/>
      <c r="AJ259" s="195"/>
      <c r="AK259" s="195"/>
      <c r="AL259" s="195"/>
      <c r="AM259" s="195"/>
      <c r="AN259" s="195"/>
      <c r="AO259" s="195"/>
      <c r="AP259" s="195"/>
      <c r="AQ259" s="195"/>
      <c r="AR259" s="195"/>
      <c r="AS259" s="195"/>
      <c r="AT259" s="34" t="s">
        <v>238</v>
      </c>
      <c r="AU259" s="34" t="s">
        <v>2140</v>
      </c>
      <c r="AV259" s="140"/>
      <c r="AW259" s="140"/>
      <c r="AX259" s="39" t="s">
        <v>1920</v>
      </c>
      <c r="AY259" s="140" t="s">
        <v>1923</v>
      </c>
      <c r="AZ259" s="39" t="s">
        <v>1924</v>
      </c>
      <c r="BA259" s="15" t="s">
        <v>710</v>
      </c>
      <c r="BB259" s="41"/>
      <c r="BE259" s="15">
        <v>1</v>
      </c>
    </row>
    <row r="260" spans="1:58" s="24" customFormat="1" ht="35.1" customHeight="1">
      <c r="A260" s="193">
        <v>64</v>
      </c>
      <c r="B260" s="33" t="s">
        <v>2141</v>
      </c>
      <c r="C260" s="102" t="s">
        <v>45</v>
      </c>
      <c r="D260" s="103">
        <v>12.811499999999997</v>
      </c>
      <c r="E260" s="103"/>
      <c r="F260" s="103">
        <v>12.811499999999997</v>
      </c>
      <c r="G260" s="103">
        <v>7.6689999999999996</v>
      </c>
      <c r="H260" s="103">
        <v>4.2724999999999982</v>
      </c>
      <c r="I260" s="103">
        <v>0.54</v>
      </c>
      <c r="J260" s="103">
        <v>0.32</v>
      </c>
      <c r="K260" s="103"/>
      <c r="L260" s="103"/>
      <c r="M260" s="103"/>
      <c r="N260" s="103"/>
      <c r="O260" s="103"/>
      <c r="P260" s="103"/>
      <c r="Q260" s="103"/>
      <c r="R260" s="103"/>
      <c r="S260" s="103"/>
      <c r="T260" s="103"/>
      <c r="U260" s="103"/>
      <c r="V260" s="103"/>
      <c r="W260" s="103"/>
      <c r="X260" s="103"/>
      <c r="Y260" s="103"/>
      <c r="Z260" s="103"/>
      <c r="AA260" s="103"/>
      <c r="AB260" s="103"/>
      <c r="AC260" s="103"/>
      <c r="AD260" s="103"/>
      <c r="AE260" s="103"/>
      <c r="AF260" s="103"/>
      <c r="AG260" s="103"/>
      <c r="AH260" s="103"/>
      <c r="AI260" s="103"/>
      <c r="AJ260" s="103"/>
      <c r="AK260" s="103"/>
      <c r="AL260" s="103"/>
      <c r="AM260" s="103"/>
      <c r="AN260" s="103">
        <v>0.01</v>
      </c>
      <c r="AO260" s="103"/>
      <c r="AP260" s="103"/>
      <c r="AQ260" s="103"/>
      <c r="AR260" s="103"/>
      <c r="AS260" s="103"/>
      <c r="AT260" s="103" t="s">
        <v>860</v>
      </c>
      <c r="AU260" s="103"/>
      <c r="AV260" s="34"/>
      <c r="AW260" s="34"/>
      <c r="AX260" s="39" t="s">
        <v>1920</v>
      </c>
      <c r="AY260" s="34" t="s">
        <v>1917</v>
      </c>
      <c r="AZ260" s="39" t="s">
        <v>1924</v>
      </c>
      <c r="BB260" s="41"/>
      <c r="BF260" s="24">
        <v>1</v>
      </c>
    </row>
    <row r="261" spans="1:58" ht="31.5" hidden="1" customHeight="1">
      <c r="A261" s="193"/>
      <c r="B261" s="60" t="s">
        <v>2142</v>
      </c>
      <c r="C261" s="102"/>
      <c r="D261" s="103"/>
      <c r="E261" s="103"/>
      <c r="F261" s="231">
        <v>0.03</v>
      </c>
      <c r="G261" s="103"/>
      <c r="H261" s="103"/>
      <c r="I261" s="103"/>
      <c r="J261" s="103"/>
      <c r="K261" s="103"/>
      <c r="L261" s="103"/>
      <c r="M261" s="103"/>
      <c r="N261" s="103"/>
      <c r="O261" s="103"/>
      <c r="P261" s="103"/>
      <c r="Q261" s="103"/>
      <c r="R261" s="103"/>
      <c r="S261" s="103"/>
      <c r="T261" s="103"/>
      <c r="U261" s="103"/>
      <c r="V261" s="103"/>
      <c r="W261" s="103"/>
      <c r="X261" s="103"/>
      <c r="Y261" s="103"/>
      <c r="Z261" s="103"/>
      <c r="AA261" s="103"/>
      <c r="AB261" s="103"/>
      <c r="AC261" s="103"/>
      <c r="AD261" s="103"/>
      <c r="AE261" s="103"/>
      <c r="AF261" s="103"/>
      <c r="AG261" s="103"/>
      <c r="AH261" s="103"/>
      <c r="AI261" s="103"/>
      <c r="AJ261" s="103"/>
      <c r="AK261" s="103"/>
      <c r="AL261" s="103"/>
      <c r="AM261" s="103"/>
      <c r="AN261" s="103"/>
      <c r="AO261" s="103"/>
      <c r="AP261" s="103"/>
      <c r="AQ261" s="103"/>
      <c r="AR261" s="103"/>
      <c r="AS261" s="103"/>
      <c r="AT261" s="103" t="s">
        <v>317</v>
      </c>
      <c r="AU261" s="103"/>
      <c r="AV261" s="34"/>
      <c r="AW261" s="34"/>
      <c r="AX261" s="39"/>
      <c r="AY261" s="34" t="s">
        <v>1923</v>
      </c>
      <c r="AZ261" s="39" t="s">
        <v>1924</v>
      </c>
      <c r="BB261" s="41"/>
    </row>
    <row r="262" spans="1:58" ht="31.5" hidden="1" customHeight="1">
      <c r="A262" s="193"/>
      <c r="B262" s="60" t="s">
        <v>2143</v>
      </c>
      <c r="C262" s="102"/>
      <c r="D262" s="103"/>
      <c r="E262" s="103"/>
      <c r="F262" s="231">
        <v>0.03</v>
      </c>
      <c r="G262" s="103"/>
      <c r="H262" s="103"/>
      <c r="I262" s="103"/>
      <c r="J262" s="103"/>
      <c r="K262" s="103"/>
      <c r="L262" s="103"/>
      <c r="M262" s="103"/>
      <c r="N262" s="103"/>
      <c r="O262" s="103"/>
      <c r="P262" s="103"/>
      <c r="Q262" s="103"/>
      <c r="R262" s="103"/>
      <c r="S262" s="103"/>
      <c r="T262" s="103"/>
      <c r="U262" s="103"/>
      <c r="V262" s="103"/>
      <c r="W262" s="103"/>
      <c r="X262" s="103"/>
      <c r="Y262" s="103"/>
      <c r="Z262" s="103"/>
      <c r="AA262" s="103"/>
      <c r="AB262" s="103"/>
      <c r="AC262" s="103"/>
      <c r="AD262" s="103"/>
      <c r="AE262" s="103"/>
      <c r="AF262" s="103"/>
      <c r="AG262" s="103"/>
      <c r="AH262" s="103"/>
      <c r="AI262" s="103"/>
      <c r="AJ262" s="103"/>
      <c r="AK262" s="103"/>
      <c r="AL262" s="103"/>
      <c r="AM262" s="103"/>
      <c r="AN262" s="103"/>
      <c r="AO262" s="103"/>
      <c r="AP262" s="103"/>
      <c r="AQ262" s="103"/>
      <c r="AR262" s="103"/>
      <c r="AS262" s="103"/>
      <c r="AT262" s="103" t="s">
        <v>317</v>
      </c>
      <c r="AU262" s="103"/>
      <c r="AV262" s="34"/>
      <c r="AW262" s="34"/>
      <c r="AX262" s="39"/>
      <c r="AY262" s="34" t="s">
        <v>1923</v>
      </c>
      <c r="AZ262" s="39" t="s">
        <v>1924</v>
      </c>
      <c r="BB262" s="41"/>
    </row>
    <row r="263" spans="1:58" ht="15.75" hidden="1" customHeight="1">
      <c r="A263" s="193"/>
      <c r="B263" s="60" t="s">
        <v>2144</v>
      </c>
      <c r="C263" s="102"/>
      <c r="D263" s="103"/>
      <c r="E263" s="103"/>
      <c r="F263" s="231">
        <v>0.01</v>
      </c>
      <c r="G263" s="103"/>
      <c r="H263" s="103"/>
      <c r="I263" s="103"/>
      <c r="J263" s="103"/>
      <c r="K263" s="103"/>
      <c r="L263" s="103"/>
      <c r="M263" s="103"/>
      <c r="N263" s="103"/>
      <c r="O263" s="103"/>
      <c r="P263" s="103"/>
      <c r="Q263" s="103"/>
      <c r="R263" s="103"/>
      <c r="S263" s="103"/>
      <c r="T263" s="103"/>
      <c r="U263" s="103"/>
      <c r="V263" s="103"/>
      <c r="W263" s="103"/>
      <c r="X263" s="103"/>
      <c r="Y263" s="103"/>
      <c r="Z263" s="103"/>
      <c r="AA263" s="103"/>
      <c r="AB263" s="103"/>
      <c r="AC263" s="103"/>
      <c r="AD263" s="103"/>
      <c r="AE263" s="103"/>
      <c r="AF263" s="103"/>
      <c r="AG263" s="103"/>
      <c r="AH263" s="103"/>
      <c r="AI263" s="103"/>
      <c r="AJ263" s="103"/>
      <c r="AK263" s="103"/>
      <c r="AL263" s="103"/>
      <c r="AM263" s="103"/>
      <c r="AN263" s="103"/>
      <c r="AO263" s="103"/>
      <c r="AP263" s="103"/>
      <c r="AQ263" s="103"/>
      <c r="AR263" s="103"/>
      <c r="AS263" s="103"/>
      <c r="AT263" s="103" t="s">
        <v>317</v>
      </c>
      <c r="AU263" s="103"/>
      <c r="AV263" s="34"/>
      <c r="AW263" s="34"/>
      <c r="AX263" s="39"/>
      <c r="AY263" s="34" t="s">
        <v>1923</v>
      </c>
      <c r="AZ263" s="39" t="s">
        <v>1924</v>
      </c>
      <c r="BB263" s="41"/>
    </row>
    <row r="264" spans="1:58" ht="15.75" hidden="1" customHeight="1">
      <c r="A264" s="193"/>
      <c r="B264" s="60" t="s">
        <v>2145</v>
      </c>
      <c r="C264" s="102"/>
      <c r="D264" s="103"/>
      <c r="E264" s="103"/>
      <c r="F264" s="231">
        <v>0.09</v>
      </c>
      <c r="G264" s="103"/>
      <c r="H264" s="103"/>
      <c r="I264" s="103"/>
      <c r="J264" s="103"/>
      <c r="K264" s="103"/>
      <c r="L264" s="103"/>
      <c r="M264" s="103"/>
      <c r="N264" s="103"/>
      <c r="O264" s="103"/>
      <c r="P264" s="103"/>
      <c r="Q264" s="103"/>
      <c r="R264" s="103"/>
      <c r="S264" s="103"/>
      <c r="T264" s="103"/>
      <c r="U264" s="103"/>
      <c r="V264" s="103"/>
      <c r="W264" s="103"/>
      <c r="X264" s="103"/>
      <c r="Y264" s="103"/>
      <c r="Z264" s="103"/>
      <c r="AA264" s="103"/>
      <c r="AB264" s="103"/>
      <c r="AC264" s="103"/>
      <c r="AD264" s="103"/>
      <c r="AE264" s="103"/>
      <c r="AF264" s="103"/>
      <c r="AG264" s="103"/>
      <c r="AH264" s="103"/>
      <c r="AI264" s="103"/>
      <c r="AJ264" s="103"/>
      <c r="AK264" s="103"/>
      <c r="AL264" s="103"/>
      <c r="AM264" s="103"/>
      <c r="AN264" s="103"/>
      <c r="AO264" s="103"/>
      <c r="AP264" s="103"/>
      <c r="AQ264" s="103"/>
      <c r="AR264" s="103"/>
      <c r="AS264" s="103"/>
      <c r="AT264" s="103" t="s">
        <v>317</v>
      </c>
      <c r="AU264" s="103"/>
      <c r="AV264" s="34"/>
      <c r="AW264" s="34"/>
      <c r="AX264" s="39"/>
      <c r="AY264" s="34" t="s">
        <v>1923</v>
      </c>
      <c r="AZ264" s="39" t="s">
        <v>1924</v>
      </c>
      <c r="BB264" s="41"/>
    </row>
    <row r="265" spans="1:58" ht="15.75" hidden="1" customHeight="1">
      <c r="A265" s="193"/>
      <c r="B265" s="60" t="s">
        <v>2146</v>
      </c>
      <c r="C265" s="102"/>
      <c r="D265" s="103"/>
      <c r="E265" s="103"/>
      <c r="F265" s="231">
        <v>0.04</v>
      </c>
      <c r="G265" s="103"/>
      <c r="H265" s="103"/>
      <c r="I265" s="103"/>
      <c r="J265" s="103"/>
      <c r="K265" s="103"/>
      <c r="L265" s="103"/>
      <c r="M265" s="103"/>
      <c r="N265" s="103"/>
      <c r="O265" s="103"/>
      <c r="P265" s="103"/>
      <c r="Q265" s="103"/>
      <c r="R265" s="103"/>
      <c r="S265" s="103"/>
      <c r="T265" s="103"/>
      <c r="U265" s="103"/>
      <c r="V265" s="103"/>
      <c r="W265" s="103"/>
      <c r="X265" s="103"/>
      <c r="Y265" s="103"/>
      <c r="Z265" s="103"/>
      <c r="AA265" s="103"/>
      <c r="AB265" s="103"/>
      <c r="AC265" s="103"/>
      <c r="AD265" s="103"/>
      <c r="AE265" s="103"/>
      <c r="AF265" s="103"/>
      <c r="AG265" s="103"/>
      <c r="AH265" s="103"/>
      <c r="AI265" s="103"/>
      <c r="AJ265" s="103"/>
      <c r="AK265" s="103"/>
      <c r="AL265" s="103"/>
      <c r="AM265" s="103"/>
      <c r="AN265" s="103"/>
      <c r="AO265" s="103"/>
      <c r="AP265" s="103"/>
      <c r="AQ265" s="103"/>
      <c r="AR265" s="103"/>
      <c r="AS265" s="103"/>
      <c r="AT265" s="103" t="s">
        <v>317</v>
      </c>
      <c r="AU265" s="103"/>
      <c r="AV265" s="34"/>
      <c r="AW265" s="34"/>
      <c r="AX265" s="39"/>
      <c r="AY265" s="34" t="s">
        <v>1923</v>
      </c>
      <c r="AZ265" s="39" t="s">
        <v>1924</v>
      </c>
      <c r="BB265" s="41"/>
    </row>
    <row r="266" spans="1:58" ht="31.5" hidden="1" customHeight="1">
      <c r="A266" s="193"/>
      <c r="B266" s="60" t="s">
        <v>2147</v>
      </c>
      <c r="C266" s="102"/>
      <c r="D266" s="103"/>
      <c r="E266" s="103"/>
      <c r="F266" s="231">
        <v>7.0000000000000007E-2</v>
      </c>
      <c r="G266" s="103"/>
      <c r="H266" s="103"/>
      <c r="I266" s="103"/>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03"/>
      <c r="AH266" s="103"/>
      <c r="AI266" s="103"/>
      <c r="AJ266" s="103"/>
      <c r="AK266" s="103"/>
      <c r="AL266" s="103"/>
      <c r="AM266" s="103"/>
      <c r="AN266" s="103"/>
      <c r="AO266" s="103"/>
      <c r="AP266" s="103"/>
      <c r="AQ266" s="103"/>
      <c r="AR266" s="103"/>
      <c r="AS266" s="103"/>
      <c r="AT266" s="103" t="s">
        <v>317</v>
      </c>
      <c r="AU266" s="103"/>
      <c r="AV266" s="34"/>
      <c r="AW266" s="34"/>
      <c r="AX266" s="39"/>
      <c r="AY266" s="34" t="s">
        <v>1923</v>
      </c>
      <c r="AZ266" s="39" t="s">
        <v>1924</v>
      </c>
      <c r="BB266" s="41"/>
    </row>
    <row r="267" spans="1:58" s="97" customFormat="1" ht="15.75" hidden="1" customHeight="1">
      <c r="A267" s="220"/>
      <c r="B267" s="60" t="s">
        <v>650</v>
      </c>
      <c r="C267" s="102" t="s">
        <v>45</v>
      </c>
      <c r="D267" s="231">
        <v>0.4</v>
      </c>
      <c r="E267" s="103"/>
      <c r="F267" s="231">
        <v>0.4</v>
      </c>
      <c r="G267" s="231">
        <v>0.4</v>
      </c>
      <c r="H267" s="103"/>
      <c r="I267" s="103"/>
      <c r="J267" s="103"/>
      <c r="K267" s="103"/>
      <c r="L267" s="103"/>
      <c r="M267" s="103"/>
      <c r="N267" s="103"/>
      <c r="O267" s="103"/>
      <c r="P267" s="103"/>
      <c r="Q267" s="103"/>
      <c r="R267" s="103"/>
      <c r="S267" s="103"/>
      <c r="T267" s="103"/>
      <c r="U267" s="103"/>
      <c r="V267" s="103"/>
      <c r="W267" s="103"/>
      <c r="X267" s="103"/>
      <c r="Y267" s="103"/>
      <c r="Z267" s="103"/>
      <c r="AA267" s="103"/>
      <c r="AB267" s="103"/>
      <c r="AC267" s="103"/>
      <c r="AD267" s="103"/>
      <c r="AE267" s="103"/>
      <c r="AF267" s="103"/>
      <c r="AG267" s="103"/>
      <c r="AH267" s="103"/>
      <c r="AI267" s="103"/>
      <c r="AJ267" s="103"/>
      <c r="AK267" s="103"/>
      <c r="AL267" s="103"/>
      <c r="AM267" s="103"/>
      <c r="AN267" s="103"/>
      <c r="AO267" s="103"/>
      <c r="AP267" s="103"/>
      <c r="AQ267" s="103"/>
      <c r="AR267" s="103"/>
      <c r="AS267" s="103"/>
      <c r="AT267" s="34" t="s">
        <v>223</v>
      </c>
      <c r="AU267" s="103"/>
      <c r="AV267" s="34"/>
      <c r="AW267" s="34"/>
      <c r="AX267" s="39"/>
      <c r="AY267" s="140" t="s">
        <v>1923</v>
      </c>
      <c r="AZ267" s="63" t="s">
        <v>1924</v>
      </c>
      <c r="BA267" s="110"/>
      <c r="BB267" s="202"/>
    </row>
    <row r="268" spans="1:58" s="97" customFormat="1" ht="15.75" hidden="1" customHeight="1">
      <c r="A268" s="220"/>
      <c r="B268" s="60" t="s">
        <v>651</v>
      </c>
      <c r="C268" s="102" t="s">
        <v>45</v>
      </c>
      <c r="D268" s="231">
        <v>0.25</v>
      </c>
      <c r="E268" s="103"/>
      <c r="F268" s="231">
        <v>0.25</v>
      </c>
      <c r="G268" s="231">
        <v>0.25</v>
      </c>
      <c r="H268" s="103"/>
      <c r="I268" s="103"/>
      <c r="J268" s="103"/>
      <c r="K268" s="103"/>
      <c r="L268" s="103"/>
      <c r="M268" s="103"/>
      <c r="N268" s="103"/>
      <c r="O268" s="103"/>
      <c r="P268" s="103"/>
      <c r="Q268" s="103"/>
      <c r="R268" s="103"/>
      <c r="S268" s="103"/>
      <c r="T268" s="103"/>
      <c r="U268" s="103"/>
      <c r="V268" s="103"/>
      <c r="W268" s="103"/>
      <c r="X268" s="103"/>
      <c r="Y268" s="103"/>
      <c r="Z268" s="103"/>
      <c r="AA268" s="103"/>
      <c r="AB268" s="103"/>
      <c r="AC268" s="103"/>
      <c r="AD268" s="103"/>
      <c r="AE268" s="103"/>
      <c r="AF268" s="103"/>
      <c r="AG268" s="103"/>
      <c r="AH268" s="103"/>
      <c r="AI268" s="103"/>
      <c r="AJ268" s="103"/>
      <c r="AK268" s="103"/>
      <c r="AL268" s="103"/>
      <c r="AM268" s="103"/>
      <c r="AN268" s="103"/>
      <c r="AO268" s="103"/>
      <c r="AP268" s="103"/>
      <c r="AQ268" s="103"/>
      <c r="AR268" s="103"/>
      <c r="AS268" s="103"/>
      <c r="AT268" s="34" t="s">
        <v>223</v>
      </c>
      <c r="AU268" s="103"/>
      <c r="AV268" s="34"/>
      <c r="AW268" s="34"/>
      <c r="AX268" s="39"/>
      <c r="AY268" s="140" t="s">
        <v>1923</v>
      </c>
      <c r="AZ268" s="63" t="s">
        <v>1924</v>
      </c>
      <c r="BA268" s="110"/>
      <c r="BB268" s="202"/>
    </row>
    <row r="269" spans="1:58" s="97" customFormat="1" ht="15.75" hidden="1" customHeight="1">
      <c r="A269" s="220"/>
      <c r="B269" s="60" t="s">
        <v>652</v>
      </c>
      <c r="C269" s="102" t="s">
        <v>45</v>
      </c>
      <c r="D269" s="231">
        <v>0.5</v>
      </c>
      <c r="E269" s="103"/>
      <c r="F269" s="231">
        <v>0.5</v>
      </c>
      <c r="G269" s="231">
        <v>0.5</v>
      </c>
      <c r="H269" s="103"/>
      <c r="I269" s="103"/>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03"/>
      <c r="AH269" s="103"/>
      <c r="AI269" s="103"/>
      <c r="AJ269" s="103"/>
      <c r="AK269" s="103"/>
      <c r="AL269" s="103"/>
      <c r="AM269" s="103"/>
      <c r="AN269" s="103"/>
      <c r="AO269" s="103"/>
      <c r="AP269" s="103"/>
      <c r="AQ269" s="103"/>
      <c r="AR269" s="103"/>
      <c r="AS269" s="103"/>
      <c r="AT269" s="34" t="s">
        <v>223</v>
      </c>
      <c r="AU269" s="103"/>
      <c r="AV269" s="34"/>
      <c r="AW269" s="34"/>
      <c r="AX269" s="39"/>
      <c r="AY269" s="140" t="s">
        <v>1923</v>
      </c>
      <c r="AZ269" s="63" t="s">
        <v>1924</v>
      </c>
      <c r="BA269" s="110"/>
      <c r="BB269" s="202"/>
    </row>
    <row r="270" spans="1:58" s="97" customFormat="1" ht="15.75" hidden="1" customHeight="1">
      <c r="A270" s="220"/>
      <c r="B270" s="60" t="s">
        <v>653</v>
      </c>
      <c r="C270" s="102" t="s">
        <v>45</v>
      </c>
      <c r="D270" s="231">
        <v>0.18</v>
      </c>
      <c r="E270" s="103"/>
      <c r="F270" s="231">
        <v>0.18</v>
      </c>
      <c r="G270" s="231">
        <v>0.18</v>
      </c>
      <c r="H270" s="103"/>
      <c r="I270" s="103"/>
      <c r="J270" s="103"/>
      <c r="K270" s="103"/>
      <c r="L270" s="103"/>
      <c r="M270" s="103"/>
      <c r="N270" s="103"/>
      <c r="O270" s="103"/>
      <c r="P270" s="103"/>
      <c r="Q270" s="103"/>
      <c r="R270" s="103"/>
      <c r="S270" s="103"/>
      <c r="T270" s="103"/>
      <c r="U270" s="103"/>
      <c r="V270" s="103"/>
      <c r="W270" s="103"/>
      <c r="X270" s="103"/>
      <c r="Y270" s="103"/>
      <c r="Z270" s="103"/>
      <c r="AA270" s="103"/>
      <c r="AB270" s="103"/>
      <c r="AC270" s="103"/>
      <c r="AD270" s="103"/>
      <c r="AE270" s="103"/>
      <c r="AF270" s="103"/>
      <c r="AG270" s="103"/>
      <c r="AH270" s="103"/>
      <c r="AI270" s="103"/>
      <c r="AJ270" s="103"/>
      <c r="AK270" s="103"/>
      <c r="AL270" s="103"/>
      <c r="AM270" s="103"/>
      <c r="AN270" s="103"/>
      <c r="AO270" s="103"/>
      <c r="AP270" s="103"/>
      <c r="AQ270" s="103"/>
      <c r="AR270" s="103"/>
      <c r="AS270" s="103"/>
      <c r="AT270" s="34" t="s">
        <v>223</v>
      </c>
      <c r="AU270" s="103"/>
      <c r="AV270" s="34"/>
      <c r="AW270" s="34"/>
      <c r="AX270" s="39"/>
      <c r="AY270" s="140" t="s">
        <v>1923</v>
      </c>
      <c r="AZ270" s="63" t="s">
        <v>1924</v>
      </c>
      <c r="BA270" s="110"/>
      <c r="BB270" s="202"/>
    </row>
    <row r="271" spans="1:58" s="97" customFormat="1" ht="15.75" hidden="1" customHeight="1">
      <c r="A271" s="220"/>
      <c r="B271" s="60" t="s">
        <v>654</v>
      </c>
      <c r="C271" s="102" t="s">
        <v>45</v>
      </c>
      <c r="D271" s="231">
        <v>0.1</v>
      </c>
      <c r="E271" s="103"/>
      <c r="F271" s="231">
        <v>0.1</v>
      </c>
      <c r="G271" s="231">
        <v>0.1</v>
      </c>
      <c r="H271" s="103"/>
      <c r="I271" s="103"/>
      <c r="J271" s="103"/>
      <c r="K271" s="103"/>
      <c r="L271" s="103"/>
      <c r="M271" s="103"/>
      <c r="N271" s="103"/>
      <c r="O271" s="103"/>
      <c r="P271" s="103"/>
      <c r="Q271" s="103"/>
      <c r="R271" s="103"/>
      <c r="S271" s="103"/>
      <c r="T271" s="103"/>
      <c r="U271" s="103"/>
      <c r="V271" s="103"/>
      <c r="W271" s="103"/>
      <c r="X271" s="103"/>
      <c r="Y271" s="103"/>
      <c r="Z271" s="103"/>
      <c r="AA271" s="103"/>
      <c r="AB271" s="103"/>
      <c r="AC271" s="103"/>
      <c r="AD271" s="103"/>
      <c r="AE271" s="103"/>
      <c r="AF271" s="103"/>
      <c r="AG271" s="103"/>
      <c r="AH271" s="103"/>
      <c r="AI271" s="103"/>
      <c r="AJ271" s="103"/>
      <c r="AK271" s="103"/>
      <c r="AL271" s="103"/>
      <c r="AM271" s="103"/>
      <c r="AN271" s="103"/>
      <c r="AO271" s="103"/>
      <c r="AP271" s="103"/>
      <c r="AQ271" s="103"/>
      <c r="AR271" s="103"/>
      <c r="AS271" s="103"/>
      <c r="AT271" s="34" t="s">
        <v>223</v>
      </c>
      <c r="AU271" s="103"/>
      <c r="AV271" s="34"/>
      <c r="AW271" s="34"/>
      <c r="AX271" s="39"/>
      <c r="AY271" s="140" t="s">
        <v>1923</v>
      </c>
      <c r="AZ271" s="63" t="s">
        <v>1924</v>
      </c>
      <c r="BA271" s="110"/>
      <c r="BB271" s="202"/>
    </row>
    <row r="272" spans="1:58" s="97" customFormat="1" ht="15.75" hidden="1" customHeight="1">
      <c r="A272" s="220"/>
      <c r="B272" s="60" t="s">
        <v>655</v>
      </c>
      <c r="C272" s="102" t="s">
        <v>45</v>
      </c>
      <c r="D272" s="231">
        <v>0.08</v>
      </c>
      <c r="E272" s="103"/>
      <c r="F272" s="231">
        <v>0.08</v>
      </c>
      <c r="G272" s="231">
        <v>0.08</v>
      </c>
      <c r="H272" s="103"/>
      <c r="I272" s="103"/>
      <c r="J272" s="103"/>
      <c r="K272" s="103"/>
      <c r="L272" s="103"/>
      <c r="M272" s="103"/>
      <c r="N272" s="103"/>
      <c r="O272" s="103"/>
      <c r="P272" s="103"/>
      <c r="Q272" s="103"/>
      <c r="R272" s="103"/>
      <c r="S272" s="103"/>
      <c r="T272" s="103"/>
      <c r="U272" s="103"/>
      <c r="V272" s="103"/>
      <c r="W272" s="103"/>
      <c r="X272" s="103"/>
      <c r="Y272" s="103"/>
      <c r="Z272" s="103"/>
      <c r="AA272" s="103"/>
      <c r="AB272" s="103"/>
      <c r="AC272" s="103"/>
      <c r="AD272" s="103"/>
      <c r="AE272" s="103"/>
      <c r="AF272" s="103"/>
      <c r="AG272" s="103"/>
      <c r="AH272" s="103"/>
      <c r="AI272" s="103"/>
      <c r="AJ272" s="103"/>
      <c r="AK272" s="103"/>
      <c r="AL272" s="103"/>
      <c r="AM272" s="103"/>
      <c r="AN272" s="103"/>
      <c r="AO272" s="103"/>
      <c r="AP272" s="103"/>
      <c r="AQ272" s="103"/>
      <c r="AR272" s="103"/>
      <c r="AS272" s="103"/>
      <c r="AT272" s="34" t="s">
        <v>223</v>
      </c>
      <c r="AU272" s="103"/>
      <c r="AV272" s="34"/>
      <c r="AW272" s="34"/>
      <c r="AX272" s="39"/>
      <c r="AY272" s="140" t="s">
        <v>1923</v>
      </c>
      <c r="AZ272" s="63" t="s">
        <v>1924</v>
      </c>
      <c r="BA272" s="110"/>
      <c r="BB272" s="202"/>
    </row>
    <row r="273" spans="1:55" s="97" customFormat="1" ht="15.75" hidden="1" customHeight="1">
      <c r="A273" s="220"/>
      <c r="B273" s="60" t="s">
        <v>656</v>
      </c>
      <c r="C273" s="102" t="s">
        <v>45</v>
      </c>
      <c r="D273" s="231">
        <v>0.4</v>
      </c>
      <c r="E273" s="103"/>
      <c r="F273" s="231">
        <v>0.4</v>
      </c>
      <c r="G273" s="231">
        <v>0.4</v>
      </c>
      <c r="H273" s="103"/>
      <c r="I273" s="103"/>
      <c r="J273" s="103"/>
      <c r="K273" s="103"/>
      <c r="L273" s="103"/>
      <c r="M273" s="103"/>
      <c r="N273" s="103"/>
      <c r="O273" s="103"/>
      <c r="P273" s="103"/>
      <c r="Q273" s="103"/>
      <c r="R273" s="103"/>
      <c r="S273" s="103"/>
      <c r="T273" s="103"/>
      <c r="U273" s="103"/>
      <c r="V273" s="103"/>
      <c r="W273" s="103"/>
      <c r="X273" s="103"/>
      <c r="Y273" s="103"/>
      <c r="Z273" s="103"/>
      <c r="AA273" s="103"/>
      <c r="AB273" s="103"/>
      <c r="AC273" s="103"/>
      <c r="AD273" s="103"/>
      <c r="AE273" s="103"/>
      <c r="AF273" s="103"/>
      <c r="AG273" s="103"/>
      <c r="AH273" s="103"/>
      <c r="AI273" s="103"/>
      <c r="AJ273" s="103"/>
      <c r="AK273" s="103"/>
      <c r="AL273" s="103"/>
      <c r="AM273" s="103"/>
      <c r="AN273" s="103"/>
      <c r="AO273" s="103"/>
      <c r="AP273" s="103"/>
      <c r="AQ273" s="103"/>
      <c r="AR273" s="103"/>
      <c r="AS273" s="103"/>
      <c r="AT273" s="34" t="s">
        <v>223</v>
      </c>
      <c r="AU273" s="103"/>
      <c r="AV273" s="34"/>
      <c r="AW273" s="34"/>
      <c r="AX273" s="39"/>
      <c r="AY273" s="140" t="s">
        <v>1923</v>
      </c>
      <c r="AZ273" s="63" t="s">
        <v>1924</v>
      </c>
      <c r="BA273" s="110"/>
      <c r="BB273" s="202"/>
    </row>
    <row r="274" spans="1:55" s="97" customFormat="1" ht="15.75" hidden="1" customHeight="1">
      <c r="A274" s="220"/>
      <c r="B274" s="60" t="s">
        <v>657</v>
      </c>
      <c r="C274" s="102" t="s">
        <v>45</v>
      </c>
      <c r="D274" s="231">
        <v>0.3</v>
      </c>
      <c r="E274" s="103"/>
      <c r="F274" s="231">
        <v>0.3</v>
      </c>
      <c r="G274" s="231">
        <v>0.3</v>
      </c>
      <c r="H274" s="103"/>
      <c r="I274" s="103"/>
      <c r="J274" s="103"/>
      <c r="K274" s="103"/>
      <c r="L274" s="103"/>
      <c r="M274" s="103"/>
      <c r="N274" s="103"/>
      <c r="O274" s="103"/>
      <c r="P274" s="103"/>
      <c r="Q274" s="103"/>
      <c r="R274" s="103"/>
      <c r="S274" s="103"/>
      <c r="T274" s="103"/>
      <c r="U274" s="103"/>
      <c r="V274" s="103"/>
      <c r="W274" s="103"/>
      <c r="X274" s="103"/>
      <c r="Y274" s="103"/>
      <c r="Z274" s="103"/>
      <c r="AA274" s="103"/>
      <c r="AB274" s="103"/>
      <c r="AC274" s="103"/>
      <c r="AD274" s="103"/>
      <c r="AE274" s="103"/>
      <c r="AF274" s="103"/>
      <c r="AG274" s="103"/>
      <c r="AH274" s="103"/>
      <c r="AI274" s="103"/>
      <c r="AJ274" s="103"/>
      <c r="AK274" s="103"/>
      <c r="AL274" s="103"/>
      <c r="AM274" s="103"/>
      <c r="AN274" s="103"/>
      <c r="AO274" s="103"/>
      <c r="AP274" s="103"/>
      <c r="AQ274" s="103"/>
      <c r="AR274" s="103"/>
      <c r="AS274" s="103"/>
      <c r="AT274" s="34" t="s">
        <v>223</v>
      </c>
      <c r="AU274" s="103"/>
      <c r="AV274" s="34"/>
      <c r="AW274" s="34"/>
      <c r="AX274" s="39"/>
      <c r="AY274" s="140" t="s">
        <v>1923</v>
      </c>
      <c r="AZ274" s="63" t="s">
        <v>1924</v>
      </c>
      <c r="BA274" s="110"/>
      <c r="BB274" s="202"/>
    </row>
    <row r="275" spans="1:55" s="97" customFormat="1" ht="15.75" hidden="1" customHeight="1">
      <c r="A275" s="220"/>
      <c r="B275" s="60" t="s">
        <v>658</v>
      </c>
      <c r="C275" s="102" t="s">
        <v>45</v>
      </c>
      <c r="D275" s="231">
        <v>0.25</v>
      </c>
      <c r="E275" s="103"/>
      <c r="F275" s="231">
        <v>0.25</v>
      </c>
      <c r="G275" s="231">
        <v>0.25</v>
      </c>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3"/>
      <c r="AF275" s="103"/>
      <c r="AG275" s="103"/>
      <c r="AH275" s="103"/>
      <c r="AI275" s="103"/>
      <c r="AJ275" s="103"/>
      <c r="AK275" s="103"/>
      <c r="AL275" s="103"/>
      <c r="AM275" s="103"/>
      <c r="AN275" s="103"/>
      <c r="AO275" s="103"/>
      <c r="AP275" s="103"/>
      <c r="AQ275" s="103"/>
      <c r="AR275" s="103"/>
      <c r="AS275" s="103"/>
      <c r="AT275" s="34" t="s">
        <v>223</v>
      </c>
      <c r="AU275" s="103"/>
      <c r="AV275" s="34"/>
      <c r="AW275" s="34"/>
      <c r="AX275" s="39"/>
      <c r="AY275" s="140" t="s">
        <v>1923</v>
      </c>
      <c r="AZ275" s="63" t="s">
        <v>1924</v>
      </c>
      <c r="BA275" s="110"/>
      <c r="BB275" s="202"/>
    </row>
    <row r="276" spans="1:55" s="97" customFormat="1" ht="15.75" hidden="1" customHeight="1">
      <c r="A276" s="220"/>
      <c r="B276" s="60" t="s">
        <v>659</v>
      </c>
      <c r="C276" s="102" t="s">
        <v>45</v>
      </c>
      <c r="D276" s="231">
        <v>0.04</v>
      </c>
      <c r="E276" s="103"/>
      <c r="F276" s="231">
        <v>0.04</v>
      </c>
      <c r="G276" s="231">
        <v>0.04</v>
      </c>
      <c r="H276" s="103"/>
      <c r="I276" s="103"/>
      <c r="J276" s="103"/>
      <c r="K276" s="103"/>
      <c r="L276" s="103"/>
      <c r="M276" s="103"/>
      <c r="N276" s="103"/>
      <c r="O276" s="103"/>
      <c r="P276" s="103"/>
      <c r="Q276" s="103"/>
      <c r="R276" s="103"/>
      <c r="S276" s="103"/>
      <c r="T276" s="103"/>
      <c r="U276" s="103"/>
      <c r="V276" s="103"/>
      <c r="W276" s="103"/>
      <c r="X276" s="103"/>
      <c r="Y276" s="103"/>
      <c r="Z276" s="103"/>
      <c r="AA276" s="103"/>
      <c r="AB276" s="103"/>
      <c r="AC276" s="103"/>
      <c r="AD276" s="103"/>
      <c r="AE276" s="103"/>
      <c r="AF276" s="103"/>
      <c r="AG276" s="103"/>
      <c r="AH276" s="103"/>
      <c r="AI276" s="103"/>
      <c r="AJ276" s="103"/>
      <c r="AK276" s="103"/>
      <c r="AL276" s="103"/>
      <c r="AM276" s="103"/>
      <c r="AN276" s="103"/>
      <c r="AO276" s="103"/>
      <c r="AP276" s="103"/>
      <c r="AQ276" s="103"/>
      <c r="AR276" s="103"/>
      <c r="AS276" s="103"/>
      <c r="AT276" s="34" t="s">
        <v>223</v>
      </c>
      <c r="AU276" s="103"/>
      <c r="AV276" s="34"/>
      <c r="AW276" s="34"/>
      <c r="AX276" s="39"/>
      <c r="AY276" s="140" t="s">
        <v>1923</v>
      </c>
      <c r="AZ276" s="63" t="s">
        <v>1924</v>
      </c>
      <c r="BA276" s="110"/>
      <c r="BB276" s="202"/>
    </row>
    <row r="277" spans="1:55" s="97" customFormat="1" ht="15.75" hidden="1" customHeight="1">
      <c r="A277" s="220"/>
      <c r="B277" s="60" t="s">
        <v>660</v>
      </c>
      <c r="C277" s="102" t="s">
        <v>45</v>
      </c>
      <c r="D277" s="231">
        <v>0.21</v>
      </c>
      <c r="E277" s="103"/>
      <c r="F277" s="231">
        <v>0.21</v>
      </c>
      <c r="G277" s="231">
        <v>0.21</v>
      </c>
      <c r="H277" s="103"/>
      <c r="I277" s="103"/>
      <c r="J277" s="103"/>
      <c r="K277" s="103"/>
      <c r="L277" s="103"/>
      <c r="M277" s="103"/>
      <c r="N277" s="103"/>
      <c r="O277" s="103"/>
      <c r="P277" s="103"/>
      <c r="Q277" s="103"/>
      <c r="R277" s="103"/>
      <c r="S277" s="103"/>
      <c r="T277" s="103"/>
      <c r="U277" s="103"/>
      <c r="V277" s="103"/>
      <c r="W277" s="103"/>
      <c r="X277" s="103"/>
      <c r="Y277" s="103"/>
      <c r="Z277" s="103"/>
      <c r="AA277" s="103"/>
      <c r="AB277" s="103"/>
      <c r="AC277" s="103"/>
      <c r="AD277" s="103"/>
      <c r="AE277" s="103"/>
      <c r="AF277" s="103"/>
      <c r="AG277" s="103"/>
      <c r="AH277" s="103"/>
      <c r="AI277" s="103"/>
      <c r="AJ277" s="103"/>
      <c r="AK277" s="103"/>
      <c r="AL277" s="103"/>
      <c r="AM277" s="103"/>
      <c r="AN277" s="103"/>
      <c r="AO277" s="103"/>
      <c r="AP277" s="103"/>
      <c r="AQ277" s="103"/>
      <c r="AR277" s="103"/>
      <c r="AS277" s="103"/>
      <c r="AT277" s="34" t="s">
        <v>223</v>
      </c>
      <c r="AU277" s="103"/>
      <c r="AV277" s="34"/>
      <c r="AW277" s="34"/>
      <c r="AX277" s="39"/>
      <c r="AY277" s="140" t="s">
        <v>1923</v>
      </c>
      <c r="AZ277" s="63" t="s">
        <v>1924</v>
      </c>
      <c r="BA277" s="110"/>
      <c r="BB277" s="202"/>
    </row>
    <row r="278" spans="1:55" s="97" customFormat="1" ht="15.75" hidden="1" customHeight="1">
      <c r="A278" s="220"/>
      <c r="B278" s="60" t="s">
        <v>661</v>
      </c>
      <c r="C278" s="102" t="s">
        <v>45</v>
      </c>
      <c r="D278" s="231">
        <v>0.42</v>
      </c>
      <c r="E278" s="103"/>
      <c r="F278" s="231">
        <v>0.42</v>
      </c>
      <c r="G278" s="231">
        <v>0.42</v>
      </c>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3"/>
      <c r="AF278" s="103"/>
      <c r="AG278" s="103"/>
      <c r="AH278" s="103"/>
      <c r="AI278" s="103"/>
      <c r="AJ278" s="103"/>
      <c r="AK278" s="103"/>
      <c r="AL278" s="103"/>
      <c r="AM278" s="103"/>
      <c r="AN278" s="103"/>
      <c r="AO278" s="103"/>
      <c r="AP278" s="103"/>
      <c r="AQ278" s="103"/>
      <c r="AR278" s="103"/>
      <c r="AS278" s="103"/>
      <c r="AT278" s="34" t="s">
        <v>223</v>
      </c>
      <c r="AU278" s="103"/>
      <c r="AV278" s="34"/>
      <c r="AW278" s="34"/>
      <c r="AX278" s="39"/>
      <c r="AY278" s="140" t="s">
        <v>1923</v>
      </c>
      <c r="AZ278" s="63" t="s">
        <v>1924</v>
      </c>
      <c r="BA278" s="110"/>
      <c r="BB278" s="202"/>
    </row>
    <row r="279" spans="1:55" s="97" customFormat="1" ht="15.75" hidden="1" customHeight="1">
      <c r="A279" s="220"/>
      <c r="B279" s="60" t="s">
        <v>662</v>
      </c>
      <c r="C279" s="102" t="s">
        <v>45</v>
      </c>
      <c r="D279" s="231">
        <v>0.4</v>
      </c>
      <c r="E279" s="103"/>
      <c r="F279" s="231">
        <v>0.4</v>
      </c>
      <c r="G279" s="231">
        <v>0.4</v>
      </c>
      <c r="H279" s="103"/>
      <c r="I279" s="103"/>
      <c r="J279" s="103"/>
      <c r="K279" s="103"/>
      <c r="L279" s="103"/>
      <c r="M279" s="103"/>
      <c r="N279" s="103"/>
      <c r="O279" s="103"/>
      <c r="P279" s="103"/>
      <c r="Q279" s="103"/>
      <c r="R279" s="103"/>
      <c r="S279" s="103"/>
      <c r="T279" s="103"/>
      <c r="U279" s="103"/>
      <c r="V279" s="103"/>
      <c r="W279" s="103"/>
      <c r="X279" s="103"/>
      <c r="Y279" s="103"/>
      <c r="Z279" s="103"/>
      <c r="AA279" s="103"/>
      <c r="AB279" s="103"/>
      <c r="AC279" s="103"/>
      <c r="AD279" s="103"/>
      <c r="AE279" s="103"/>
      <c r="AF279" s="103"/>
      <c r="AG279" s="103"/>
      <c r="AH279" s="103"/>
      <c r="AI279" s="103"/>
      <c r="AJ279" s="103"/>
      <c r="AK279" s="103"/>
      <c r="AL279" s="103"/>
      <c r="AM279" s="103"/>
      <c r="AN279" s="103"/>
      <c r="AO279" s="103"/>
      <c r="AP279" s="103"/>
      <c r="AQ279" s="103"/>
      <c r="AR279" s="103"/>
      <c r="AS279" s="103"/>
      <c r="AT279" s="34" t="s">
        <v>223</v>
      </c>
      <c r="AU279" s="103"/>
      <c r="AV279" s="34"/>
      <c r="AW279" s="34"/>
      <c r="AX279" s="39"/>
      <c r="AY279" s="140" t="s">
        <v>1923</v>
      </c>
      <c r="AZ279" s="63" t="s">
        <v>1924</v>
      </c>
      <c r="BA279" s="110"/>
      <c r="BB279" s="202"/>
    </row>
    <row r="280" spans="1:55" s="97" customFormat="1" ht="15.75" hidden="1" customHeight="1">
      <c r="A280" s="220"/>
      <c r="B280" s="60" t="s">
        <v>663</v>
      </c>
      <c r="C280" s="102" t="s">
        <v>45</v>
      </c>
      <c r="D280" s="231">
        <v>0.28000000000000003</v>
      </c>
      <c r="E280" s="103"/>
      <c r="F280" s="231">
        <v>0.28000000000000003</v>
      </c>
      <c r="G280" s="231">
        <v>0.28000000000000003</v>
      </c>
      <c r="H280" s="103"/>
      <c r="I280" s="103"/>
      <c r="J280" s="103"/>
      <c r="K280" s="103"/>
      <c r="L280" s="103"/>
      <c r="M280" s="103"/>
      <c r="N280" s="103"/>
      <c r="O280" s="103"/>
      <c r="P280" s="103"/>
      <c r="Q280" s="103"/>
      <c r="R280" s="103"/>
      <c r="S280" s="103"/>
      <c r="T280" s="103"/>
      <c r="U280" s="103"/>
      <c r="V280" s="103"/>
      <c r="W280" s="103"/>
      <c r="X280" s="103"/>
      <c r="Y280" s="103"/>
      <c r="Z280" s="103"/>
      <c r="AA280" s="103"/>
      <c r="AB280" s="103"/>
      <c r="AC280" s="103"/>
      <c r="AD280" s="103"/>
      <c r="AE280" s="103"/>
      <c r="AF280" s="103"/>
      <c r="AG280" s="103"/>
      <c r="AH280" s="103"/>
      <c r="AI280" s="103"/>
      <c r="AJ280" s="103"/>
      <c r="AK280" s="103"/>
      <c r="AL280" s="103"/>
      <c r="AM280" s="103"/>
      <c r="AN280" s="103"/>
      <c r="AO280" s="103"/>
      <c r="AP280" s="103"/>
      <c r="AQ280" s="103"/>
      <c r="AR280" s="103"/>
      <c r="AS280" s="103"/>
      <c r="AT280" s="34" t="s">
        <v>223</v>
      </c>
      <c r="AU280" s="103"/>
      <c r="AV280" s="34"/>
      <c r="AW280" s="34"/>
      <c r="AX280" s="39"/>
      <c r="AY280" s="140" t="s">
        <v>1923</v>
      </c>
      <c r="AZ280" s="63" t="s">
        <v>1924</v>
      </c>
      <c r="BA280" s="110"/>
      <c r="BB280" s="202"/>
    </row>
    <row r="281" spans="1:55" s="97" customFormat="1" ht="15.75" hidden="1" customHeight="1">
      <c r="A281" s="220"/>
      <c r="B281" s="60" t="s">
        <v>664</v>
      </c>
      <c r="C281" s="102" t="s">
        <v>45</v>
      </c>
      <c r="D281" s="231">
        <v>0.14000000000000001</v>
      </c>
      <c r="E281" s="103"/>
      <c r="F281" s="231">
        <v>0.14000000000000001</v>
      </c>
      <c r="G281" s="231">
        <v>0.14000000000000001</v>
      </c>
      <c r="H281" s="103"/>
      <c r="I281" s="103"/>
      <c r="J281" s="103"/>
      <c r="K281" s="103"/>
      <c r="L281" s="103"/>
      <c r="M281" s="103"/>
      <c r="N281" s="103"/>
      <c r="O281" s="103"/>
      <c r="P281" s="103"/>
      <c r="Q281" s="103"/>
      <c r="R281" s="103"/>
      <c r="S281" s="103"/>
      <c r="T281" s="103"/>
      <c r="U281" s="103"/>
      <c r="V281" s="103"/>
      <c r="W281" s="103"/>
      <c r="X281" s="103"/>
      <c r="Y281" s="103"/>
      <c r="Z281" s="103"/>
      <c r="AA281" s="103"/>
      <c r="AB281" s="103"/>
      <c r="AC281" s="103"/>
      <c r="AD281" s="103"/>
      <c r="AE281" s="103"/>
      <c r="AF281" s="103"/>
      <c r="AG281" s="103"/>
      <c r="AH281" s="103"/>
      <c r="AI281" s="103"/>
      <c r="AJ281" s="103"/>
      <c r="AK281" s="103"/>
      <c r="AL281" s="103"/>
      <c r="AM281" s="103"/>
      <c r="AN281" s="103"/>
      <c r="AO281" s="103"/>
      <c r="AP281" s="103"/>
      <c r="AQ281" s="103"/>
      <c r="AR281" s="103"/>
      <c r="AS281" s="103"/>
      <c r="AT281" s="34" t="s">
        <v>223</v>
      </c>
      <c r="AU281" s="103"/>
      <c r="AV281" s="34"/>
      <c r="AW281" s="34"/>
      <c r="AX281" s="39"/>
      <c r="AY281" s="140" t="s">
        <v>1923</v>
      </c>
      <c r="AZ281" s="63" t="s">
        <v>1924</v>
      </c>
      <c r="BA281" s="110"/>
      <c r="BB281" s="202"/>
    </row>
    <row r="282" spans="1:55" s="24" customFormat="1" ht="31.5" hidden="1" customHeight="1">
      <c r="A282" s="193"/>
      <c r="B282" s="33" t="s">
        <v>2148</v>
      </c>
      <c r="C282" s="102"/>
      <c r="D282" s="103"/>
      <c r="E282" s="103"/>
      <c r="F282" s="103">
        <v>0.05</v>
      </c>
      <c r="G282" s="103"/>
      <c r="H282" s="103"/>
      <c r="I282" s="103"/>
      <c r="J282" s="103"/>
      <c r="K282" s="103"/>
      <c r="L282" s="103"/>
      <c r="M282" s="103"/>
      <c r="N282" s="103"/>
      <c r="O282" s="103"/>
      <c r="P282" s="103"/>
      <c r="Q282" s="103"/>
      <c r="R282" s="103"/>
      <c r="S282" s="103"/>
      <c r="T282" s="103"/>
      <c r="U282" s="103"/>
      <c r="V282" s="103"/>
      <c r="W282" s="103"/>
      <c r="X282" s="103"/>
      <c r="Y282" s="103"/>
      <c r="Z282" s="103"/>
      <c r="AA282" s="103"/>
      <c r="AB282" s="103"/>
      <c r="AC282" s="103"/>
      <c r="AD282" s="103"/>
      <c r="AE282" s="103"/>
      <c r="AF282" s="103"/>
      <c r="AG282" s="103"/>
      <c r="AH282" s="103"/>
      <c r="AI282" s="103"/>
      <c r="AJ282" s="103"/>
      <c r="AK282" s="103"/>
      <c r="AL282" s="103"/>
      <c r="AM282" s="103"/>
      <c r="AN282" s="103"/>
      <c r="AO282" s="103"/>
      <c r="AP282" s="103"/>
      <c r="AQ282" s="103"/>
      <c r="AR282" s="103"/>
      <c r="AS282" s="103"/>
      <c r="AT282" s="34" t="s">
        <v>983</v>
      </c>
      <c r="AU282" s="103" t="s">
        <v>483</v>
      </c>
      <c r="AV282" s="34"/>
      <c r="AW282" s="34"/>
      <c r="AX282" s="39"/>
      <c r="AY282" s="34" t="s">
        <v>1923</v>
      </c>
      <c r="AZ282" s="39" t="s">
        <v>1924</v>
      </c>
      <c r="BA282" s="40"/>
      <c r="BB282" s="15" t="s">
        <v>7</v>
      </c>
      <c r="BC282" s="41"/>
    </row>
    <row r="283" spans="1:55" ht="15.75" hidden="1" customHeight="1">
      <c r="A283" s="193"/>
      <c r="B283" s="33" t="s">
        <v>2149</v>
      </c>
      <c r="C283" s="102"/>
      <c r="D283" s="194"/>
      <c r="E283" s="194"/>
      <c r="F283" s="194">
        <v>0.01</v>
      </c>
      <c r="G283" s="194"/>
      <c r="H283" s="194"/>
      <c r="I283" s="194"/>
      <c r="J283" s="194"/>
      <c r="K283" s="194"/>
      <c r="L283" s="194"/>
      <c r="M283" s="194"/>
      <c r="N283" s="194"/>
      <c r="O283" s="194"/>
      <c r="P283" s="194"/>
      <c r="Q283" s="194"/>
      <c r="R283" s="194"/>
      <c r="S283" s="194"/>
      <c r="T283" s="194"/>
      <c r="U283" s="194"/>
      <c r="V283" s="194"/>
      <c r="W283" s="194"/>
      <c r="X283" s="194"/>
      <c r="Y283" s="194"/>
      <c r="Z283" s="194"/>
      <c r="AA283" s="194"/>
      <c r="AB283" s="194"/>
      <c r="AC283" s="194"/>
      <c r="AD283" s="194"/>
      <c r="AE283" s="194"/>
      <c r="AF283" s="194"/>
      <c r="AG283" s="194"/>
      <c r="AH283" s="194"/>
      <c r="AI283" s="194"/>
      <c r="AJ283" s="194"/>
      <c r="AK283" s="194"/>
      <c r="AL283" s="194"/>
      <c r="AM283" s="194"/>
      <c r="AN283" s="194"/>
      <c r="AO283" s="194"/>
      <c r="AP283" s="194"/>
      <c r="AQ283" s="194"/>
      <c r="AR283" s="194"/>
      <c r="AS283" s="194"/>
      <c r="AT283" s="34" t="s">
        <v>227</v>
      </c>
      <c r="AU283" s="159"/>
      <c r="AV283" s="34"/>
      <c r="AW283" s="34"/>
      <c r="AX283" s="39"/>
      <c r="AY283" s="34" t="s">
        <v>1986</v>
      </c>
      <c r="AZ283" s="39"/>
      <c r="BB283" s="41"/>
    </row>
    <row r="284" spans="1:55" ht="15.75" hidden="1" customHeight="1">
      <c r="A284" s="193"/>
      <c r="B284" s="33" t="s">
        <v>2150</v>
      </c>
      <c r="C284" s="102"/>
      <c r="D284" s="194"/>
      <c r="E284" s="194"/>
      <c r="F284" s="194">
        <v>1.4E-2</v>
      </c>
      <c r="G284" s="194"/>
      <c r="H284" s="194"/>
      <c r="I284" s="194"/>
      <c r="J284" s="194"/>
      <c r="K284" s="194"/>
      <c r="L284" s="194"/>
      <c r="M284" s="194"/>
      <c r="N284" s="194"/>
      <c r="O284" s="194"/>
      <c r="P284" s="194"/>
      <c r="Q284" s="194"/>
      <c r="R284" s="194"/>
      <c r="S284" s="194"/>
      <c r="T284" s="194"/>
      <c r="U284" s="194"/>
      <c r="V284" s="194"/>
      <c r="W284" s="194"/>
      <c r="X284" s="194"/>
      <c r="Y284" s="194"/>
      <c r="Z284" s="194"/>
      <c r="AA284" s="194"/>
      <c r="AB284" s="194"/>
      <c r="AC284" s="194"/>
      <c r="AD284" s="194"/>
      <c r="AE284" s="194"/>
      <c r="AF284" s="194"/>
      <c r="AG284" s="194"/>
      <c r="AH284" s="194"/>
      <c r="AI284" s="194"/>
      <c r="AJ284" s="194"/>
      <c r="AK284" s="194"/>
      <c r="AL284" s="194"/>
      <c r="AM284" s="194"/>
      <c r="AN284" s="194"/>
      <c r="AO284" s="194"/>
      <c r="AP284" s="194"/>
      <c r="AQ284" s="194"/>
      <c r="AR284" s="194"/>
      <c r="AS284" s="194"/>
      <c r="AT284" s="34" t="s">
        <v>227</v>
      </c>
      <c r="AU284" s="159"/>
      <c r="AV284" s="34"/>
      <c r="AW284" s="34"/>
      <c r="AX284" s="39"/>
      <c r="AY284" s="34" t="s">
        <v>1917</v>
      </c>
      <c r="AZ284" s="39" t="s">
        <v>1924</v>
      </c>
      <c r="BB284" s="41"/>
    </row>
    <row r="285" spans="1:55" ht="31.5" hidden="1" customHeight="1">
      <c r="A285" s="193"/>
      <c r="B285" s="33" t="s">
        <v>2151</v>
      </c>
      <c r="C285" s="102"/>
      <c r="D285" s="194"/>
      <c r="E285" s="194"/>
      <c r="F285" s="194">
        <v>0.02</v>
      </c>
      <c r="G285" s="194"/>
      <c r="H285" s="194"/>
      <c r="I285" s="194"/>
      <c r="J285" s="194"/>
      <c r="K285" s="194"/>
      <c r="L285" s="194"/>
      <c r="M285" s="194"/>
      <c r="N285" s="194"/>
      <c r="O285" s="194"/>
      <c r="P285" s="194"/>
      <c r="Q285" s="194"/>
      <c r="R285" s="194"/>
      <c r="S285" s="194"/>
      <c r="T285" s="194"/>
      <c r="U285" s="194"/>
      <c r="V285" s="194"/>
      <c r="W285" s="194"/>
      <c r="X285" s="194"/>
      <c r="Y285" s="194"/>
      <c r="Z285" s="194"/>
      <c r="AA285" s="194"/>
      <c r="AB285" s="194"/>
      <c r="AC285" s="194"/>
      <c r="AD285" s="194"/>
      <c r="AE285" s="194"/>
      <c r="AF285" s="194"/>
      <c r="AG285" s="194"/>
      <c r="AH285" s="194"/>
      <c r="AI285" s="194"/>
      <c r="AJ285" s="194"/>
      <c r="AK285" s="194"/>
      <c r="AL285" s="194"/>
      <c r="AM285" s="194"/>
      <c r="AN285" s="194"/>
      <c r="AO285" s="194"/>
      <c r="AP285" s="194"/>
      <c r="AQ285" s="194"/>
      <c r="AR285" s="194"/>
      <c r="AS285" s="194"/>
      <c r="AT285" s="34" t="s">
        <v>227</v>
      </c>
      <c r="AU285" s="159"/>
      <c r="AV285" s="34"/>
      <c r="AW285" s="34"/>
      <c r="AX285" s="39"/>
      <c r="AY285" s="34" t="s">
        <v>1923</v>
      </c>
      <c r="AZ285" s="39" t="s">
        <v>1924</v>
      </c>
      <c r="BB285" s="41"/>
    </row>
    <row r="286" spans="1:55" ht="15.75" hidden="1" customHeight="1">
      <c r="A286" s="193"/>
      <c r="B286" s="33" t="s">
        <v>2152</v>
      </c>
      <c r="C286" s="102"/>
      <c r="D286" s="194"/>
      <c r="E286" s="194"/>
      <c r="F286" s="194">
        <v>1.2E-2</v>
      </c>
      <c r="G286" s="194"/>
      <c r="H286" s="194"/>
      <c r="I286" s="194"/>
      <c r="J286" s="194"/>
      <c r="K286" s="194"/>
      <c r="L286" s="194"/>
      <c r="M286" s="194"/>
      <c r="N286" s="194"/>
      <c r="O286" s="194"/>
      <c r="P286" s="194"/>
      <c r="Q286" s="194"/>
      <c r="R286" s="194"/>
      <c r="S286" s="194"/>
      <c r="T286" s="194"/>
      <c r="U286" s="194"/>
      <c r="V286" s="194"/>
      <c r="W286" s="194"/>
      <c r="X286" s="194"/>
      <c r="Y286" s="194"/>
      <c r="Z286" s="194"/>
      <c r="AA286" s="194"/>
      <c r="AB286" s="194"/>
      <c r="AC286" s="194"/>
      <c r="AD286" s="194"/>
      <c r="AE286" s="194"/>
      <c r="AF286" s="194"/>
      <c r="AG286" s="194"/>
      <c r="AH286" s="194"/>
      <c r="AI286" s="194"/>
      <c r="AJ286" s="194"/>
      <c r="AK286" s="194"/>
      <c r="AL286" s="194"/>
      <c r="AM286" s="194"/>
      <c r="AN286" s="194"/>
      <c r="AO286" s="194"/>
      <c r="AP286" s="194"/>
      <c r="AQ286" s="194"/>
      <c r="AR286" s="194"/>
      <c r="AS286" s="194"/>
      <c r="AT286" s="34" t="s">
        <v>227</v>
      </c>
      <c r="AU286" s="159"/>
      <c r="AV286" s="34"/>
      <c r="AW286" s="34"/>
      <c r="AX286" s="39"/>
      <c r="AY286" s="34" t="s">
        <v>1923</v>
      </c>
      <c r="AZ286" s="39" t="s">
        <v>1924</v>
      </c>
      <c r="BB286" s="41"/>
    </row>
    <row r="287" spans="1:55" ht="15.75" hidden="1" customHeight="1">
      <c r="A287" s="193"/>
      <c r="B287" s="33" t="s">
        <v>2153</v>
      </c>
      <c r="C287" s="102"/>
      <c r="D287" s="194"/>
      <c r="E287" s="194"/>
      <c r="F287" s="194">
        <v>0.04</v>
      </c>
      <c r="G287" s="194"/>
      <c r="H287" s="194"/>
      <c r="I287" s="194"/>
      <c r="J287" s="194"/>
      <c r="K287" s="194"/>
      <c r="L287" s="194"/>
      <c r="M287" s="194"/>
      <c r="N287" s="194"/>
      <c r="O287" s="194"/>
      <c r="P287" s="194"/>
      <c r="Q287" s="194"/>
      <c r="R287" s="194"/>
      <c r="S287" s="194"/>
      <c r="T287" s="194"/>
      <c r="U287" s="194"/>
      <c r="V287" s="194"/>
      <c r="W287" s="194"/>
      <c r="X287" s="194"/>
      <c r="Y287" s="194"/>
      <c r="Z287" s="194"/>
      <c r="AA287" s="194"/>
      <c r="AB287" s="194"/>
      <c r="AC287" s="194"/>
      <c r="AD287" s="194"/>
      <c r="AE287" s="194"/>
      <c r="AF287" s="194"/>
      <c r="AG287" s="194"/>
      <c r="AH287" s="194"/>
      <c r="AI287" s="194"/>
      <c r="AJ287" s="194"/>
      <c r="AK287" s="194"/>
      <c r="AL287" s="194"/>
      <c r="AM287" s="194"/>
      <c r="AN287" s="194"/>
      <c r="AO287" s="194"/>
      <c r="AP287" s="194"/>
      <c r="AQ287" s="194"/>
      <c r="AR287" s="194"/>
      <c r="AS287" s="194"/>
      <c r="AT287" s="34" t="s">
        <v>227</v>
      </c>
      <c r="AU287" s="159"/>
      <c r="AV287" s="34"/>
      <c r="AW287" s="34"/>
      <c r="AX287" s="39"/>
      <c r="AY287" s="34" t="s">
        <v>1923</v>
      </c>
      <c r="AZ287" s="39" t="s">
        <v>1924</v>
      </c>
      <c r="BB287" s="41"/>
    </row>
    <row r="288" spans="1:55" ht="15.75" hidden="1" customHeight="1">
      <c r="A288" s="193"/>
      <c r="B288" s="33" t="s">
        <v>2154</v>
      </c>
      <c r="C288" s="102"/>
      <c r="D288" s="194"/>
      <c r="E288" s="194"/>
      <c r="F288" s="194">
        <v>7.4999999999999997E-3</v>
      </c>
      <c r="G288" s="194"/>
      <c r="H288" s="194"/>
      <c r="I288" s="194"/>
      <c r="J288" s="194"/>
      <c r="K288" s="194"/>
      <c r="L288" s="194"/>
      <c r="M288" s="194"/>
      <c r="N288" s="194"/>
      <c r="O288" s="194"/>
      <c r="P288" s="194"/>
      <c r="Q288" s="194"/>
      <c r="R288" s="194"/>
      <c r="S288" s="194"/>
      <c r="T288" s="194"/>
      <c r="U288" s="194"/>
      <c r="V288" s="194"/>
      <c r="W288" s="194"/>
      <c r="X288" s="194"/>
      <c r="Y288" s="194"/>
      <c r="Z288" s="194"/>
      <c r="AA288" s="194"/>
      <c r="AB288" s="194"/>
      <c r="AC288" s="194"/>
      <c r="AD288" s="194"/>
      <c r="AE288" s="194"/>
      <c r="AF288" s="194"/>
      <c r="AG288" s="194"/>
      <c r="AH288" s="194"/>
      <c r="AI288" s="194"/>
      <c r="AJ288" s="194"/>
      <c r="AK288" s="194"/>
      <c r="AL288" s="194"/>
      <c r="AM288" s="194"/>
      <c r="AN288" s="194"/>
      <c r="AO288" s="194"/>
      <c r="AP288" s="194"/>
      <c r="AQ288" s="194"/>
      <c r="AR288" s="194"/>
      <c r="AS288" s="194"/>
      <c r="AT288" s="34" t="s">
        <v>227</v>
      </c>
      <c r="AU288" s="159"/>
      <c r="AV288" s="34"/>
      <c r="AW288" s="34"/>
      <c r="AX288" s="39"/>
      <c r="AY288" s="34" t="s">
        <v>1923</v>
      </c>
      <c r="AZ288" s="39" t="s">
        <v>1924</v>
      </c>
      <c r="BB288" s="41"/>
    </row>
    <row r="289" spans="1:54" ht="15.75" hidden="1" customHeight="1">
      <c r="A289" s="193"/>
      <c r="B289" s="33" t="s">
        <v>2155</v>
      </c>
      <c r="C289" s="102"/>
      <c r="D289" s="194"/>
      <c r="E289" s="194"/>
      <c r="F289" s="194">
        <v>0.01</v>
      </c>
      <c r="G289" s="194"/>
      <c r="H289" s="194"/>
      <c r="I289" s="194"/>
      <c r="J289" s="194"/>
      <c r="K289" s="194"/>
      <c r="L289" s="194"/>
      <c r="M289" s="194"/>
      <c r="N289" s="194"/>
      <c r="O289" s="194"/>
      <c r="P289" s="194"/>
      <c r="Q289" s="194"/>
      <c r="R289" s="194"/>
      <c r="S289" s="194"/>
      <c r="T289" s="194"/>
      <c r="U289" s="194"/>
      <c r="V289" s="194"/>
      <c r="W289" s="194"/>
      <c r="X289" s="194"/>
      <c r="Y289" s="194"/>
      <c r="Z289" s="194"/>
      <c r="AA289" s="194"/>
      <c r="AB289" s="194"/>
      <c r="AC289" s="194"/>
      <c r="AD289" s="194"/>
      <c r="AE289" s="194"/>
      <c r="AF289" s="194"/>
      <c r="AG289" s="194"/>
      <c r="AH289" s="194"/>
      <c r="AI289" s="194"/>
      <c r="AJ289" s="194"/>
      <c r="AK289" s="194"/>
      <c r="AL289" s="194"/>
      <c r="AM289" s="194"/>
      <c r="AN289" s="194"/>
      <c r="AO289" s="194"/>
      <c r="AP289" s="194"/>
      <c r="AQ289" s="194"/>
      <c r="AR289" s="194"/>
      <c r="AS289" s="194"/>
      <c r="AT289" s="34" t="s">
        <v>227</v>
      </c>
      <c r="AU289" s="159"/>
      <c r="AV289" s="34"/>
      <c r="AW289" s="34"/>
      <c r="AX289" s="39"/>
      <c r="AY289" s="34" t="s">
        <v>1923</v>
      </c>
      <c r="AZ289" s="39" t="s">
        <v>1924</v>
      </c>
      <c r="BB289" s="41"/>
    </row>
    <row r="290" spans="1:54" ht="15.75" hidden="1" customHeight="1">
      <c r="A290" s="193"/>
      <c r="B290" s="33" t="s">
        <v>2156</v>
      </c>
      <c r="C290" s="102"/>
      <c r="D290" s="194"/>
      <c r="E290" s="194"/>
      <c r="F290" s="194">
        <v>0.04</v>
      </c>
      <c r="G290" s="194"/>
      <c r="H290" s="194"/>
      <c r="I290" s="194"/>
      <c r="J290" s="194"/>
      <c r="K290" s="194"/>
      <c r="L290" s="194"/>
      <c r="M290" s="194"/>
      <c r="N290" s="194"/>
      <c r="O290" s="194"/>
      <c r="P290" s="194"/>
      <c r="Q290" s="194"/>
      <c r="R290" s="194"/>
      <c r="S290" s="194"/>
      <c r="T290" s="194"/>
      <c r="U290" s="194"/>
      <c r="V290" s="194"/>
      <c r="W290" s="194"/>
      <c r="X290" s="194"/>
      <c r="Y290" s="194"/>
      <c r="Z290" s="194"/>
      <c r="AA290" s="194"/>
      <c r="AB290" s="194"/>
      <c r="AC290" s="194"/>
      <c r="AD290" s="194"/>
      <c r="AE290" s="194"/>
      <c r="AF290" s="194"/>
      <c r="AG290" s="194"/>
      <c r="AH290" s="194"/>
      <c r="AI290" s="194"/>
      <c r="AJ290" s="194"/>
      <c r="AK290" s="194"/>
      <c r="AL290" s="194"/>
      <c r="AM290" s="194"/>
      <c r="AN290" s="194"/>
      <c r="AO290" s="194"/>
      <c r="AP290" s="194"/>
      <c r="AQ290" s="194"/>
      <c r="AR290" s="194"/>
      <c r="AS290" s="194"/>
      <c r="AT290" s="34" t="s">
        <v>227</v>
      </c>
      <c r="AU290" s="159"/>
      <c r="AV290" s="34"/>
      <c r="AW290" s="34"/>
      <c r="AX290" s="39"/>
      <c r="AY290" s="34" t="s">
        <v>1923</v>
      </c>
      <c r="AZ290" s="39" t="s">
        <v>1924</v>
      </c>
      <c r="BB290" s="41"/>
    </row>
    <row r="291" spans="1:54" ht="15.75" hidden="1" customHeight="1">
      <c r="A291" s="193"/>
      <c r="B291" s="33" t="s">
        <v>2157</v>
      </c>
      <c r="C291" s="102"/>
      <c r="D291" s="194"/>
      <c r="E291" s="194"/>
      <c r="F291" s="194">
        <v>0.03</v>
      </c>
      <c r="G291" s="194"/>
      <c r="H291" s="194"/>
      <c r="I291" s="194"/>
      <c r="J291" s="194"/>
      <c r="K291" s="194"/>
      <c r="L291" s="194"/>
      <c r="M291" s="194"/>
      <c r="N291" s="194"/>
      <c r="O291" s="194"/>
      <c r="P291" s="194"/>
      <c r="Q291" s="194"/>
      <c r="R291" s="194"/>
      <c r="S291" s="194"/>
      <c r="T291" s="194"/>
      <c r="U291" s="194"/>
      <c r="V291" s="194"/>
      <c r="W291" s="194"/>
      <c r="X291" s="194"/>
      <c r="Y291" s="194"/>
      <c r="Z291" s="194"/>
      <c r="AA291" s="194"/>
      <c r="AB291" s="194"/>
      <c r="AC291" s="194"/>
      <c r="AD291" s="194"/>
      <c r="AE291" s="194"/>
      <c r="AF291" s="194"/>
      <c r="AG291" s="194"/>
      <c r="AH291" s="194"/>
      <c r="AI291" s="194"/>
      <c r="AJ291" s="194"/>
      <c r="AK291" s="194"/>
      <c r="AL291" s="194"/>
      <c r="AM291" s="194"/>
      <c r="AN291" s="194"/>
      <c r="AO291" s="194"/>
      <c r="AP291" s="194"/>
      <c r="AQ291" s="194"/>
      <c r="AR291" s="194"/>
      <c r="AS291" s="194"/>
      <c r="AT291" s="34" t="s">
        <v>227</v>
      </c>
      <c r="AU291" s="159"/>
      <c r="AV291" s="34"/>
      <c r="AW291" s="34"/>
      <c r="AX291" s="39"/>
      <c r="AY291" s="34" t="s">
        <v>1986</v>
      </c>
      <c r="AZ291" s="39" t="s">
        <v>1924</v>
      </c>
      <c r="BB291" s="41"/>
    </row>
    <row r="292" spans="1:54" ht="15.75" hidden="1" customHeight="1">
      <c r="A292" s="193"/>
      <c r="B292" s="33" t="s">
        <v>2158</v>
      </c>
      <c r="C292" s="102"/>
      <c r="D292" s="194"/>
      <c r="E292" s="194"/>
      <c r="F292" s="194">
        <v>0.02</v>
      </c>
      <c r="G292" s="194"/>
      <c r="H292" s="194"/>
      <c r="I292" s="194"/>
      <c r="J292" s="194"/>
      <c r="K292" s="194"/>
      <c r="L292" s="194"/>
      <c r="M292" s="194"/>
      <c r="N292" s="194"/>
      <c r="O292" s="194"/>
      <c r="P292" s="194"/>
      <c r="Q292" s="194"/>
      <c r="R292" s="194"/>
      <c r="S292" s="194"/>
      <c r="T292" s="194"/>
      <c r="U292" s="194"/>
      <c r="V292" s="194"/>
      <c r="W292" s="194"/>
      <c r="X292" s="194"/>
      <c r="Y292" s="194"/>
      <c r="Z292" s="194"/>
      <c r="AA292" s="194"/>
      <c r="AB292" s="194"/>
      <c r="AC292" s="194"/>
      <c r="AD292" s="194"/>
      <c r="AE292" s="194"/>
      <c r="AF292" s="194"/>
      <c r="AG292" s="194"/>
      <c r="AH292" s="194"/>
      <c r="AI292" s="194"/>
      <c r="AJ292" s="194"/>
      <c r="AK292" s="194"/>
      <c r="AL292" s="194"/>
      <c r="AM292" s="194"/>
      <c r="AN292" s="194"/>
      <c r="AO292" s="194"/>
      <c r="AP292" s="194"/>
      <c r="AQ292" s="194"/>
      <c r="AR292" s="194"/>
      <c r="AS292" s="194"/>
      <c r="AT292" s="34" t="s">
        <v>227</v>
      </c>
      <c r="AU292" s="159"/>
      <c r="AV292" s="34"/>
      <c r="AW292" s="34"/>
      <c r="AX292" s="39"/>
      <c r="AY292" s="34" t="s">
        <v>1923</v>
      </c>
      <c r="AZ292" s="39" t="s">
        <v>1924</v>
      </c>
      <c r="BB292" s="41"/>
    </row>
    <row r="293" spans="1:54" ht="31.5" hidden="1" customHeight="1">
      <c r="A293" s="193"/>
      <c r="B293" s="33" t="s">
        <v>2159</v>
      </c>
      <c r="C293" s="102"/>
      <c r="D293" s="194"/>
      <c r="E293" s="194"/>
      <c r="F293" s="194">
        <v>0.14000000000000001</v>
      </c>
      <c r="G293" s="194"/>
      <c r="H293" s="194"/>
      <c r="I293" s="194"/>
      <c r="J293" s="194"/>
      <c r="K293" s="194"/>
      <c r="L293" s="194"/>
      <c r="M293" s="194"/>
      <c r="N293" s="194"/>
      <c r="O293" s="194"/>
      <c r="P293" s="194"/>
      <c r="Q293" s="194"/>
      <c r="R293" s="194"/>
      <c r="S293" s="194"/>
      <c r="T293" s="194"/>
      <c r="U293" s="194"/>
      <c r="V293" s="194"/>
      <c r="W293" s="194"/>
      <c r="X293" s="194"/>
      <c r="Y293" s="194"/>
      <c r="Z293" s="194"/>
      <c r="AA293" s="194"/>
      <c r="AB293" s="194"/>
      <c r="AC293" s="194"/>
      <c r="AD293" s="194"/>
      <c r="AE293" s="194"/>
      <c r="AF293" s="194"/>
      <c r="AG293" s="194"/>
      <c r="AH293" s="194"/>
      <c r="AI293" s="194"/>
      <c r="AJ293" s="194"/>
      <c r="AK293" s="194"/>
      <c r="AL293" s="194"/>
      <c r="AM293" s="194"/>
      <c r="AN293" s="194"/>
      <c r="AO293" s="194"/>
      <c r="AP293" s="194"/>
      <c r="AQ293" s="194"/>
      <c r="AR293" s="194"/>
      <c r="AS293" s="194"/>
      <c r="AT293" s="34" t="s">
        <v>227</v>
      </c>
      <c r="AU293" s="159"/>
      <c r="AV293" s="34"/>
      <c r="AW293" s="34"/>
      <c r="AX293" s="39"/>
      <c r="AY293" s="34" t="s">
        <v>1923</v>
      </c>
      <c r="AZ293" s="39" t="s">
        <v>1924</v>
      </c>
      <c r="BB293" s="41"/>
    </row>
    <row r="294" spans="1:54" ht="15.75" hidden="1" customHeight="1">
      <c r="A294" s="193"/>
      <c r="B294" s="33" t="s">
        <v>2160</v>
      </c>
      <c r="C294" s="102"/>
      <c r="D294" s="194"/>
      <c r="E294" s="194"/>
      <c r="F294" s="194">
        <v>1.6E-2</v>
      </c>
      <c r="G294" s="194"/>
      <c r="H294" s="194"/>
      <c r="I294" s="194"/>
      <c r="J294" s="194"/>
      <c r="K294" s="194"/>
      <c r="L294" s="194"/>
      <c r="M294" s="194"/>
      <c r="N294" s="194"/>
      <c r="O294" s="194"/>
      <c r="P294" s="194"/>
      <c r="Q294" s="194"/>
      <c r="R294" s="194"/>
      <c r="S294" s="194"/>
      <c r="T294" s="194"/>
      <c r="U294" s="194"/>
      <c r="V294" s="194"/>
      <c r="W294" s="194"/>
      <c r="X294" s="194"/>
      <c r="Y294" s="194"/>
      <c r="Z294" s="194"/>
      <c r="AA294" s="194"/>
      <c r="AB294" s="194"/>
      <c r="AC294" s="194"/>
      <c r="AD294" s="194"/>
      <c r="AE294" s="194"/>
      <c r="AF294" s="194"/>
      <c r="AG294" s="194"/>
      <c r="AH294" s="194"/>
      <c r="AI294" s="194"/>
      <c r="AJ294" s="194"/>
      <c r="AK294" s="194"/>
      <c r="AL294" s="194"/>
      <c r="AM294" s="194"/>
      <c r="AN294" s="194"/>
      <c r="AO294" s="194"/>
      <c r="AP294" s="194"/>
      <c r="AQ294" s="194"/>
      <c r="AR294" s="194"/>
      <c r="AS294" s="194"/>
      <c r="AT294" s="34" t="s">
        <v>227</v>
      </c>
      <c r="AU294" s="159"/>
      <c r="AV294" s="34"/>
      <c r="AW294" s="34"/>
      <c r="AX294" s="39"/>
      <c r="AY294" s="34" t="s">
        <v>1923</v>
      </c>
      <c r="AZ294" s="39" t="s">
        <v>1924</v>
      </c>
      <c r="BB294" s="41"/>
    </row>
    <row r="295" spans="1:54" ht="15.75" hidden="1" customHeight="1">
      <c r="A295" s="193"/>
      <c r="B295" s="33" t="s">
        <v>2161</v>
      </c>
      <c r="C295" s="102"/>
      <c r="D295" s="194"/>
      <c r="E295" s="194"/>
      <c r="F295" s="194">
        <v>1.4999999999999999E-2</v>
      </c>
      <c r="G295" s="194"/>
      <c r="H295" s="194"/>
      <c r="I295" s="194"/>
      <c r="J295" s="194"/>
      <c r="K295" s="194"/>
      <c r="L295" s="194"/>
      <c r="M295" s="194"/>
      <c r="N295" s="194"/>
      <c r="O295" s="194"/>
      <c r="P295" s="194"/>
      <c r="Q295" s="194"/>
      <c r="R295" s="194"/>
      <c r="S295" s="194"/>
      <c r="T295" s="194"/>
      <c r="U295" s="194"/>
      <c r="V295" s="194"/>
      <c r="W295" s="194"/>
      <c r="X295" s="194"/>
      <c r="Y295" s="194"/>
      <c r="Z295" s="194"/>
      <c r="AA295" s="194"/>
      <c r="AB295" s="194"/>
      <c r="AC295" s="194"/>
      <c r="AD295" s="194"/>
      <c r="AE295" s="194"/>
      <c r="AF295" s="194"/>
      <c r="AG295" s="194"/>
      <c r="AH295" s="194"/>
      <c r="AI295" s="194"/>
      <c r="AJ295" s="194"/>
      <c r="AK295" s="194"/>
      <c r="AL295" s="194"/>
      <c r="AM295" s="194"/>
      <c r="AN295" s="194"/>
      <c r="AO295" s="194"/>
      <c r="AP295" s="194"/>
      <c r="AQ295" s="194"/>
      <c r="AR295" s="194"/>
      <c r="AS295" s="194"/>
      <c r="AT295" s="34" t="s">
        <v>227</v>
      </c>
      <c r="AU295" s="159"/>
      <c r="AV295" s="34"/>
      <c r="AW295" s="34"/>
      <c r="AX295" s="39"/>
      <c r="AY295" s="34" t="s">
        <v>1923</v>
      </c>
      <c r="AZ295" s="39" t="s">
        <v>1924</v>
      </c>
      <c r="BB295" s="41"/>
    </row>
    <row r="296" spans="1:54" ht="15.75" hidden="1" customHeight="1">
      <c r="A296" s="193"/>
      <c r="B296" s="33" t="s">
        <v>2162</v>
      </c>
      <c r="C296" s="102"/>
      <c r="D296" s="194"/>
      <c r="E296" s="194"/>
      <c r="F296" s="194">
        <v>0.01</v>
      </c>
      <c r="G296" s="194"/>
      <c r="H296" s="194"/>
      <c r="I296" s="194"/>
      <c r="J296" s="194"/>
      <c r="K296" s="194"/>
      <c r="L296" s="194"/>
      <c r="M296" s="194"/>
      <c r="N296" s="194"/>
      <c r="O296" s="194"/>
      <c r="P296" s="194"/>
      <c r="Q296" s="194"/>
      <c r="R296" s="194"/>
      <c r="S296" s="194"/>
      <c r="T296" s="194"/>
      <c r="U296" s="194"/>
      <c r="V296" s="194"/>
      <c r="W296" s="194"/>
      <c r="X296" s="194"/>
      <c r="Y296" s="194"/>
      <c r="Z296" s="194"/>
      <c r="AA296" s="194"/>
      <c r="AB296" s="194"/>
      <c r="AC296" s="194"/>
      <c r="AD296" s="194"/>
      <c r="AE296" s="194"/>
      <c r="AF296" s="194"/>
      <c r="AG296" s="194"/>
      <c r="AH296" s="194"/>
      <c r="AI296" s="194"/>
      <c r="AJ296" s="194"/>
      <c r="AK296" s="194"/>
      <c r="AL296" s="194"/>
      <c r="AM296" s="194"/>
      <c r="AN296" s="194"/>
      <c r="AO296" s="194"/>
      <c r="AP296" s="194"/>
      <c r="AQ296" s="194"/>
      <c r="AR296" s="194"/>
      <c r="AS296" s="194"/>
      <c r="AT296" s="34" t="s">
        <v>227</v>
      </c>
      <c r="AU296" s="159"/>
      <c r="AV296" s="34"/>
      <c r="AW296" s="34"/>
      <c r="AX296" s="39"/>
      <c r="AY296" s="34" t="s">
        <v>1923</v>
      </c>
      <c r="AZ296" s="39" t="s">
        <v>1924</v>
      </c>
      <c r="BB296" s="41"/>
    </row>
    <row r="297" spans="1:54" ht="15.75" hidden="1" customHeight="1">
      <c r="A297" s="193"/>
      <c r="B297" s="33" t="s">
        <v>2163</v>
      </c>
      <c r="C297" s="102"/>
      <c r="D297" s="194"/>
      <c r="E297" s="194"/>
      <c r="F297" s="194">
        <v>0.01</v>
      </c>
      <c r="G297" s="194"/>
      <c r="H297" s="194"/>
      <c r="I297" s="194"/>
      <c r="J297" s="194"/>
      <c r="K297" s="194"/>
      <c r="L297" s="194"/>
      <c r="M297" s="194"/>
      <c r="N297" s="194"/>
      <c r="O297" s="194"/>
      <c r="P297" s="194"/>
      <c r="Q297" s="194"/>
      <c r="R297" s="194"/>
      <c r="S297" s="194"/>
      <c r="T297" s="194"/>
      <c r="U297" s="194"/>
      <c r="V297" s="194"/>
      <c r="W297" s="194"/>
      <c r="X297" s="194"/>
      <c r="Y297" s="194"/>
      <c r="Z297" s="194"/>
      <c r="AA297" s="194"/>
      <c r="AB297" s="194"/>
      <c r="AC297" s="194"/>
      <c r="AD297" s="194"/>
      <c r="AE297" s="194"/>
      <c r="AF297" s="194"/>
      <c r="AG297" s="194"/>
      <c r="AH297" s="194"/>
      <c r="AI297" s="194"/>
      <c r="AJ297" s="194"/>
      <c r="AK297" s="194"/>
      <c r="AL297" s="194"/>
      <c r="AM297" s="194"/>
      <c r="AN297" s="194"/>
      <c r="AO297" s="194"/>
      <c r="AP297" s="194"/>
      <c r="AQ297" s="194"/>
      <c r="AR297" s="194"/>
      <c r="AS297" s="194"/>
      <c r="AT297" s="34" t="s">
        <v>227</v>
      </c>
      <c r="AU297" s="159"/>
      <c r="AV297" s="34"/>
      <c r="AW297" s="34"/>
      <c r="AX297" s="39"/>
      <c r="AY297" s="34" t="s">
        <v>1923</v>
      </c>
      <c r="AZ297" s="39" t="s">
        <v>1924</v>
      </c>
      <c r="BB297" s="41"/>
    </row>
    <row r="298" spans="1:54" ht="15.75" hidden="1" customHeight="1">
      <c r="A298" s="193"/>
      <c r="B298" s="33" t="s">
        <v>2164</v>
      </c>
      <c r="C298" s="102"/>
      <c r="D298" s="194"/>
      <c r="E298" s="194"/>
      <c r="F298" s="194">
        <v>0.03</v>
      </c>
      <c r="G298" s="194"/>
      <c r="H298" s="194"/>
      <c r="I298" s="194"/>
      <c r="J298" s="194"/>
      <c r="K298" s="194"/>
      <c r="L298" s="194"/>
      <c r="M298" s="194"/>
      <c r="N298" s="194"/>
      <c r="O298" s="194"/>
      <c r="P298" s="194"/>
      <c r="Q298" s="194"/>
      <c r="R298" s="194"/>
      <c r="S298" s="194"/>
      <c r="T298" s="194"/>
      <c r="U298" s="194"/>
      <c r="V298" s="194"/>
      <c r="W298" s="194"/>
      <c r="X298" s="194"/>
      <c r="Y298" s="194"/>
      <c r="Z298" s="194"/>
      <c r="AA298" s="194"/>
      <c r="AB298" s="194"/>
      <c r="AC298" s="194"/>
      <c r="AD298" s="194"/>
      <c r="AE298" s="194"/>
      <c r="AF298" s="194"/>
      <c r="AG298" s="194"/>
      <c r="AH298" s="194"/>
      <c r="AI298" s="194"/>
      <c r="AJ298" s="194"/>
      <c r="AK298" s="194"/>
      <c r="AL298" s="194"/>
      <c r="AM298" s="194"/>
      <c r="AN298" s="194"/>
      <c r="AO298" s="194"/>
      <c r="AP298" s="194"/>
      <c r="AQ298" s="194"/>
      <c r="AR298" s="194"/>
      <c r="AS298" s="194"/>
      <c r="AT298" s="34" t="s">
        <v>227</v>
      </c>
      <c r="AU298" s="159"/>
      <c r="AV298" s="34"/>
      <c r="AW298" s="34"/>
      <c r="AX298" s="39"/>
      <c r="AY298" s="34" t="s">
        <v>1923</v>
      </c>
      <c r="AZ298" s="39" t="s">
        <v>1924</v>
      </c>
      <c r="BB298" s="41"/>
    </row>
    <row r="299" spans="1:54" ht="15.75" hidden="1" customHeight="1">
      <c r="A299" s="193"/>
      <c r="B299" s="33" t="s">
        <v>2165</v>
      </c>
      <c r="C299" s="102"/>
      <c r="D299" s="194"/>
      <c r="E299" s="194"/>
      <c r="F299" s="194">
        <v>8.0000000000000002E-3</v>
      </c>
      <c r="G299" s="194"/>
      <c r="H299" s="194"/>
      <c r="I299" s="194"/>
      <c r="J299" s="194"/>
      <c r="K299" s="194"/>
      <c r="L299" s="194"/>
      <c r="M299" s="194"/>
      <c r="N299" s="194"/>
      <c r="O299" s="194"/>
      <c r="P299" s="194"/>
      <c r="Q299" s="194"/>
      <c r="R299" s="194"/>
      <c r="S299" s="194"/>
      <c r="T299" s="194"/>
      <c r="U299" s="194"/>
      <c r="V299" s="194"/>
      <c r="W299" s="194"/>
      <c r="X299" s="194"/>
      <c r="Y299" s="194"/>
      <c r="Z299" s="194"/>
      <c r="AA299" s="194"/>
      <c r="AB299" s="194"/>
      <c r="AC299" s="194"/>
      <c r="AD299" s="194"/>
      <c r="AE299" s="194"/>
      <c r="AF299" s="194"/>
      <c r="AG299" s="194"/>
      <c r="AH299" s="194"/>
      <c r="AI299" s="194"/>
      <c r="AJ299" s="194"/>
      <c r="AK299" s="194"/>
      <c r="AL299" s="194"/>
      <c r="AM299" s="194"/>
      <c r="AN299" s="194"/>
      <c r="AO299" s="194"/>
      <c r="AP299" s="194"/>
      <c r="AQ299" s="194"/>
      <c r="AR299" s="194"/>
      <c r="AS299" s="194"/>
      <c r="AT299" s="34" t="s">
        <v>227</v>
      </c>
      <c r="AU299" s="159"/>
      <c r="AV299" s="34"/>
      <c r="AW299" s="34"/>
      <c r="AX299" s="39"/>
      <c r="AY299" s="34" t="s">
        <v>1923</v>
      </c>
      <c r="AZ299" s="39" t="s">
        <v>1924</v>
      </c>
      <c r="BB299" s="41"/>
    </row>
    <row r="300" spans="1:54" ht="31.5" hidden="1" customHeight="1">
      <c r="A300" s="193"/>
      <c r="B300" s="33" t="s">
        <v>2166</v>
      </c>
      <c r="C300" s="102"/>
      <c r="D300" s="194"/>
      <c r="E300" s="194"/>
      <c r="F300" s="194">
        <v>0.01</v>
      </c>
      <c r="G300" s="194"/>
      <c r="H300" s="194"/>
      <c r="I300" s="194"/>
      <c r="J300" s="194"/>
      <c r="K300" s="194"/>
      <c r="L300" s="194"/>
      <c r="M300" s="194"/>
      <c r="N300" s="194"/>
      <c r="O300" s="194"/>
      <c r="P300" s="194"/>
      <c r="Q300" s="194"/>
      <c r="R300" s="194"/>
      <c r="S300" s="194"/>
      <c r="T300" s="194"/>
      <c r="U300" s="194"/>
      <c r="V300" s="194"/>
      <c r="W300" s="194"/>
      <c r="X300" s="194"/>
      <c r="Y300" s="194"/>
      <c r="Z300" s="194"/>
      <c r="AA300" s="194"/>
      <c r="AB300" s="194"/>
      <c r="AC300" s="194"/>
      <c r="AD300" s="194"/>
      <c r="AE300" s="194"/>
      <c r="AF300" s="194"/>
      <c r="AG300" s="194"/>
      <c r="AH300" s="194"/>
      <c r="AI300" s="194"/>
      <c r="AJ300" s="194"/>
      <c r="AK300" s="194"/>
      <c r="AL300" s="194"/>
      <c r="AM300" s="194"/>
      <c r="AN300" s="194"/>
      <c r="AO300" s="194"/>
      <c r="AP300" s="194"/>
      <c r="AQ300" s="194"/>
      <c r="AR300" s="194"/>
      <c r="AS300" s="194"/>
      <c r="AT300" s="34" t="s">
        <v>227</v>
      </c>
      <c r="AU300" s="159"/>
      <c r="AV300" s="34"/>
      <c r="AW300" s="34"/>
      <c r="AX300" s="39"/>
      <c r="AY300" s="34" t="s">
        <v>1923</v>
      </c>
      <c r="AZ300" s="39" t="s">
        <v>1924</v>
      </c>
      <c r="BB300" s="41"/>
    </row>
    <row r="301" spans="1:54" ht="31.5" hidden="1" customHeight="1">
      <c r="A301" s="193"/>
      <c r="B301" s="33" t="s">
        <v>2167</v>
      </c>
      <c r="C301" s="102"/>
      <c r="D301" s="194"/>
      <c r="E301" s="194"/>
      <c r="F301" s="194">
        <v>7.0000000000000001E-3</v>
      </c>
      <c r="G301" s="194"/>
      <c r="H301" s="194"/>
      <c r="I301" s="194"/>
      <c r="J301" s="194"/>
      <c r="K301" s="194"/>
      <c r="L301" s="194"/>
      <c r="M301" s="194"/>
      <c r="N301" s="194"/>
      <c r="O301" s="194"/>
      <c r="P301" s="194"/>
      <c r="Q301" s="194"/>
      <c r="R301" s="194"/>
      <c r="S301" s="194"/>
      <c r="T301" s="194"/>
      <c r="U301" s="194"/>
      <c r="V301" s="194"/>
      <c r="W301" s="194"/>
      <c r="X301" s="194"/>
      <c r="Y301" s="194"/>
      <c r="Z301" s="194"/>
      <c r="AA301" s="194"/>
      <c r="AB301" s="194"/>
      <c r="AC301" s="194"/>
      <c r="AD301" s="194"/>
      <c r="AE301" s="194"/>
      <c r="AF301" s="194"/>
      <c r="AG301" s="194"/>
      <c r="AH301" s="194"/>
      <c r="AI301" s="194"/>
      <c r="AJ301" s="194"/>
      <c r="AK301" s="194"/>
      <c r="AL301" s="194"/>
      <c r="AM301" s="194"/>
      <c r="AN301" s="194"/>
      <c r="AO301" s="194"/>
      <c r="AP301" s="194"/>
      <c r="AQ301" s="194"/>
      <c r="AR301" s="194"/>
      <c r="AS301" s="194"/>
      <c r="AT301" s="34" t="s">
        <v>227</v>
      </c>
      <c r="AU301" s="159"/>
      <c r="AV301" s="34"/>
      <c r="AW301" s="34"/>
      <c r="AX301" s="39"/>
      <c r="AY301" s="34" t="s">
        <v>1923</v>
      </c>
      <c r="AZ301" s="39" t="s">
        <v>1924</v>
      </c>
      <c r="BB301" s="41"/>
    </row>
    <row r="302" spans="1:54" ht="15.75" hidden="1" customHeight="1">
      <c r="A302" s="193"/>
      <c r="B302" s="33" t="s">
        <v>2168</v>
      </c>
      <c r="C302" s="102"/>
      <c r="D302" s="194"/>
      <c r="E302" s="194"/>
      <c r="F302" s="194">
        <v>0.02</v>
      </c>
      <c r="G302" s="194"/>
      <c r="H302" s="194"/>
      <c r="I302" s="194"/>
      <c r="J302" s="194"/>
      <c r="K302" s="194"/>
      <c r="L302" s="194"/>
      <c r="M302" s="194"/>
      <c r="N302" s="194"/>
      <c r="O302" s="194"/>
      <c r="P302" s="194"/>
      <c r="Q302" s="194"/>
      <c r="R302" s="194"/>
      <c r="S302" s="194"/>
      <c r="T302" s="194"/>
      <c r="U302" s="194"/>
      <c r="V302" s="194"/>
      <c r="W302" s="194"/>
      <c r="X302" s="194"/>
      <c r="Y302" s="194"/>
      <c r="Z302" s="194"/>
      <c r="AA302" s="194"/>
      <c r="AB302" s="194"/>
      <c r="AC302" s="194"/>
      <c r="AD302" s="194"/>
      <c r="AE302" s="194"/>
      <c r="AF302" s="194"/>
      <c r="AG302" s="194"/>
      <c r="AH302" s="194"/>
      <c r="AI302" s="194"/>
      <c r="AJ302" s="194"/>
      <c r="AK302" s="194"/>
      <c r="AL302" s="194"/>
      <c r="AM302" s="194"/>
      <c r="AN302" s="194"/>
      <c r="AO302" s="194"/>
      <c r="AP302" s="194"/>
      <c r="AQ302" s="194"/>
      <c r="AR302" s="194"/>
      <c r="AS302" s="194"/>
      <c r="AT302" s="34" t="s">
        <v>227</v>
      </c>
      <c r="AU302" s="159"/>
      <c r="AV302" s="34"/>
      <c r="AW302" s="34"/>
      <c r="AX302" s="39"/>
      <c r="AY302" s="34" t="s">
        <v>1923</v>
      </c>
      <c r="AZ302" s="39" t="s">
        <v>1924</v>
      </c>
      <c r="BB302" s="41"/>
    </row>
    <row r="303" spans="1:54" ht="15.75" hidden="1" customHeight="1">
      <c r="A303" s="193"/>
      <c r="B303" s="33" t="s">
        <v>2169</v>
      </c>
      <c r="C303" s="102"/>
      <c r="D303" s="194"/>
      <c r="E303" s="194"/>
      <c r="F303" s="194">
        <v>0.01</v>
      </c>
      <c r="G303" s="194"/>
      <c r="H303" s="194"/>
      <c r="I303" s="194"/>
      <c r="J303" s="194"/>
      <c r="K303" s="194"/>
      <c r="L303" s="194"/>
      <c r="M303" s="194"/>
      <c r="N303" s="194"/>
      <c r="O303" s="194"/>
      <c r="P303" s="194"/>
      <c r="Q303" s="194"/>
      <c r="R303" s="194"/>
      <c r="S303" s="194"/>
      <c r="T303" s="194"/>
      <c r="U303" s="194"/>
      <c r="V303" s="194"/>
      <c r="W303" s="194"/>
      <c r="X303" s="194"/>
      <c r="Y303" s="194"/>
      <c r="Z303" s="194"/>
      <c r="AA303" s="194"/>
      <c r="AB303" s="194"/>
      <c r="AC303" s="194"/>
      <c r="AD303" s="194"/>
      <c r="AE303" s="194"/>
      <c r="AF303" s="194"/>
      <c r="AG303" s="194"/>
      <c r="AH303" s="194"/>
      <c r="AI303" s="194"/>
      <c r="AJ303" s="194"/>
      <c r="AK303" s="194"/>
      <c r="AL303" s="194"/>
      <c r="AM303" s="194"/>
      <c r="AN303" s="194"/>
      <c r="AO303" s="194"/>
      <c r="AP303" s="194"/>
      <c r="AQ303" s="194"/>
      <c r="AR303" s="194"/>
      <c r="AS303" s="194"/>
      <c r="AT303" s="34" t="s">
        <v>227</v>
      </c>
      <c r="AU303" s="159"/>
      <c r="AV303" s="34"/>
      <c r="AW303" s="34"/>
      <c r="AX303" s="39"/>
      <c r="AY303" s="34" t="s">
        <v>1923</v>
      </c>
      <c r="AZ303" s="39" t="s">
        <v>1924</v>
      </c>
      <c r="BB303" s="41"/>
    </row>
    <row r="304" spans="1:54" ht="15.75" hidden="1" customHeight="1">
      <c r="A304" s="193"/>
      <c r="B304" s="33" t="s">
        <v>2170</v>
      </c>
      <c r="C304" s="102"/>
      <c r="D304" s="194"/>
      <c r="E304" s="194"/>
      <c r="F304" s="194">
        <v>0.01</v>
      </c>
      <c r="G304" s="194"/>
      <c r="H304" s="194"/>
      <c r="I304" s="194"/>
      <c r="J304" s="194"/>
      <c r="K304" s="194"/>
      <c r="L304" s="194"/>
      <c r="M304" s="194"/>
      <c r="N304" s="194"/>
      <c r="O304" s="194"/>
      <c r="P304" s="194"/>
      <c r="Q304" s="194"/>
      <c r="R304" s="194"/>
      <c r="S304" s="194"/>
      <c r="T304" s="194"/>
      <c r="U304" s="194"/>
      <c r="V304" s="194"/>
      <c r="W304" s="194"/>
      <c r="X304" s="194"/>
      <c r="Y304" s="194"/>
      <c r="Z304" s="194"/>
      <c r="AA304" s="194"/>
      <c r="AB304" s="194"/>
      <c r="AC304" s="194"/>
      <c r="AD304" s="194"/>
      <c r="AE304" s="194"/>
      <c r="AF304" s="194"/>
      <c r="AG304" s="194"/>
      <c r="AH304" s="194"/>
      <c r="AI304" s="194"/>
      <c r="AJ304" s="194"/>
      <c r="AK304" s="194"/>
      <c r="AL304" s="194"/>
      <c r="AM304" s="194"/>
      <c r="AN304" s="194"/>
      <c r="AO304" s="194"/>
      <c r="AP304" s="194"/>
      <c r="AQ304" s="194"/>
      <c r="AR304" s="194"/>
      <c r="AS304" s="194"/>
      <c r="AT304" s="34" t="s">
        <v>227</v>
      </c>
      <c r="AU304" s="159"/>
      <c r="AV304" s="34"/>
      <c r="AW304" s="34"/>
      <c r="AX304" s="39"/>
      <c r="AY304" s="34" t="s">
        <v>1923</v>
      </c>
      <c r="AZ304" s="39" t="s">
        <v>1924</v>
      </c>
      <c r="BB304" s="41"/>
    </row>
    <row r="305" spans="1:56" ht="15.75" hidden="1" customHeight="1">
      <c r="A305" s="193"/>
      <c r="B305" s="33" t="s">
        <v>2171</v>
      </c>
      <c r="C305" s="102"/>
      <c r="D305" s="194"/>
      <c r="E305" s="194"/>
      <c r="F305" s="194">
        <v>0.02</v>
      </c>
      <c r="G305" s="194"/>
      <c r="H305" s="194"/>
      <c r="I305" s="194"/>
      <c r="J305" s="194"/>
      <c r="K305" s="194"/>
      <c r="L305" s="194"/>
      <c r="M305" s="194"/>
      <c r="N305" s="194"/>
      <c r="O305" s="194"/>
      <c r="P305" s="194"/>
      <c r="Q305" s="194"/>
      <c r="R305" s="194"/>
      <c r="S305" s="194"/>
      <c r="T305" s="194"/>
      <c r="U305" s="194"/>
      <c r="V305" s="194"/>
      <c r="W305" s="194"/>
      <c r="X305" s="194"/>
      <c r="Y305" s="194"/>
      <c r="Z305" s="194"/>
      <c r="AA305" s="194"/>
      <c r="AB305" s="194"/>
      <c r="AC305" s="194"/>
      <c r="AD305" s="194"/>
      <c r="AE305" s="194"/>
      <c r="AF305" s="194"/>
      <c r="AG305" s="194"/>
      <c r="AH305" s="194"/>
      <c r="AI305" s="194"/>
      <c r="AJ305" s="194"/>
      <c r="AK305" s="194"/>
      <c r="AL305" s="194"/>
      <c r="AM305" s="194"/>
      <c r="AN305" s="194"/>
      <c r="AO305" s="194"/>
      <c r="AP305" s="194"/>
      <c r="AQ305" s="194"/>
      <c r="AR305" s="194"/>
      <c r="AS305" s="194"/>
      <c r="AT305" s="34" t="s">
        <v>227</v>
      </c>
      <c r="AU305" s="159"/>
      <c r="AV305" s="34"/>
      <c r="AW305" s="34"/>
      <c r="AX305" s="39"/>
      <c r="AY305" s="34" t="s">
        <v>1923</v>
      </c>
      <c r="AZ305" s="39" t="s">
        <v>1924</v>
      </c>
      <c r="BB305" s="41"/>
    </row>
    <row r="306" spans="1:56" ht="15.75" hidden="1" customHeight="1">
      <c r="A306" s="193"/>
      <c r="B306" s="33" t="s">
        <v>2172</v>
      </c>
      <c r="C306" s="102"/>
      <c r="D306" s="194"/>
      <c r="E306" s="194"/>
      <c r="F306" s="194">
        <v>0.04</v>
      </c>
      <c r="G306" s="194"/>
      <c r="H306" s="194"/>
      <c r="I306" s="194"/>
      <c r="J306" s="194"/>
      <c r="K306" s="194"/>
      <c r="L306" s="194"/>
      <c r="M306" s="194"/>
      <c r="N306" s="194"/>
      <c r="O306" s="194"/>
      <c r="P306" s="194"/>
      <c r="Q306" s="194"/>
      <c r="R306" s="194"/>
      <c r="S306" s="194"/>
      <c r="T306" s="194"/>
      <c r="U306" s="194"/>
      <c r="V306" s="194"/>
      <c r="W306" s="194"/>
      <c r="X306" s="194"/>
      <c r="Y306" s="194"/>
      <c r="Z306" s="194"/>
      <c r="AA306" s="194"/>
      <c r="AB306" s="194"/>
      <c r="AC306" s="194"/>
      <c r="AD306" s="194"/>
      <c r="AE306" s="194"/>
      <c r="AF306" s="194"/>
      <c r="AG306" s="194"/>
      <c r="AH306" s="194"/>
      <c r="AI306" s="194"/>
      <c r="AJ306" s="194"/>
      <c r="AK306" s="194"/>
      <c r="AL306" s="194"/>
      <c r="AM306" s="194"/>
      <c r="AN306" s="194"/>
      <c r="AO306" s="194"/>
      <c r="AP306" s="194"/>
      <c r="AQ306" s="194"/>
      <c r="AR306" s="194"/>
      <c r="AS306" s="194"/>
      <c r="AT306" s="34" t="s">
        <v>227</v>
      </c>
      <c r="AU306" s="159"/>
      <c r="AV306" s="34"/>
      <c r="AW306" s="34"/>
      <c r="AX306" s="39"/>
      <c r="AY306" s="34" t="s">
        <v>1923</v>
      </c>
      <c r="AZ306" s="39" t="s">
        <v>1924</v>
      </c>
      <c r="BB306" s="41"/>
    </row>
    <row r="307" spans="1:56" ht="31.5" hidden="1" customHeight="1">
      <c r="A307" s="193"/>
      <c r="B307" s="33" t="s">
        <v>2173</v>
      </c>
      <c r="C307" s="102"/>
      <c r="D307" s="194"/>
      <c r="E307" s="194"/>
      <c r="F307" s="194">
        <v>0.03</v>
      </c>
      <c r="G307" s="194"/>
      <c r="H307" s="194"/>
      <c r="I307" s="194"/>
      <c r="J307" s="194"/>
      <c r="K307" s="194"/>
      <c r="L307" s="194"/>
      <c r="M307" s="194"/>
      <c r="N307" s="194"/>
      <c r="O307" s="194"/>
      <c r="P307" s="194"/>
      <c r="Q307" s="194"/>
      <c r="R307" s="194"/>
      <c r="S307" s="194"/>
      <c r="T307" s="194"/>
      <c r="U307" s="194"/>
      <c r="V307" s="194"/>
      <c r="W307" s="194"/>
      <c r="X307" s="194"/>
      <c r="Y307" s="194"/>
      <c r="Z307" s="194"/>
      <c r="AA307" s="194"/>
      <c r="AB307" s="194"/>
      <c r="AC307" s="194"/>
      <c r="AD307" s="194"/>
      <c r="AE307" s="194"/>
      <c r="AF307" s="194"/>
      <c r="AG307" s="194"/>
      <c r="AH307" s="194"/>
      <c r="AI307" s="194"/>
      <c r="AJ307" s="194"/>
      <c r="AK307" s="194"/>
      <c r="AL307" s="194"/>
      <c r="AM307" s="194"/>
      <c r="AN307" s="194"/>
      <c r="AO307" s="194"/>
      <c r="AP307" s="194"/>
      <c r="AQ307" s="194"/>
      <c r="AR307" s="194"/>
      <c r="AS307" s="194"/>
      <c r="AT307" s="34" t="s">
        <v>227</v>
      </c>
      <c r="AU307" s="159"/>
      <c r="AV307" s="34"/>
      <c r="AW307" s="34"/>
      <c r="AX307" s="39"/>
      <c r="AY307" s="34" t="s">
        <v>1986</v>
      </c>
      <c r="AZ307" s="39"/>
      <c r="BB307" s="41"/>
    </row>
    <row r="308" spans="1:56" ht="31.5" hidden="1" customHeight="1">
      <c r="A308" s="193"/>
      <c r="B308" s="33" t="s">
        <v>2174</v>
      </c>
      <c r="C308" s="102"/>
      <c r="D308" s="194"/>
      <c r="E308" s="194"/>
      <c r="F308" s="194">
        <v>1.7999999999999999E-2</v>
      </c>
      <c r="G308" s="194"/>
      <c r="H308" s="194"/>
      <c r="I308" s="194"/>
      <c r="J308" s="194"/>
      <c r="K308" s="194"/>
      <c r="L308" s="194"/>
      <c r="M308" s="194"/>
      <c r="N308" s="194"/>
      <c r="O308" s="194"/>
      <c r="P308" s="194"/>
      <c r="Q308" s="194"/>
      <c r="R308" s="194"/>
      <c r="S308" s="194"/>
      <c r="T308" s="194"/>
      <c r="U308" s="194"/>
      <c r="V308" s="194"/>
      <c r="W308" s="194"/>
      <c r="X308" s="194"/>
      <c r="Y308" s="194"/>
      <c r="Z308" s="194"/>
      <c r="AA308" s="194"/>
      <c r="AB308" s="194"/>
      <c r="AC308" s="194"/>
      <c r="AD308" s="194"/>
      <c r="AE308" s="194"/>
      <c r="AF308" s="194"/>
      <c r="AG308" s="194"/>
      <c r="AH308" s="194"/>
      <c r="AI308" s="194"/>
      <c r="AJ308" s="194"/>
      <c r="AK308" s="194"/>
      <c r="AL308" s="194"/>
      <c r="AM308" s="194"/>
      <c r="AN308" s="194"/>
      <c r="AO308" s="194"/>
      <c r="AP308" s="194"/>
      <c r="AQ308" s="194"/>
      <c r="AR308" s="194"/>
      <c r="AS308" s="194"/>
      <c r="AT308" s="34" t="s">
        <v>227</v>
      </c>
      <c r="AU308" s="159"/>
      <c r="AV308" s="34"/>
      <c r="AW308" s="34"/>
      <c r="AX308" s="39"/>
      <c r="AY308" s="34" t="s">
        <v>1923</v>
      </c>
      <c r="AZ308" s="39" t="s">
        <v>1924</v>
      </c>
      <c r="BB308" s="41"/>
    </row>
    <row r="309" spans="1:56" ht="15.75" hidden="1" customHeight="1">
      <c r="A309" s="193"/>
      <c r="B309" s="33" t="s">
        <v>2175</v>
      </c>
      <c r="C309" s="102"/>
      <c r="D309" s="194"/>
      <c r="E309" s="194"/>
      <c r="F309" s="194">
        <v>0.03</v>
      </c>
      <c r="G309" s="194"/>
      <c r="H309" s="194"/>
      <c r="I309" s="194"/>
      <c r="J309" s="194"/>
      <c r="K309" s="194"/>
      <c r="L309" s="194"/>
      <c r="M309" s="194"/>
      <c r="N309" s="194"/>
      <c r="O309" s="194"/>
      <c r="P309" s="194"/>
      <c r="Q309" s="194"/>
      <c r="R309" s="194"/>
      <c r="S309" s="194"/>
      <c r="T309" s="194"/>
      <c r="U309" s="194"/>
      <c r="V309" s="194"/>
      <c r="W309" s="194"/>
      <c r="X309" s="194"/>
      <c r="Y309" s="194"/>
      <c r="Z309" s="194"/>
      <c r="AA309" s="194"/>
      <c r="AB309" s="194"/>
      <c r="AC309" s="194"/>
      <c r="AD309" s="194"/>
      <c r="AE309" s="194"/>
      <c r="AF309" s="194"/>
      <c r="AG309" s="194"/>
      <c r="AH309" s="194"/>
      <c r="AI309" s="194"/>
      <c r="AJ309" s="194"/>
      <c r="AK309" s="194"/>
      <c r="AL309" s="194"/>
      <c r="AM309" s="194"/>
      <c r="AN309" s="194"/>
      <c r="AO309" s="194"/>
      <c r="AP309" s="194"/>
      <c r="AQ309" s="194"/>
      <c r="AR309" s="194"/>
      <c r="AS309" s="194"/>
      <c r="AT309" s="34" t="s">
        <v>227</v>
      </c>
      <c r="AU309" s="159"/>
      <c r="AV309" s="34"/>
      <c r="AW309" s="34"/>
      <c r="AX309" s="39"/>
      <c r="AY309" s="34" t="s">
        <v>1986</v>
      </c>
      <c r="AZ309" s="39"/>
      <c r="BB309" s="41"/>
    </row>
    <row r="310" spans="1:56" ht="31.5" hidden="1" customHeight="1">
      <c r="A310" s="193"/>
      <c r="B310" s="33" t="s">
        <v>2176</v>
      </c>
      <c r="C310" s="102"/>
      <c r="D310" s="194"/>
      <c r="E310" s="194"/>
      <c r="F310" s="194">
        <v>2.4E-2</v>
      </c>
      <c r="G310" s="194"/>
      <c r="H310" s="194"/>
      <c r="I310" s="194"/>
      <c r="J310" s="194"/>
      <c r="K310" s="194"/>
      <c r="L310" s="194"/>
      <c r="M310" s="194"/>
      <c r="N310" s="194"/>
      <c r="O310" s="194"/>
      <c r="P310" s="194"/>
      <c r="Q310" s="194"/>
      <c r="R310" s="194"/>
      <c r="S310" s="194"/>
      <c r="T310" s="194"/>
      <c r="U310" s="194"/>
      <c r="V310" s="194"/>
      <c r="W310" s="194"/>
      <c r="X310" s="194"/>
      <c r="Y310" s="194"/>
      <c r="Z310" s="194"/>
      <c r="AA310" s="194"/>
      <c r="AB310" s="194"/>
      <c r="AC310" s="194"/>
      <c r="AD310" s="194"/>
      <c r="AE310" s="194"/>
      <c r="AF310" s="194"/>
      <c r="AG310" s="194"/>
      <c r="AH310" s="194"/>
      <c r="AI310" s="194"/>
      <c r="AJ310" s="194"/>
      <c r="AK310" s="194"/>
      <c r="AL310" s="194"/>
      <c r="AM310" s="194"/>
      <c r="AN310" s="194"/>
      <c r="AO310" s="194"/>
      <c r="AP310" s="194"/>
      <c r="AQ310" s="194"/>
      <c r="AR310" s="194"/>
      <c r="AS310" s="194"/>
      <c r="AT310" s="34" t="s">
        <v>227</v>
      </c>
      <c r="AU310" s="159"/>
      <c r="AV310" s="34"/>
      <c r="AW310" s="34"/>
      <c r="AX310" s="39"/>
      <c r="AY310" s="34" t="s">
        <v>1923</v>
      </c>
      <c r="AZ310" s="39" t="s">
        <v>1924</v>
      </c>
      <c r="BB310" s="41"/>
    </row>
    <row r="311" spans="1:56" ht="31.5" hidden="1" customHeight="1">
      <c r="A311" s="193"/>
      <c r="B311" s="56" t="s">
        <v>2177</v>
      </c>
      <c r="C311" s="78"/>
      <c r="D311" s="103"/>
      <c r="E311" s="103"/>
      <c r="F311" s="103">
        <v>0.55000000000000004</v>
      </c>
      <c r="G311" s="103"/>
      <c r="H311" s="103"/>
      <c r="I311" s="103"/>
      <c r="J311" s="103"/>
      <c r="K311" s="194"/>
      <c r="L311" s="103"/>
      <c r="M311" s="103"/>
      <c r="N311" s="103"/>
      <c r="O311" s="103"/>
      <c r="P311" s="103"/>
      <c r="Q311" s="103"/>
      <c r="R311" s="103"/>
      <c r="S311" s="103"/>
      <c r="T311" s="103"/>
      <c r="U311" s="103"/>
      <c r="V311" s="103"/>
      <c r="W311" s="103"/>
      <c r="X311" s="103"/>
      <c r="Y311" s="103"/>
      <c r="Z311" s="103"/>
      <c r="AA311" s="103"/>
      <c r="AB311" s="103"/>
      <c r="AC311" s="103"/>
      <c r="AD311" s="103"/>
      <c r="AE311" s="103"/>
      <c r="AF311" s="103"/>
      <c r="AG311" s="103"/>
      <c r="AH311" s="103"/>
      <c r="AI311" s="103"/>
      <c r="AJ311" s="103"/>
      <c r="AK311" s="103"/>
      <c r="AL311" s="103"/>
      <c r="AM311" s="103"/>
      <c r="AN311" s="103"/>
      <c r="AO311" s="103"/>
      <c r="AP311" s="103"/>
      <c r="AQ311" s="103"/>
      <c r="AR311" s="103"/>
      <c r="AS311" s="103"/>
      <c r="AT311" s="34" t="s">
        <v>487</v>
      </c>
      <c r="AU311" s="34" t="s">
        <v>2178</v>
      </c>
      <c r="AV311" s="34"/>
      <c r="AW311" s="34"/>
      <c r="AX311" s="39"/>
      <c r="AY311" s="38" t="s">
        <v>1986</v>
      </c>
      <c r="AZ311" s="39"/>
      <c r="BB311" s="41"/>
      <c r="BD311" s="58"/>
    </row>
    <row r="312" spans="1:56" s="24" customFormat="1" ht="31.5" hidden="1" customHeight="1">
      <c r="A312" s="193"/>
      <c r="B312" s="33" t="s">
        <v>2179</v>
      </c>
      <c r="C312" s="102" t="s">
        <v>45</v>
      </c>
      <c r="D312" s="103">
        <v>12.811499999999997</v>
      </c>
      <c r="E312" s="103"/>
      <c r="F312" s="103">
        <v>0.05</v>
      </c>
      <c r="G312" s="103"/>
      <c r="H312" s="103"/>
      <c r="I312" s="103"/>
      <c r="J312" s="103"/>
      <c r="K312" s="103"/>
      <c r="L312" s="103"/>
      <c r="M312" s="103"/>
      <c r="N312" s="103"/>
      <c r="O312" s="103"/>
      <c r="P312" s="103"/>
      <c r="Q312" s="103"/>
      <c r="R312" s="103"/>
      <c r="S312" s="103"/>
      <c r="T312" s="103"/>
      <c r="U312" s="103"/>
      <c r="V312" s="103"/>
      <c r="W312" s="103"/>
      <c r="X312" s="103"/>
      <c r="Y312" s="103"/>
      <c r="Z312" s="103"/>
      <c r="AA312" s="103"/>
      <c r="AB312" s="103"/>
      <c r="AC312" s="103"/>
      <c r="AD312" s="103"/>
      <c r="AE312" s="103"/>
      <c r="AF312" s="103"/>
      <c r="AG312" s="103"/>
      <c r="AH312" s="103"/>
      <c r="AI312" s="103"/>
      <c r="AJ312" s="103"/>
      <c r="AK312" s="103"/>
      <c r="AL312" s="103"/>
      <c r="AM312" s="103"/>
      <c r="AN312" s="103"/>
      <c r="AO312" s="103"/>
      <c r="AP312" s="103"/>
      <c r="AQ312" s="103"/>
      <c r="AR312" s="103"/>
      <c r="AS312" s="103"/>
      <c r="AT312" s="103" t="s">
        <v>232</v>
      </c>
      <c r="AU312" s="103" t="s">
        <v>389</v>
      </c>
      <c r="AV312" s="34"/>
      <c r="AW312" s="34"/>
      <c r="AX312" s="39" t="s">
        <v>1920</v>
      </c>
      <c r="AY312" s="34" t="s">
        <v>1923</v>
      </c>
      <c r="AZ312" s="39" t="s">
        <v>1924</v>
      </c>
      <c r="BB312" s="41"/>
    </row>
    <row r="313" spans="1:56" s="24" customFormat="1" ht="31.5" hidden="1" customHeight="1">
      <c r="A313" s="193"/>
      <c r="B313" s="33" t="s">
        <v>2180</v>
      </c>
      <c r="C313" s="102"/>
      <c r="D313" s="103"/>
      <c r="E313" s="103"/>
      <c r="F313" s="103">
        <v>0.05</v>
      </c>
      <c r="G313" s="103"/>
      <c r="H313" s="103"/>
      <c r="I313" s="103"/>
      <c r="J313" s="103"/>
      <c r="K313" s="103"/>
      <c r="L313" s="103"/>
      <c r="M313" s="103"/>
      <c r="N313" s="103"/>
      <c r="O313" s="103"/>
      <c r="P313" s="103"/>
      <c r="Q313" s="103"/>
      <c r="R313" s="103"/>
      <c r="S313" s="103"/>
      <c r="T313" s="103"/>
      <c r="U313" s="103"/>
      <c r="V313" s="103"/>
      <c r="W313" s="103"/>
      <c r="X313" s="103"/>
      <c r="Y313" s="103"/>
      <c r="Z313" s="103"/>
      <c r="AA313" s="103"/>
      <c r="AB313" s="103"/>
      <c r="AC313" s="103"/>
      <c r="AD313" s="103"/>
      <c r="AE313" s="103"/>
      <c r="AF313" s="103"/>
      <c r="AG313" s="103"/>
      <c r="AH313" s="103"/>
      <c r="AI313" s="103"/>
      <c r="AJ313" s="103"/>
      <c r="AK313" s="103"/>
      <c r="AL313" s="103"/>
      <c r="AM313" s="103"/>
      <c r="AN313" s="103"/>
      <c r="AO313" s="103"/>
      <c r="AP313" s="103"/>
      <c r="AQ313" s="103"/>
      <c r="AR313" s="103"/>
      <c r="AS313" s="103"/>
      <c r="AT313" s="103" t="s">
        <v>232</v>
      </c>
      <c r="AU313" s="103" t="s">
        <v>451</v>
      </c>
      <c r="AV313" s="34"/>
      <c r="AW313" s="34"/>
      <c r="AX313" s="39"/>
      <c r="AY313" s="34" t="s">
        <v>1923</v>
      </c>
      <c r="AZ313" s="39" t="s">
        <v>1924</v>
      </c>
      <c r="BB313" s="41"/>
    </row>
    <row r="314" spans="1:56" s="24" customFormat="1" ht="31.5" hidden="1" customHeight="1">
      <c r="A314" s="193"/>
      <c r="B314" s="33" t="s">
        <v>2181</v>
      </c>
      <c r="C314" s="102"/>
      <c r="D314" s="103"/>
      <c r="E314" s="103"/>
      <c r="F314" s="103">
        <v>0.06</v>
      </c>
      <c r="G314" s="103"/>
      <c r="H314" s="103"/>
      <c r="I314" s="103"/>
      <c r="J314" s="103"/>
      <c r="K314" s="103"/>
      <c r="L314" s="103"/>
      <c r="M314" s="103"/>
      <c r="N314" s="103"/>
      <c r="O314" s="103"/>
      <c r="P314" s="103"/>
      <c r="Q314" s="103"/>
      <c r="R314" s="103"/>
      <c r="S314" s="103"/>
      <c r="T314" s="103"/>
      <c r="U314" s="103"/>
      <c r="V314" s="103"/>
      <c r="W314" s="103"/>
      <c r="X314" s="103"/>
      <c r="Y314" s="103"/>
      <c r="Z314" s="103"/>
      <c r="AA314" s="103"/>
      <c r="AB314" s="103"/>
      <c r="AC314" s="103"/>
      <c r="AD314" s="103"/>
      <c r="AE314" s="103"/>
      <c r="AF314" s="103"/>
      <c r="AG314" s="103"/>
      <c r="AH314" s="103"/>
      <c r="AI314" s="103"/>
      <c r="AJ314" s="103"/>
      <c r="AK314" s="103"/>
      <c r="AL314" s="103"/>
      <c r="AM314" s="103"/>
      <c r="AN314" s="103"/>
      <c r="AO314" s="103"/>
      <c r="AP314" s="103"/>
      <c r="AQ314" s="103"/>
      <c r="AR314" s="103"/>
      <c r="AS314" s="103"/>
      <c r="AT314" s="103" t="s">
        <v>232</v>
      </c>
      <c r="AU314" s="103" t="s">
        <v>389</v>
      </c>
      <c r="AV314" s="34"/>
      <c r="AW314" s="34"/>
      <c r="AX314" s="39"/>
      <c r="AY314" s="34" t="s">
        <v>1923</v>
      </c>
      <c r="AZ314" s="39" t="s">
        <v>1924</v>
      </c>
      <c r="BB314" s="41"/>
    </row>
    <row r="315" spans="1:56" s="24" customFormat="1" ht="31.5" hidden="1" customHeight="1">
      <c r="A315" s="193"/>
      <c r="B315" s="33" t="s">
        <v>2182</v>
      </c>
      <c r="C315" s="102"/>
      <c r="D315" s="103"/>
      <c r="E315" s="103"/>
      <c r="F315" s="103">
        <v>0.12</v>
      </c>
      <c r="G315" s="103"/>
      <c r="H315" s="103"/>
      <c r="I315" s="103"/>
      <c r="J315" s="103"/>
      <c r="K315" s="103"/>
      <c r="L315" s="103"/>
      <c r="M315" s="103"/>
      <c r="N315" s="103"/>
      <c r="O315" s="103"/>
      <c r="P315" s="103"/>
      <c r="Q315" s="103"/>
      <c r="R315" s="103"/>
      <c r="S315" s="103"/>
      <c r="T315" s="103"/>
      <c r="U315" s="103"/>
      <c r="V315" s="103"/>
      <c r="W315" s="103"/>
      <c r="X315" s="103"/>
      <c r="Y315" s="103"/>
      <c r="Z315" s="103"/>
      <c r="AA315" s="103"/>
      <c r="AB315" s="103"/>
      <c r="AC315" s="103"/>
      <c r="AD315" s="103"/>
      <c r="AE315" s="103"/>
      <c r="AF315" s="103"/>
      <c r="AG315" s="103"/>
      <c r="AH315" s="103"/>
      <c r="AI315" s="103"/>
      <c r="AJ315" s="103"/>
      <c r="AK315" s="103"/>
      <c r="AL315" s="103"/>
      <c r="AM315" s="103"/>
      <c r="AN315" s="103"/>
      <c r="AO315" s="103"/>
      <c r="AP315" s="103"/>
      <c r="AQ315" s="103"/>
      <c r="AR315" s="103"/>
      <c r="AS315" s="103"/>
      <c r="AT315" s="103" t="s">
        <v>232</v>
      </c>
      <c r="AU315" s="103" t="s">
        <v>410</v>
      </c>
      <c r="AV315" s="34"/>
      <c r="AW315" s="34"/>
      <c r="AX315" s="39"/>
      <c r="AY315" s="34" t="s">
        <v>1923</v>
      </c>
      <c r="AZ315" s="39" t="s">
        <v>1924</v>
      </c>
      <c r="BB315" s="41"/>
    </row>
    <row r="316" spans="1:56" s="24" customFormat="1" ht="15.75" hidden="1" customHeight="1">
      <c r="A316" s="193"/>
      <c r="B316" s="33" t="s">
        <v>2183</v>
      </c>
      <c r="C316" s="102"/>
      <c r="D316" s="103"/>
      <c r="E316" s="103"/>
      <c r="F316" s="103">
        <v>0.01</v>
      </c>
      <c r="G316" s="103"/>
      <c r="H316" s="103"/>
      <c r="I316" s="103"/>
      <c r="J316" s="103"/>
      <c r="K316" s="103"/>
      <c r="L316" s="103"/>
      <c r="M316" s="103"/>
      <c r="N316" s="103"/>
      <c r="O316" s="103"/>
      <c r="P316" s="103"/>
      <c r="Q316" s="103"/>
      <c r="R316" s="103"/>
      <c r="S316" s="103"/>
      <c r="T316" s="103"/>
      <c r="U316" s="103"/>
      <c r="V316" s="103"/>
      <c r="W316" s="103"/>
      <c r="X316" s="103"/>
      <c r="Y316" s="103"/>
      <c r="Z316" s="103"/>
      <c r="AA316" s="103"/>
      <c r="AB316" s="103"/>
      <c r="AC316" s="103"/>
      <c r="AD316" s="103"/>
      <c r="AE316" s="103"/>
      <c r="AF316" s="103"/>
      <c r="AG316" s="103"/>
      <c r="AH316" s="103"/>
      <c r="AI316" s="103"/>
      <c r="AJ316" s="103"/>
      <c r="AK316" s="103"/>
      <c r="AL316" s="103"/>
      <c r="AM316" s="103"/>
      <c r="AN316" s="103"/>
      <c r="AO316" s="103"/>
      <c r="AP316" s="103"/>
      <c r="AQ316" s="103"/>
      <c r="AR316" s="103"/>
      <c r="AS316" s="103"/>
      <c r="AT316" s="103" t="s">
        <v>232</v>
      </c>
      <c r="AU316" s="103" t="s">
        <v>685</v>
      </c>
      <c r="AV316" s="34"/>
      <c r="AW316" s="34"/>
      <c r="AX316" s="39"/>
      <c r="AY316" s="34" t="s">
        <v>1923</v>
      </c>
      <c r="AZ316" s="39" t="s">
        <v>1924</v>
      </c>
      <c r="BB316" s="41"/>
    </row>
    <row r="317" spans="1:56" s="24" customFormat="1" ht="31.5" hidden="1" customHeight="1">
      <c r="A317" s="193"/>
      <c r="B317" s="33" t="s">
        <v>2184</v>
      </c>
      <c r="C317" s="102"/>
      <c r="D317" s="103"/>
      <c r="E317" s="103"/>
      <c r="F317" s="103">
        <v>0.5</v>
      </c>
      <c r="G317" s="103"/>
      <c r="H317" s="103"/>
      <c r="I317" s="103"/>
      <c r="J317" s="103"/>
      <c r="K317" s="103"/>
      <c r="L317" s="103"/>
      <c r="M317" s="103"/>
      <c r="N317" s="103"/>
      <c r="O317" s="103"/>
      <c r="P317" s="103"/>
      <c r="Q317" s="103"/>
      <c r="R317" s="103"/>
      <c r="S317" s="103"/>
      <c r="T317" s="103"/>
      <c r="U317" s="103"/>
      <c r="V317" s="103"/>
      <c r="W317" s="103"/>
      <c r="X317" s="103"/>
      <c r="Y317" s="103"/>
      <c r="Z317" s="103"/>
      <c r="AA317" s="103"/>
      <c r="AB317" s="103"/>
      <c r="AC317" s="103"/>
      <c r="AD317" s="103"/>
      <c r="AE317" s="103"/>
      <c r="AF317" s="103"/>
      <c r="AG317" s="103"/>
      <c r="AH317" s="103"/>
      <c r="AI317" s="103"/>
      <c r="AJ317" s="103"/>
      <c r="AK317" s="103"/>
      <c r="AL317" s="103"/>
      <c r="AM317" s="103"/>
      <c r="AN317" s="103"/>
      <c r="AO317" s="103"/>
      <c r="AP317" s="103"/>
      <c r="AQ317" s="103"/>
      <c r="AR317" s="103"/>
      <c r="AS317" s="103"/>
      <c r="AT317" s="34" t="s">
        <v>233</v>
      </c>
      <c r="AU317" s="103"/>
      <c r="AV317" s="34"/>
      <c r="AW317" s="34"/>
      <c r="AX317" s="39"/>
      <c r="AY317" s="34" t="s">
        <v>1923</v>
      </c>
      <c r="AZ317" s="39" t="s">
        <v>1926</v>
      </c>
      <c r="BB317" s="41"/>
    </row>
    <row r="318" spans="1:56" s="24" customFormat="1" ht="31.5" hidden="1" customHeight="1">
      <c r="A318" s="193"/>
      <c r="B318" s="33" t="s">
        <v>2185</v>
      </c>
      <c r="C318" s="102"/>
      <c r="D318" s="103"/>
      <c r="E318" s="103"/>
      <c r="F318" s="103">
        <v>0.15</v>
      </c>
      <c r="G318" s="103"/>
      <c r="H318" s="103"/>
      <c r="I318" s="103"/>
      <c r="J318" s="103"/>
      <c r="K318" s="103"/>
      <c r="L318" s="103"/>
      <c r="M318" s="103"/>
      <c r="N318" s="103"/>
      <c r="O318" s="103"/>
      <c r="P318" s="103"/>
      <c r="Q318" s="103"/>
      <c r="R318" s="103"/>
      <c r="S318" s="103"/>
      <c r="T318" s="103"/>
      <c r="U318" s="103"/>
      <c r="V318" s="103"/>
      <c r="W318" s="103"/>
      <c r="X318" s="103"/>
      <c r="Y318" s="103"/>
      <c r="Z318" s="103"/>
      <c r="AA318" s="103"/>
      <c r="AB318" s="103"/>
      <c r="AC318" s="103"/>
      <c r="AD318" s="103"/>
      <c r="AE318" s="103"/>
      <c r="AF318" s="103"/>
      <c r="AG318" s="103"/>
      <c r="AH318" s="103"/>
      <c r="AI318" s="103"/>
      <c r="AJ318" s="103"/>
      <c r="AK318" s="103"/>
      <c r="AL318" s="103"/>
      <c r="AM318" s="103"/>
      <c r="AN318" s="103"/>
      <c r="AO318" s="103"/>
      <c r="AP318" s="103"/>
      <c r="AQ318" s="103"/>
      <c r="AR318" s="103"/>
      <c r="AS318" s="103"/>
      <c r="AT318" s="34" t="s">
        <v>233</v>
      </c>
      <c r="AU318" s="103"/>
      <c r="AV318" s="34"/>
      <c r="AW318" s="34"/>
      <c r="AX318" s="39"/>
      <c r="AY318" s="34" t="s">
        <v>1923</v>
      </c>
      <c r="AZ318" s="39" t="s">
        <v>1926</v>
      </c>
      <c r="BB318" s="41"/>
    </row>
    <row r="319" spans="1:56" s="24" customFormat="1" ht="31.5" hidden="1" customHeight="1">
      <c r="A319" s="193"/>
      <c r="B319" s="33" t="s">
        <v>2186</v>
      </c>
      <c r="C319" s="102"/>
      <c r="D319" s="103"/>
      <c r="E319" s="103"/>
      <c r="F319" s="103">
        <v>0.2</v>
      </c>
      <c r="G319" s="103"/>
      <c r="H319" s="103"/>
      <c r="I319" s="103"/>
      <c r="J319" s="103"/>
      <c r="K319" s="103"/>
      <c r="L319" s="103"/>
      <c r="M319" s="103"/>
      <c r="N319" s="103"/>
      <c r="O319" s="103"/>
      <c r="P319" s="103"/>
      <c r="Q319" s="103"/>
      <c r="R319" s="103"/>
      <c r="S319" s="103"/>
      <c r="T319" s="103"/>
      <c r="U319" s="103"/>
      <c r="V319" s="103"/>
      <c r="W319" s="103"/>
      <c r="X319" s="103"/>
      <c r="Y319" s="103"/>
      <c r="Z319" s="103"/>
      <c r="AA319" s="103"/>
      <c r="AB319" s="103"/>
      <c r="AC319" s="103"/>
      <c r="AD319" s="103"/>
      <c r="AE319" s="103"/>
      <c r="AF319" s="103"/>
      <c r="AG319" s="103"/>
      <c r="AH319" s="103"/>
      <c r="AI319" s="103"/>
      <c r="AJ319" s="103"/>
      <c r="AK319" s="103"/>
      <c r="AL319" s="103"/>
      <c r="AM319" s="103"/>
      <c r="AN319" s="103"/>
      <c r="AO319" s="103"/>
      <c r="AP319" s="103"/>
      <c r="AQ319" s="103"/>
      <c r="AR319" s="103"/>
      <c r="AS319" s="103"/>
      <c r="AT319" s="34" t="s">
        <v>233</v>
      </c>
      <c r="AU319" s="103"/>
      <c r="AV319" s="34"/>
      <c r="AW319" s="34"/>
      <c r="AX319" s="39"/>
      <c r="AY319" s="34" t="s">
        <v>1923</v>
      </c>
      <c r="AZ319" s="39" t="s">
        <v>1926</v>
      </c>
      <c r="BB319" s="41"/>
    </row>
    <row r="320" spans="1:56" s="24" customFormat="1" ht="31.5" hidden="1" customHeight="1">
      <c r="A320" s="193"/>
      <c r="B320" s="33" t="s">
        <v>2187</v>
      </c>
      <c r="C320" s="102"/>
      <c r="D320" s="103"/>
      <c r="E320" s="103"/>
      <c r="F320" s="103">
        <v>0.1</v>
      </c>
      <c r="G320" s="103"/>
      <c r="H320" s="103"/>
      <c r="I320" s="103"/>
      <c r="J320" s="103"/>
      <c r="K320" s="103"/>
      <c r="L320" s="103"/>
      <c r="M320" s="103"/>
      <c r="N320" s="103"/>
      <c r="O320" s="103"/>
      <c r="P320" s="103"/>
      <c r="Q320" s="103"/>
      <c r="R320" s="103"/>
      <c r="S320" s="103"/>
      <c r="T320" s="103"/>
      <c r="U320" s="103"/>
      <c r="V320" s="103"/>
      <c r="W320" s="103"/>
      <c r="X320" s="103"/>
      <c r="Y320" s="103"/>
      <c r="Z320" s="103"/>
      <c r="AA320" s="103"/>
      <c r="AB320" s="103"/>
      <c r="AC320" s="103"/>
      <c r="AD320" s="103"/>
      <c r="AE320" s="103"/>
      <c r="AF320" s="103"/>
      <c r="AG320" s="103"/>
      <c r="AH320" s="103"/>
      <c r="AI320" s="103"/>
      <c r="AJ320" s="103"/>
      <c r="AK320" s="103"/>
      <c r="AL320" s="103"/>
      <c r="AM320" s="103"/>
      <c r="AN320" s="103"/>
      <c r="AO320" s="103"/>
      <c r="AP320" s="103"/>
      <c r="AQ320" s="103"/>
      <c r="AR320" s="103"/>
      <c r="AS320" s="103"/>
      <c r="AT320" s="34" t="s">
        <v>233</v>
      </c>
      <c r="AU320" s="103"/>
      <c r="AV320" s="34"/>
      <c r="AW320" s="34"/>
      <c r="AX320" s="39"/>
      <c r="AY320" s="34" t="s">
        <v>1923</v>
      </c>
      <c r="AZ320" s="39" t="s">
        <v>1926</v>
      </c>
      <c r="BB320" s="41"/>
    </row>
    <row r="321" spans="1:54" s="24" customFormat="1" ht="31.5" hidden="1" customHeight="1">
      <c r="A321" s="193"/>
      <c r="B321" s="33" t="s">
        <v>2188</v>
      </c>
      <c r="C321" s="102"/>
      <c r="D321" s="103"/>
      <c r="E321" s="103"/>
      <c r="F321" s="103">
        <v>0.16</v>
      </c>
      <c r="G321" s="103"/>
      <c r="H321" s="103"/>
      <c r="I321" s="103"/>
      <c r="J321" s="103"/>
      <c r="K321" s="103"/>
      <c r="L321" s="103"/>
      <c r="M321" s="103"/>
      <c r="N321" s="103"/>
      <c r="O321" s="103"/>
      <c r="P321" s="103"/>
      <c r="Q321" s="103"/>
      <c r="R321" s="103"/>
      <c r="S321" s="103"/>
      <c r="T321" s="103"/>
      <c r="U321" s="103"/>
      <c r="V321" s="103"/>
      <c r="W321" s="103"/>
      <c r="X321" s="103"/>
      <c r="Y321" s="103"/>
      <c r="Z321" s="103"/>
      <c r="AA321" s="103"/>
      <c r="AB321" s="103"/>
      <c r="AC321" s="103"/>
      <c r="AD321" s="103"/>
      <c r="AE321" s="103"/>
      <c r="AF321" s="103"/>
      <c r="AG321" s="103"/>
      <c r="AH321" s="103"/>
      <c r="AI321" s="103"/>
      <c r="AJ321" s="103"/>
      <c r="AK321" s="103"/>
      <c r="AL321" s="103"/>
      <c r="AM321" s="103"/>
      <c r="AN321" s="103"/>
      <c r="AO321" s="103"/>
      <c r="AP321" s="103"/>
      <c r="AQ321" s="103"/>
      <c r="AR321" s="103"/>
      <c r="AS321" s="103"/>
      <c r="AT321" s="34" t="s">
        <v>233</v>
      </c>
      <c r="AU321" s="103"/>
      <c r="AV321" s="34"/>
      <c r="AW321" s="34"/>
      <c r="AX321" s="39"/>
      <c r="AY321" s="34" t="s">
        <v>1923</v>
      </c>
      <c r="AZ321" s="39" t="s">
        <v>1926</v>
      </c>
      <c r="BB321" s="41"/>
    </row>
    <row r="322" spans="1:54" s="24" customFormat="1" ht="31.5" hidden="1" customHeight="1">
      <c r="A322" s="193"/>
      <c r="B322" s="33" t="s">
        <v>2189</v>
      </c>
      <c r="C322" s="102"/>
      <c r="D322" s="103"/>
      <c r="E322" s="103"/>
      <c r="F322" s="103">
        <v>0.04</v>
      </c>
      <c r="G322" s="103"/>
      <c r="H322" s="103"/>
      <c r="I322" s="103"/>
      <c r="J322" s="103"/>
      <c r="K322" s="103"/>
      <c r="L322" s="103"/>
      <c r="M322" s="103"/>
      <c r="N322" s="103"/>
      <c r="O322" s="103"/>
      <c r="P322" s="103"/>
      <c r="Q322" s="103"/>
      <c r="R322" s="103"/>
      <c r="S322" s="103"/>
      <c r="T322" s="103"/>
      <c r="U322" s="103"/>
      <c r="V322" s="103"/>
      <c r="W322" s="103"/>
      <c r="X322" s="103"/>
      <c r="Y322" s="103"/>
      <c r="Z322" s="103"/>
      <c r="AA322" s="103"/>
      <c r="AB322" s="103"/>
      <c r="AC322" s="103"/>
      <c r="AD322" s="103"/>
      <c r="AE322" s="103"/>
      <c r="AF322" s="103"/>
      <c r="AG322" s="103"/>
      <c r="AH322" s="103"/>
      <c r="AI322" s="103"/>
      <c r="AJ322" s="103"/>
      <c r="AK322" s="103"/>
      <c r="AL322" s="103"/>
      <c r="AM322" s="103"/>
      <c r="AN322" s="103"/>
      <c r="AO322" s="103"/>
      <c r="AP322" s="103"/>
      <c r="AQ322" s="103"/>
      <c r="AR322" s="103"/>
      <c r="AS322" s="103"/>
      <c r="AT322" s="34" t="s">
        <v>233</v>
      </c>
      <c r="AU322" s="103"/>
      <c r="AV322" s="34"/>
      <c r="AW322" s="34"/>
      <c r="AX322" s="39"/>
      <c r="AY322" s="34" t="s">
        <v>1923</v>
      </c>
      <c r="AZ322" s="39" t="s">
        <v>1926</v>
      </c>
      <c r="BB322" s="41"/>
    </row>
    <row r="323" spans="1:54" s="24" customFormat="1" ht="31.5" hidden="1" customHeight="1">
      <c r="A323" s="193"/>
      <c r="B323" s="33" t="s">
        <v>2190</v>
      </c>
      <c r="C323" s="102"/>
      <c r="D323" s="103"/>
      <c r="E323" s="103"/>
      <c r="F323" s="103">
        <v>0.06</v>
      </c>
      <c r="G323" s="103"/>
      <c r="H323" s="103"/>
      <c r="I323" s="103"/>
      <c r="J323" s="103"/>
      <c r="K323" s="103"/>
      <c r="L323" s="103"/>
      <c r="M323" s="103"/>
      <c r="N323" s="103"/>
      <c r="O323" s="103"/>
      <c r="P323" s="103"/>
      <c r="Q323" s="103"/>
      <c r="R323" s="103"/>
      <c r="S323" s="103"/>
      <c r="T323" s="103"/>
      <c r="U323" s="103"/>
      <c r="V323" s="103"/>
      <c r="W323" s="103"/>
      <c r="X323" s="103"/>
      <c r="Y323" s="103"/>
      <c r="Z323" s="103"/>
      <c r="AA323" s="103"/>
      <c r="AB323" s="103"/>
      <c r="AC323" s="103"/>
      <c r="AD323" s="103"/>
      <c r="AE323" s="103"/>
      <c r="AF323" s="103"/>
      <c r="AG323" s="103"/>
      <c r="AH323" s="103"/>
      <c r="AI323" s="103"/>
      <c r="AJ323" s="103"/>
      <c r="AK323" s="103"/>
      <c r="AL323" s="103"/>
      <c r="AM323" s="103"/>
      <c r="AN323" s="103"/>
      <c r="AO323" s="103"/>
      <c r="AP323" s="103"/>
      <c r="AQ323" s="103"/>
      <c r="AR323" s="103"/>
      <c r="AS323" s="103"/>
      <c r="AT323" s="34" t="s">
        <v>233</v>
      </c>
      <c r="AU323" s="103"/>
      <c r="AV323" s="34"/>
      <c r="AW323" s="34"/>
      <c r="AX323" s="39"/>
      <c r="AY323" s="34" t="s">
        <v>1923</v>
      </c>
      <c r="AZ323" s="39" t="s">
        <v>1926</v>
      </c>
      <c r="BB323" s="41"/>
    </row>
    <row r="324" spans="1:54" s="24" customFormat="1" ht="31.5" hidden="1" customHeight="1">
      <c r="A324" s="193"/>
      <c r="B324" s="33" t="s">
        <v>2191</v>
      </c>
      <c r="C324" s="102"/>
      <c r="D324" s="103"/>
      <c r="E324" s="103"/>
      <c r="F324" s="103">
        <v>0.08</v>
      </c>
      <c r="G324" s="103"/>
      <c r="H324" s="103"/>
      <c r="I324" s="103"/>
      <c r="J324" s="103"/>
      <c r="K324" s="103"/>
      <c r="L324" s="103"/>
      <c r="M324" s="103"/>
      <c r="N324" s="103"/>
      <c r="O324" s="103"/>
      <c r="P324" s="103"/>
      <c r="Q324" s="103"/>
      <c r="R324" s="103"/>
      <c r="S324" s="103"/>
      <c r="T324" s="103"/>
      <c r="U324" s="103"/>
      <c r="V324" s="103"/>
      <c r="W324" s="103"/>
      <c r="X324" s="103"/>
      <c r="Y324" s="103"/>
      <c r="Z324" s="103"/>
      <c r="AA324" s="103"/>
      <c r="AB324" s="103"/>
      <c r="AC324" s="103"/>
      <c r="AD324" s="103"/>
      <c r="AE324" s="103"/>
      <c r="AF324" s="103"/>
      <c r="AG324" s="103"/>
      <c r="AH324" s="103"/>
      <c r="AI324" s="103"/>
      <c r="AJ324" s="103"/>
      <c r="AK324" s="103"/>
      <c r="AL324" s="103"/>
      <c r="AM324" s="103"/>
      <c r="AN324" s="103"/>
      <c r="AO324" s="103"/>
      <c r="AP324" s="103"/>
      <c r="AQ324" s="103"/>
      <c r="AR324" s="103"/>
      <c r="AS324" s="103"/>
      <c r="AT324" s="34" t="s">
        <v>233</v>
      </c>
      <c r="AU324" s="103"/>
      <c r="AV324" s="34"/>
      <c r="AW324" s="34"/>
      <c r="AX324" s="39"/>
      <c r="AY324" s="34" t="s">
        <v>1923</v>
      </c>
      <c r="AZ324" s="39" t="s">
        <v>1926</v>
      </c>
      <c r="BB324" s="41"/>
    </row>
    <row r="325" spans="1:54" s="24" customFormat="1" ht="15.75" hidden="1" customHeight="1">
      <c r="A325" s="193"/>
      <c r="B325" s="33" t="s">
        <v>2192</v>
      </c>
      <c r="C325" s="102" t="s">
        <v>45</v>
      </c>
      <c r="D325" s="103">
        <v>12.811499999999997</v>
      </c>
      <c r="E325" s="103"/>
      <c r="F325" s="103">
        <v>0.9</v>
      </c>
      <c r="G325" s="103">
        <v>7.6689999999999996</v>
      </c>
      <c r="H325" s="103">
        <v>4.2724999999999982</v>
      </c>
      <c r="I325" s="103">
        <v>0.54</v>
      </c>
      <c r="J325" s="103">
        <v>0.32</v>
      </c>
      <c r="K325" s="103"/>
      <c r="L325" s="103"/>
      <c r="M325" s="103"/>
      <c r="N325" s="103"/>
      <c r="O325" s="103"/>
      <c r="P325" s="103"/>
      <c r="Q325" s="103"/>
      <c r="R325" s="103"/>
      <c r="S325" s="103"/>
      <c r="T325" s="103"/>
      <c r="U325" s="103"/>
      <c r="V325" s="103"/>
      <c r="W325" s="103"/>
      <c r="X325" s="103"/>
      <c r="Y325" s="103"/>
      <c r="Z325" s="103"/>
      <c r="AA325" s="103"/>
      <c r="AB325" s="103"/>
      <c r="AC325" s="103"/>
      <c r="AD325" s="103"/>
      <c r="AE325" s="103"/>
      <c r="AF325" s="103"/>
      <c r="AG325" s="103"/>
      <c r="AH325" s="103"/>
      <c r="AI325" s="103"/>
      <c r="AJ325" s="103"/>
      <c r="AK325" s="103"/>
      <c r="AL325" s="103"/>
      <c r="AM325" s="103"/>
      <c r="AN325" s="103">
        <v>0.01</v>
      </c>
      <c r="AO325" s="103"/>
      <c r="AP325" s="103"/>
      <c r="AQ325" s="103"/>
      <c r="AR325" s="103"/>
      <c r="AS325" s="103"/>
      <c r="AT325" s="34" t="s">
        <v>235</v>
      </c>
      <c r="AU325" s="103"/>
      <c r="AV325" s="34"/>
      <c r="AW325" s="34"/>
      <c r="AX325" s="39" t="s">
        <v>1920</v>
      </c>
      <c r="AY325" s="34" t="s">
        <v>1923</v>
      </c>
      <c r="AZ325" s="39" t="s">
        <v>2193</v>
      </c>
      <c r="BB325" s="41"/>
    </row>
    <row r="326" spans="1:54" s="24" customFormat="1" ht="31.5" hidden="1" customHeight="1">
      <c r="A326" s="193"/>
      <c r="B326" s="33" t="s">
        <v>2194</v>
      </c>
      <c r="C326" s="102"/>
      <c r="D326" s="103"/>
      <c r="E326" s="103"/>
      <c r="F326" s="103">
        <v>0.22</v>
      </c>
      <c r="G326" s="103"/>
      <c r="H326" s="103"/>
      <c r="I326" s="103"/>
      <c r="J326" s="103"/>
      <c r="K326" s="103"/>
      <c r="L326" s="103"/>
      <c r="M326" s="103"/>
      <c r="N326" s="103"/>
      <c r="O326" s="103"/>
      <c r="P326" s="103"/>
      <c r="Q326" s="103"/>
      <c r="R326" s="103"/>
      <c r="S326" s="103"/>
      <c r="T326" s="103"/>
      <c r="U326" s="103"/>
      <c r="V326" s="103"/>
      <c r="W326" s="103"/>
      <c r="X326" s="103"/>
      <c r="Y326" s="103"/>
      <c r="Z326" s="103"/>
      <c r="AA326" s="103"/>
      <c r="AB326" s="103"/>
      <c r="AC326" s="103"/>
      <c r="AD326" s="103"/>
      <c r="AE326" s="103"/>
      <c r="AF326" s="103"/>
      <c r="AG326" s="103"/>
      <c r="AH326" s="103"/>
      <c r="AI326" s="103"/>
      <c r="AJ326" s="103"/>
      <c r="AK326" s="103"/>
      <c r="AL326" s="103"/>
      <c r="AM326" s="103"/>
      <c r="AN326" s="103"/>
      <c r="AO326" s="103"/>
      <c r="AP326" s="103"/>
      <c r="AQ326" s="103"/>
      <c r="AR326" s="103"/>
      <c r="AS326" s="103"/>
      <c r="AT326" s="34" t="s">
        <v>235</v>
      </c>
      <c r="AU326" s="103" t="s">
        <v>305</v>
      </c>
      <c r="AV326" s="34"/>
      <c r="AW326" s="34"/>
      <c r="AX326" s="39"/>
      <c r="AY326" s="34" t="s">
        <v>1923</v>
      </c>
      <c r="AZ326" s="39" t="s">
        <v>1924</v>
      </c>
      <c r="BB326" s="41"/>
    </row>
    <row r="327" spans="1:54" s="24" customFormat="1" ht="15.75" hidden="1" customHeight="1">
      <c r="A327" s="193"/>
      <c r="B327" s="33" t="s">
        <v>2195</v>
      </c>
      <c r="C327" s="102"/>
      <c r="D327" s="103"/>
      <c r="E327" s="103"/>
      <c r="F327" s="103">
        <v>0.2</v>
      </c>
      <c r="G327" s="103"/>
      <c r="H327" s="103"/>
      <c r="I327" s="103"/>
      <c r="J327" s="103"/>
      <c r="K327" s="103"/>
      <c r="L327" s="103"/>
      <c r="M327" s="103"/>
      <c r="N327" s="103"/>
      <c r="O327" s="103"/>
      <c r="P327" s="103"/>
      <c r="Q327" s="103"/>
      <c r="R327" s="103"/>
      <c r="S327" s="103"/>
      <c r="T327" s="103"/>
      <c r="U327" s="103"/>
      <c r="V327" s="103"/>
      <c r="W327" s="103"/>
      <c r="X327" s="103"/>
      <c r="Y327" s="103"/>
      <c r="Z327" s="103"/>
      <c r="AA327" s="103"/>
      <c r="AB327" s="103"/>
      <c r="AC327" s="103"/>
      <c r="AD327" s="103"/>
      <c r="AE327" s="103"/>
      <c r="AF327" s="103"/>
      <c r="AG327" s="103"/>
      <c r="AH327" s="103"/>
      <c r="AI327" s="103"/>
      <c r="AJ327" s="103"/>
      <c r="AK327" s="103"/>
      <c r="AL327" s="103"/>
      <c r="AM327" s="103"/>
      <c r="AN327" s="103"/>
      <c r="AO327" s="103"/>
      <c r="AP327" s="103"/>
      <c r="AQ327" s="103"/>
      <c r="AR327" s="103"/>
      <c r="AS327" s="103"/>
      <c r="AT327" s="34" t="s">
        <v>235</v>
      </c>
      <c r="AU327" s="103" t="s">
        <v>305</v>
      </c>
      <c r="AV327" s="34"/>
      <c r="AW327" s="34"/>
      <c r="AX327" s="39"/>
      <c r="AY327" s="34" t="s">
        <v>1923</v>
      </c>
      <c r="AZ327" s="39" t="s">
        <v>1924</v>
      </c>
      <c r="BB327" s="41"/>
    </row>
    <row r="328" spans="1:54" s="24" customFormat="1" ht="15.75" hidden="1" customHeight="1">
      <c r="A328" s="193"/>
      <c r="B328" s="33" t="s">
        <v>2196</v>
      </c>
      <c r="C328" s="102"/>
      <c r="D328" s="103"/>
      <c r="E328" s="103"/>
      <c r="F328" s="103">
        <v>0.9</v>
      </c>
      <c r="G328" s="103"/>
      <c r="H328" s="103"/>
      <c r="I328" s="103"/>
      <c r="J328" s="103"/>
      <c r="K328" s="103"/>
      <c r="L328" s="103"/>
      <c r="M328" s="103"/>
      <c r="N328" s="103"/>
      <c r="O328" s="103"/>
      <c r="P328" s="103"/>
      <c r="Q328" s="103"/>
      <c r="R328" s="103"/>
      <c r="S328" s="103"/>
      <c r="T328" s="103"/>
      <c r="U328" s="103"/>
      <c r="V328" s="103"/>
      <c r="W328" s="103"/>
      <c r="X328" s="103"/>
      <c r="Y328" s="103"/>
      <c r="Z328" s="103"/>
      <c r="AA328" s="103"/>
      <c r="AB328" s="103"/>
      <c r="AC328" s="103"/>
      <c r="AD328" s="103"/>
      <c r="AE328" s="103"/>
      <c r="AF328" s="103"/>
      <c r="AG328" s="103"/>
      <c r="AH328" s="103"/>
      <c r="AI328" s="103"/>
      <c r="AJ328" s="103"/>
      <c r="AK328" s="103"/>
      <c r="AL328" s="103"/>
      <c r="AM328" s="103"/>
      <c r="AN328" s="103"/>
      <c r="AO328" s="103"/>
      <c r="AP328" s="103"/>
      <c r="AQ328" s="103"/>
      <c r="AR328" s="103"/>
      <c r="AS328" s="103"/>
      <c r="AT328" s="34" t="s">
        <v>235</v>
      </c>
      <c r="AU328" s="103" t="s">
        <v>305</v>
      </c>
      <c r="AV328" s="34"/>
      <c r="AW328" s="34"/>
      <c r="AX328" s="39"/>
      <c r="AY328" s="34" t="s">
        <v>1923</v>
      </c>
      <c r="AZ328" s="39" t="s">
        <v>1924</v>
      </c>
      <c r="BB328" s="41"/>
    </row>
    <row r="329" spans="1:54" s="24" customFormat="1" ht="15.75" hidden="1" customHeight="1">
      <c r="A329" s="193"/>
      <c r="B329" s="33" t="s">
        <v>2197</v>
      </c>
      <c r="C329" s="102"/>
      <c r="D329" s="103"/>
      <c r="E329" s="103"/>
      <c r="F329" s="103">
        <v>0.4</v>
      </c>
      <c r="G329" s="103"/>
      <c r="H329" s="103"/>
      <c r="I329" s="103"/>
      <c r="J329" s="103"/>
      <c r="K329" s="103"/>
      <c r="L329" s="103"/>
      <c r="M329" s="103"/>
      <c r="N329" s="103"/>
      <c r="O329" s="103"/>
      <c r="P329" s="103"/>
      <c r="Q329" s="103"/>
      <c r="R329" s="103"/>
      <c r="S329" s="103"/>
      <c r="T329" s="103"/>
      <c r="U329" s="103"/>
      <c r="V329" s="103"/>
      <c r="W329" s="103"/>
      <c r="X329" s="103"/>
      <c r="Y329" s="103"/>
      <c r="Z329" s="103"/>
      <c r="AA329" s="103"/>
      <c r="AB329" s="103"/>
      <c r="AC329" s="103"/>
      <c r="AD329" s="103"/>
      <c r="AE329" s="103"/>
      <c r="AF329" s="103"/>
      <c r="AG329" s="103"/>
      <c r="AH329" s="103"/>
      <c r="AI329" s="103"/>
      <c r="AJ329" s="103"/>
      <c r="AK329" s="103"/>
      <c r="AL329" s="103"/>
      <c r="AM329" s="103"/>
      <c r="AN329" s="103"/>
      <c r="AO329" s="103"/>
      <c r="AP329" s="103"/>
      <c r="AQ329" s="103"/>
      <c r="AR329" s="103"/>
      <c r="AS329" s="103"/>
      <c r="AT329" s="34" t="s">
        <v>235</v>
      </c>
      <c r="AU329" s="103" t="s">
        <v>308</v>
      </c>
      <c r="AV329" s="34"/>
      <c r="AW329" s="34"/>
      <c r="AX329" s="39"/>
      <c r="AY329" s="34" t="s">
        <v>1923</v>
      </c>
      <c r="AZ329" s="39" t="s">
        <v>1924</v>
      </c>
      <c r="BB329" s="41"/>
    </row>
    <row r="330" spans="1:54" s="24" customFormat="1" ht="15.75" hidden="1" customHeight="1">
      <c r="A330" s="193"/>
      <c r="B330" s="60" t="s">
        <v>2198</v>
      </c>
      <c r="C330" s="102"/>
      <c r="D330" s="103"/>
      <c r="E330" s="103"/>
      <c r="F330" s="103">
        <v>0.09</v>
      </c>
      <c r="G330" s="103"/>
      <c r="H330" s="103"/>
      <c r="I330" s="103"/>
      <c r="J330" s="103"/>
      <c r="K330" s="103"/>
      <c r="L330" s="103"/>
      <c r="M330" s="103"/>
      <c r="N330" s="103"/>
      <c r="O330" s="103"/>
      <c r="P330" s="103"/>
      <c r="Q330" s="103"/>
      <c r="R330" s="103"/>
      <c r="S330" s="103"/>
      <c r="T330" s="103"/>
      <c r="U330" s="103"/>
      <c r="V330" s="103"/>
      <c r="W330" s="103"/>
      <c r="X330" s="103"/>
      <c r="Y330" s="103"/>
      <c r="Z330" s="103"/>
      <c r="AA330" s="103"/>
      <c r="AB330" s="103"/>
      <c r="AC330" s="103"/>
      <c r="AD330" s="103"/>
      <c r="AE330" s="103"/>
      <c r="AF330" s="103"/>
      <c r="AG330" s="103"/>
      <c r="AH330" s="103"/>
      <c r="AI330" s="103"/>
      <c r="AJ330" s="103"/>
      <c r="AK330" s="103"/>
      <c r="AL330" s="103"/>
      <c r="AM330" s="103"/>
      <c r="AN330" s="103"/>
      <c r="AO330" s="103"/>
      <c r="AP330" s="103"/>
      <c r="AQ330" s="103"/>
      <c r="AR330" s="103"/>
      <c r="AS330" s="103"/>
      <c r="AT330" s="34" t="s">
        <v>236</v>
      </c>
      <c r="AU330" s="103"/>
      <c r="AV330" s="34"/>
      <c r="AW330" s="34"/>
      <c r="AX330" s="39"/>
      <c r="AY330" s="34" t="s">
        <v>1923</v>
      </c>
      <c r="AZ330" s="39" t="s">
        <v>1924</v>
      </c>
      <c r="BB330" s="41"/>
    </row>
    <row r="331" spans="1:54" s="24" customFormat="1" ht="15.75" hidden="1" customHeight="1">
      <c r="A331" s="193"/>
      <c r="B331" s="60" t="s">
        <v>2199</v>
      </c>
      <c r="C331" s="102"/>
      <c r="D331" s="103"/>
      <c r="E331" s="103"/>
      <c r="F331" s="103">
        <v>0.08</v>
      </c>
      <c r="G331" s="103"/>
      <c r="H331" s="103"/>
      <c r="I331" s="103"/>
      <c r="J331" s="103"/>
      <c r="K331" s="103"/>
      <c r="L331" s="103"/>
      <c r="M331" s="103"/>
      <c r="N331" s="103"/>
      <c r="O331" s="103"/>
      <c r="P331" s="103"/>
      <c r="Q331" s="103"/>
      <c r="R331" s="103"/>
      <c r="S331" s="103"/>
      <c r="T331" s="103"/>
      <c r="U331" s="103"/>
      <c r="V331" s="103"/>
      <c r="W331" s="103"/>
      <c r="X331" s="103"/>
      <c r="Y331" s="103"/>
      <c r="Z331" s="103"/>
      <c r="AA331" s="103"/>
      <c r="AB331" s="103"/>
      <c r="AC331" s="103"/>
      <c r="AD331" s="103"/>
      <c r="AE331" s="103"/>
      <c r="AF331" s="103"/>
      <c r="AG331" s="103"/>
      <c r="AH331" s="103"/>
      <c r="AI331" s="103"/>
      <c r="AJ331" s="103"/>
      <c r="AK331" s="103"/>
      <c r="AL331" s="103"/>
      <c r="AM331" s="103"/>
      <c r="AN331" s="103"/>
      <c r="AO331" s="103"/>
      <c r="AP331" s="103"/>
      <c r="AQ331" s="103"/>
      <c r="AR331" s="103"/>
      <c r="AS331" s="103"/>
      <c r="AT331" s="34" t="s">
        <v>236</v>
      </c>
      <c r="AU331" s="103"/>
      <c r="AV331" s="34"/>
      <c r="AW331" s="34"/>
      <c r="AX331" s="39"/>
      <c r="AY331" s="34" t="s">
        <v>1923</v>
      </c>
      <c r="AZ331" s="39" t="s">
        <v>1924</v>
      </c>
      <c r="BB331" s="41"/>
    </row>
    <row r="332" spans="1:54" s="24" customFormat="1" ht="15.75" hidden="1" customHeight="1">
      <c r="A332" s="193"/>
      <c r="B332" s="60" t="s">
        <v>2200</v>
      </c>
      <c r="C332" s="102"/>
      <c r="D332" s="103"/>
      <c r="E332" s="103"/>
      <c r="F332" s="103">
        <v>0.02</v>
      </c>
      <c r="G332" s="103"/>
      <c r="H332" s="103"/>
      <c r="I332" s="103"/>
      <c r="J332" s="103"/>
      <c r="K332" s="103"/>
      <c r="L332" s="103"/>
      <c r="M332" s="103"/>
      <c r="N332" s="103"/>
      <c r="O332" s="103"/>
      <c r="P332" s="103"/>
      <c r="Q332" s="103"/>
      <c r="R332" s="103"/>
      <c r="S332" s="103"/>
      <c r="T332" s="103"/>
      <c r="U332" s="103"/>
      <c r="V332" s="103"/>
      <c r="W332" s="103"/>
      <c r="X332" s="103"/>
      <c r="Y332" s="103"/>
      <c r="Z332" s="103"/>
      <c r="AA332" s="103"/>
      <c r="AB332" s="103"/>
      <c r="AC332" s="103"/>
      <c r="AD332" s="103"/>
      <c r="AE332" s="103"/>
      <c r="AF332" s="103"/>
      <c r="AG332" s="103"/>
      <c r="AH332" s="103"/>
      <c r="AI332" s="103"/>
      <c r="AJ332" s="103"/>
      <c r="AK332" s="103"/>
      <c r="AL332" s="103"/>
      <c r="AM332" s="103"/>
      <c r="AN332" s="103"/>
      <c r="AO332" s="103"/>
      <c r="AP332" s="103"/>
      <c r="AQ332" s="103"/>
      <c r="AR332" s="103"/>
      <c r="AS332" s="103"/>
      <c r="AT332" s="34" t="s">
        <v>236</v>
      </c>
      <c r="AU332" s="103"/>
      <c r="AV332" s="34"/>
      <c r="AW332" s="34"/>
      <c r="AX332" s="39"/>
      <c r="AY332" s="34" t="s">
        <v>1923</v>
      </c>
      <c r="AZ332" s="39" t="s">
        <v>1924</v>
      </c>
      <c r="BB332" s="41"/>
    </row>
    <row r="333" spans="1:54" s="24" customFormat="1" ht="31.5" hidden="1" customHeight="1">
      <c r="A333" s="193"/>
      <c r="B333" s="60" t="s">
        <v>2201</v>
      </c>
      <c r="C333" s="102"/>
      <c r="D333" s="103"/>
      <c r="E333" s="103"/>
      <c r="F333" s="103">
        <v>0.03</v>
      </c>
      <c r="G333" s="103"/>
      <c r="H333" s="103"/>
      <c r="I333" s="103"/>
      <c r="J333" s="103"/>
      <c r="K333" s="103"/>
      <c r="L333" s="103"/>
      <c r="M333" s="103"/>
      <c r="N333" s="103"/>
      <c r="O333" s="103"/>
      <c r="P333" s="103"/>
      <c r="Q333" s="103"/>
      <c r="R333" s="103"/>
      <c r="S333" s="103"/>
      <c r="T333" s="103"/>
      <c r="U333" s="103"/>
      <c r="V333" s="103"/>
      <c r="W333" s="103"/>
      <c r="X333" s="103"/>
      <c r="Y333" s="103"/>
      <c r="Z333" s="103"/>
      <c r="AA333" s="103"/>
      <c r="AB333" s="103"/>
      <c r="AC333" s="103"/>
      <c r="AD333" s="103"/>
      <c r="AE333" s="103"/>
      <c r="AF333" s="103"/>
      <c r="AG333" s="103"/>
      <c r="AH333" s="103"/>
      <c r="AI333" s="103"/>
      <c r="AJ333" s="103"/>
      <c r="AK333" s="103"/>
      <c r="AL333" s="103"/>
      <c r="AM333" s="103"/>
      <c r="AN333" s="103"/>
      <c r="AO333" s="103"/>
      <c r="AP333" s="103"/>
      <c r="AQ333" s="103"/>
      <c r="AR333" s="103"/>
      <c r="AS333" s="103"/>
      <c r="AT333" s="34" t="s">
        <v>236</v>
      </c>
      <c r="AU333" s="103"/>
      <c r="AV333" s="34"/>
      <c r="AW333" s="34"/>
      <c r="AX333" s="39"/>
      <c r="AY333" s="34" t="s">
        <v>1923</v>
      </c>
      <c r="AZ333" s="39" t="s">
        <v>1924</v>
      </c>
      <c r="BB333" s="41"/>
    </row>
    <row r="334" spans="1:54" s="24" customFormat="1" ht="15.75" hidden="1" customHeight="1">
      <c r="A334" s="193"/>
      <c r="B334" s="60" t="s">
        <v>2202</v>
      </c>
      <c r="C334" s="102"/>
      <c r="D334" s="103"/>
      <c r="E334" s="103"/>
      <c r="F334" s="103">
        <v>0.02</v>
      </c>
      <c r="G334" s="103"/>
      <c r="H334" s="103"/>
      <c r="I334" s="103"/>
      <c r="J334" s="103"/>
      <c r="K334" s="103"/>
      <c r="L334" s="103"/>
      <c r="M334" s="103"/>
      <c r="N334" s="103"/>
      <c r="O334" s="103"/>
      <c r="P334" s="103"/>
      <c r="Q334" s="103"/>
      <c r="R334" s="103"/>
      <c r="S334" s="103"/>
      <c r="T334" s="103"/>
      <c r="U334" s="103"/>
      <c r="V334" s="103"/>
      <c r="W334" s="103"/>
      <c r="X334" s="103"/>
      <c r="Y334" s="103"/>
      <c r="Z334" s="103"/>
      <c r="AA334" s="103"/>
      <c r="AB334" s="103"/>
      <c r="AC334" s="103"/>
      <c r="AD334" s="103"/>
      <c r="AE334" s="103"/>
      <c r="AF334" s="103"/>
      <c r="AG334" s="103"/>
      <c r="AH334" s="103"/>
      <c r="AI334" s="103"/>
      <c r="AJ334" s="103"/>
      <c r="AK334" s="103"/>
      <c r="AL334" s="103"/>
      <c r="AM334" s="103"/>
      <c r="AN334" s="103"/>
      <c r="AO334" s="103"/>
      <c r="AP334" s="103"/>
      <c r="AQ334" s="103"/>
      <c r="AR334" s="103"/>
      <c r="AS334" s="103"/>
      <c r="AT334" s="34" t="s">
        <v>236</v>
      </c>
      <c r="AU334" s="103"/>
      <c r="AV334" s="34"/>
      <c r="AW334" s="34"/>
      <c r="AX334" s="39"/>
      <c r="AY334" s="34" t="s">
        <v>1923</v>
      </c>
      <c r="AZ334" s="39" t="s">
        <v>1924</v>
      </c>
      <c r="BB334" s="41"/>
    </row>
    <row r="335" spans="1:54" s="24" customFormat="1" ht="15.75" hidden="1" customHeight="1">
      <c r="A335" s="193"/>
      <c r="B335" s="60" t="s">
        <v>2203</v>
      </c>
      <c r="C335" s="102"/>
      <c r="D335" s="103"/>
      <c r="E335" s="103"/>
      <c r="F335" s="103">
        <v>0.03</v>
      </c>
      <c r="G335" s="103"/>
      <c r="H335" s="103"/>
      <c r="I335" s="103"/>
      <c r="J335" s="103"/>
      <c r="K335" s="103"/>
      <c r="L335" s="103"/>
      <c r="M335" s="103"/>
      <c r="N335" s="103"/>
      <c r="O335" s="103"/>
      <c r="P335" s="103"/>
      <c r="Q335" s="103"/>
      <c r="R335" s="103"/>
      <c r="S335" s="103"/>
      <c r="T335" s="103"/>
      <c r="U335" s="103"/>
      <c r="V335" s="103"/>
      <c r="W335" s="103"/>
      <c r="X335" s="103"/>
      <c r="Y335" s="103"/>
      <c r="Z335" s="103"/>
      <c r="AA335" s="103"/>
      <c r="AB335" s="103"/>
      <c r="AC335" s="103"/>
      <c r="AD335" s="103"/>
      <c r="AE335" s="103"/>
      <c r="AF335" s="103"/>
      <c r="AG335" s="103"/>
      <c r="AH335" s="103"/>
      <c r="AI335" s="103"/>
      <c r="AJ335" s="103"/>
      <c r="AK335" s="103"/>
      <c r="AL335" s="103"/>
      <c r="AM335" s="103"/>
      <c r="AN335" s="103"/>
      <c r="AO335" s="103"/>
      <c r="AP335" s="103"/>
      <c r="AQ335" s="103"/>
      <c r="AR335" s="103"/>
      <c r="AS335" s="103"/>
      <c r="AT335" s="34" t="s">
        <v>236</v>
      </c>
      <c r="AU335" s="103"/>
      <c r="AV335" s="34"/>
      <c r="AW335" s="34"/>
      <c r="AX335" s="39"/>
      <c r="AY335" s="34" t="s">
        <v>1923</v>
      </c>
      <c r="AZ335" s="39" t="s">
        <v>1924</v>
      </c>
      <c r="BB335" s="41"/>
    </row>
    <row r="336" spans="1:54" s="24" customFormat="1" ht="15.75" hidden="1" customHeight="1">
      <c r="A336" s="193"/>
      <c r="B336" s="60" t="s">
        <v>2204</v>
      </c>
      <c r="C336" s="102"/>
      <c r="D336" s="103"/>
      <c r="E336" s="103"/>
      <c r="F336" s="103">
        <v>0.3</v>
      </c>
      <c r="G336" s="103"/>
      <c r="H336" s="103"/>
      <c r="I336" s="103"/>
      <c r="J336" s="103"/>
      <c r="K336" s="103"/>
      <c r="L336" s="103"/>
      <c r="M336" s="103"/>
      <c r="N336" s="103"/>
      <c r="O336" s="103"/>
      <c r="P336" s="103"/>
      <c r="Q336" s="103"/>
      <c r="R336" s="103"/>
      <c r="S336" s="103"/>
      <c r="T336" s="103"/>
      <c r="U336" s="103"/>
      <c r="V336" s="103"/>
      <c r="W336" s="103"/>
      <c r="X336" s="103"/>
      <c r="Y336" s="103"/>
      <c r="Z336" s="103"/>
      <c r="AA336" s="103"/>
      <c r="AB336" s="103"/>
      <c r="AC336" s="103"/>
      <c r="AD336" s="103"/>
      <c r="AE336" s="103"/>
      <c r="AF336" s="103"/>
      <c r="AG336" s="103"/>
      <c r="AH336" s="103"/>
      <c r="AI336" s="103"/>
      <c r="AJ336" s="103"/>
      <c r="AK336" s="103"/>
      <c r="AL336" s="103"/>
      <c r="AM336" s="103"/>
      <c r="AN336" s="103"/>
      <c r="AO336" s="103"/>
      <c r="AP336" s="103"/>
      <c r="AQ336" s="103"/>
      <c r="AR336" s="103"/>
      <c r="AS336" s="103"/>
      <c r="AT336" s="34" t="s">
        <v>236</v>
      </c>
      <c r="AU336" s="103"/>
      <c r="AV336" s="34"/>
      <c r="AW336" s="34"/>
      <c r="AX336" s="39"/>
      <c r="AY336" s="34" t="s">
        <v>1923</v>
      </c>
      <c r="AZ336" s="39" t="s">
        <v>1924</v>
      </c>
      <c r="BB336" s="41"/>
    </row>
    <row r="337" spans="1:58" s="24" customFormat="1" ht="31.5" hidden="1" customHeight="1">
      <c r="A337" s="193"/>
      <c r="B337" s="33" t="s">
        <v>2205</v>
      </c>
      <c r="C337" s="102"/>
      <c r="D337" s="103"/>
      <c r="E337" s="103"/>
      <c r="F337" s="103">
        <v>0.11</v>
      </c>
      <c r="G337" s="103"/>
      <c r="H337" s="103"/>
      <c r="I337" s="103"/>
      <c r="J337" s="103"/>
      <c r="K337" s="103"/>
      <c r="L337" s="103"/>
      <c r="M337" s="103"/>
      <c r="N337" s="103"/>
      <c r="O337" s="103"/>
      <c r="P337" s="103"/>
      <c r="Q337" s="103"/>
      <c r="R337" s="103"/>
      <c r="S337" s="103"/>
      <c r="T337" s="103"/>
      <c r="U337" s="103"/>
      <c r="V337" s="103"/>
      <c r="W337" s="103"/>
      <c r="X337" s="103"/>
      <c r="Y337" s="103"/>
      <c r="Z337" s="103"/>
      <c r="AA337" s="103"/>
      <c r="AB337" s="103"/>
      <c r="AC337" s="103"/>
      <c r="AD337" s="103"/>
      <c r="AE337" s="103"/>
      <c r="AF337" s="103"/>
      <c r="AG337" s="103"/>
      <c r="AH337" s="103"/>
      <c r="AI337" s="103"/>
      <c r="AJ337" s="103"/>
      <c r="AK337" s="103"/>
      <c r="AL337" s="103"/>
      <c r="AM337" s="103"/>
      <c r="AN337" s="103"/>
      <c r="AO337" s="103"/>
      <c r="AP337" s="103"/>
      <c r="AQ337" s="103"/>
      <c r="AR337" s="103"/>
      <c r="AS337" s="103"/>
      <c r="AT337" s="34" t="s">
        <v>237</v>
      </c>
      <c r="AU337" s="103"/>
      <c r="AV337" s="34"/>
      <c r="AW337" s="34"/>
      <c r="AX337" s="39"/>
      <c r="AY337" s="34" t="s">
        <v>1923</v>
      </c>
      <c r="AZ337" s="63" t="s">
        <v>1924</v>
      </c>
      <c r="BA337" s="229"/>
      <c r="BB337" s="41"/>
    </row>
    <row r="338" spans="1:58" s="24" customFormat="1" ht="15.75" hidden="1" customHeight="1">
      <c r="A338" s="193"/>
      <c r="B338" s="33" t="s">
        <v>2206</v>
      </c>
      <c r="C338" s="102"/>
      <c r="D338" s="103"/>
      <c r="E338" s="103"/>
      <c r="F338" s="103">
        <v>0.3</v>
      </c>
      <c r="G338" s="103"/>
      <c r="H338" s="103"/>
      <c r="I338" s="103"/>
      <c r="J338" s="103"/>
      <c r="K338" s="103"/>
      <c r="L338" s="103"/>
      <c r="M338" s="103"/>
      <c r="N338" s="103"/>
      <c r="O338" s="103"/>
      <c r="P338" s="103"/>
      <c r="Q338" s="103"/>
      <c r="R338" s="103"/>
      <c r="S338" s="103"/>
      <c r="T338" s="103"/>
      <c r="U338" s="103"/>
      <c r="V338" s="103"/>
      <c r="W338" s="103"/>
      <c r="X338" s="103"/>
      <c r="Y338" s="103"/>
      <c r="Z338" s="103"/>
      <c r="AA338" s="103"/>
      <c r="AB338" s="103"/>
      <c r="AC338" s="103"/>
      <c r="AD338" s="103"/>
      <c r="AE338" s="103"/>
      <c r="AF338" s="103"/>
      <c r="AG338" s="103"/>
      <c r="AH338" s="103"/>
      <c r="AI338" s="103"/>
      <c r="AJ338" s="103"/>
      <c r="AK338" s="103"/>
      <c r="AL338" s="103"/>
      <c r="AM338" s="103"/>
      <c r="AN338" s="103"/>
      <c r="AO338" s="103"/>
      <c r="AP338" s="103"/>
      <c r="AQ338" s="103"/>
      <c r="AR338" s="103"/>
      <c r="AS338" s="103"/>
      <c r="AT338" s="34" t="s">
        <v>237</v>
      </c>
      <c r="AU338" s="103"/>
      <c r="AV338" s="34"/>
      <c r="AW338" s="34"/>
      <c r="AX338" s="39"/>
      <c r="AY338" s="34" t="s">
        <v>1923</v>
      </c>
      <c r="AZ338" s="39" t="s">
        <v>2014</v>
      </c>
      <c r="BA338" s="229"/>
      <c r="BB338" s="41"/>
    </row>
    <row r="339" spans="1:58" s="24" customFormat="1" ht="15.75" hidden="1" customHeight="1">
      <c r="A339" s="220"/>
      <c r="B339" s="60" t="s">
        <v>711</v>
      </c>
      <c r="C339" s="102" t="s">
        <v>45</v>
      </c>
      <c r="D339" s="103">
        <v>0.28000000000000003</v>
      </c>
      <c r="E339" s="103"/>
      <c r="F339" s="103">
        <v>0.28000000000000003</v>
      </c>
      <c r="G339" s="103"/>
      <c r="H339" s="103">
        <v>0.25</v>
      </c>
      <c r="I339" s="103">
        <v>0.02</v>
      </c>
      <c r="J339" s="103"/>
      <c r="K339" s="103"/>
      <c r="L339" s="103"/>
      <c r="M339" s="103"/>
      <c r="N339" s="103"/>
      <c r="O339" s="103"/>
      <c r="P339" s="103"/>
      <c r="Q339" s="103"/>
      <c r="R339" s="103"/>
      <c r="S339" s="103"/>
      <c r="T339" s="103"/>
      <c r="U339" s="103"/>
      <c r="V339" s="103"/>
      <c r="W339" s="103"/>
      <c r="X339" s="103"/>
      <c r="Y339" s="103"/>
      <c r="Z339" s="103"/>
      <c r="AA339" s="103"/>
      <c r="AB339" s="103"/>
      <c r="AC339" s="103"/>
      <c r="AD339" s="103"/>
      <c r="AE339" s="103"/>
      <c r="AF339" s="103"/>
      <c r="AG339" s="103"/>
      <c r="AH339" s="103"/>
      <c r="AI339" s="103"/>
      <c r="AJ339" s="103"/>
      <c r="AK339" s="103"/>
      <c r="AL339" s="103"/>
      <c r="AM339" s="103"/>
      <c r="AN339" s="103">
        <v>0.01</v>
      </c>
      <c r="AO339" s="103"/>
      <c r="AP339" s="103"/>
      <c r="AQ339" s="103"/>
      <c r="AR339" s="103"/>
      <c r="AS339" s="103"/>
      <c r="AT339" s="38" t="s">
        <v>238</v>
      </c>
      <c r="AU339" s="103"/>
      <c r="AV339" s="34"/>
      <c r="AW339" s="34"/>
      <c r="AX339" s="39"/>
      <c r="AY339" s="34" t="s">
        <v>1917</v>
      </c>
      <c r="AZ339" s="39" t="s">
        <v>1924</v>
      </c>
      <c r="BA339" s="110"/>
      <c r="BB339" s="41"/>
    </row>
    <row r="340" spans="1:58" s="24" customFormat="1" ht="15.75" hidden="1" customHeight="1">
      <c r="A340" s="193"/>
      <c r="B340" s="33" t="s">
        <v>2207</v>
      </c>
      <c r="C340" s="102"/>
      <c r="D340" s="103"/>
      <c r="E340" s="103"/>
      <c r="F340" s="103">
        <v>0.4</v>
      </c>
      <c r="G340" s="103"/>
      <c r="H340" s="103"/>
      <c r="I340" s="103"/>
      <c r="J340" s="103"/>
      <c r="K340" s="103"/>
      <c r="L340" s="103"/>
      <c r="M340" s="103"/>
      <c r="N340" s="103"/>
      <c r="O340" s="103"/>
      <c r="P340" s="103"/>
      <c r="Q340" s="103"/>
      <c r="R340" s="103"/>
      <c r="S340" s="103"/>
      <c r="T340" s="103"/>
      <c r="U340" s="103"/>
      <c r="V340" s="103"/>
      <c r="W340" s="103"/>
      <c r="X340" s="103"/>
      <c r="Y340" s="103"/>
      <c r="Z340" s="103"/>
      <c r="AA340" s="103"/>
      <c r="AB340" s="103"/>
      <c r="AC340" s="103"/>
      <c r="AD340" s="103"/>
      <c r="AE340" s="103"/>
      <c r="AF340" s="103"/>
      <c r="AG340" s="103"/>
      <c r="AH340" s="103"/>
      <c r="AI340" s="103"/>
      <c r="AJ340" s="103"/>
      <c r="AK340" s="103"/>
      <c r="AL340" s="103"/>
      <c r="AM340" s="103"/>
      <c r="AN340" s="103"/>
      <c r="AO340" s="103"/>
      <c r="AP340" s="103"/>
      <c r="AQ340" s="103"/>
      <c r="AR340" s="103"/>
      <c r="AS340" s="103"/>
      <c r="AT340" s="103" t="s">
        <v>239</v>
      </c>
      <c r="AU340" s="103"/>
      <c r="AV340" s="34"/>
      <c r="AW340" s="34"/>
      <c r="AX340" s="39"/>
      <c r="AY340" s="34" t="s">
        <v>1923</v>
      </c>
      <c r="AZ340" s="39" t="s">
        <v>1924</v>
      </c>
      <c r="BB340" s="41"/>
    </row>
    <row r="341" spans="1:58" s="24" customFormat="1" ht="31.5" hidden="1" customHeight="1">
      <c r="A341" s="193"/>
      <c r="B341" s="33" t="s">
        <v>2208</v>
      </c>
      <c r="C341" s="102"/>
      <c r="D341" s="103"/>
      <c r="E341" s="103"/>
      <c r="F341" s="103">
        <v>0.2</v>
      </c>
      <c r="G341" s="103"/>
      <c r="H341" s="103"/>
      <c r="I341" s="103"/>
      <c r="J341" s="103"/>
      <c r="K341" s="103"/>
      <c r="L341" s="103"/>
      <c r="M341" s="103"/>
      <c r="N341" s="103"/>
      <c r="O341" s="103"/>
      <c r="P341" s="103"/>
      <c r="Q341" s="103"/>
      <c r="R341" s="103"/>
      <c r="S341" s="103"/>
      <c r="T341" s="103"/>
      <c r="U341" s="103"/>
      <c r="V341" s="103"/>
      <c r="W341" s="103"/>
      <c r="X341" s="103"/>
      <c r="Y341" s="103"/>
      <c r="Z341" s="103"/>
      <c r="AA341" s="103"/>
      <c r="AB341" s="103"/>
      <c r="AC341" s="103"/>
      <c r="AD341" s="103"/>
      <c r="AE341" s="103"/>
      <c r="AF341" s="103"/>
      <c r="AG341" s="103"/>
      <c r="AH341" s="103"/>
      <c r="AI341" s="103"/>
      <c r="AJ341" s="103"/>
      <c r="AK341" s="103"/>
      <c r="AL341" s="103"/>
      <c r="AM341" s="103"/>
      <c r="AN341" s="103"/>
      <c r="AO341" s="103"/>
      <c r="AP341" s="103"/>
      <c r="AQ341" s="103"/>
      <c r="AR341" s="103"/>
      <c r="AS341" s="103"/>
      <c r="AT341" s="47" t="s">
        <v>240</v>
      </c>
      <c r="AU341" s="103" t="s">
        <v>2209</v>
      </c>
      <c r="AV341" s="34"/>
      <c r="AW341" s="34"/>
      <c r="AX341" s="39"/>
      <c r="AY341" s="34" t="s">
        <v>1986</v>
      </c>
      <c r="AZ341" s="39"/>
      <c r="BB341" s="41"/>
    </row>
    <row r="342" spans="1:58" s="24" customFormat="1" ht="31.5" hidden="1" customHeight="1">
      <c r="A342" s="193"/>
      <c r="B342" s="33" t="s">
        <v>2210</v>
      </c>
      <c r="C342" s="102"/>
      <c r="D342" s="103"/>
      <c r="E342" s="103"/>
      <c r="F342" s="103">
        <v>0.2</v>
      </c>
      <c r="G342" s="103"/>
      <c r="H342" s="103"/>
      <c r="I342" s="103"/>
      <c r="J342" s="103"/>
      <c r="K342" s="103"/>
      <c r="L342" s="103"/>
      <c r="M342" s="103"/>
      <c r="N342" s="103"/>
      <c r="O342" s="103"/>
      <c r="P342" s="103"/>
      <c r="Q342" s="103"/>
      <c r="R342" s="103"/>
      <c r="S342" s="103"/>
      <c r="T342" s="103"/>
      <c r="U342" s="103"/>
      <c r="V342" s="103"/>
      <c r="W342" s="103"/>
      <c r="X342" s="103"/>
      <c r="Y342" s="103"/>
      <c r="Z342" s="103"/>
      <c r="AA342" s="103"/>
      <c r="AB342" s="103"/>
      <c r="AC342" s="103"/>
      <c r="AD342" s="103"/>
      <c r="AE342" s="103"/>
      <c r="AF342" s="103"/>
      <c r="AG342" s="103"/>
      <c r="AH342" s="103"/>
      <c r="AI342" s="103"/>
      <c r="AJ342" s="103"/>
      <c r="AK342" s="103"/>
      <c r="AL342" s="103"/>
      <c r="AM342" s="103"/>
      <c r="AN342" s="103"/>
      <c r="AO342" s="103"/>
      <c r="AP342" s="103"/>
      <c r="AQ342" s="103"/>
      <c r="AR342" s="103"/>
      <c r="AS342" s="103"/>
      <c r="AT342" s="47" t="s">
        <v>240</v>
      </c>
      <c r="AU342" s="103" t="s">
        <v>639</v>
      </c>
      <c r="AV342" s="34"/>
      <c r="AW342" s="34"/>
      <c r="AX342" s="39"/>
      <c r="AY342" s="34" t="s">
        <v>1923</v>
      </c>
      <c r="AZ342" s="39" t="s">
        <v>2211</v>
      </c>
      <c r="BB342" s="41"/>
    </row>
    <row r="343" spans="1:58" s="24" customFormat="1" ht="31.5" hidden="1" customHeight="1">
      <c r="A343" s="193"/>
      <c r="B343" s="33" t="s">
        <v>2212</v>
      </c>
      <c r="C343" s="102"/>
      <c r="D343" s="103"/>
      <c r="E343" s="103"/>
      <c r="F343" s="103">
        <v>0.26</v>
      </c>
      <c r="G343" s="103"/>
      <c r="H343" s="103"/>
      <c r="I343" s="103"/>
      <c r="J343" s="103"/>
      <c r="K343" s="103"/>
      <c r="L343" s="103"/>
      <c r="M343" s="103"/>
      <c r="N343" s="103"/>
      <c r="O343" s="103"/>
      <c r="P343" s="103"/>
      <c r="Q343" s="103"/>
      <c r="R343" s="103"/>
      <c r="S343" s="103"/>
      <c r="T343" s="103"/>
      <c r="U343" s="103"/>
      <c r="V343" s="103"/>
      <c r="W343" s="103"/>
      <c r="X343" s="103"/>
      <c r="Y343" s="103"/>
      <c r="Z343" s="103"/>
      <c r="AA343" s="103"/>
      <c r="AB343" s="103"/>
      <c r="AC343" s="103"/>
      <c r="AD343" s="103"/>
      <c r="AE343" s="103"/>
      <c r="AF343" s="103"/>
      <c r="AG343" s="103"/>
      <c r="AH343" s="103"/>
      <c r="AI343" s="103"/>
      <c r="AJ343" s="103"/>
      <c r="AK343" s="103"/>
      <c r="AL343" s="103"/>
      <c r="AM343" s="103"/>
      <c r="AN343" s="103"/>
      <c r="AO343" s="103"/>
      <c r="AP343" s="103"/>
      <c r="AQ343" s="103"/>
      <c r="AR343" s="103"/>
      <c r="AS343" s="103"/>
      <c r="AT343" s="47" t="s">
        <v>240</v>
      </c>
      <c r="AU343" s="103" t="s">
        <v>2209</v>
      </c>
      <c r="AV343" s="34"/>
      <c r="AW343" s="34"/>
      <c r="AX343" s="39"/>
      <c r="AY343" s="34" t="s">
        <v>1923</v>
      </c>
      <c r="AZ343" s="39" t="s">
        <v>1924</v>
      </c>
      <c r="BB343" s="41"/>
    </row>
    <row r="344" spans="1:58" s="24" customFormat="1" ht="31.5" hidden="1" customHeight="1">
      <c r="A344" s="193"/>
      <c r="B344" s="33" t="s">
        <v>2213</v>
      </c>
      <c r="C344" s="102"/>
      <c r="D344" s="103"/>
      <c r="E344" s="103"/>
      <c r="F344" s="103">
        <v>0.12</v>
      </c>
      <c r="G344" s="103"/>
      <c r="H344" s="103"/>
      <c r="I344" s="103"/>
      <c r="J344" s="103"/>
      <c r="K344" s="103"/>
      <c r="L344" s="103"/>
      <c r="M344" s="103"/>
      <c r="N344" s="103"/>
      <c r="O344" s="103"/>
      <c r="P344" s="103"/>
      <c r="Q344" s="103"/>
      <c r="R344" s="103"/>
      <c r="S344" s="103"/>
      <c r="T344" s="103"/>
      <c r="U344" s="103"/>
      <c r="V344" s="103"/>
      <c r="W344" s="103"/>
      <c r="X344" s="103"/>
      <c r="Y344" s="103"/>
      <c r="Z344" s="103"/>
      <c r="AA344" s="103"/>
      <c r="AB344" s="103"/>
      <c r="AC344" s="103"/>
      <c r="AD344" s="103"/>
      <c r="AE344" s="103"/>
      <c r="AF344" s="103"/>
      <c r="AG344" s="103"/>
      <c r="AH344" s="103"/>
      <c r="AI344" s="103"/>
      <c r="AJ344" s="103"/>
      <c r="AK344" s="103"/>
      <c r="AL344" s="103"/>
      <c r="AM344" s="103"/>
      <c r="AN344" s="103"/>
      <c r="AO344" s="103"/>
      <c r="AP344" s="103"/>
      <c r="AQ344" s="103"/>
      <c r="AR344" s="103"/>
      <c r="AS344" s="103"/>
      <c r="AT344" s="47" t="s">
        <v>240</v>
      </c>
      <c r="AU344" s="103" t="s">
        <v>305</v>
      </c>
      <c r="AV344" s="34"/>
      <c r="AW344" s="34"/>
      <c r="AX344" s="39"/>
      <c r="AY344" s="34" t="s">
        <v>1923</v>
      </c>
      <c r="AZ344" s="39" t="s">
        <v>1924</v>
      </c>
      <c r="BB344" s="41"/>
    </row>
    <row r="345" spans="1:58" s="24" customFormat="1" ht="19.350000000000001" customHeight="1">
      <c r="A345" s="189" t="s">
        <v>733</v>
      </c>
      <c r="B345" s="25" t="s">
        <v>127</v>
      </c>
      <c r="C345" s="26" t="s">
        <v>48</v>
      </c>
      <c r="D345" s="192">
        <f>E345+F345</f>
        <v>3.01</v>
      </c>
      <c r="E345" s="103">
        <f>SUM(E346:E348)</f>
        <v>0</v>
      </c>
      <c r="F345" s="192">
        <f>SUM(F346:F348)</f>
        <v>3.01</v>
      </c>
      <c r="G345" s="192">
        <f>SUM(G346:G348)</f>
        <v>7.0000000000000007E-2</v>
      </c>
      <c r="H345" s="192">
        <f t="shared" ref="H345:AS345" si="20">SUM(H346:H348)</f>
        <v>0.1</v>
      </c>
      <c r="I345" s="192">
        <f t="shared" si="20"/>
        <v>0.72000000000000008</v>
      </c>
      <c r="J345" s="192">
        <f t="shared" si="20"/>
        <v>0</v>
      </c>
      <c r="K345" s="192">
        <f t="shared" si="20"/>
        <v>0.9</v>
      </c>
      <c r="L345" s="192">
        <f t="shared" si="20"/>
        <v>0</v>
      </c>
      <c r="M345" s="192">
        <f t="shared" si="20"/>
        <v>0.9</v>
      </c>
      <c r="N345" s="192">
        <f t="shared" si="20"/>
        <v>0</v>
      </c>
      <c r="O345" s="192">
        <f t="shared" si="20"/>
        <v>0</v>
      </c>
      <c r="P345" s="192">
        <f t="shared" si="20"/>
        <v>0.32</v>
      </c>
      <c r="Q345" s="192">
        <f t="shared" si="20"/>
        <v>0</v>
      </c>
      <c r="R345" s="192">
        <f t="shared" si="20"/>
        <v>0</v>
      </c>
      <c r="S345" s="192">
        <f t="shared" si="20"/>
        <v>0</v>
      </c>
      <c r="T345" s="192">
        <f t="shared" si="20"/>
        <v>0</v>
      </c>
      <c r="U345" s="192">
        <f t="shared" si="20"/>
        <v>0</v>
      </c>
      <c r="V345" s="192">
        <f t="shared" si="20"/>
        <v>0</v>
      </c>
      <c r="W345" s="192">
        <f t="shared" si="20"/>
        <v>0</v>
      </c>
      <c r="X345" s="192">
        <f t="shared" si="20"/>
        <v>0</v>
      </c>
      <c r="Y345" s="192">
        <f t="shared" si="20"/>
        <v>0</v>
      </c>
      <c r="Z345" s="192">
        <f t="shared" si="20"/>
        <v>0</v>
      </c>
      <c r="AA345" s="192">
        <f t="shared" si="20"/>
        <v>0</v>
      </c>
      <c r="AB345" s="192">
        <f t="shared" si="20"/>
        <v>0</v>
      </c>
      <c r="AC345" s="192">
        <f t="shared" si="20"/>
        <v>0</v>
      </c>
      <c r="AD345" s="192">
        <f t="shared" si="20"/>
        <v>0</v>
      </c>
      <c r="AE345" s="192">
        <f t="shared" si="20"/>
        <v>0</v>
      </c>
      <c r="AF345" s="192">
        <f t="shared" si="20"/>
        <v>0</v>
      </c>
      <c r="AG345" s="192">
        <f t="shared" si="20"/>
        <v>0</v>
      </c>
      <c r="AH345" s="192">
        <f t="shared" si="20"/>
        <v>0</v>
      </c>
      <c r="AI345" s="192">
        <f t="shared" si="20"/>
        <v>0.9</v>
      </c>
      <c r="AJ345" s="192">
        <f t="shared" si="20"/>
        <v>0</v>
      </c>
      <c r="AK345" s="192">
        <f t="shared" si="20"/>
        <v>0</v>
      </c>
      <c r="AL345" s="192">
        <f t="shared" si="20"/>
        <v>0</v>
      </c>
      <c r="AM345" s="192">
        <f t="shared" si="20"/>
        <v>0</v>
      </c>
      <c r="AN345" s="192">
        <f t="shared" si="20"/>
        <v>0</v>
      </c>
      <c r="AO345" s="192">
        <f t="shared" si="20"/>
        <v>0</v>
      </c>
      <c r="AP345" s="192">
        <f t="shared" si="20"/>
        <v>0</v>
      </c>
      <c r="AQ345" s="192">
        <f t="shared" si="20"/>
        <v>0</v>
      </c>
      <c r="AR345" s="192">
        <f t="shared" si="20"/>
        <v>0</v>
      </c>
      <c r="AS345" s="192">
        <f t="shared" si="20"/>
        <v>0</v>
      </c>
      <c r="AT345" s="29"/>
      <c r="AU345" s="29"/>
      <c r="AV345" s="29"/>
      <c r="AW345" s="29"/>
      <c r="AX345" s="30"/>
      <c r="AY345" s="29"/>
      <c r="AZ345" s="30"/>
    </row>
    <row r="346" spans="1:58" s="120" customFormat="1">
      <c r="A346" s="193">
        <v>65</v>
      </c>
      <c r="B346" s="88" t="s">
        <v>2214</v>
      </c>
      <c r="C346" s="78" t="s">
        <v>48</v>
      </c>
      <c r="D346" s="103">
        <f>E346+F346</f>
        <v>0.9</v>
      </c>
      <c r="E346" s="103"/>
      <c r="F346" s="103">
        <f>SUM(G346:K346,O346:AR346)</f>
        <v>0.9</v>
      </c>
      <c r="G346" s="102"/>
      <c r="H346" s="102"/>
      <c r="I346" s="102"/>
      <c r="J346" s="102"/>
      <c r="K346" s="194"/>
      <c r="L346" s="102"/>
      <c r="M346" s="102"/>
      <c r="N346" s="102"/>
      <c r="O346" s="102"/>
      <c r="P346" s="102"/>
      <c r="Q346" s="102"/>
      <c r="R346" s="102"/>
      <c r="S346" s="102"/>
      <c r="T346" s="102"/>
      <c r="U346" s="102"/>
      <c r="V346" s="102"/>
      <c r="W346" s="102"/>
      <c r="X346" s="102"/>
      <c r="Y346" s="102"/>
      <c r="Z346" s="102"/>
      <c r="AA346" s="102"/>
      <c r="AB346" s="102"/>
      <c r="AC346" s="102"/>
      <c r="AD346" s="102"/>
      <c r="AE346" s="102"/>
      <c r="AF346" s="102"/>
      <c r="AG346" s="102"/>
      <c r="AH346" s="102"/>
      <c r="AI346" s="102">
        <v>0.9</v>
      </c>
      <c r="AJ346" s="102"/>
      <c r="AK346" s="102"/>
      <c r="AL346" s="102"/>
      <c r="AM346" s="102"/>
      <c r="AN346" s="102"/>
      <c r="AO346" s="102"/>
      <c r="AP346" s="102"/>
      <c r="AQ346" s="102"/>
      <c r="AR346" s="102"/>
      <c r="AS346" s="102"/>
      <c r="AT346" s="102" t="s">
        <v>317</v>
      </c>
      <c r="AU346" s="102" t="s">
        <v>1776</v>
      </c>
      <c r="AV346" s="232"/>
      <c r="AW346" s="232"/>
      <c r="AX346" s="39" t="s">
        <v>1920</v>
      </c>
      <c r="AY346" s="232" t="s">
        <v>1973</v>
      </c>
      <c r="AZ346" s="39" t="s">
        <v>1971</v>
      </c>
      <c r="BB346" s="41"/>
      <c r="BD346" s="120">
        <v>1</v>
      </c>
    </row>
    <row r="347" spans="1:58" ht="32.1" customHeight="1">
      <c r="A347" s="193">
        <v>66</v>
      </c>
      <c r="B347" s="56" t="s">
        <v>2215</v>
      </c>
      <c r="C347" s="78" t="s">
        <v>48</v>
      </c>
      <c r="D347" s="103">
        <f>E347+F347</f>
        <v>1.1000000000000001</v>
      </c>
      <c r="E347" s="103"/>
      <c r="F347" s="103">
        <f>SUM(G347:K347,O347:AR347)</f>
        <v>1.1000000000000001</v>
      </c>
      <c r="G347" s="103">
        <v>7.0000000000000007E-2</v>
      </c>
      <c r="H347" s="103"/>
      <c r="I347" s="103"/>
      <c r="J347" s="103"/>
      <c r="K347" s="194">
        <v>0.76</v>
      </c>
      <c r="L347" s="103"/>
      <c r="M347" s="194">
        <v>0.76</v>
      </c>
      <c r="N347" s="103"/>
      <c r="O347" s="103"/>
      <c r="P347" s="103">
        <v>0.27</v>
      </c>
      <c r="Q347" s="103"/>
      <c r="R347" s="103"/>
      <c r="S347" s="103"/>
      <c r="T347" s="103"/>
      <c r="U347" s="103"/>
      <c r="V347" s="103"/>
      <c r="W347" s="103"/>
      <c r="X347" s="103"/>
      <c r="Y347" s="103"/>
      <c r="Z347" s="103"/>
      <c r="AA347" s="103"/>
      <c r="AB347" s="103"/>
      <c r="AC347" s="103"/>
      <c r="AD347" s="103"/>
      <c r="AE347" s="103"/>
      <c r="AF347" s="103"/>
      <c r="AG347" s="103"/>
      <c r="AH347" s="103"/>
      <c r="AI347" s="103"/>
      <c r="AJ347" s="103"/>
      <c r="AK347" s="103"/>
      <c r="AL347" s="103"/>
      <c r="AM347" s="103"/>
      <c r="AN347" s="103"/>
      <c r="AO347" s="103"/>
      <c r="AP347" s="103"/>
      <c r="AQ347" s="103"/>
      <c r="AR347" s="103"/>
      <c r="AS347" s="103"/>
      <c r="AT347" s="34" t="s">
        <v>237</v>
      </c>
      <c r="AU347" s="34" t="s">
        <v>308</v>
      </c>
      <c r="AV347" s="34"/>
      <c r="AW347" s="34"/>
      <c r="AX347" s="63">
        <v>2021</v>
      </c>
      <c r="AY347" s="34" t="s">
        <v>1923</v>
      </c>
      <c r="AZ347" s="63" t="s">
        <v>2216</v>
      </c>
      <c r="BB347" s="41"/>
      <c r="BE347" s="15">
        <v>1</v>
      </c>
    </row>
    <row r="348" spans="1:58" s="120" customFormat="1" ht="20.45" customHeight="1">
      <c r="A348" s="193">
        <v>67</v>
      </c>
      <c r="B348" s="88" t="s">
        <v>2217</v>
      </c>
      <c r="C348" s="78" t="s">
        <v>48</v>
      </c>
      <c r="D348" s="103">
        <f>E348+F348</f>
        <v>1.01</v>
      </c>
      <c r="E348" s="103"/>
      <c r="F348" s="103">
        <f>SUM(G348:K348,O348:AR348)</f>
        <v>1.01</v>
      </c>
      <c r="G348" s="102">
        <v>0</v>
      </c>
      <c r="H348" s="102">
        <v>0.1</v>
      </c>
      <c r="I348" s="102">
        <v>0.72000000000000008</v>
      </c>
      <c r="J348" s="102">
        <v>0</v>
      </c>
      <c r="K348" s="102">
        <v>0.14000000000000001</v>
      </c>
      <c r="L348" s="102">
        <v>0</v>
      </c>
      <c r="M348" s="102">
        <v>0.14000000000000001</v>
      </c>
      <c r="N348" s="102">
        <v>0</v>
      </c>
      <c r="O348" s="102">
        <v>0</v>
      </c>
      <c r="P348" s="102">
        <v>0.05</v>
      </c>
      <c r="Q348" s="102">
        <v>0</v>
      </c>
      <c r="R348" s="102">
        <v>0</v>
      </c>
      <c r="S348" s="102">
        <v>0</v>
      </c>
      <c r="T348" s="102">
        <v>0</v>
      </c>
      <c r="U348" s="102">
        <v>0</v>
      </c>
      <c r="V348" s="102">
        <v>0</v>
      </c>
      <c r="W348" s="102">
        <v>0</v>
      </c>
      <c r="X348" s="102">
        <v>0</v>
      </c>
      <c r="Y348" s="102">
        <v>0</v>
      </c>
      <c r="Z348" s="102">
        <v>0</v>
      </c>
      <c r="AA348" s="102">
        <v>0</v>
      </c>
      <c r="AB348" s="102">
        <v>0</v>
      </c>
      <c r="AC348" s="102">
        <v>0</v>
      </c>
      <c r="AD348" s="102">
        <v>0</v>
      </c>
      <c r="AE348" s="102">
        <v>0</v>
      </c>
      <c r="AF348" s="102">
        <v>0</v>
      </c>
      <c r="AG348" s="102">
        <v>0</v>
      </c>
      <c r="AH348" s="102">
        <v>0</v>
      </c>
      <c r="AI348" s="102">
        <v>0</v>
      </c>
      <c r="AJ348" s="102">
        <v>0</v>
      </c>
      <c r="AK348" s="102">
        <v>0</v>
      </c>
      <c r="AL348" s="102">
        <v>0</v>
      </c>
      <c r="AM348" s="102">
        <v>0</v>
      </c>
      <c r="AN348" s="102">
        <v>0</v>
      </c>
      <c r="AO348" s="102">
        <v>0</v>
      </c>
      <c r="AP348" s="102">
        <v>0</v>
      </c>
      <c r="AQ348" s="102">
        <v>0</v>
      </c>
      <c r="AR348" s="102">
        <v>0</v>
      </c>
      <c r="AS348" s="102">
        <v>0</v>
      </c>
      <c r="AT348" s="102" t="s">
        <v>880</v>
      </c>
      <c r="AU348" s="102" t="s">
        <v>615</v>
      </c>
      <c r="AV348" s="232"/>
      <c r="AW348" s="232"/>
      <c r="AX348" s="39" t="s">
        <v>1920</v>
      </c>
      <c r="AY348" s="232" t="s">
        <v>1917</v>
      </c>
      <c r="AZ348" s="39" t="s">
        <v>1924</v>
      </c>
      <c r="BB348" s="41"/>
      <c r="BF348" s="120">
        <v>1</v>
      </c>
    </row>
    <row r="349" spans="1:58" s="120" customFormat="1" ht="15.75" hidden="1" customHeight="1">
      <c r="A349" s="193"/>
      <c r="B349" s="88" t="s">
        <v>2218</v>
      </c>
      <c r="C349" s="78"/>
      <c r="D349" s="103"/>
      <c r="E349" s="103"/>
      <c r="F349" s="103">
        <v>0.01</v>
      </c>
      <c r="G349" s="102"/>
      <c r="H349" s="102"/>
      <c r="I349" s="102"/>
      <c r="J349" s="102"/>
      <c r="K349" s="102"/>
      <c r="L349" s="102"/>
      <c r="M349" s="102"/>
      <c r="N349" s="102"/>
      <c r="O349" s="102"/>
      <c r="P349" s="102"/>
      <c r="Q349" s="102"/>
      <c r="R349" s="102"/>
      <c r="S349" s="102"/>
      <c r="T349" s="102"/>
      <c r="U349" s="102"/>
      <c r="V349" s="102"/>
      <c r="W349" s="102"/>
      <c r="X349" s="102"/>
      <c r="Y349" s="102"/>
      <c r="Z349" s="102"/>
      <c r="AA349" s="102"/>
      <c r="AB349" s="102"/>
      <c r="AC349" s="102"/>
      <c r="AD349" s="102"/>
      <c r="AE349" s="102"/>
      <c r="AF349" s="102"/>
      <c r="AG349" s="102"/>
      <c r="AH349" s="102"/>
      <c r="AI349" s="102"/>
      <c r="AJ349" s="102"/>
      <c r="AK349" s="102"/>
      <c r="AL349" s="102"/>
      <c r="AM349" s="102"/>
      <c r="AN349" s="102"/>
      <c r="AO349" s="102"/>
      <c r="AP349" s="102"/>
      <c r="AQ349" s="102"/>
      <c r="AR349" s="102"/>
      <c r="AS349" s="102"/>
      <c r="AT349" s="102" t="s">
        <v>221</v>
      </c>
      <c r="AU349" s="102"/>
      <c r="AV349" s="232"/>
      <c r="AW349" s="232"/>
      <c r="AX349" s="39"/>
      <c r="AY349" s="232" t="s">
        <v>1923</v>
      </c>
      <c r="AZ349" s="39" t="s">
        <v>1924</v>
      </c>
      <c r="BB349" s="41"/>
    </row>
    <row r="350" spans="1:58" s="120" customFormat="1" ht="31.5" hidden="1" customHeight="1">
      <c r="A350" s="220"/>
      <c r="B350" s="88" t="s">
        <v>2219</v>
      </c>
      <c r="C350" s="78"/>
      <c r="D350" s="103"/>
      <c r="E350" s="103"/>
      <c r="F350" s="103">
        <v>0.1</v>
      </c>
      <c r="G350" s="102"/>
      <c r="H350" s="102"/>
      <c r="I350" s="102"/>
      <c r="J350" s="102"/>
      <c r="K350" s="102"/>
      <c r="L350" s="102"/>
      <c r="M350" s="102"/>
      <c r="N350" s="102"/>
      <c r="O350" s="102"/>
      <c r="P350" s="102"/>
      <c r="Q350" s="102"/>
      <c r="R350" s="102"/>
      <c r="S350" s="102"/>
      <c r="T350" s="102"/>
      <c r="U350" s="102"/>
      <c r="V350" s="102"/>
      <c r="W350" s="102"/>
      <c r="X350" s="102"/>
      <c r="Y350" s="102"/>
      <c r="Z350" s="102"/>
      <c r="AA350" s="102"/>
      <c r="AB350" s="102"/>
      <c r="AC350" s="102"/>
      <c r="AD350" s="102"/>
      <c r="AE350" s="102"/>
      <c r="AF350" s="102"/>
      <c r="AG350" s="102"/>
      <c r="AH350" s="102"/>
      <c r="AI350" s="102"/>
      <c r="AJ350" s="102"/>
      <c r="AK350" s="102"/>
      <c r="AL350" s="102"/>
      <c r="AM350" s="102"/>
      <c r="AN350" s="102"/>
      <c r="AO350" s="102"/>
      <c r="AP350" s="102"/>
      <c r="AQ350" s="102"/>
      <c r="AR350" s="102"/>
      <c r="AS350" s="102"/>
      <c r="AT350" s="34" t="s">
        <v>225</v>
      </c>
      <c r="AU350" s="102" t="s">
        <v>1349</v>
      </c>
      <c r="AV350" s="232"/>
      <c r="AW350" s="232"/>
      <c r="AX350" s="39"/>
      <c r="AY350" s="232" t="s">
        <v>1917</v>
      </c>
      <c r="AZ350" s="63" t="s">
        <v>2220</v>
      </c>
      <c r="BB350" s="41"/>
    </row>
    <row r="351" spans="1:58" s="120" customFormat="1" ht="15.75" hidden="1" customHeight="1">
      <c r="A351" s="193"/>
      <c r="B351" s="88" t="s">
        <v>2221</v>
      </c>
      <c r="C351" s="78"/>
      <c r="D351" s="103"/>
      <c r="E351" s="103"/>
      <c r="F351" s="103">
        <v>0.05</v>
      </c>
      <c r="G351" s="102"/>
      <c r="H351" s="102"/>
      <c r="I351" s="102"/>
      <c r="J351" s="102"/>
      <c r="K351" s="102"/>
      <c r="L351" s="102"/>
      <c r="M351" s="102"/>
      <c r="N351" s="102"/>
      <c r="O351" s="102"/>
      <c r="P351" s="102"/>
      <c r="Q351" s="102"/>
      <c r="R351" s="102"/>
      <c r="S351" s="102"/>
      <c r="T351" s="102"/>
      <c r="U351" s="102"/>
      <c r="V351" s="102"/>
      <c r="W351" s="102"/>
      <c r="X351" s="102"/>
      <c r="Y351" s="102"/>
      <c r="Z351" s="102"/>
      <c r="AA351" s="102"/>
      <c r="AB351" s="102"/>
      <c r="AC351" s="102"/>
      <c r="AD351" s="102"/>
      <c r="AE351" s="102"/>
      <c r="AF351" s="102"/>
      <c r="AG351" s="102"/>
      <c r="AH351" s="102"/>
      <c r="AI351" s="102"/>
      <c r="AJ351" s="102"/>
      <c r="AK351" s="102"/>
      <c r="AL351" s="102"/>
      <c r="AM351" s="102"/>
      <c r="AN351" s="102"/>
      <c r="AO351" s="102"/>
      <c r="AP351" s="102"/>
      <c r="AQ351" s="102"/>
      <c r="AR351" s="102"/>
      <c r="AS351" s="102"/>
      <c r="AT351" s="34" t="s">
        <v>983</v>
      </c>
      <c r="AU351" s="102" t="s">
        <v>724</v>
      </c>
      <c r="AV351" s="232"/>
      <c r="AW351" s="232"/>
      <c r="AX351" s="39"/>
      <c r="AY351" s="34" t="s">
        <v>1923</v>
      </c>
      <c r="AZ351" s="39" t="s">
        <v>1943</v>
      </c>
      <c r="BA351" s="40"/>
      <c r="BB351" s="120" t="s">
        <v>19</v>
      </c>
      <c r="BC351" s="41"/>
    </row>
    <row r="352" spans="1:58" s="121" customFormat="1" ht="15.75" hidden="1" customHeight="1">
      <c r="A352" s="220" t="s">
        <v>193</v>
      </c>
      <c r="B352" s="88" t="s">
        <v>2222</v>
      </c>
      <c r="C352" s="78"/>
      <c r="D352" s="103"/>
      <c r="E352" s="103"/>
      <c r="F352" s="103">
        <v>0.55000000000000004</v>
      </c>
      <c r="G352" s="102"/>
      <c r="H352" s="102"/>
      <c r="I352" s="102"/>
      <c r="J352" s="102"/>
      <c r="K352" s="102"/>
      <c r="L352" s="102"/>
      <c r="M352" s="102"/>
      <c r="N352" s="102"/>
      <c r="O352" s="102"/>
      <c r="P352" s="102"/>
      <c r="Q352" s="102"/>
      <c r="R352" s="102"/>
      <c r="S352" s="102"/>
      <c r="T352" s="102"/>
      <c r="U352" s="102"/>
      <c r="V352" s="102"/>
      <c r="W352" s="102"/>
      <c r="X352" s="102"/>
      <c r="Y352" s="102"/>
      <c r="Z352" s="102"/>
      <c r="AA352" s="102"/>
      <c r="AB352" s="102"/>
      <c r="AC352" s="102"/>
      <c r="AD352" s="102"/>
      <c r="AE352" s="102"/>
      <c r="AF352" s="102"/>
      <c r="AG352" s="102"/>
      <c r="AH352" s="102"/>
      <c r="AI352" s="102"/>
      <c r="AJ352" s="102"/>
      <c r="AK352" s="102"/>
      <c r="AL352" s="102"/>
      <c r="AM352" s="102"/>
      <c r="AN352" s="102"/>
      <c r="AO352" s="102"/>
      <c r="AP352" s="102"/>
      <c r="AQ352" s="102"/>
      <c r="AR352" s="102"/>
      <c r="AS352" s="102"/>
      <c r="AT352" s="34" t="s">
        <v>227</v>
      </c>
      <c r="AU352" s="102" t="s">
        <v>401</v>
      </c>
      <c r="AV352" s="232"/>
      <c r="AW352" s="232"/>
      <c r="AX352" s="39"/>
      <c r="AY352" s="232" t="s">
        <v>1917</v>
      </c>
      <c r="AZ352" s="39" t="s">
        <v>1924</v>
      </c>
      <c r="BA352" s="120" t="s">
        <v>2223</v>
      </c>
      <c r="BB352" s="202"/>
    </row>
    <row r="353" spans="1:58" s="120" customFormat="1" ht="15.75" hidden="1" customHeight="1">
      <c r="A353" s="193"/>
      <c r="B353" s="60" t="s">
        <v>2224</v>
      </c>
      <c r="C353" s="78" t="s">
        <v>48</v>
      </c>
      <c r="D353" s="222">
        <v>0.03</v>
      </c>
      <c r="E353" s="222"/>
      <c r="F353" s="222">
        <v>0.03</v>
      </c>
      <c r="G353" s="102"/>
      <c r="H353" s="102"/>
      <c r="I353" s="102"/>
      <c r="J353" s="102"/>
      <c r="K353" s="102"/>
      <c r="L353" s="102"/>
      <c r="M353" s="102"/>
      <c r="N353" s="102"/>
      <c r="O353" s="102"/>
      <c r="P353" s="102"/>
      <c r="Q353" s="102"/>
      <c r="R353" s="102"/>
      <c r="S353" s="102"/>
      <c r="T353" s="102"/>
      <c r="U353" s="102"/>
      <c r="V353" s="102"/>
      <c r="W353" s="102"/>
      <c r="X353" s="102"/>
      <c r="Y353" s="102"/>
      <c r="Z353" s="102"/>
      <c r="AA353" s="102"/>
      <c r="AB353" s="102"/>
      <c r="AC353" s="102"/>
      <c r="AD353" s="102"/>
      <c r="AE353" s="102"/>
      <c r="AF353" s="102"/>
      <c r="AG353" s="102"/>
      <c r="AH353" s="102"/>
      <c r="AI353" s="102"/>
      <c r="AJ353" s="102"/>
      <c r="AK353" s="102"/>
      <c r="AL353" s="102"/>
      <c r="AM353" s="102"/>
      <c r="AN353" s="102"/>
      <c r="AO353" s="102"/>
      <c r="AP353" s="102"/>
      <c r="AQ353" s="102"/>
      <c r="AR353" s="102"/>
      <c r="AS353" s="102"/>
      <c r="AT353" s="34" t="s">
        <v>229</v>
      </c>
      <c r="AU353" s="102"/>
      <c r="AV353" s="232"/>
      <c r="AW353" s="232"/>
      <c r="AX353" s="39"/>
      <c r="AY353" s="38" t="s">
        <v>1923</v>
      </c>
      <c r="AZ353" s="39" t="s">
        <v>2225</v>
      </c>
      <c r="BB353" s="41"/>
    </row>
    <row r="354" spans="1:58" s="120" customFormat="1" ht="15.75" hidden="1" customHeight="1">
      <c r="A354" s="193"/>
      <c r="B354" s="88" t="s">
        <v>2226</v>
      </c>
      <c r="C354" s="78"/>
      <c r="D354" s="103"/>
      <c r="E354" s="103"/>
      <c r="F354" s="103">
        <v>0.1</v>
      </c>
      <c r="G354" s="102"/>
      <c r="H354" s="102"/>
      <c r="I354" s="102"/>
      <c r="J354" s="102"/>
      <c r="K354" s="102"/>
      <c r="L354" s="102"/>
      <c r="M354" s="102"/>
      <c r="N354" s="102"/>
      <c r="O354" s="102"/>
      <c r="P354" s="102"/>
      <c r="Q354" s="102"/>
      <c r="R354" s="102"/>
      <c r="S354" s="102"/>
      <c r="T354" s="102"/>
      <c r="U354" s="102"/>
      <c r="V354" s="102"/>
      <c r="W354" s="102"/>
      <c r="X354" s="102"/>
      <c r="Y354" s="102"/>
      <c r="Z354" s="102"/>
      <c r="AA354" s="102"/>
      <c r="AB354" s="102"/>
      <c r="AC354" s="102"/>
      <c r="AD354" s="102"/>
      <c r="AE354" s="102"/>
      <c r="AF354" s="102"/>
      <c r="AG354" s="102"/>
      <c r="AH354" s="102"/>
      <c r="AI354" s="102"/>
      <c r="AJ354" s="102"/>
      <c r="AK354" s="102"/>
      <c r="AL354" s="102"/>
      <c r="AM354" s="102"/>
      <c r="AN354" s="102"/>
      <c r="AO354" s="102"/>
      <c r="AP354" s="102"/>
      <c r="AQ354" s="102"/>
      <c r="AR354" s="102"/>
      <c r="AS354" s="102"/>
      <c r="AT354" s="102" t="s">
        <v>239</v>
      </c>
      <c r="AU354" s="102"/>
      <c r="AV354" s="232"/>
      <c r="AW354" s="232"/>
      <c r="AX354" s="39"/>
      <c r="AY354" s="232" t="s">
        <v>1986</v>
      </c>
      <c r="AZ354" s="39"/>
      <c r="BB354" s="41"/>
    </row>
    <row r="355" spans="1:58" ht="31.5" hidden="1" customHeight="1">
      <c r="A355" s="193"/>
      <c r="B355" s="56" t="s">
        <v>2227</v>
      </c>
      <c r="C355" s="78" t="s">
        <v>112</v>
      </c>
      <c r="D355" s="194">
        <f>E355+F355</f>
        <v>1.24</v>
      </c>
      <c r="E355" s="103">
        <v>1.06</v>
      </c>
      <c r="F355" s="194">
        <v>0.18</v>
      </c>
      <c r="G355" s="103">
        <v>2.79</v>
      </c>
      <c r="H355" s="103">
        <v>2.11</v>
      </c>
      <c r="I355" s="103">
        <v>1.6609999999999998</v>
      </c>
      <c r="J355" s="103">
        <v>1.2800000000000002</v>
      </c>
      <c r="K355" s="103">
        <v>1.3399999999999999</v>
      </c>
      <c r="L355" s="103">
        <v>0</v>
      </c>
      <c r="M355" s="103">
        <v>1.3399999999999999</v>
      </c>
      <c r="N355" s="103">
        <v>0</v>
      </c>
      <c r="O355" s="103">
        <v>0</v>
      </c>
      <c r="P355" s="103">
        <v>0.44999999999999996</v>
      </c>
      <c r="Q355" s="103">
        <v>0</v>
      </c>
      <c r="R355" s="103">
        <v>0</v>
      </c>
      <c r="S355" s="103">
        <v>0</v>
      </c>
      <c r="T355" s="103">
        <v>0</v>
      </c>
      <c r="U355" s="103">
        <v>0</v>
      </c>
      <c r="V355" s="103">
        <v>0</v>
      </c>
      <c r="W355" s="103">
        <v>0</v>
      </c>
      <c r="X355" s="103">
        <v>0.16</v>
      </c>
      <c r="Y355" s="103">
        <v>1.29</v>
      </c>
      <c r="Z355" s="103">
        <v>0.03</v>
      </c>
      <c r="AA355" s="103">
        <v>0</v>
      </c>
      <c r="AB355" s="103">
        <v>7.0000000000000007E-2</v>
      </c>
      <c r="AC355" s="103">
        <v>0</v>
      </c>
      <c r="AD355" s="103">
        <v>0</v>
      </c>
      <c r="AE355" s="103">
        <v>0</v>
      </c>
      <c r="AF355" s="103">
        <v>0</v>
      </c>
      <c r="AG355" s="103">
        <v>0</v>
      </c>
      <c r="AH355" s="103">
        <v>0</v>
      </c>
      <c r="AI355" s="103">
        <v>0</v>
      </c>
      <c r="AJ355" s="103">
        <v>0</v>
      </c>
      <c r="AK355" s="103">
        <v>0</v>
      </c>
      <c r="AL355" s="103">
        <v>0</v>
      </c>
      <c r="AM355" s="103">
        <v>0</v>
      </c>
      <c r="AN355" s="103">
        <v>1.23</v>
      </c>
      <c r="AO355" s="103">
        <v>0</v>
      </c>
      <c r="AP355" s="103">
        <v>0</v>
      </c>
      <c r="AQ355" s="103">
        <v>0.2</v>
      </c>
      <c r="AR355" s="103">
        <v>0</v>
      </c>
      <c r="AS355" s="103">
        <v>0</v>
      </c>
      <c r="AT355" s="34" t="s">
        <v>240</v>
      </c>
      <c r="AU355" s="34" t="s">
        <v>305</v>
      </c>
      <c r="AV355" s="34"/>
      <c r="AW355" s="34"/>
      <c r="AX355" s="63" t="s">
        <v>1970</v>
      </c>
      <c r="AY355" s="34" t="s">
        <v>1917</v>
      </c>
      <c r="AZ355" s="63" t="s">
        <v>2228</v>
      </c>
    </row>
    <row r="356" spans="1:58" s="24" customFormat="1" ht="18.600000000000001" customHeight="1">
      <c r="A356" s="189" t="s">
        <v>739</v>
      </c>
      <c r="B356" s="25" t="s">
        <v>129</v>
      </c>
      <c r="C356" s="26" t="s">
        <v>49</v>
      </c>
      <c r="D356" s="192">
        <f>E356+F356</f>
        <v>4.57</v>
      </c>
      <c r="E356" s="192">
        <f>SUM(E357:E358)</f>
        <v>2.74</v>
      </c>
      <c r="F356" s="192">
        <f>SUM(G356:K356,P356:AS356)</f>
        <v>1.83</v>
      </c>
      <c r="G356" s="192">
        <f>SUM(G357:G358)</f>
        <v>1.4</v>
      </c>
      <c r="H356" s="192">
        <f>SUM(H357:H358)</f>
        <v>0</v>
      </c>
      <c r="I356" s="192">
        <f t="shared" ref="I356:AS356" si="21">SUM(I357:I358)</f>
        <v>0.2</v>
      </c>
      <c r="J356" s="192">
        <f t="shared" si="21"/>
        <v>0</v>
      </c>
      <c r="K356" s="192">
        <f t="shared" si="21"/>
        <v>0.08</v>
      </c>
      <c r="L356" s="192">
        <f t="shared" si="21"/>
        <v>0</v>
      </c>
      <c r="M356" s="192">
        <f t="shared" si="21"/>
        <v>0.08</v>
      </c>
      <c r="N356" s="192">
        <f t="shared" si="21"/>
        <v>0</v>
      </c>
      <c r="O356" s="192">
        <f t="shared" si="21"/>
        <v>0</v>
      </c>
      <c r="P356" s="192">
        <f t="shared" si="21"/>
        <v>0.1</v>
      </c>
      <c r="Q356" s="192">
        <f t="shared" si="21"/>
        <v>0</v>
      </c>
      <c r="R356" s="192">
        <f t="shared" si="21"/>
        <v>0</v>
      </c>
      <c r="S356" s="192">
        <f t="shared" si="21"/>
        <v>0</v>
      </c>
      <c r="T356" s="192">
        <f t="shared" si="21"/>
        <v>0</v>
      </c>
      <c r="U356" s="192">
        <f t="shared" si="21"/>
        <v>0</v>
      </c>
      <c r="V356" s="192">
        <f t="shared" si="21"/>
        <v>0</v>
      </c>
      <c r="W356" s="192">
        <f t="shared" si="21"/>
        <v>0</v>
      </c>
      <c r="X356" s="192">
        <f t="shared" si="21"/>
        <v>0</v>
      </c>
      <c r="Y356" s="192">
        <f t="shared" si="21"/>
        <v>0</v>
      </c>
      <c r="Z356" s="192">
        <f t="shared" si="21"/>
        <v>0</v>
      </c>
      <c r="AA356" s="192">
        <f t="shared" si="21"/>
        <v>0</v>
      </c>
      <c r="AB356" s="192">
        <f t="shared" si="21"/>
        <v>0</v>
      </c>
      <c r="AC356" s="192">
        <f t="shared" si="21"/>
        <v>0</v>
      </c>
      <c r="AD356" s="192">
        <f t="shared" si="21"/>
        <v>0.05</v>
      </c>
      <c r="AE356" s="192">
        <f t="shared" si="21"/>
        <v>0</v>
      </c>
      <c r="AF356" s="192">
        <f t="shared" si="21"/>
        <v>0</v>
      </c>
      <c r="AG356" s="192">
        <f t="shared" si="21"/>
        <v>0</v>
      </c>
      <c r="AH356" s="192">
        <f t="shared" si="21"/>
        <v>0</v>
      </c>
      <c r="AI356" s="192">
        <f t="shared" si="21"/>
        <v>0</v>
      </c>
      <c r="AJ356" s="192">
        <f t="shared" si="21"/>
        <v>0</v>
      </c>
      <c r="AK356" s="192">
        <f t="shared" si="21"/>
        <v>0</v>
      </c>
      <c r="AL356" s="192">
        <f t="shared" si="21"/>
        <v>0</v>
      </c>
      <c r="AM356" s="192">
        <f t="shared" si="21"/>
        <v>0</v>
      </c>
      <c r="AN356" s="192">
        <f t="shared" si="21"/>
        <v>0</v>
      </c>
      <c r="AO356" s="192">
        <f t="shared" si="21"/>
        <v>0</v>
      </c>
      <c r="AP356" s="192">
        <f t="shared" si="21"/>
        <v>0</v>
      </c>
      <c r="AQ356" s="192">
        <f t="shared" si="21"/>
        <v>0</v>
      </c>
      <c r="AR356" s="192">
        <f t="shared" si="21"/>
        <v>0</v>
      </c>
      <c r="AS356" s="192">
        <f t="shared" si="21"/>
        <v>0</v>
      </c>
      <c r="AT356" s="29"/>
      <c r="AU356" s="29"/>
      <c r="AV356" s="29"/>
      <c r="AW356" s="29"/>
      <c r="AX356" s="30"/>
      <c r="AY356" s="29"/>
      <c r="AZ356" s="30"/>
    </row>
    <row r="357" spans="1:58" ht="20.45" customHeight="1">
      <c r="A357" s="193">
        <v>68</v>
      </c>
      <c r="B357" s="88" t="s">
        <v>734</v>
      </c>
      <c r="C357" s="102" t="s">
        <v>49</v>
      </c>
      <c r="D357" s="103">
        <f>E357+F357</f>
        <v>3.54</v>
      </c>
      <c r="E357" s="103">
        <v>2.54</v>
      </c>
      <c r="F357" s="103">
        <f>SUM(G357:K357,O357:AR357)</f>
        <v>1</v>
      </c>
      <c r="G357" s="195">
        <v>0.8</v>
      </c>
      <c r="H357" s="195"/>
      <c r="I357" s="195">
        <v>0.2</v>
      </c>
      <c r="J357" s="195"/>
      <c r="K357" s="228"/>
      <c r="L357" s="195"/>
      <c r="M357" s="195"/>
      <c r="N357" s="195"/>
      <c r="O357" s="195"/>
      <c r="P357" s="195"/>
      <c r="Q357" s="195"/>
      <c r="R357" s="195"/>
      <c r="S357" s="195"/>
      <c r="T357" s="195"/>
      <c r="U357" s="195"/>
      <c r="V357" s="195"/>
      <c r="W357" s="195"/>
      <c r="X357" s="195"/>
      <c r="Y357" s="195"/>
      <c r="Z357" s="195"/>
      <c r="AA357" s="195"/>
      <c r="AB357" s="195"/>
      <c r="AC357" s="195"/>
      <c r="AD357" s="195"/>
      <c r="AE357" s="195"/>
      <c r="AF357" s="195"/>
      <c r="AG357" s="195"/>
      <c r="AH357" s="195"/>
      <c r="AI357" s="195"/>
      <c r="AJ357" s="195"/>
      <c r="AK357" s="195"/>
      <c r="AL357" s="195"/>
      <c r="AM357" s="195"/>
      <c r="AN357" s="195"/>
      <c r="AO357" s="195"/>
      <c r="AP357" s="195"/>
      <c r="AQ357" s="195"/>
      <c r="AR357" s="195"/>
      <c r="AS357" s="195"/>
      <c r="AT357" s="34" t="s">
        <v>289</v>
      </c>
      <c r="AU357" s="34"/>
      <c r="AV357" s="140"/>
      <c r="AW357" s="140"/>
      <c r="AX357" s="39" t="s">
        <v>1920</v>
      </c>
      <c r="AY357" s="140" t="s">
        <v>1923</v>
      </c>
      <c r="AZ357" s="39" t="s">
        <v>1924</v>
      </c>
      <c r="BB357" s="41"/>
      <c r="BE357" s="15">
        <v>1</v>
      </c>
    </row>
    <row r="358" spans="1:58" ht="20.45" customHeight="1">
      <c r="A358" s="193">
        <v>69</v>
      </c>
      <c r="B358" s="88" t="s">
        <v>2229</v>
      </c>
      <c r="C358" s="102" t="s">
        <v>49</v>
      </c>
      <c r="D358" s="103">
        <f>E358+F358</f>
        <v>1.03</v>
      </c>
      <c r="E358" s="103">
        <v>0.2</v>
      </c>
      <c r="F358" s="103">
        <f>SUM(G358:K358,O358:AR358)</f>
        <v>0.83</v>
      </c>
      <c r="G358" s="195">
        <v>0.6</v>
      </c>
      <c r="H358" s="195">
        <v>0</v>
      </c>
      <c r="I358" s="195">
        <v>0</v>
      </c>
      <c r="J358" s="195">
        <v>0</v>
      </c>
      <c r="K358" s="195">
        <v>0.08</v>
      </c>
      <c r="L358" s="195">
        <v>0</v>
      </c>
      <c r="M358" s="195">
        <v>0.08</v>
      </c>
      <c r="N358" s="195">
        <v>0</v>
      </c>
      <c r="O358" s="195">
        <v>0</v>
      </c>
      <c r="P358" s="195">
        <v>0.1</v>
      </c>
      <c r="Q358" s="195">
        <v>0</v>
      </c>
      <c r="R358" s="195">
        <v>0</v>
      </c>
      <c r="S358" s="195">
        <v>0</v>
      </c>
      <c r="T358" s="195">
        <v>0</v>
      </c>
      <c r="U358" s="195">
        <v>0</v>
      </c>
      <c r="V358" s="195">
        <v>0</v>
      </c>
      <c r="W358" s="195">
        <v>0</v>
      </c>
      <c r="X358" s="195">
        <v>0</v>
      </c>
      <c r="Y358" s="195">
        <v>0</v>
      </c>
      <c r="Z358" s="195">
        <v>0</v>
      </c>
      <c r="AA358" s="195">
        <v>0</v>
      </c>
      <c r="AB358" s="195">
        <v>0</v>
      </c>
      <c r="AC358" s="195">
        <v>0</v>
      </c>
      <c r="AD358" s="195">
        <v>0.05</v>
      </c>
      <c r="AE358" s="195">
        <v>0</v>
      </c>
      <c r="AF358" s="195">
        <v>0</v>
      </c>
      <c r="AG358" s="195">
        <v>0</v>
      </c>
      <c r="AH358" s="195">
        <v>0</v>
      </c>
      <c r="AI358" s="195">
        <v>0</v>
      </c>
      <c r="AJ358" s="195">
        <v>0</v>
      </c>
      <c r="AK358" s="195">
        <v>0</v>
      </c>
      <c r="AL358" s="195">
        <v>0</v>
      </c>
      <c r="AM358" s="195">
        <v>0</v>
      </c>
      <c r="AN358" s="195">
        <v>0</v>
      </c>
      <c r="AO358" s="195">
        <v>0</v>
      </c>
      <c r="AP358" s="195">
        <v>0</v>
      </c>
      <c r="AQ358" s="195">
        <v>0</v>
      </c>
      <c r="AR358" s="195">
        <v>0</v>
      </c>
      <c r="AS358" s="195">
        <v>0</v>
      </c>
      <c r="AT358" s="34" t="s">
        <v>880</v>
      </c>
      <c r="AU358" s="34" t="s">
        <v>615</v>
      </c>
      <c r="AV358" s="140"/>
      <c r="AW358" s="140"/>
      <c r="AX358" s="39" t="s">
        <v>1920</v>
      </c>
      <c r="AY358" s="140" t="s">
        <v>1923</v>
      </c>
      <c r="AZ358" s="39" t="s">
        <v>1924</v>
      </c>
      <c r="BB358" s="41"/>
      <c r="BE358" s="15">
        <v>1</v>
      </c>
    </row>
    <row r="359" spans="1:58" ht="31.5" hidden="1" customHeight="1">
      <c r="A359" s="193"/>
      <c r="B359" s="88" t="s">
        <v>2230</v>
      </c>
      <c r="C359" s="102"/>
      <c r="D359" s="103"/>
      <c r="E359" s="103"/>
      <c r="F359" s="103">
        <v>0.1</v>
      </c>
      <c r="G359" s="195"/>
      <c r="H359" s="195"/>
      <c r="I359" s="195"/>
      <c r="J359" s="195"/>
      <c r="K359" s="195"/>
      <c r="L359" s="195"/>
      <c r="M359" s="195"/>
      <c r="N359" s="195"/>
      <c r="O359" s="195"/>
      <c r="P359" s="195"/>
      <c r="Q359" s="195"/>
      <c r="R359" s="195"/>
      <c r="S359" s="195"/>
      <c r="T359" s="195"/>
      <c r="U359" s="195"/>
      <c r="V359" s="195"/>
      <c r="W359" s="195"/>
      <c r="X359" s="195"/>
      <c r="Y359" s="195"/>
      <c r="Z359" s="195"/>
      <c r="AA359" s="195"/>
      <c r="AB359" s="195"/>
      <c r="AC359" s="195"/>
      <c r="AD359" s="195"/>
      <c r="AE359" s="195"/>
      <c r="AF359" s="195"/>
      <c r="AG359" s="195"/>
      <c r="AH359" s="195"/>
      <c r="AI359" s="195"/>
      <c r="AJ359" s="195"/>
      <c r="AK359" s="195"/>
      <c r="AL359" s="195"/>
      <c r="AM359" s="195"/>
      <c r="AN359" s="195"/>
      <c r="AO359" s="195"/>
      <c r="AP359" s="195"/>
      <c r="AQ359" s="195"/>
      <c r="AR359" s="195"/>
      <c r="AS359" s="195"/>
      <c r="AT359" s="34" t="s">
        <v>983</v>
      </c>
      <c r="AU359" s="102" t="s">
        <v>724</v>
      </c>
      <c r="AV359" s="232"/>
      <c r="AW359" s="232"/>
      <c r="AX359" s="39"/>
      <c r="AY359" s="34" t="s">
        <v>1923</v>
      </c>
      <c r="AZ359" s="39" t="s">
        <v>2231</v>
      </c>
      <c r="BA359" s="40"/>
      <c r="BB359" s="15" t="s">
        <v>7</v>
      </c>
      <c r="BC359" s="41"/>
    </row>
    <row r="360" spans="1:58" ht="15.75" hidden="1" customHeight="1">
      <c r="A360" s="193"/>
      <c r="B360" s="88" t="s">
        <v>2232</v>
      </c>
      <c r="C360" s="102"/>
      <c r="D360" s="103"/>
      <c r="E360" s="103"/>
      <c r="F360" s="103">
        <v>0.1</v>
      </c>
      <c r="G360" s="195"/>
      <c r="H360" s="195"/>
      <c r="I360" s="195"/>
      <c r="J360" s="195"/>
      <c r="K360" s="195"/>
      <c r="L360" s="195"/>
      <c r="M360" s="195"/>
      <c r="N360" s="195"/>
      <c r="O360" s="195"/>
      <c r="P360" s="195"/>
      <c r="Q360" s="195"/>
      <c r="R360" s="195"/>
      <c r="S360" s="195"/>
      <c r="T360" s="195"/>
      <c r="U360" s="195"/>
      <c r="V360" s="195"/>
      <c r="W360" s="195"/>
      <c r="X360" s="195"/>
      <c r="Y360" s="195"/>
      <c r="Z360" s="195"/>
      <c r="AA360" s="195"/>
      <c r="AB360" s="195"/>
      <c r="AC360" s="195"/>
      <c r="AD360" s="195"/>
      <c r="AE360" s="195"/>
      <c r="AF360" s="195"/>
      <c r="AG360" s="195"/>
      <c r="AH360" s="195"/>
      <c r="AI360" s="195"/>
      <c r="AJ360" s="195"/>
      <c r="AK360" s="195"/>
      <c r="AL360" s="195"/>
      <c r="AM360" s="195"/>
      <c r="AN360" s="195"/>
      <c r="AO360" s="195"/>
      <c r="AP360" s="195"/>
      <c r="AQ360" s="195"/>
      <c r="AR360" s="195"/>
      <c r="AS360" s="195"/>
      <c r="AT360" s="34" t="s">
        <v>228</v>
      </c>
      <c r="AU360" s="34" t="s">
        <v>731</v>
      </c>
      <c r="AV360" s="140"/>
      <c r="AW360" s="140"/>
      <c r="AX360" s="39"/>
      <c r="AY360" s="38" t="s">
        <v>1923</v>
      </c>
      <c r="AZ360" s="39" t="s">
        <v>1924</v>
      </c>
      <c r="BB360" s="41"/>
    </row>
    <row r="361" spans="1:58" ht="15.75" hidden="1" customHeight="1">
      <c r="A361" s="193"/>
      <c r="B361" s="60" t="s">
        <v>2233</v>
      </c>
      <c r="C361" s="102" t="s">
        <v>49</v>
      </c>
      <c r="D361" s="222">
        <f>E361+F361</f>
        <v>0.5</v>
      </c>
      <c r="E361" s="222"/>
      <c r="F361" s="222">
        <v>0.5</v>
      </c>
      <c r="G361" s="195"/>
      <c r="H361" s="195"/>
      <c r="I361" s="195"/>
      <c r="J361" s="195"/>
      <c r="K361" s="195"/>
      <c r="L361" s="195"/>
      <c r="M361" s="195"/>
      <c r="N361" s="195"/>
      <c r="O361" s="195"/>
      <c r="P361" s="195"/>
      <c r="Q361" s="195"/>
      <c r="R361" s="195"/>
      <c r="S361" s="195"/>
      <c r="T361" s="195"/>
      <c r="U361" s="195"/>
      <c r="V361" s="195"/>
      <c r="W361" s="195"/>
      <c r="X361" s="195"/>
      <c r="Y361" s="195"/>
      <c r="Z361" s="195"/>
      <c r="AA361" s="195"/>
      <c r="AB361" s="195"/>
      <c r="AC361" s="195"/>
      <c r="AD361" s="195"/>
      <c r="AE361" s="195"/>
      <c r="AF361" s="195"/>
      <c r="AG361" s="195"/>
      <c r="AH361" s="195"/>
      <c r="AI361" s="195"/>
      <c r="AJ361" s="195"/>
      <c r="AK361" s="195"/>
      <c r="AL361" s="195"/>
      <c r="AM361" s="195"/>
      <c r="AN361" s="195"/>
      <c r="AO361" s="195"/>
      <c r="AP361" s="195"/>
      <c r="AQ361" s="195"/>
      <c r="AR361" s="195"/>
      <c r="AS361" s="195"/>
      <c r="AT361" s="34" t="s">
        <v>229</v>
      </c>
      <c r="AU361" s="34"/>
      <c r="AV361" s="140"/>
      <c r="AW361" s="140"/>
      <c r="AX361" s="39"/>
      <c r="AY361" s="38" t="s">
        <v>1923</v>
      </c>
      <c r="AZ361" s="39" t="s">
        <v>2225</v>
      </c>
      <c r="BB361" s="41"/>
    </row>
    <row r="362" spans="1:58" ht="15.75" hidden="1" customHeight="1">
      <c r="A362" s="193"/>
      <c r="B362" s="88" t="s">
        <v>738</v>
      </c>
      <c r="C362" s="102"/>
      <c r="D362" s="103"/>
      <c r="E362" s="103"/>
      <c r="F362" s="103">
        <v>0.08</v>
      </c>
      <c r="G362" s="195"/>
      <c r="H362" s="195"/>
      <c r="I362" s="195"/>
      <c r="J362" s="195"/>
      <c r="K362" s="195"/>
      <c r="L362" s="195"/>
      <c r="M362" s="195"/>
      <c r="N362" s="195"/>
      <c r="O362" s="195"/>
      <c r="P362" s="195"/>
      <c r="Q362" s="195"/>
      <c r="R362" s="195"/>
      <c r="S362" s="195"/>
      <c r="T362" s="195"/>
      <c r="U362" s="195"/>
      <c r="V362" s="195"/>
      <c r="W362" s="195"/>
      <c r="X362" s="195"/>
      <c r="Y362" s="195"/>
      <c r="Z362" s="195"/>
      <c r="AA362" s="195"/>
      <c r="AB362" s="195"/>
      <c r="AC362" s="195"/>
      <c r="AD362" s="195"/>
      <c r="AE362" s="195"/>
      <c r="AF362" s="195"/>
      <c r="AG362" s="195"/>
      <c r="AH362" s="195"/>
      <c r="AI362" s="195"/>
      <c r="AJ362" s="195"/>
      <c r="AK362" s="195"/>
      <c r="AL362" s="195"/>
      <c r="AM362" s="195"/>
      <c r="AN362" s="195"/>
      <c r="AO362" s="195"/>
      <c r="AP362" s="195"/>
      <c r="AQ362" s="195"/>
      <c r="AR362" s="195"/>
      <c r="AS362" s="195"/>
      <c r="AT362" s="34" t="s">
        <v>237</v>
      </c>
      <c r="AU362" s="34"/>
      <c r="AV362" s="140"/>
      <c r="AW362" s="140"/>
      <c r="AX362" s="39"/>
      <c r="AY362" s="34" t="s">
        <v>1923</v>
      </c>
      <c r="AZ362" s="63" t="s">
        <v>1924</v>
      </c>
      <c r="BA362" s="229" t="s">
        <v>308</v>
      </c>
      <c r="BB362" s="41"/>
    </row>
    <row r="363" spans="1:58" ht="15.75" hidden="1" customHeight="1">
      <c r="A363" s="193"/>
      <c r="B363" s="88" t="s">
        <v>2234</v>
      </c>
      <c r="C363" s="102"/>
      <c r="D363" s="103"/>
      <c r="E363" s="103"/>
      <c r="F363" s="103">
        <v>0.05</v>
      </c>
      <c r="G363" s="195"/>
      <c r="H363" s="195"/>
      <c r="I363" s="195"/>
      <c r="J363" s="195"/>
      <c r="K363" s="195"/>
      <c r="L363" s="195"/>
      <c r="M363" s="195"/>
      <c r="N363" s="195"/>
      <c r="O363" s="195"/>
      <c r="P363" s="195"/>
      <c r="Q363" s="195"/>
      <c r="R363" s="195"/>
      <c r="S363" s="195"/>
      <c r="T363" s="195"/>
      <c r="U363" s="195"/>
      <c r="V363" s="195"/>
      <c r="W363" s="195"/>
      <c r="X363" s="195"/>
      <c r="Y363" s="195"/>
      <c r="Z363" s="195"/>
      <c r="AA363" s="195"/>
      <c r="AB363" s="195"/>
      <c r="AC363" s="195"/>
      <c r="AD363" s="195"/>
      <c r="AE363" s="195"/>
      <c r="AF363" s="195"/>
      <c r="AG363" s="195"/>
      <c r="AH363" s="195"/>
      <c r="AI363" s="195"/>
      <c r="AJ363" s="195"/>
      <c r="AK363" s="195"/>
      <c r="AL363" s="195"/>
      <c r="AM363" s="195"/>
      <c r="AN363" s="195"/>
      <c r="AO363" s="195"/>
      <c r="AP363" s="195"/>
      <c r="AQ363" s="195"/>
      <c r="AR363" s="195"/>
      <c r="AS363" s="195"/>
      <c r="AT363" s="34" t="s">
        <v>239</v>
      </c>
      <c r="AU363" s="34"/>
      <c r="AV363" s="140"/>
      <c r="AW363" s="140"/>
      <c r="AX363" s="39"/>
      <c r="AY363" s="38" t="s">
        <v>1923</v>
      </c>
      <c r="AZ363" s="39" t="s">
        <v>1971</v>
      </c>
      <c r="BB363" s="41"/>
    </row>
    <row r="364" spans="1:58" s="24" customFormat="1" ht="21" customHeight="1">
      <c r="A364" s="189" t="s">
        <v>820</v>
      </c>
      <c r="B364" s="25" t="s">
        <v>220</v>
      </c>
      <c r="C364" s="26" t="s">
        <v>50</v>
      </c>
      <c r="D364" s="192">
        <f>E364+F364</f>
        <v>25.516000000000005</v>
      </c>
      <c r="E364" s="192">
        <f>SUM(E365:E366)</f>
        <v>0</v>
      </c>
      <c r="F364" s="192">
        <f>SUM(G364:K364,O364:AS364)</f>
        <v>25.516000000000005</v>
      </c>
      <c r="G364" s="192">
        <f>SUM(G365:G366)</f>
        <v>8.6160000000000014</v>
      </c>
      <c r="H364" s="192">
        <f>SUM(H365:H366)</f>
        <v>4.1500000000000004</v>
      </c>
      <c r="I364" s="192">
        <f t="shared" ref="I364:AS364" si="22">SUM(I365:I366)</f>
        <v>2.2300000000000004</v>
      </c>
      <c r="J364" s="192">
        <f t="shared" si="22"/>
        <v>0.75</v>
      </c>
      <c r="K364" s="192">
        <f t="shared" si="22"/>
        <v>5.8800000000000008</v>
      </c>
      <c r="L364" s="192">
        <f t="shared" si="22"/>
        <v>0</v>
      </c>
      <c r="M364" s="192">
        <f t="shared" si="22"/>
        <v>5.8800000000000008</v>
      </c>
      <c r="N364" s="192">
        <f t="shared" si="22"/>
        <v>0</v>
      </c>
      <c r="O364" s="192">
        <f t="shared" si="22"/>
        <v>0</v>
      </c>
      <c r="P364" s="192">
        <f t="shared" si="22"/>
        <v>0</v>
      </c>
      <c r="Q364" s="192">
        <f t="shared" si="22"/>
        <v>0</v>
      </c>
      <c r="R364" s="192">
        <f t="shared" si="22"/>
        <v>0</v>
      </c>
      <c r="S364" s="192">
        <f t="shared" si="22"/>
        <v>0</v>
      </c>
      <c r="T364" s="192">
        <f t="shared" si="22"/>
        <v>0</v>
      </c>
      <c r="U364" s="192">
        <f t="shared" si="22"/>
        <v>0</v>
      </c>
      <c r="V364" s="192">
        <f t="shared" si="22"/>
        <v>0</v>
      </c>
      <c r="W364" s="192">
        <f t="shared" si="22"/>
        <v>0</v>
      </c>
      <c r="X364" s="192">
        <f t="shared" si="22"/>
        <v>0.37</v>
      </c>
      <c r="Y364" s="192">
        <f t="shared" si="22"/>
        <v>1.83</v>
      </c>
      <c r="Z364" s="192">
        <f t="shared" si="22"/>
        <v>0.15</v>
      </c>
      <c r="AA364" s="192">
        <f t="shared" si="22"/>
        <v>9.0000000000000011E-2</v>
      </c>
      <c r="AB364" s="192">
        <f t="shared" si="22"/>
        <v>0.04</v>
      </c>
      <c r="AC364" s="192">
        <f t="shared" si="22"/>
        <v>0</v>
      </c>
      <c r="AD364" s="192">
        <f t="shared" si="22"/>
        <v>0</v>
      </c>
      <c r="AE364" s="192">
        <f t="shared" si="22"/>
        <v>0</v>
      </c>
      <c r="AF364" s="192">
        <f t="shared" si="22"/>
        <v>0</v>
      </c>
      <c r="AG364" s="192">
        <f t="shared" si="22"/>
        <v>0.05</v>
      </c>
      <c r="AH364" s="192">
        <f t="shared" si="22"/>
        <v>0</v>
      </c>
      <c r="AI364" s="192">
        <f t="shared" si="22"/>
        <v>1.06</v>
      </c>
      <c r="AJ364" s="192">
        <f t="shared" si="22"/>
        <v>0</v>
      </c>
      <c r="AK364" s="192">
        <f t="shared" si="22"/>
        <v>0</v>
      </c>
      <c r="AL364" s="192">
        <f t="shared" si="22"/>
        <v>0</v>
      </c>
      <c r="AM364" s="192">
        <f t="shared" si="22"/>
        <v>0</v>
      </c>
      <c r="AN364" s="192">
        <f t="shared" si="22"/>
        <v>0</v>
      </c>
      <c r="AO364" s="192">
        <f t="shared" si="22"/>
        <v>0</v>
      </c>
      <c r="AP364" s="192">
        <f t="shared" si="22"/>
        <v>0</v>
      </c>
      <c r="AQ364" s="192">
        <f t="shared" si="22"/>
        <v>0.3</v>
      </c>
      <c r="AR364" s="192">
        <f t="shared" si="22"/>
        <v>0</v>
      </c>
      <c r="AS364" s="192">
        <f t="shared" si="22"/>
        <v>0</v>
      </c>
      <c r="AT364" s="29"/>
      <c r="AU364" s="29"/>
      <c r="AV364" s="29"/>
      <c r="AW364" s="29"/>
      <c r="AX364" s="30"/>
      <c r="AY364" s="29"/>
      <c r="AZ364" s="30"/>
    </row>
    <row r="365" spans="1:58" ht="34.35" customHeight="1">
      <c r="A365" s="193">
        <v>70</v>
      </c>
      <c r="B365" s="88" t="s">
        <v>2235</v>
      </c>
      <c r="C365" s="102" t="s">
        <v>50</v>
      </c>
      <c r="D365" s="103">
        <f>F365+E365</f>
        <v>4.6000000000000005</v>
      </c>
      <c r="E365" s="103"/>
      <c r="F365" s="103">
        <f>SUM(G365:K365,O365:AR365)</f>
        <v>4.6000000000000005</v>
      </c>
      <c r="G365" s="195">
        <f>1.05+0.08+0.13+0.04</f>
        <v>1.3000000000000003</v>
      </c>
      <c r="H365" s="195">
        <f>2.24+0.09</f>
        <v>2.33</v>
      </c>
      <c r="I365" s="195">
        <f>0.78+0.06</f>
        <v>0.84000000000000008</v>
      </c>
      <c r="J365" s="195"/>
      <c r="K365" s="228"/>
      <c r="L365" s="195"/>
      <c r="M365" s="195"/>
      <c r="N365" s="195"/>
      <c r="O365" s="195"/>
      <c r="P365" s="195"/>
      <c r="Q365" s="195"/>
      <c r="R365" s="195"/>
      <c r="S365" s="195"/>
      <c r="T365" s="195"/>
      <c r="U365" s="195"/>
      <c r="V365" s="195"/>
      <c r="W365" s="195"/>
      <c r="X365" s="195"/>
      <c r="Y365" s="195"/>
      <c r="Z365" s="195"/>
      <c r="AA365" s="195">
        <f>0.02+0.02+0.03+0.02</f>
        <v>9.0000000000000011E-2</v>
      </c>
      <c r="AB365" s="195">
        <v>0.04</v>
      </c>
      <c r="AC365" s="195"/>
      <c r="AD365" s="195"/>
      <c r="AE365" s="195"/>
      <c r="AF365" s="195"/>
      <c r="AG365" s="195"/>
      <c r="AH365" s="195"/>
      <c r="AI365" s="195"/>
      <c r="AJ365" s="195"/>
      <c r="AK365" s="195"/>
      <c r="AL365" s="195"/>
      <c r="AM365" s="195"/>
      <c r="AN365" s="195"/>
      <c r="AO365" s="195"/>
      <c r="AP365" s="195"/>
      <c r="AQ365" s="195"/>
      <c r="AR365" s="195"/>
      <c r="AS365" s="195"/>
      <c r="AT365" s="34" t="s">
        <v>289</v>
      </c>
      <c r="AU365" s="34" t="s">
        <v>385</v>
      </c>
      <c r="AV365" s="140"/>
      <c r="AW365" s="140"/>
      <c r="AX365" s="39" t="s">
        <v>1920</v>
      </c>
      <c r="AY365" s="140" t="s">
        <v>1923</v>
      </c>
      <c r="AZ365" s="39" t="s">
        <v>2236</v>
      </c>
      <c r="BB365" s="41"/>
      <c r="BD365" s="15">
        <v>1</v>
      </c>
    </row>
    <row r="366" spans="1:58" ht="31.5">
      <c r="A366" s="193">
        <v>71</v>
      </c>
      <c r="B366" s="88" t="s">
        <v>2237</v>
      </c>
      <c r="C366" s="102" t="s">
        <v>50</v>
      </c>
      <c r="D366" s="103">
        <f>F366+E366</f>
        <v>20.916</v>
      </c>
      <c r="E366" s="103"/>
      <c r="F366" s="103">
        <f>SUM(G366:K366,O366:AR366)</f>
        <v>20.916</v>
      </c>
      <c r="G366" s="195">
        <v>7.3160000000000007</v>
      </c>
      <c r="H366" s="195">
        <v>1.8199999999999998</v>
      </c>
      <c r="I366" s="195">
        <v>1.3900000000000001</v>
      </c>
      <c r="J366" s="195">
        <v>0.75</v>
      </c>
      <c r="K366" s="195">
        <v>5.8800000000000008</v>
      </c>
      <c r="L366" s="195">
        <v>0</v>
      </c>
      <c r="M366" s="195">
        <v>5.8800000000000008</v>
      </c>
      <c r="N366" s="195">
        <v>0</v>
      </c>
      <c r="O366" s="195">
        <v>0</v>
      </c>
      <c r="P366" s="195">
        <v>0</v>
      </c>
      <c r="Q366" s="195">
        <v>0</v>
      </c>
      <c r="R366" s="195">
        <v>0</v>
      </c>
      <c r="S366" s="195">
        <v>0</v>
      </c>
      <c r="T366" s="195">
        <v>0</v>
      </c>
      <c r="U366" s="195">
        <v>0</v>
      </c>
      <c r="V366" s="195">
        <v>0</v>
      </c>
      <c r="W366" s="195">
        <v>0</v>
      </c>
      <c r="X366" s="195">
        <v>0.37</v>
      </c>
      <c r="Y366" s="195">
        <v>1.83</v>
      </c>
      <c r="Z366" s="195">
        <v>0.15</v>
      </c>
      <c r="AA366" s="195">
        <v>0</v>
      </c>
      <c r="AB366" s="195">
        <v>0</v>
      </c>
      <c r="AC366" s="195">
        <v>0</v>
      </c>
      <c r="AD366" s="195">
        <v>0</v>
      </c>
      <c r="AE366" s="195">
        <v>0</v>
      </c>
      <c r="AF366" s="195">
        <v>0</v>
      </c>
      <c r="AG366" s="195">
        <v>0.05</v>
      </c>
      <c r="AH366" s="195">
        <v>0</v>
      </c>
      <c r="AI366" s="195">
        <v>1.06</v>
      </c>
      <c r="AJ366" s="195">
        <v>0</v>
      </c>
      <c r="AK366" s="195">
        <v>0</v>
      </c>
      <c r="AL366" s="195">
        <v>0</v>
      </c>
      <c r="AM366" s="195">
        <v>0</v>
      </c>
      <c r="AN366" s="195">
        <v>0</v>
      </c>
      <c r="AO366" s="195">
        <v>0</v>
      </c>
      <c r="AP366" s="195">
        <v>0</v>
      </c>
      <c r="AQ366" s="195">
        <v>0.3</v>
      </c>
      <c r="AR366" s="195">
        <v>0</v>
      </c>
      <c r="AS366" s="195">
        <v>0</v>
      </c>
      <c r="AT366" s="34" t="s">
        <v>860</v>
      </c>
      <c r="AU366" s="34" t="s">
        <v>615</v>
      </c>
      <c r="AV366" s="140"/>
      <c r="AW366" s="140"/>
      <c r="AX366" s="63" t="s">
        <v>1970</v>
      </c>
      <c r="AY366" s="140" t="s">
        <v>1917</v>
      </c>
      <c r="AZ366" s="63" t="s">
        <v>1924</v>
      </c>
      <c r="BB366" s="41"/>
      <c r="BF366" s="15">
        <v>1</v>
      </c>
    </row>
    <row r="367" spans="1:58" ht="15.75" hidden="1" customHeight="1">
      <c r="A367" s="193"/>
      <c r="B367" s="233" t="s">
        <v>2238</v>
      </c>
      <c r="C367" s="102"/>
      <c r="D367" s="103"/>
      <c r="E367" s="103"/>
      <c r="F367" s="159">
        <v>0.14000000000000001</v>
      </c>
      <c r="G367" s="195"/>
      <c r="H367" s="195"/>
      <c r="I367" s="195"/>
      <c r="J367" s="195"/>
      <c r="K367" s="195"/>
      <c r="L367" s="195"/>
      <c r="M367" s="195"/>
      <c r="N367" s="195"/>
      <c r="O367" s="195"/>
      <c r="P367" s="195"/>
      <c r="Q367" s="195"/>
      <c r="R367" s="195"/>
      <c r="S367" s="195"/>
      <c r="T367" s="195"/>
      <c r="U367" s="195"/>
      <c r="V367" s="195"/>
      <c r="W367" s="195"/>
      <c r="X367" s="195"/>
      <c r="Y367" s="195"/>
      <c r="Z367" s="195"/>
      <c r="AA367" s="195"/>
      <c r="AB367" s="195"/>
      <c r="AC367" s="195"/>
      <c r="AD367" s="195"/>
      <c r="AE367" s="195"/>
      <c r="AF367" s="195"/>
      <c r="AG367" s="195"/>
      <c r="AH367" s="195"/>
      <c r="AI367" s="195"/>
      <c r="AJ367" s="195"/>
      <c r="AK367" s="195"/>
      <c r="AL367" s="195"/>
      <c r="AM367" s="195"/>
      <c r="AN367" s="195"/>
      <c r="AO367" s="195"/>
      <c r="AP367" s="195"/>
      <c r="AQ367" s="195"/>
      <c r="AR367" s="195"/>
      <c r="AS367" s="195"/>
      <c r="AT367" s="34" t="s">
        <v>289</v>
      </c>
      <c r="AU367" s="34" t="s">
        <v>380</v>
      </c>
      <c r="AV367" s="140"/>
      <c r="AW367" s="140"/>
      <c r="AX367" s="63"/>
      <c r="AY367" s="140" t="s">
        <v>1917</v>
      </c>
      <c r="AZ367" s="63" t="s">
        <v>2239</v>
      </c>
      <c r="BB367" s="41"/>
    </row>
    <row r="368" spans="1:58" ht="15.75" hidden="1" customHeight="1">
      <c r="A368" s="193"/>
      <c r="B368" s="60" t="s">
        <v>2240</v>
      </c>
      <c r="C368" s="102"/>
      <c r="D368" s="103"/>
      <c r="E368" s="103"/>
      <c r="F368" s="159">
        <v>0.05</v>
      </c>
      <c r="G368" s="195"/>
      <c r="H368" s="195"/>
      <c r="I368" s="195"/>
      <c r="J368" s="195"/>
      <c r="K368" s="195"/>
      <c r="L368" s="195"/>
      <c r="M368" s="195"/>
      <c r="N368" s="195"/>
      <c r="O368" s="195"/>
      <c r="P368" s="195"/>
      <c r="Q368" s="195"/>
      <c r="R368" s="195"/>
      <c r="S368" s="195"/>
      <c r="T368" s="195"/>
      <c r="U368" s="195"/>
      <c r="V368" s="195"/>
      <c r="W368" s="195"/>
      <c r="X368" s="195"/>
      <c r="Y368" s="195"/>
      <c r="Z368" s="195"/>
      <c r="AA368" s="195"/>
      <c r="AB368" s="195"/>
      <c r="AC368" s="195"/>
      <c r="AD368" s="195"/>
      <c r="AE368" s="195"/>
      <c r="AF368" s="195"/>
      <c r="AG368" s="195"/>
      <c r="AH368" s="195"/>
      <c r="AI368" s="195"/>
      <c r="AJ368" s="195"/>
      <c r="AK368" s="195"/>
      <c r="AL368" s="195"/>
      <c r="AM368" s="195"/>
      <c r="AN368" s="195"/>
      <c r="AO368" s="195"/>
      <c r="AP368" s="195"/>
      <c r="AQ368" s="195"/>
      <c r="AR368" s="195"/>
      <c r="AS368" s="195"/>
      <c r="AT368" s="34" t="s">
        <v>289</v>
      </c>
      <c r="AU368" s="34" t="s">
        <v>735</v>
      </c>
      <c r="AV368" s="140"/>
      <c r="AW368" s="140"/>
      <c r="AX368" s="63"/>
      <c r="AY368" s="140" t="s">
        <v>1917</v>
      </c>
      <c r="AZ368" s="63" t="s">
        <v>2239</v>
      </c>
      <c r="BB368" s="41"/>
    </row>
    <row r="369" spans="1:55" ht="31.5" hidden="1" customHeight="1">
      <c r="A369" s="193"/>
      <c r="B369" s="60" t="s">
        <v>2241</v>
      </c>
      <c r="C369" s="102"/>
      <c r="D369" s="103"/>
      <c r="E369" s="103"/>
      <c r="F369" s="159">
        <v>0.42000000000000004</v>
      </c>
      <c r="G369" s="195"/>
      <c r="H369" s="195"/>
      <c r="I369" s="195"/>
      <c r="J369" s="195"/>
      <c r="K369" s="195"/>
      <c r="L369" s="195"/>
      <c r="M369" s="195"/>
      <c r="N369" s="195"/>
      <c r="O369" s="195"/>
      <c r="P369" s="195"/>
      <c r="Q369" s="195"/>
      <c r="R369" s="195"/>
      <c r="S369" s="195"/>
      <c r="T369" s="195"/>
      <c r="U369" s="195"/>
      <c r="V369" s="195"/>
      <c r="W369" s="195"/>
      <c r="X369" s="195"/>
      <c r="Y369" s="195"/>
      <c r="Z369" s="195"/>
      <c r="AA369" s="195"/>
      <c r="AB369" s="195"/>
      <c r="AC369" s="195"/>
      <c r="AD369" s="195"/>
      <c r="AE369" s="195"/>
      <c r="AF369" s="195"/>
      <c r="AG369" s="195"/>
      <c r="AH369" s="195"/>
      <c r="AI369" s="195"/>
      <c r="AJ369" s="195"/>
      <c r="AK369" s="195"/>
      <c r="AL369" s="195"/>
      <c r="AM369" s="195"/>
      <c r="AN369" s="195"/>
      <c r="AO369" s="195"/>
      <c r="AP369" s="195"/>
      <c r="AQ369" s="195"/>
      <c r="AR369" s="195"/>
      <c r="AS369" s="195"/>
      <c r="AT369" s="34" t="s">
        <v>289</v>
      </c>
      <c r="AU369" s="34" t="s">
        <v>380</v>
      </c>
      <c r="AV369" s="140"/>
      <c r="AW369" s="140"/>
      <c r="AX369" s="63"/>
      <c r="AY369" s="140" t="s">
        <v>1923</v>
      </c>
      <c r="AZ369" s="63" t="s">
        <v>2242</v>
      </c>
      <c r="BB369" s="41"/>
    </row>
    <row r="370" spans="1:55" ht="31.5" hidden="1" customHeight="1">
      <c r="A370" s="193"/>
      <c r="B370" s="60" t="s">
        <v>2243</v>
      </c>
      <c r="C370" s="102"/>
      <c r="D370" s="103"/>
      <c r="E370" s="103"/>
      <c r="F370" s="103">
        <v>0.22</v>
      </c>
      <c r="G370" s="195"/>
      <c r="H370" s="195"/>
      <c r="I370" s="195"/>
      <c r="J370" s="195"/>
      <c r="K370" s="195"/>
      <c r="L370" s="195"/>
      <c r="M370" s="195"/>
      <c r="N370" s="195"/>
      <c r="O370" s="195"/>
      <c r="P370" s="195"/>
      <c r="Q370" s="195"/>
      <c r="R370" s="195"/>
      <c r="S370" s="195"/>
      <c r="T370" s="195"/>
      <c r="U370" s="195"/>
      <c r="V370" s="195"/>
      <c r="W370" s="195"/>
      <c r="X370" s="195"/>
      <c r="Y370" s="195"/>
      <c r="Z370" s="195"/>
      <c r="AA370" s="195"/>
      <c r="AB370" s="195"/>
      <c r="AC370" s="195"/>
      <c r="AD370" s="195"/>
      <c r="AE370" s="195"/>
      <c r="AF370" s="195"/>
      <c r="AG370" s="195"/>
      <c r="AH370" s="195"/>
      <c r="AI370" s="195"/>
      <c r="AJ370" s="195"/>
      <c r="AK370" s="195"/>
      <c r="AL370" s="195"/>
      <c r="AM370" s="195"/>
      <c r="AN370" s="195"/>
      <c r="AO370" s="195"/>
      <c r="AP370" s="195"/>
      <c r="AQ370" s="195"/>
      <c r="AR370" s="195"/>
      <c r="AS370" s="195"/>
      <c r="AT370" s="34" t="s">
        <v>289</v>
      </c>
      <c r="AU370" s="34" t="s">
        <v>2244</v>
      </c>
      <c r="AV370" s="140"/>
      <c r="AW370" s="140"/>
      <c r="AX370" s="63"/>
      <c r="AY370" s="140" t="s">
        <v>1923</v>
      </c>
      <c r="AZ370" s="63" t="s">
        <v>2245</v>
      </c>
      <c r="BB370" s="41"/>
    </row>
    <row r="371" spans="1:55" ht="15.75" hidden="1" customHeight="1">
      <c r="A371" s="193"/>
      <c r="B371" s="88" t="s">
        <v>2246</v>
      </c>
      <c r="C371" s="102"/>
      <c r="D371" s="103"/>
      <c r="E371" s="103"/>
      <c r="F371" s="103">
        <v>0.05</v>
      </c>
      <c r="G371" s="195"/>
      <c r="H371" s="195"/>
      <c r="I371" s="195"/>
      <c r="J371" s="195"/>
      <c r="K371" s="195"/>
      <c r="L371" s="195"/>
      <c r="M371" s="195"/>
      <c r="N371" s="195"/>
      <c r="O371" s="195"/>
      <c r="P371" s="195"/>
      <c r="Q371" s="195"/>
      <c r="R371" s="195"/>
      <c r="S371" s="195"/>
      <c r="T371" s="195"/>
      <c r="U371" s="195"/>
      <c r="V371" s="195"/>
      <c r="W371" s="195"/>
      <c r="X371" s="195"/>
      <c r="Y371" s="195"/>
      <c r="Z371" s="195"/>
      <c r="AA371" s="195"/>
      <c r="AB371" s="195"/>
      <c r="AC371" s="195"/>
      <c r="AD371" s="195"/>
      <c r="AE371" s="195"/>
      <c r="AF371" s="195"/>
      <c r="AG371" s="195"/>
      <c r="AH371" s="195"/>
      <c r="AI371" s="195"/>
      <c r="AJ371" s="195"/>
      <c r="AK371" s="195"/>
      <c r="AL371" s="195"/>
      <c r="AM371" s="195"/>
      <c r="AN371" s="195"/>
      <c r="AO371" s="195"/>
      <c r="AP371" s="195"/>
      <c r="AQ371" s="195"/>
      <c r="AR371" s="195"/>
      <c r="AS371" s="195"/>
      <c r="AT371" s="34" t="s">
        <v>221</v>
      </c>
      <c r="AU371" s="34"/>
      <c r="AV371" s="140"/>
      <c r="AW371" s="140"/>
      <c r="AX371" s="63"/>
      <c r="AY371" s="140" t="s">
        <v>1923</v>
      </c>
      <c r="AZ371" s="63" t="s">
        <v>2247</v>
      </c>
      <c r="BB371" s="41"/>
    </row>
    <row r="372" spans="1:55" ht="31.5" hidden="1" customHeight="1">
      <c r="A372" s="193" t="e">
        <f>+A364+1</f>
        <v>#VALUE!</v>
      </c>
      <c r="B372" s="60" t="s">
        <v>2248</v>
      </c>
      <c r="C372" s="102"/>
      <c r="D372" s="103"/>
      <c r="E372" s="103"/>
      <c r="F372" s="103">
        <v>1.5</v>
      </c>
      <c r="G372" s="195"/>
      <c r="H372" s="195"/>
      <c r="I372" s="195"/>
      <c r="J372" s="195"/>
      <c r="K372" s="195"/>
      <c r="L372" s="195"/>
      <c r="M372" s="195"/>
      <c r="N372" s="195"/>
      <c r="O372" s="195"/>
      <c r="P372" s="195"/>
      <c r="Q372" s="195"/>
      <c r="R372" s="195"/>
      <c r="S372" s="195"/>
      <c r="T372" s="195"/>
      <c r="U372" s="195"/>
      <c r="V372" s="195"/>
      <c r="W372" s="195"/>
      <c r="X372" s="195"/>
      <c r="Y372" s="195"/>
      <c r="Z372" s="195"/>
      <c r="AA372" s="195"/>
      <c r="AB372" s="195"/>
      <c r="AC372" s="195"/>
      <c r="AD372" s="195"/>
      <c r="AE372" s="195"/>
      <c r="AF372" s="195"/>
      <c r="AG372" s="195"/>
      <c r="AH372" s="195"/>
      <c r="AI372" s="195"/>
      <c r="AJ372" s="195"/>
      <c r="AK372" s="195"/>
      <c r="AL372" s="195"/>
      <c r="AM372" s="195"/>
      <c r="AN372" s="195"/>
      <c r="AO372" s="195"/>
      <c r="AP372" s="195"/>
      <c r="AQ372" s="195"/>
      <c r="AR372" s="195"/>
      <c r="AS372" s="195"/>
      <c r="AT372" s="34" t="s">
        <v>222</v>
      </c>
      <c r="AU372" s="34" t="s">
        <v>2249</v>
      </c>
      <c r="AV372" s="140"/>
      <c r="AW372" s="140"/>
      <c r="AX372" s="63"/>
      <c r="AY372" s="34" t="s">
        <v>1923</v>
      </c>
      <c r="AZ372" s="39" t="s">
        <v>2250</v>
      </c>
      <c r="BA372" s="218" t="s">
        <v>2249</v>
      </c>
      <c r="BB372" s="41"/>
    </row>
    <row r="373" spans="1:55" s="61" customFormat="1" ht="15.75" hidden="1" customHeight="1">
      <c r="A373" s="220" t="s">
        <v>193</v>
      </c>
      <c r="B373" s="60" t="s">
        <v>746</v>
      </c>
      <c r="C373" s="102" t="s">
        <v>50</v>
      </c>
      <c r="D373" s="231">
        <v>1.4</v>
      </c>
      <c r="E373" s="103"/>
      <c r="F373" s="231">
        <v>1.4</v>
      </c>
      <c r="G373" s="195"/>
      <c r="H373" s="195"/>
      <c r="I373" s="195"/>
      <c r="J373" s="195"/>
      <c r="K373" s="195"/>
      <c r="L373" s="195"/>
      <c r="M373" s="195">
        <v>1.4</v>
      </c>
      <c r="N373" s="195"/>
      <c r="O373" s="195"/>
      <c r="P373" s="195"/>
      <c r="Q373" s="195"/>
      <c r="R373" s="195"/>
      <c r="S373" s="195"/>
      <c r="T373" s="195"/>
      <c r="U373" s="195"/>
      <c r="V373" s="195"/>
      <c r="W373" s="195"/>
      <c r="X373" s="195"/>
      <c r="Y373" s="195"/>
      <c r="Z373" s="195"/>
      <c r="AA373" s="195"/>
      <c r="AB373" s="195"/>
      <c r="AC373" s="195"/>
      <c r="AD373" s="195"/>
      <c r="AE373" s="195"/>
      <c r="AF373" s="195"/>
      <c r="AG373" s="195"/>
      <c r="AH373" s="195"/>
      <c r="AI373" s="195"/>
      <c r="AJ373" s="195"/>
      <c r="AK373" s="195"/>
      <c r="AL373" s="195"/>
      <c r="AM373" s="195"/>
      <c r="AN373" s="195"/>
      <c r="AO373" s="195"/>
      <c r="AP373" s="195"/>
      <c r="AQ373" s="195"/>
      <c r="AR373" s="195"/>
      <c r="AS373" s="195"/>
      <c r="AT373" s="34" t="s">
        <v>223</v>
      </c>
      <c r="AU373" s="34"/>
      <c r="AV373" s="140"/>
      <c r="AW373" s="140"/>
      <c r="AX373" s="63"/>
      <c r="AY373" s="140" t="s">
        <v>1917</v>
      </c>
      <c r="AZ373" s="63" t="s">
        <v>1924</v>
      </c>
      <c r="BA373" s="65" t="s">
        <v>747</v>
      </c>
      <c r="BB373" s="202"/>
    </row>
    <row r="374" spans="1:55" s="61" customFormat="1" ht="15.75" hidden="1" customHeight="1">
      <c r="A374" s="220" t="s">
        <v>193</v>
      </c>
      <c r="B374" s="60" t="s">
        <v>2251</v>
      </c>
      <c r="C374" s="102" t="s">
        <v>50</v>
      </c>
      <c r="D374" s="231">
        <v>0.56000000000000005</v>
      </c>
      <c r="E374" s="103"/>
      <c r="F374" s="231">
        <v>0.56000000000000005</v>
      </c>
      <c r="G374" s="195"/>
      <c r="H374" s="195"/>
      <c r="I374" s="195"/>
      <c r="J374" s="195"/>
      <c r="K374" s="195"/>
      <c r="L374" s="195"/>
      <c r="M374" s="195"/>
      <c r="N374" s="195"/>
      <c r="O374" s="195"/>
      <c r="P374" s="195"/>
      <c r="Q374" s="195"/>
      <c r="R374" s="195"/>
      <c r="S374" s="195"/>
      <c r="T374" s="195"/>
      <c r="U374" s="195"/>
      <c r="V374" s="195"/>
      <c r="W374" s="195"/>
      <c r="X374" s="195"/>
      <c r="Y374" s="195"/>
      <c r="Z374" s="195"/>
      <c r="AA374" s="195"/>
      <c r="AB374" s="195"/>
      <c r="AC374" s="195"/>
      <c r="AD374" s="195"/>
      <c r="AE374" s="195"/>
      <c r="AF374" s="195"/>
      <c r="AG374" s="195"/>
      <c r="AH374" s="195"/>
      <c r="AI374" s="195">
        <v>0.56000000000000005</v>
      </c>
      <c r="AJ374" s="195"/>
      <c r="AK374" s="195"/>
      <c r="AL374" s="195"/>
      <c r="AM374" s="195"/>
      <c r="AN374" s="195"/>
      <c r="AO374" s="195"/>
      <c r="AP374" s="195"/>
      <c r="AQ374" s="195"/>
      <c r="AR374" s="195"/>
      <c r="AS374" s="195"/>
      <c r="AT374" s="34" t="s">
        <v>223</v>
      </c>
      <c r="AU374" s="34"/>
      <c r="AV374" s="140"/>
      <c r="AW374" s="140"/>
      <c r="AX374" s="63"/>
      <c r="AY374" s="140" t="s">
        <v>1923</v>
      </c>
      <c r="AZ374" s="63" t="s">
        <v>1924</v>
      </c>
      <c r="BA374" s="65"/>
      <c r="BB374" s="202"/>
    </row>
    <row r="375" spans="1:55" ht="15.75" hidden="1" customHeight="1">
      <c r="A375" s="220" t="s">
        <v>193</v>
      </c>
      <c r="B375" s="60" t="s">
        <v>2252</v>
      </c>
      <c r="C375" s="102" t="s">
        <v>50</v>
      </c>
      <c r="D375" s="103">
        <v>0.04</v>
      </c>
      <c r="E375" s="103"/>
      <c r="F375" s="103">
        <v>0.04</v>
      </c>
      <c r="G375" s="195"/>
      <c r="H375" s="195"/>
      <c r="I375" s="195"/>
      <c r="J375" s="195"/>
      <c r="K375" s="195"/>
      <c r="L375" s="195"/>
      <c r="M375" s="195"/>
      <c r="N375" s="195"/>
      <c r="O375" s="195"/>
      <c r="P375" s="195"/>
      <c r="Q375" s="195"/>
      <c r="R375" s="195"/>
      <c r="S375" s="195"/>
      <c r="T375" s="195"/>
      <c r="U375" s="195"/>
      <c r="V375" s="195"/>
      <c r="W375" s="195"/>
      <c r="X375" s="195"/>
      <c r="Y375" s="195"/>
      <c r="Z375" s="195"/>
      <c r="AA375" s="195"/>
      <c r="AB375" s="195"/>
      <c r="AC375" s="195"/>
      <c r="AD375" s="195"/>
      <c r="AE375" s="195"/>
      <c r="AF375" s="195"/>
      <c r="AG375" s="195"/>
      <c r="AH375" s="195"/>
      <c r="AI375" s="195"/>
      <c r="AJ375" s="195"/>
      <c r="AK375" s="195"/>
      <c r="AL375" s="195"/>
      <c r="AM375" s="195"/>
      <c r="AN375" s="195"/>
      <c r="AO375" s="195"/>
      <c r="AP375" s="195"/>
      <c r="AQ375" s="195"/>
      <c r="AR375" s="195"/>
      <c r="AS375" s="195"/>
      <c r="AT375" s="34" t="s">
        <v>224</v>
      </c>
      <c r="AU375" s="34" t="s">
        <v>328</v>
      </c>
      <c r="AV375" s="140"/>
      <c r="AW375" s="140"/>
      <c r="AX375" s="63"/>
      <c r="AY375" s="140" t="s">
        <v>1923</v>
      </c>
      <c r="AZ375" s="39" t="s">
        <v>1924</v>
      </c>
      <c r="BB375" s="41"/>
    </row>
    <row r="376" spans="1:55" ht="15.75" hidden="1" customHeight="1">
      <c r="A376" s="220"/>
      <c r="B376" s="88" t="s">
        <v>2253</v>
      </c>
      <c r="C376" s="102"/>
      <c r="D376" s="103"/>
      <c r="E376" s="103"/>
      <c r="F376" s="103">
        <v>0.25</v>
      </c>
      <c r="G376" s="195"/>
      <c r="H376" s="195"/>
      <c r="I376" s="195"/>
      <c r="J376" s="195"/>
      <c r="K376" s="195"/>
      <c r="L376" s="195"/>
      <c r="M376" s="195"/>
      <c r="N376" s="195"/>
      <c r="O376" s="195"/>
      <c r="P376" s="195"/>
      <c r="Q376" s="195"/>
      <c r="R376" s="195"/>
      <c r="S376" s="195"/>
      <c r="T376" s="195"/>
      <c r="U376" s="195"/>
      <c r="V376" s="195"/>
      <c r="W376" s="195"/>
      <c r="X376" s="195"/>
      <c r="Y376" s="195"/>
      <c r="Z376" s="195"/>
      <c r="AA376" s="195"/>
      <c r="AB376" s="195"/>
      <c r="AC376" s="195"/>
      <c r="AD376" s="195"/>
      <c r="AE376" s="195"/>
      <c r="AF376" s="195"/>
      <c r="AG376" s="195"/>
      <c r="AH376" s="195"/>
      <c r="AI376" s="195"/>
      <c r="AJ376" s="195"/>
      <c r="AK376" s="195"/>
      <c r="AL376" s="195"/>
      <c r="AM376" s="195"/>
      <c r="AN376" s="195"/>
      <c r="AO376" s="195"/>
      <c r="AP376" s="195"/>
      <c r="AQ376" s="195"/>
      <c r="AR376" s="195"/>
      <c r="AS376" s="195"/>
      <c r="AT376" s="34" t="s">
        <v>225</v>
      </c>
      <c r="AU376" s="34" t="s">
        <v>390</v>
      </c>
      <c r="AV376" s="140"/>
      <c r="AW376" s="140"/>
      <c r="AX376" s="63"/>
      <c r="AY376" s="38" t="s">
        <v>1923</v>
      </c>
      <c r="AZ376" s="63" t="s">
        <v>1924</v>
      </c>
      <c r="BB376" s="41"/>
    </row>
    <row r="377" spans="1:55" ht="31.5" hidden="1" customHeight="1">
      <c r="A377" s="220"/>
      <c r="B377" s="88" t="s">
        <v>2254</v>
      </c>
      <c r="C377" s="102"/>
      <c r="D377" s="103"/>
      <c r="E377" s="103"/>
      <c r="F377" s="103">
        <v>0.05</v>
      </c>
      <c r="G377" s="195"/>
      <c r="H377" s="195"/>
      <c r="I377" s="195"/>
      <c r="J377" s="195"/>
      <c r="K377" s="195"/>
      <c r="L377" s="195"/>
      <c r="M377" s="195"/>
      <c r="N377" s="195"/>
      <c r="O377" s="195"/>
      <c r="P377" s="195"/>
      <c r="Q377" s="195"/>
      <c r="R377" s="195"/>
      <c r="S377" s="195"/>
      <c r="T377" s="195"/>
      <c r="U377" s="195"/>
      <c r="V377" s="195"/>
      <c r="W377" s="195"/>
      <c r="X377" s="195"/>
      <c r="Y377" s="195"/>
      <c r="Z377" s="195"/>
      <c r="AA377" s="195"/>
      <c r="AB377" s="195"/>
      <c r="AC377" s="195"/>
      <c r="AD377" s="195"/>
      <c r="AE377" s="195"/>
      <c r="AF377" s="195"/>
      <c r="AG377" s="195"/>
      <c r="AH377" s="195"/>
      <c r="AI377" s="195"/>
      <c r="AJ377" s="195"/>
      <c r="AK377" s="195"/>
      <c r="AL377" s="195"/>
      <c r="AM377" s="195"/>
      <c r="AN377" s="195"/>
      <c r="AO377" s="195"/>
      <c r="AP377" s="195"/>
      <c r="AQ377" s="195"/>
      <c r="AR377" s="195"/>
      <c r="AS377" s="195"/>
      <c r="AT377" s="34" t="s">
        <v>225</v>
      </c>
      <c r="AU377" s="34" t="s">
        <v>754</v>
      </c>
      <c r="AV377" s="140"/>
      <c r="AW377" s="140"/>
      <c r="AX377" s="63"/>
      <c r="AY377" s="140" t="s">
        <v>1917</v>
      </c>
      <c r="AZ377" s="63" t="s">
        <v>2220</v>
      </c>
      <c r="BB377" s="41"/>
    </row>
    <row r="378" spans="1:55" ht="31.5" hidden="1" customHeight="1">
      <c r="A378" s="220"/>
      <c r="B378" s="88" t="s">
        <v>755</v>
      </c>
      <c r="C378" s="102"/>
      <c r="D378" s="103"/>
      <c r="E378" s="103"/>
      <c r="F378" s="103">
        <v>0.05</v>
      </c>
      <c r="G378" s="195"/>
      <c r="H378" s="195"/>
      <c r="I378" s="195"/>
      <c r="J378" s="195"/>
      <c r="K378" s="195"/>
      <c r="L378" s="195"/>
      <c r="M378" s="195"/>
      <c r="N378" s="195"/>
      <c r="O378" s="195"/>
      <c r="P378" s="195"/>
      <c r="Q378" s="195"/>
      <c r="R378" s="195"/>
      <c r="S378" s="195"/>
      <c r="T378" s="195"/>
      <c r="U378" s="195"/>
      <c r="V378" s="195"/>
      <c r="W378" s="195"/>
      <c r="X378" s="195"/>
      <c r="Y378" s="195"/>
      <c r="Z378" s="195"/>
      <c r="AA378" s="195"/>
      <c r="AB378" s="195"/>
      <c r="AC378" s="195"/>
      <c r="AD378" s="195"/>
      <c r="AE378" s="195"/>
      <c r="AF378" s="195"/>
      <c r="AG378" s="195"/>
      <c r="AH378" s="195"/>
      <c r="AI378" s="195"/>
      <c r="AJ378" s="195"/>
      <c r="AK378" s="195"/>
      <c r="AL378" s="195"/>
      <c r="AM378" s="195"/>
      <c r="AN378" s="195"/>
      <c r="AO378" s="195"/>
      <c r="AP378" s="195"/>
      <c r="AQ378" s="195"/>
      <c r="AR378" s="195"/>
      <c r="AS378" s="195"/>
      <c r="AT378" s="34" t="s">
        <v>225</v>
      </c>
      <c r="AU378" s="34" t="s">
        <v>754</v>
      </c>
      <c r="AV378" s="140"/>
      <c r="AW378" s="140"/>
      <c r="AX378" s="63"/>
      <c r="AY378" s="140" t="s">
        <v>1917</v>
      </c>
      <c r="AZ378" s="63" t="s">
        <v>2220</v>
      </c>
      <c r="BB378" s="41"/>
    </row>
    <row r="379" spans="1:55" ht="15.75" hidden="1" customHeight="1">
      <c r="A379" s="220"/>
      <c r="B379" s="88" t="s">
        <v>756</v>
      </c>
      <c r="C379" s="102"/>
      <c r="D379" s="103"/>
      <c r="E379" s="103"/>
      <c r="F379" s="103">
        <v>0.2</v>
      </c>
      <c r="G379" s="195"/>
      <c r="H379" s="195"/>
      <c r="I379" s="195"/>
      <c r="J379" s="195"/>
      <c r="K379" s="195"/>
      <c r="L379" s="195"/>
      <c r="M379" s="195"/>
      <c r="N379" s="195"/>
      <c r="O379" s="195"/>
      <c r="P379" s="195"/>
      <c r="Q379" s="195"/>
      <c r="R379" s="195"/>
      <c r="S379" s="195"/>
      <c r="T379" s="195"/>
      <c r="U379" s="195"/>
      <c r="V379" s="195"/>
      <c r="W379" s="195"/>
      <c r="X379" s="195"/>
      <c r="Y379" s="195"/>
      <c r="Z379" s="195"/>
      <c r="AA379" s="195"/>
      <c r="AB379" s="195"/>
      <c r="AC379" s="195"/>
      <c r="AD379" s="195"/>
      <c r="AE379" s="195"/>
      <c r="AF379" s="195"/>
      <c r="AG379" s="195"/>
      <c r="AH379" s="195"/>
      <c r="AI379" s="195"/>
      <c r="AJ379" s="195"/>
      <c r="AK379" s="195"/>
      <c r="AL379" s="195"/>
      <c r="AM379" s="195"/>
      <c r="AN379" s="195"/>
      <c r="AO379" s="195"/>
      <c r="AP379" s="195"/>
      <c r="AQ379" s="195"/>
      <c r="AR379" s="195"/>
      <c r="AS379" s="195"/>
      <c r="AT379" s="34" t="s">
        <v>225</v>
      </c>
      <c r="AU379" s="34" t="s">
        <v>757</v>
      </c>
      <c r="AV379" s="140"/>
      <c r="AW379" s="140"/>
      <c r="AX379" s="63"/>
      <c r="AY379" s="38" t="s">
        <v>1923</v>
      </c>
      <c r="AZ379" s="63" t="s">
        <v>1924</v>
      </c>
      <c r="BB379" s="41"/>
    </row>
    <row r="380" spans="1:55" ht="31.5" hidden="1" customHeight="1">
      <c r="A380" s="193"/>
      <c r="B380" s="88" t="s">
        <v>2255</v>
      </c>
      <c r="C380" s="102"/>
      <c r="D380" s="103"/>
      <c r="E380" s="103"/>
      <c r="F380" s="103">
        <v>0.3</v>
      </c>
      <c r="G380" s="195"/>
      <c r="H380" s="195"/>
      <c r="I380" s="195"/>
      <c r="J380" s="195"/>
      <c r="K380" s="195"/>
      <c r="L380" s="195"/>
      <c r="M380" s="195"/>
      <c r="N380" s="195"/>
      <c r="O380" s="195"/>
      <c r="P380" s="195"/>
      <c r="Q380" s="195"/>
      <c r="R380" s="195"/>
      <c r="S380" s="195"/>
      <c r="T380" s="195"/>
      <c r="U380" s="195"/>
      <c r="V380" s="195"/>
      <c r="W380" s="195"/>
      <c r="X380" s="195"/>
      <c r="Y380" s="195"/>
      <c r="Z380" s="195"/>
      <c r="AA380" s="195"/>
      <c r="AB380" s="195"/>
      <c r="AC380" s="195"/>
      <c r="AD380" s="195"/>
      <c r="AE380" s="195"/>
      <c r="AF380" s="195"/>
      <c r="AG380" s="195"/>
      <c r="AH380" s="195"/>
      <c r="AI380" s="195"/>
      <c r="AJ380" s="195"/>
      <c r="AK380" s="195"/>
      <c r="AL380" s="195"/>
      <c r="AM380" s="195"/>
      <c r="AN380" s="195"/>
      <c r="AO380" s="195"/>
      <c r="AP380" s="195"/>
      <c r="AQ380" s="195"/>
      <c r="AR380" s="195"/>
      <c r="AS380" s="195"/>
      <c r="AT380" s="34" t="s">
        <v>983</v>
      </c>
      <c r="AU380" s="34" t="s">
        <v>762</v>
      </c>
      <c r="AV380" s="140"/>
      <c r="AW380" s="140"/>
      <c r="AX380" s="63"/>
      <c r="AY380" s="34" t="s">
        <v>1923</v>
      </c>
      <c r="AZ380" s="39" t="s">
        <v>2256</v>
      </c>
      <c r="BA380" s="64"/>
      <c r="BB380" s="15" t="s">
        <v>41</v>
      </c>
      <c r="BC380" s="41"/>
    </row>
    <row r="381" spans="1:55" ht="31.5" hidden="1" customHeight="1">
      <c r="A381" s="193"/>
      <c r="B381" s="88" t="s">
        <v>2257</v>
      </c>
      <c r="C381" s="102"/>
      <c r="D381" s="103"/>
      <c r="E381" s="103"/>
      <c r="F381" s="103">
        <v>0.5</v>
      </c>
      <c r="G381" s="195"/>
      <c r="H381" s="195"/>
      <c r="I381" s="195"/>
      <c r="J381" s="195"/>
      <c r="K381" s="195"/>
      <c r="L381" s="195"/>
      <c r="M381" s="195"/>
      <c r="N381" s="195"/>
      <c r="O381" s="195"/>
      <c r="P381" s="195"/>
      <c r="Q381" s="195"/>
      <c r="R381" s="195"/>
      <c r="S381" s="195"/>
      <c r="T381" s="195"/>
      <c r="U381" s="195"/>
      <c r="V381" s="195"/>
      <c r="W381" s="195"/>
      <c r="X381" s="195"/>
      <c r="Y381" s="195"/>
      <c r="Z381" s="195"/>
      <c r="AA381" s="195"/>
      <c r="AB381" s="195"/>
      <c r="AC381" s="195"/>
      <c r="AD381" s="195"/>
      <c r="AE381" s="195"/>
      <c r="AF381" s="195"/>
      <c r="AG381" s="195"/>
      <c r="AH381" s="195"/>
      <c r="AI381" s="195"/>
      <c r="AJ381" s="195"/>
      <c r="AK381" s="195"/>
      <c r="AL381" s="195"/>
      <c r="AM381" s="195"/>
      <c r="AN381" s="195"/>
      <c r="AO381" s="195"/>
      <c r="AP381" s="195"/>
      <c r="AQ381" s="195"/>
      <c r="AR381" s="195"/>
      <c r="AS381" s="195"/>
      <c r="AT381" s="34" t="s">
        <v>983</v>
      </c>
      <c r="AU381" s="34" t="s">
        <v>2258</v>
      </c>
      <c r="AV381" s="140"/>
      <c r="AW381" s="140"/>
      <c r="AX381" s="63"/>
      <c r="AY381" s="34" t="s">
        <v>1923</v>
      </c>
      <c r="AZ381" s="39" t="s">
        <v>2259</v>
      </c>
      <c r="BA381" s="64"/>
      <c r="BB381" s="15" t="s">
        <v>188</v>
      </c>
      <c r="BC381" s="41"/>
    </row>
    <row r="382" spans="1:55" ht="15.75" hidden="1" customHeight="1">
      <c r="A382" s="193"/>
      <c r="B382" s="88" t="s">
        <v>2260</v>
      </c>
      <c r="C382" s="102"/>
      <c r="D382" s="103"/>
      <c r="E382" s="103"/>
      <c r="F382" s="103">
        <v>3</v>
      </c>
      <c r="G382" s="195"/>
      <c r="H382" s="195"/>
      <c r="I382" s="195"/>
      <c r="J382" s="195"/>
      <c r="K382" s="195"/>
      <c r="L382" s="195"/>
      <c r="M382" s="195"/>
      <c r="N382" s="195"/>
      <c r="O382" s="195"/>
      <c r="P382" s="195"/>
      <c r="Q382" s="195"/>
      <c r="R382" s="195"/>
      <c r="S382" s="195"/>
      <c r="T382" s="195"/>
      <c r="U382" s="195"/>
      <c r="V382" s="195"/>
      <c r="W382" s="195"/>
      <c r="X382" s="195"/>
      <c r="Y382" s="195"/>
      <c r="Z382" s="195"/>
      <c r="AA382" s="195"/>
      <c r="AB382" s="195"/>
      <c r="AC382" s="195"/>
      <c r="AD382" s="195"/>
      <c r="AE382" s="195"/>
      <c r="AF382" s="195"/>
      <c r="AG382" s="195"/>
      <c r="AH382" s="195"/>
      <c r="AI382" s="195"/>
      <c r="AJ382" s="195"/>
      <c r="AK382" s="195"/>
      <c r="AL382" s="195"/>
      <c r="AM382" s="195"/>
      <c r="AN382" s="195"/>
      <c r="AO382" s="195"/>
      <c r="AP382" s="195"/>
      <c r="AQ382" s="195"/>
      <c r="AR382" s="195"/>
      <c r="AS382" s="195"/>
      <c r="AT382" s="34" t="s">
        <v>983</v>
      </c>
      <c r="AU382" s="34" t="s">
        <v>2261</v>
      </c>
      <c r="AV382" s="140"/>
      <c r="AW382" s="140"/>
      <c r="AX382" s="63"/>
      <c r="AY382" s="34" t="s">
        <v>1923</v>
      </c>
      <c r="AZ382" s="39" t="s">
        <v>2041</v>
      </c>
      <c r="BA382" s="64"/>
      <c r="BB382" s="15" t="s">
        <v>7</v>
      </c>
      <c r="BC382" s="41"/>
    </row>
    <row r="383" spans="1:55" ht="31.5" hidden="1" customHeight="1">
      <c r="A383" s="193"/>
      <c r="B383" s="60" t="s">
        <v>763</v>
      </c>
      <c r="C383" s="102"/>
      <c r="D383" s="103"/>
      <c r="E383" s="103"/>
      <c r="F383" s="159">
        <v>0.42</v>
      </c>
      <c r="G383" s="195"/>
      <c r="H383" s="195"/>
      <c r="I383" s="195"/>
      <c r="J383" s="195"/>
      <c r="K383" s="195"/>
      <c r="L383" s="195"/>
      <c r="M383" s="195"/>
      <c r="N383" s="195"/>
      <c r="O383" s="195"/>
      <c r="P383" s="195"/>
      <c r="Q383" s="195"/>
      <c r="R383" s="195"/>
      <c r="S383" s="195"/>
      <c r="T383" s="195"/>
      <c r="U383" s="195"/>
      <c r="V383" s="195"/>
      <c r="W383" s="195"/>
      <c r="X383" s="195"/>
      <c r="Y383" s="195"/>
      <c r="Z383" s="195"/>
      <c r="AA383" s="195"/>
      <c r="AB383" s="195"/>
      <c r="AC383" s="195"/>
      <c r="AD383" s="195"/>
      <c r="AE383" s="195"/>
      <c r="AF383" s="195"/>
      <c r="AG383" s="195"/>
      <c r="AH383" s="195"/>
      <c r="AI383" s="195"/>
      <c r="AJ383" s="195"/>
      <c r="AK383" s="195"/>
      <c r="AL383" s="195"/>
      <c r="AM383" s="195"/>
      <c r="AN383" s="195"/>
      <c r="AO383" s="195"/>
      <c r="AP383" s="195"/>
      <c r="AQ383" s="195"/>
      <c r="AR383" s="195"/>
      <c r="AS383" s="195"/>
      <c r="AT383" s="34" t="s">
        <v>228</v>
      </c>
      <c r="AU383" s="34" t="s">
        <v>764</v>
      </c>
      <c r="AV383" s="140"/>
      <c r="AW383" s="140"/>
      <c r="AX383" s="63"/>
      <c r="AY383" s="140" t="s">
        <v>1917</v>
      </c>
      <c r="AZ383" s="39" t="s">
        <v>2262</v>
      </c>
      <c r="BB383" s="41"/>
    </row>
    <row r="384" spans="1:55" ht="31.5" hidden="1" customHeight="1">
      <c r="A384" s="193"/>
      <c r="B384" s="60" t="s">
        <v>765</v>
      </c>
      <c r="C384" s="102"/>
      <c r="D384" s="103"/>
      <c r="E384" s="103"/>
      <c r="F384" s="159">
        <v>0.11</v>
      </c>
      <c r="G384" s="195"/>
      <c r="H384" s="195"/>
      <c r="I384" s="195"/>
      <c r="J384" s="195"/>
      <c r="K384" s="195"/>
      <c r="L384" s="195"/>
      <c r="M384" s="195"/>
      <c r="N384" s="195"/>
      <c r="O384" s="195"/>
      <c r="P384" s="195"/>
      <c r="Q384" s="195"/>
      <c r="R384" s="195"/>
      <c r="S384" s="195"/>
      <c r="T384" s="195"/>
      <c r="U384" s="195"/>
      <c r="V384" s="195"/>
      <c r="W384" s="195"/>
      <c r="X384" s="195"/>
      <c r="Y384" s="195"/>
      <c r="Z384" s="195"/>
      <c r="AA384" s="195"/>
      <c r="AB384" s="195"/>
      <c r="AC384" s="195"/>
      <c r="AD384" s="195"/>
      <c r="AE384" s="195"/>
      <c r="AF384" s="195"/>
      <c r="AG384" s="195"/>
      <c r="AH384" s="195"/>
      <c r="AI384" s="195"/>
      <c r="AJ384" s="195"/>
      <c r="AK384" s="195"/>
      <c r="AL384" s="195"/>
      <c r="AM384" s="195"/>
      <c r="AN384" s="195"/>
      <c r="AO384" s="195"/>
      <c r="AP384" s="195"/>
      <c r="AQ384" s="195"/>
      <c r="AR384" s="195"/>
      <c r="AS384" s="195"/>
      <c r="AT384" s="34" t="s">
        <v>228</v>
      </c>
      <c r="AU384" s="34" t="s">
        <v>731</v>
      </c>
      <c r="AV384" s="140"/>
      <c r="AW384" s="140"/>
      <c r="AX384" s="63"/>
      <c r="AY384" s="140" t="s">
        <v>1917</v>
      </c>
      <c r="AZ384" s="39" t="s">
        <v>2263</v>
      </c>
      <c r="BB384" s="41"/>
    </row>
    <row r="385" spans="1:54" ht="31.5" hidden="1" customHeight="1">
      <c r="A385" s="193"/>
      <c r="B385" s="60" t="s">
        <v>2264</v>
      </c>
      <c r="C385" s="102"/>
      <c r="D385" s="103"/>
      <c r="E385" s="103"/>
      <c r="F385" s="159">
        <v>0.42</v>
      </c>
      <c r="G385" s="195"/>
      <c r="H385" s="195"/>
      <c r="I385" s="195"/>
      <c r="J385" s="195"/>
      <c r="K385" s="195"/>
      <c r="L385" s="195"/>
      <c r="M385" s="195"/>
      <c r="N385" s="195"/>
      <c r="O385" s="195"/>
      <c r="P385" s="195"/>
      <c r="Q385" s="195"/>
      <c r="R385" s="195"/>
      <c r="S385" s="195"/>
      <c r="T385" s="195"/>
      <c r="U385" s="195"/>
      <c r="V385" s="195"/>
      <c r="W385" s="195"/>
      <c r="X385" s="195"/>
      <c r="Y385" s="195"/>
      <c r="Z385" s="195"/>
      <c r="AA385" s="195"/>
      <c r="AB385" s="195"/>
      <c r="AC385" s="195"/>
      <c r="AD385" s="195"/>
      <c r="AE385" s="195"/>
      <c r="AF385" s="195"/>
      <c r="AG385" s="195"/>
      <c r="AH385" s="195"/>
      <c r="AI385" s="195"/>
      <c r="AJ385" s="195"/>
      <c r="AK385" s="195"/>
      <c r="AL385" s="195"/>
      <c r="AM385" s="195"/>
      <c r="AN385" s="195"/>
      <c r="AO385" s="195"/>
      <c r="AP385" s="195"/>
      <c r="AQ385" s="195"/>
      <c r="AR385" s="195"/>
      <c r="AS385" s="195"/>
      <c r="AT385" s="34" t="s">
        <v>228</v>
      </c>
      <c r="AU385" s="34" t="s">
        <v>731</v>
      </c>
      <c r="AV385" s="140"/>
      <c r="AW385" s="140"/>
      <c r="AX385" s="63"/>
      <c r="AY385" s="140" t="s">
        <v>1917</v>
      </c>
      <c r="AZ385" s="39" t="s">
        <v>2265</v>
      </c>
      <c r="BB385" s="41"/>
    </row>
    <row r="386" spans="1:54" ht="31.5" hidden="1" customHeight="1">
      <c r="A386" s="193"/>
      <c r="B386" s="60" t="s">
        <v>767</v>
      </c>
      <c r="C386" s="102"/>
      <c r="D386" s="103"/>
      <c r="E386" s="103"/>
      <c r="F386" s="159">
        <v>0.08</v>
      </c>
      <c r="G386" s="195"/>
      <c r="H386" s="195"/>
      <c r="I386" s="195"/>
      <c r="J386" s="195"/>
      <c r="K386" s="195"/>
      <c r="L386" s="195"/>
      <c r="M386" s="195"/>
      <c r="N386" s="195"/>
      <c r="O386" s="195"/>
      <c r="P386" s="195"/>
      <c r="Q386" s="195"/>
      <c r="R386" s="195"/>
      <c r="S386" s="195"/>
      <c r="T386" s="195"/>
      <c r="U386" s="195"/>
      <c r="V386" s="195"/>
      <c r="W386" s="195"/>
      <c r="X386" s="195"/>
      <c r="Y386" s="195"/>
      <c r="Z386" s="195"/>
      <c r="AA386" s="195"/>
      <c r="AB386" s="195"/>
      <c r="AC386" s="195"/>
      <c r="AD386" s="195"/>
      <c r="AE386" s="195"/>
      <c r="AF386" s="195"/>
      <c r="AG386" s="195"/>
      <c r="AH386" s="195"/>
      <c r="AI386" s="195"/>
      <c r="AJ386" s="195"/>
      <c r="AK386" s="195"/>
      <c r="AL386" s="195"/>
      <c r="AM386" s="195"/>
      <c r="AN386" s="195"/>
      <c r="AO386" s="195"/>
      <c r="AP386" s="195"/>
      <c r="AQ386" s="195"/>
      <c r="AR386" s="195"/>
      <c r="AS386" s="195"/>
      <c r="AT386" s="34" t="s">
        <v>228</v>
      </c>
      <c r="AU386" s="34" t="s">
        <v>731</v>
      </c>
      <c r="AV386" s="140"/>
      <c r="AW386" s="140"/>
      <c r="AX386" s="63"/>
      <c r="AY386" s="140" t="s">
        <v>1917</v>
      </c>
      <c r="AZ386" s="39" t="s">
        <v>2263</v>
      </c>
      <c r="BB386" s="41"/>
    </row>
    <row r="387" spans="1:54" ht="15.75" hidden="1" customHeight="1">
      <c r="A387" s="193"/>
      <c r="B387" s="60" t="s">
        <v>768</v>
      </c>
      <c r="C387" s="102"/>
      <c r="D387" s="103"/>
      <c r="E387" s="103"/>
      <c r="F387" s="159">
        <v>0.41</v>
      </c>
      <c r="G387" s="195"/>
      <c r="H387" s="195"/>
      <c r="I387" s="195"/>
      <c r="J387" s="195"/>
      <c r="K387" s="195"/>
      <c r="L387" s="195"/>
      <c r="M387" s="195"/>
      <c r="N387" s="195"/>
      <c r="O387" s="195"/>
      <c r="P387" s="195"/>
      <c r="Q387" s="195"/>
      <c r="R387" s="195"/>
      <c r="S387" s="195"/>
      <c r="T387" s="195"/>
      <c r="U387" s="195"/>
      <c r="V387" s="195"/>
      <c r="W387" s="195"/>
      <c r="X387" s="195"/>
      <c r="Y387" s="195"/>
      <c r="Z387" s="195"/>
      <c r="AA387" s="195"/>
      <c r="AB387" s="195"/>
      <c r="AC387" s="195"/>
      <c r="AD387" s="195"/>
      <c r="AE387" s="195"/>
      <c r="AF387" s="195"/>
      <c r="AG387" s="195"/>
      <c r="AH387" s="195"/>
      <c r="AI387" s="195"/>
      <c r="AJ387" s="195"/>
      <c r="AK387" s="195"/>
      <c r="AL387" s="195"/>
      <c r="AM387" s="195"/>
      <c r="AN387" s="195"/>
      <c r="AO387" s="195"/>
      <c r="AP387" s="195"/>
      <c r="AQ387" s="195"/>
      <c r="AR387" s="195"/>
      <c r="AS387" s="195"/>
      <c r="AT387" s="34" t="s">
        <v>228</v>
      </c>
      <c r="AU387" s="34" t="s">
        <v>764</v>
      </c>
      <c r="AV387" s="140"/>
      <c r="AW387" s="140"/>
      <c r="AX387" s="63"/>
      <c r="AY387" s="140" t="s">
        <v>1917</v>
      </c>
      <c r="AZ387" s="39" t="s">
        <v>2263</v>
      </c>
      <c r="BB387" s="41"/>
    </row>
    <row r="388" spans="1:54" ht="31.5" hidden="1" customHeight="1">
      <c r="A388" s="193"/>
      <c r="B388" s="88" t="s">
        <v>2266</v>
      </c>
      <c r="C388" s="102"/>
      <c r="D388" s="103"/>
      <c r="E388" s="103"/>
      <c r="F388" s="103">
        <v>0.24</v>
      </c>
      <c r="G388" s="195"/>
      <c r="H388" s="195"/>
      <c r="I388" s="195"/>
      <c r="J388" s="195"/>
      <c r="K388" s="195"/>
      <c r="L388" s="195"/>
      <c r="M388" s="195"/>
      <c r="N388" s="195"/>
      <c r="O388" s="195"/>
      <c r="P388" s="195"/>
      <c r="Q388" s="195"/>
      <c r="R388" s="195"/>
      <c r="S388" s="195"/>
      <c r="T388" s="195"/>
      <c r="U388" s="195"/>
      <c r="V388" s="195"/>
      <c r="W388" s="195"/>
      <c r="X388" s="195"/>
      <c r="Y388" s="195"/>
      <c r="Z388" s="195"/>
      <c r="AA388" s="195"/>
      <c r="AB388" s="195"/>
      <c r="AC388" s="195"/>
      <c r="AD388" s="195"/>
      <c r="AE388" s="195"/>
      <c r="AF388" s="195"/>
      <c r="AG388" s="195"/>
      <c r="AH388" s="195"/>
      <c r="AI388" s="195"/>
      <c r="AJ388" s="195"/>
      <c r="AK388" s="195"/>
      <c r="AL388" s="195"/>
      <c r="AM388" s="195"/>
      <c r="AN388" s="195"/>
      <c r="AO388" s="195"/>
      <c r="AP388" s="195"/>
      <c r="AQ388" s="195"/>
      <c r="AR388" s="195"/>
      <c r="AS388" s="195"/>
      <c r="AT388" s="34" t="s">
        <v>230</v>
      </c>
      <c r="AU388" s="34"/>
      <c r="AV388" s="140"/>
      <c r="AW388" s="140"/>
      <c r="AX388" s="63"/>
      <c r="AY388" s="140" t="s">
        <v>1917</v>
      </c>
      <c r="AZ388" s="63" t="s">
        <v>2267</v>
      </c>
      <c r="BB388" s="41"/>
    </row>
    <row r="389" spans="1:54" ht="15.75" hidden="1" customHeight="1">
      <c r="A389" s="193"/>
      <c r="B389" s="88" t="s">
        <v>2268</v>
      </c>
      <c r="C389" s="102"/>
      <c r="D389" s="103"/>
      <c r="E389" s="103"/>
      <c r="F389" s="103">
        <v>0.09</v>
      </c>
      <c r="G389" s="195"/>
      <c r="H389" s="195"/>
      <c r="I389" s="195"/>
      <c r="J389" s="195"/>
      <c r="K389" s="195"/>
      <c r="L389" s="195"/>
      <c r="M389" s="195"/>
      <c r="N389" s="195"/>
      <c r="O389" s="195"/>
      <c r="P389" s="195"/>
      <c r="Q389" s="195"/>
      <c r="R389" s="195"/>
      <c r="S389" s="195"/>
      <c r="T389" s="195"/>
      <c r="U389" s="195"/>
      <c r="V389" s="195"/>
      <c r="W389" s="195"/>
      <c r="X389" s="195"/>
      <c r="Y389" s="195"/>
      <c r="Z389" s="195"/>
      <c r="AA389" s="195"/>
      <c r="AB389" s="195"/>
      <c r="AC389" s="195"/>
      <c r="AD389" s="195"/>
      <c r="AE389" s="195"/>
      <c r="AF389" s="195"/>
      <c r="AG389" s="195"/>
      <c r="AH389" s="195"/>
      <c r="AI389" s="195"/>
      <c r="AJ389" s="195"/>
      <c r="AK389" s="195"/>
      <c r="AL389" s="195"/>
      <c r="AM389" s="195"/>
      <c r="AN389" s="195"/>
      <c r="AO389" s="195"/>
      <c r="AP389" s="195"/>
      <c r="AQ389" s="195"/>
      <c r="AR389" s="195"/>
      <c r="AS389" s="195"/>
      <c r="AT389" s="34" t="s">
        <v>230</v>
      </c>
      <c r="AU389" s="34"/>
      <c r="AV389" s="140"/>
      <c r="AW389" s="140"/>
      <c r="AX389" s="63"/>
      <c r="AY389" s="140" t="s">
        <v>1923</v>
      </c>
      <c r="AZ389" s="63" t="s">
        <v>2269</v>
      </c>
      <c r="BA389" s="65" t="s">
        <v>2270</v>
      </c>
      <c r="BB389" s="41"/>
    </row>
    <row r="390" spans="1:54" ht="31.5" hidden="1" customHeight="1">
      <c r="A390" s="193"/>
      <c r="B390" s="88" t="s">
        <v>2271</v>
      </c>
      <c r="C390" s="102"/>
      <c r="D390" s="103"/>
      <c r="E390" s="103"/>
      <c r="F390" s="103">
        <v>0.03</v>
      </c>
      <c r="G390" s="195"/>
      <c r="H390" s="195"/>
      <c r="I390" s="195"/>
      <c r="J390" s="195"/>
      <c r="K390" s="195"/>
      <c r="L390" s="195"/>
      <c r="M390" s="195"/>
      <c r="N390" s="195"/>
      <c r="O390" s="195"/>
      <c r="P390" s="195"/>
      <c r="Q390" s="195"/>
      <c r="R390" s="195"/>
      <c r="S390" s="195"/>
      <c r="T390" s="195"/>
      <c r="U390" s="195"/>
      <c r="V390" s="195"/>
      <c r="W390" s="195"/>
      <c r="X390" s="195"/>
      <c r="Y390" s="195"/>
      <c r="Z390" s="195"/>
      <c r="AA390" s="195"/>
      <c r="AB390" s="195"/>
      <c r="AC390" s="195"/>
      <c r="AD390" s="195"/>
      <c r="AE390" s="195"/>
      <c r="AF390" s="195"/>
      <c r="AG390" s="195"/>
      <c r="AH390" s="195"/>
      <c r="AI390" s="195"/>
      <c r="AJ390" s="195"/>
      <c r="AK390" s="195"/>
      <c r="AL390" s="195"/>
      <c r="AM390" s="195"/>
      <c r="AN390" s="195"/>
      <c r="AO390" s="195"/>
      <c r="AP390" s="195"/>
      <c r="AQ390" s="195"/>
      <c r="AR390" s="195"/>
      <c r="AS390" s="195"/>
      <c r="AT390" s="34" t="s">
        <v>230</v>
      </c>
      <c r="AU390" s="34"/>
      <c r="AV390" s="140"/>
      <c r="AW390" s="140"/>
      <c r="AX390" s="63"/>
      <c r="AY390" s="140" t="s">
        <v>1917</v>
      </c>
      <c r="AZ390" s="63" t="s">
        <v>2267</v>
      </c>
      <c r="BA390" s="65" t="s">
        <v>774</v>
      </c>
      <c r="BB390" s="41"/>
    </row>
    <row r="391" spans="1:54" ht="31.5" hidden="1" customHeight="1">
      <c r="A391" s="193"/>
      <c r="B391" s="88" t="s">
        <v>2272</v>
      </c>
      <c r="C391" s="102"/>
      <c r="D391" s="103"/>
      <c r="E391" s="103"/>
      <c r="F391" s="103">
        <v>0.52</v>
      </c>
      <c r="G391" s="195"/>
      <c r="H391" s="195"/>
      <c r="I391" s="195"/>
      <c r="J391" s="195"/>
      <c r="K391" s="195"/>
      <c r="L391" s="195"/>
      <c r="M391" s="195"/>
      <c r="N391" s="195"/>
      <c r="O391" s="195"/>
      <c r="P391" s="195"/>
      <c r="Q391" s="195"/>
      <c r="R391" s="195"/>
      <c r="S391" s="195"/>
      <c r="T391" s="195"/>
      <c r="U391" s="195"/>
      <c r="V391" s="195"/>
      <c r="W391" s="195"/>
      <c r="X391" s="195"/>
      <c r="Y391" s="195"/>
      <c r="Z391" s="195"/>
      <c r="AA391" s="195"/>
      <c r="AB391" s="195"/>
      <c r="AC391" s="195"/>
      <c r="AD391" s="195"/>
      <c r="AE391" s="195"/>
      <c r="AF391" s="195"/>
      <c r="AG391" s="195"/>
      <c r="AH391" s="195"/>
      <c r="AI391" s="195"/>
      <c r="AJ391" s="195"/>
      <c r="AK391" s="195"/>
      <c r="AL391" s="195"/>
      <c r="AM391" s="195"/>
      <c r="AN391" s="195"/>
      <c r="AO391" s="195"/>
      <c r="AP391" s="195"/>
      <c r="AQ391" s="195"/>
      <c r="AR391" s="195"/>
      <c r="AS391" s="195"/>
      <c r="AT391" s="34" t="s">
        <v>230</v>
      </c>
      <c r="AU391" s="34"/>
      <c r="AV391" s="140"/>
      <c r="AW391" s="140"/>
      <c r="AX391" s="63"/>
      <c r="AY391" s="140" t="s">
        <v>1917</v>
      </c>
      <c r="AZ391" s="63" t="s">
        <v>2267</v>
      </c>
      <c r="BA391" s="65" t="s">
        <v>774</v>
      </c>
      <c r="BB391" s="41"/>
    </row>
    <row r="392" spans="1:54" ht="15.75" hidden="1" customHeight="1">
      <c r="A392" s="193"/>
      <c r="B392" s="88" t="s">
        <v>2273</v>
      </c>
      <c r="C392" s="102" t="s">
        <v>50</v>
      </c>
      <c r="D392" s="103">
        <v>0.2</v>
      </c>
      <c r="E392" s="103"/>
      <c r="F392" s="103">
        <v>0.2</v>
      </c>
      <c r="G392" s="195"/>
      <c r="H392" s="195"/>
      <c r="I392" s="195"/>
      <c r="J392" s="195"/>
      <c r="K392" s="195"/>
      <c r="L392" s="195"/>
      <c r="M392" s="195"/>
      <c r="N392" s="195"/>
      <c r="O392" s="195"/>
      <c r="P392" s="195"/>
      <c r="Q392" s="195"/>
      <c r="R392" s="195"/>
      <c r="S392" s="195"/>
      <c r="T392" s="195"/>
      <c r="U392" s="195"/>
      <c r="V392" s="195"/>
      <c r="W392" s="195"/>
      <c r="X392" s="195"/>
      <c r="Y392" s="195"/>
      <c r="Z392" s="195"/>
      <c r="AA392" s="195"/>
      <c r="AB392" s="195"/>
      <c r="AC392" s="195"/>
      <c r="AD392" s="195"/>
      <c r="AE392" s="195"/>
      <c r="AF392" s="195"/>
      <c r="AG392" s="195"/>
      <c r="AH392" s="195"/>
      <c r="AI392" s="195"/>
      <c r="AJ392" s="195"/>
      <c r="AK392" s="195"/>
      <c r="AL392" s="195"/>
      <c r="AM392" s="195"/>
      <c r="AN392" s="195"/>
      <c r="AO392" s="195"/>
      <c r="AP392" s="195"/>
      <c r="AQ392" s="195"/>
      <c r="AR392" s="195"/>
      <c r="AS392" s="195"/>
      <c r="AT392" s="34" t="s">
        <v>232</v>
      </c>
      <c r="AU392" s="34" t="s">
        <v>308</v>
      </c>
      <c r="AV392" s="140"/>
      <c r="AW392" s="140"/>
      <c r="AX392" s="63" t="s">
        <v>1970</v>
      </c>
      <c r="AY392" s="140" t="s">
        <v>1923</v>
      </c>
      <c r="AZ392" s="63" t="s">
        <v>1924</v>
      </c>
      <c r="BB392" s="41"/>
    </row>
    <row r="393" spans="1:54" ht="15.75" hidden="1" customHeight="1">
      <c r="A393" s="193"/>
      <c r="B393" s="88" t="s">
        <v>2274</v>
      </c>
      <c r="C393" s="102"/>
      <c r="D393" s="103"/>
      <c r="E393" s="103"/>
      <c r="F393" s="103">
        <v>7.0000000000000007E-2</v>
      </c>
      <c r="G393" s="195"/>
      <c r="H393" s="195"/>
      <c r="I393" s="195"/>
      <c r="J393" s="195"/>
      <c r="K393" s="195"/>
      <c r="L393" s="195"/>
      <c r="M393" s="195"/>
      <c r="N393" s="195"/>
      <c r="O393" s="195"/>
      <c r="P393" s="195"/>
      <c r="Q393" s="195"/>
      <c r="R393" s="195"/>
      <c r="S393" s="195"/>
      <c r="T393" s="195"/>
      <c r="U393" s="195"/>
      <c r="V393" s="195"/>
      <c r="W393" s="195"/>
      <c r="X393" s="195"/>
      <c r="Y393" s="195"/>
      <c r="Z393" s="195"/>
      <c r="AA393" s="195"/>
      <c r="AB393" s="195"/>
      <c r="AC393" s="195"/>
      <c r="AD393" s="195"/>
      <c r="AE393" s="195"/>
      <c r="AF393" s="195"/>
      <c r="AG393" s="195"/>
      <c r="AH393" s="195"/>
      <c r="AI393" s="195"/>
      <c r="AJ393" s="195"/>
      <c r="AK393" s="195"/>
      <c r="AL393" s="195"/>
      <c r="AM393" s="195"/>
      <c r="AN393" s="195"/>
      <c r="AO393" s="195"/>
      <c r="AP393" s="195"/>
      <c r="AQ393" s="195"/>
      <c r="AR393" s="195"/>
      <c r="AS393" s="195"/>
      <c r="AT393" s="34" t="s">
        <v>232</v>
      </c>
      <c r="AU393" s="34" t="s">
        <v>308</v>
      </c>
      <c r="AV393" s="140"/>
      <c r="AW393" s="140"/>
      <c r="AX393" s="63"/>
      <c r="AY393" s="140" t="s">
        <v>1923</v>
      </c>
      <c r="AZ393" s="63" t="s">
        <v>1924</v>
      </c>
      <c r="BB393" s="41"/>
    </row>
    <row r="394" spans="1:54" ht="15.75" hidden="1" customHeight="1">
      <c r="A394" s="193"/>
      <c r="B394" s="88" t="s">
        <v>2275</v>
      </c>
      <c r="C394" s="102"/>
      <c r="D394" s="103"/>
      <c r="E394" s="103"/>
      <c r="F394" s="103">
        <v>0.15</v>
      </c>
      <c r="G394" s="195"/>
      <c r="H394" s="195"/>
      <c r="I394" s="195"/>
      <c r="J394" s="195"/>
      <c r="K394" s="195"/>
      <c r="L394" s="195"/>
      <c r="M394" s="195"/>
      <c r="N394" s="195"/>
      <c r="O394" s="195"/>
      <c r="P394" s="195"/>
      <c r="Q394" s="195"/>
      <c r="R394" s="195"/>
      <c r="S394" s="195"/>
      <c r="T394" s="195"/>
      <c r="U394" s="195"/>
      <c r="V394" s="195"/>
      <c r="W394" s="195"/>
      <c r="X394" s="195"/>
      <c r="Y394" s="195"/>
      <c r="Z394" s="195"/>
      <c r="AA394" s="195"/>
      <c r="AB394" s="195"/>
      <c r="AC394" s="195"/>
      <c r="AD394" s="195"/>
      <c r="AE394" s="195"/>
      <c r="AF394" s="195"/>
      <c r="AG394" s="195"/>
      <c r="AH394" s="195"/>
      <c r="AI394" s="195"/>
      <c r="AJ394" s="195"/>
      <c r="AK394" s="195"/>
      <c r="AL394" s="195"/>
      <c r="AM394" s="195"/>
      <c r="AN394" s="195"/>
      <c r="AO394" s="195"/>
      <c r="AP394" s="195"/>
      <c r="AQ394" s="195"/>
      <c r="AR394" s="195"/>
      <c r="AS394" s="195"/>
      <c r="AT394" s="34" t="s">
        <v>233</v>
      </c>
      <c r="AU394" s="34" t="s">
        <v>502</v>
      </c>
      <c r="AV394" s="140"/>
      <c r="AW394" s="140"/>
      <c r="AX394" s="63"/>
      <c r="AY394" s="34" t="s">
        <v>1923</v>
      </c>
      <c r="AZ394" s="39" t="s">
        <v>1926</v>
      </c>
      <c r="BB394" s="41"/>
    </row>
    <row r="395" spans="1:54" ht="31.5" hidden="1" customHeight="1">
      <c r="A395" s="193"/>
      <c r="B395" s="88" t="s">
        <v>2276</v>
      </c>
      <c r="C395" s="102"/>
      <c r="D395" s="103"/>
      <c r="E395" s="103"/>
      <c r="F395" s="103">
        <v>1</v>
      </c>
      <c r="G395" s="195"/>
      <c r="H395" s="195"/>
      <c r="I395" s="195"/>
      <c r="J395" s="195"/>
      <c r="K395" s="195"/>
      <c r="L395" s="195"/>
      <c r="M395" s="195"/>
      <c r="N395" s="195"/>
      <c r="O395" s="195"/>
      <c r="P395" s="195"/>
      <c r="Q395" s="195"/>
      <c r="R395" s="195"/>
      <c r="S395" s="195"/>
      <c r="T395" s="195"/>
      <c r="U395" s="195"/>
      <c r="V395" s="195"/>
      <c r="W395" s="195"/>
      <c r="X395" s="195"/>
      <c r="Y395" s="195"/>
      <c r="Z395" s="195"/>
      <c r="AA395" s="195"/>
      <c r="AB395" s="195"/>
      <c r="AC395" s="195"/>
      <c r="AD395" s="195"/>
      <c r="AE395" s="195"/>
      <c r="AF395" s="195"/>
      <c r="AG395" s="195"/>
      <c r="AH395" s="195"/>
      <c r="AI395" s="195"/>
      <c r="AJ395" s="195"/>
      <c r="AK395" s="195"/>
      <c r="AL395" s="195"/>
      <c r="AM395" s="195"/>
      <c r="AN395" s="195"/>
      <c r="AO395" s="195"/>
      <c r="AP395" s="195"/>
      <c r="AQ395" s="195"/>
      <c r="AR395" s="195"/>
      <c r="AS395" s="195"/>
      <c r="AT395" s="34" t="s">
        <v>233</v>
      </c>
      <c r="AU395" s="34" t="s">
        <v>1549</v>
      </c>
      <c r="AV395" s="140"/>
      <c r="AW395" s="140"/>
      <c r="AX395" s="63"/>
      <c r="AY395" s="34" t="s">
        <v>1917</v>
      </c>
      <c r="AZ395" s="39" t="s">
        <v>1926</v>
      </c>
      <c r="BB395" s="41"/>
    </row>
    <row r="396" spans="1:54" ht="15.75" hidden="1" customHeight="1">
      <c r="A396" s="193"/>
      <c r="B396" s="88" t="s">
        <v>2277</v>
      </c>
      <c r="C396" s="102"/>
      <c r="D396" s="103"/>
      <c r="E396" s="103"/>
      <c r="F396" s="103">
        <v>0.04</v>
      </c>
      <c r="G396" s="195"/>
      <c r="H396" s="195"/>
      <c r="I396" s="195"/>
      <c r="J396" s="195"/>
      <c r="K396" s="195"/>
      <c r="L396" s="195"/>
      <c r="M396" s="195"/>
      <c r="N396" s="195"/>
      <c r="O396" s="195"/>
      <c r="P396" s="195"/>
      <c r="Q396" s="195"/>
      <c r="R396" s="195"/>
      <c r="S396" s="195"/>
      <c r="T396" s="195"/>
      <c r="U396" s="195"/>
      <c r="V396" s="195"/>
      <c r="W396" s="195"/>
      <c r="X396" s="195"/>
      <c r="Y396" s="195"/>
      <c r="Z396" s="195"/>
      <c r="AA396" s="195"/>
      <c r="AB396" s="195"/>
      <c r="AC396" s="195"/>
      <c r="AD396" s="195"/>
      <c r="AE396" s="195"/>
      <c r="AF396" s="195"/>
      <c r="AG396" s="195"/>
      <c r="AH396" s="195"/>
      <c r="AI396" s="195"/>
      <c r="AJ396" s="195"/>
      <c r="AK396" s="195"/>
      <c r="AL396" s="195"/>
      <c r="AM396" s="195"/>
      <c r="AN396" s="195"/>
      <c r="AO396" s="195"/>
      <c r="AP396" s="195"/>
      <c r="AQ396" s="195"/>
      <c r="AR396" s="195"/>
      <c r="AS396" s="195"/>
      <c r="AT396" s="34" t="s">
        <v>233</v>
      </c>
      <c r="AU396" s="34" t="s">
        <v>784</v>
      </c>
      <c r="AV396" s="140"/>
      <c r="AW396" s="140"/>
      <c r="AX396" s="63"/>
      <c r="AY396" s="34" t="s">
        <v>1923</v>
      </c>
      <c r="AZ396" s="39" t="s">
        <v>1926</v>
      </c>
      <c r="BB396" s="41"/>
    </row>
    <row r="397" spans="1:54" ht="15.75" hidden="1" customHeight="1">
      <c r="A397" s="193"/>
      <c r="B397" s="88" t="s">
        <v>2278</v>
      </c>
      <c r="C397" s="102"/>
      <c r="D397" s="103"/>
      <c r="E397" s="103"/>
      <c r="F397" s="103">
        <v>0.22</v>
      </c>
      <c r="G397" s="195"/>
      <c r="H397" s="195"/>
      <c r="I397" s="195"/>
      <c r="J397" s="195"/>
      <c r="K397" s="195"/>
      <c r="L397" s="195"/>
      <c r="M397" s="195"/>
      <c r="N397" s="195"/>
      <c r="O397" s="195"/>
      <c r="P397" s="195"/>
      <c r="Q397" s="195"/>
      <c r="R397" s="195"/>
      <c r="S397" s="195"/>
      <c r="T397" s="195"/>
      <c r="U397" s="195"/>
      <c r="V397" s="195"/>
      <c r="W397" s="195"/>
      <c r="X397" s="195"/>
      <c r="Y397" s="195"/>
      <c r="Z397" s="195"/>
      <c r="AA397" s="195"/>
      <c r="AB397" s="195"/>
      <c r="AC397" s="195"/>
      <c r="AD397" s="195"/>
      <c r="AE397" s="195"/>
      <c r="AF397" s="195"/>
      <c r="AG397" s="195"/>
      <c r="AH397" s="195"/>
      <c r="AI397" s="195"/>
      <c r="AJ397" s="195"/>
      <c r="AK397" s="195"/>
      <c r="AL397" s="195"/>
      <c r="AM397" s="195"/>
      <c r="AN397" s="195"/>
      <c r="AO397" s="195"/>
      <c r="AP397" s="195"/>
      <c r="AQ397" s="195"/>
      <c r="AR397" s="195"/>
      <c r="AS397" s="195"/>
      <c r="AT397" s="34" t="s">
        <v>233</v>
      </c>
      <c r="AU397" s="34" t="s">
        <v>786</v>
      </c>
      <c r="AV397" s="140"/>
      <c r="AW397" s="140"/>
      <c r="AX397" s="63"/>
      <c r="AY397" s="34" t="s">
        <v>1923</v>
      </c>
      <c r="AZ397" s="39" t="s">
        <v>1926</v>
      </c>
      <c r="BB397" s="41"/>
    </row>
    <row r="398" spans="1:54" ht="15.75" hidden="1" customHeight="1">
      <c r="A398" s="193"/>
      <c r="B398" s="88" t="s">
        <v>2279</v>
      </c>
      <c r="C398" s="102"/>
      <c r="D398" s="103"/>
      <c r="E398" s="103"/>
      <c r="F398" s="103">
        <v>0.4</v>
      </c>
      <c r="G398" s="195"/>
      <c r="H398" s="195"/>
      <c r="I398" s="195"/>
      <c r="J398" s="195"/>
      <c r="K398" s="195"/>
      <c r="L398" s="195"/>
      <c r="M398" s="195"/>
      <c r="N398" s="195"/>
      <c r="O398" s="195"/>
      <c r="P398" s="195"/>
      <c r="Q398" s="195"/>
      <c r="R398" s="195"/>
      <c r="S398" s="195"/>
      <c r="T398" s="195"/>
      <c r="U398" s="195"/>
      <c r="V398" s="195"/>
      <c r="W398" s="195"/>
      <c r="X398" s="195"/>
      <c r="Y398" s="195"/>
      <c r="Z398" s="195"/>
      <c r="AA398" s="195"/>
      <c r="AB398" s="195"/>
      <c r="AC398" s="195"/>
      <c r="AD398" s="195"/>
      <c r="AE398" s="195"/>
      <c r="AF398" s="195"/>
      <c r="AG398" s="195"/>
      <c r="AH398" s="195"/>
      <c r="AI398" s="195"/>
      <c r="AJ398" s="195"/>
      <c r="AK398" s="195"/>
      <c r="AL398" s="195"/>
      <c r="AM398" s="195"/>
      <c r="AN398" s="195"/>
      <c r="AO398" s="195"/>
      <c r="AP398" s="195"/>
      <c r="AQ398" s="195"/>
      <c r="AR398" s="195"/>
      <c r="AS398" s="195"/>
      <c r="AT398" s="34" t="s">
        <v>233</v>
      </c>
      <c r="AU398" s="34" t="s">
        <v>788</v>
      </c>
      <c r="AV398" s="140"/>
      <c r="AW398" s="140"/>
      <c r="AX398" s="63"/>
      <c r="AY398" s="34" t="s">
        <v>1923</v>
      </c>
      <c r="AZ398" s="39" t="s">
        <v>1926</v>
      </c>
      <c r="BB398" s="41"/>
    </row>
    <row r="399" spans="1:54" ht="15.75" hidden="1" customHeight="1">
      <c r="A399" s="193"/>
      <c r="B399" s="88" t="s">
        <v>2280</v>
      </c>
      <c r="C399" s="102"/>
      <c r="D399" s="103"/>
      <c r="E399" s="103"/>
      <c r="F399" s="103">
        <v>0.5</v>
      </c>
      <c r="G399" s="195"/>
      <c r="H399" s="195"/>
      <c r="I399" s="195"/>
      <c r="J399" s="195"/>
      <c r="K399" s="195"/>
      <c r="L399" s="195"/>
      <c r="M399" s="195"/>
      <c r="N399" s="195"/>
      <c r="O399" s="195"/>
      <c r="P399" s="195"/>
      <c r="Q399" s="195"/>
      <c r="R399" s="195"/>
      <c r="S399" s="195"/>
      <c r="T399" s="195"/>
      <c r="U399" s="195"/>
      <c r="V399" s="195"/>
      <c r="W399" s="195"/>
      <c r="X399" s="195"/>
      <c r="Y399" s="195"/>
      <c r="Z399" s="195"/>
      <c r="AA399" s="195"/>
      <c r="AB399" s="195"/>
      <c r="AC399" s="195"/>
      <c r="AD399" s="195"/>
      <c r="AE399" s="195"/>
      <c r="AF399" s="195"/>
      <c r="AG399" s="195"/>
      <c r="AH399" s="195"/>
      <c r="AI399" s="195"/>
      <c r="AJ399" s="195"/>
      <c r="AK399" s="195"/>
      <c r="AL399" s="195"/>
      <c r="AM399" s="195"/>
      <c r="AN399" s="195"/>
      <c r="AO399" s="195"/>
      <c r="AP399" s="195"/>
      <c r="AQ399" s="195"/>
      <c r="AR399" s="195"/>
      <c r="AS399" s="195"/>
      <c r="AT399" s="34" t="s">
        <v>233</v>
      </c>
      <c r="AU399" s="34" t="s">
        <v>503</v>
      </c>
      <c r="AV399" s="140"/>
      <c r="AW399" s="140"/>
      <c r="AX399" s="63"/>
      <c r="AY399" s="34" t="s">
        <v>1917</v>
      </c>
      <c r="AZ399" s="39" t="s">
        <v>1926</v>
      </c>
      <c r="BB399" s="41"/>
    </row>
    <row r="400" spans="1:54" ht="31.5" hidden="1" customHeight="1">
      <c r="A400" s="220" t="s">
        <v>193</v>
      </c>
      <c r="B400" s="88" t="s">
        <v>2281</v>
      </c>
      <c r="C400" s="102"/>
      <c r="D400" s="103"/>
      <c r="E400" s="103"/>
      <c r="F400" s="103">
        <v>0.5</v>
      </c>
      <c r="G400" s="195"/>
      <c r="H400" s="195"/>
      <c r="I400" s="195"/>
      <c r="J400" s="195"/>
      <c r="K400" s="195"/>
      <c r="L400" s="195"/>
      <c r="M400" s="195"/>
      <c r="N400" s="195"/>
      <c r="O400" s="195"/>
      <c r="P400" s="195"/>
      <c r="Q400" s="195"/>
      <c r="R400" s="195"/>
      <c r="S400" s="195"/>
      <c r="T400" s="195"/>
      <c r="U400" s="195"/>
      <c r="V400" s="195"/>
      <c r="W400" s="195"/>
      <c r="X400" s="195"/>
      <c r="Y400" s="195"/>
      <c r="Z400" s="195"/>
      <c r="AA400" s="195"/>
      <c r="AB400" s="195"/>
      <c r="AC400" s="195"/>
      <c r="AD400" s="195"/>
      <c r="AE400" s="195"/>
      <c r="AF400" s="195"/>
      <c r="AG400" s="195"/>
      <c r="AH400" s="195"/>
      <c r="AI400" s="195"/>
      <c r="AJ400" s="195"/>
      <c r="AK400" s="195"/>
      <c r="AL400" s="195"/>
      <c r="AM400" s="195"/>
      <c r="AN400" s="195"/>
      <c r="AO400" s="195"/>
      <c r="AP400" s="195"/>
      <c r="AQ400" s="195"/>
      <c r="AR400" s="195"/>
      <c r="AS400" s="195"/>
      <c r="AT400" s="34" t="s">
        <v>234</v>
      </c>
      <c r="AU400" s="34" t="s">
        <v>387</v>
      </c>
      <c r="AV400" s="140"/>
      <c r="AW400" s="140"/>
      <c r="AX400" s="63"/>
      <c r="AY400" s="140" t="s">
        <v>1917</v>
      </c>
      <c r="AZ400" s="63" t="s">
        <v>2282</v>
      </c>
      <c r="BB400" s="41"/>
    </row>
    <row r="401" spans="1:54" ht="31.5" hidden="1" customHeight="1">
      <c r="A401" s="193"/>
      <c r="B401" s="88" t="s">
        <v>2283</v>
      </c>
      <c r="C401" s="102"/>
      <c r="D401" s="103"/>
      <c r="E401" s="103"/>
      <c r="F401" s="103">
        <v>0.5</v>
      </c>
      <c r="G401" s="195"/>
      <c r="H401" s="195"/>
      <c r="I401" s="195"/>
      <c r="J401" s="195"/>
      <c r="K401" s="195"/>
      <c r="L401" s="195"/>
      <c r="M401" s="195"/>
      <c r="N401" s="195"/>
      <c r="O401" s="195"/>
      <c r="P401" s="195"/>
      <c r="Q401" s="195"/>
      <c r="R401" s="195"/>
      <c r="S401" s="195"/>
      <c r="T401" s="195"/>
      <c r="U401" s="195"/>
      <c r="V401" s="195"/>
      <c r="W401" s="195"/>
      <c r="X401" s="195"/>
      <c r="Y401" s="195"/>
      <c r="Z401" s="195"/>
      <c r="AA401" s="195"/>
      <c r="AB401" s="195"/>
      <c r="AC401" s="195"/>
      <c r="AD401" s="195"/>
      <c r="AE401" s="195"/>
      <c r="AF401" s="195"/>
      <c r="AG401" s="195"/>
      <c r="AH401" s="195"/>
      <c r="AI401" s="195"/>
      <c r="AJ401" s="195"/>
      <c r="AK401" s="195"/>
      <c r="AL401" s="195"/>
      <c r="AM401" s="195"/>
      <c r="AN401" s="195"/>
      <c r="AO401" s="195"/>
      <c r="AP401" s="195"/>
      <c r="AQ401" s="195"/>
      <c r="AR401" s="195"/>
      <c r="AS401" s="195"/>
      <c r="AT401" s="34" t="s">
        <v>236</v>
      </c>
      <c r="AU401" s="34" t="s">
        <v>794</v>
      </c>
      <c r="AV401" s="140"/>
      <c r="AW401" s="140"/>
      <c r="AX401" s="63"/>
      <c r="AY401" s="34" t="s">
        <v>1923</v>
      </c>
      <c r="AZ401" s="63" t="s">
        <v>1924</v>
      </c>
      <c r="BA401" s="15" t="s">
        <v>795</v>
      </c>
      <c r="BB401" s="41"/>
    </row>
    <row r="402" spans="1:54" ht="15.75" hidden="1" customHeight="1">
      <c r="A402" s="193"/>
      <c r="B402" s="88" t="s">
        <v>2284</v>
      </c>
      <c r="C402" s="102"/>
      <c r="D402" s="103"/>
      <c r="E402" s="103"/>
      <c r="F402" s="103">
        <v>0.28000000000000003</v>
      </c>
      <c r="G402" s="195"/>
      <c r="H402" s="195"/>
      <c r="I402" s="195"/>
      <c r="J402" s="195"/>
      <c r="K402" s="195"/>
      <c r="L402" s="195"/>
      <c r="M402" s="195"/>
      <c r="N402" s="195"/>
      <c r="O402" s="195"/>
      <c r="P402" s="195"/>
      <c r="Q402" s="195"/>
      <c r="R402" s="195"/>
      <c r="S402" s="195"/>
      <c r="T402" s="195"/>
      <c r="U402" s="195"/>
      <c r="V402" s="195"/>
      <c r="W402" s="195"/>
      <c r="X402" s="195"/>
      <c r="Y402" s="195"/>
      <c r="Z402" s="195"/>
      <c r="AA402" s="195"/>
      <c r="AB402" s="195"/>
      <c r="AC402" s="195"/>
      <c r="AD402" s="195"/>
      <c r="AE402" s="195"/>
      <c r="AF402" s="195"/>
      <c r="AG402" s="195"/>
      <c r="AH402" s="195"/>
      <c r="AI402" s="195"/>
      <c r="AJ402" s="195"/>
      <c r="AK402" s="195"/>
      <c r="AL402" s="195"/>
      <c r="AM402" s="195"/>
      <c r="AN402" s="195"/>
      <c r="AO402" s="195"/>
      <c r="AP402" s="195"/>
      <c r="AQ402" s="195"/>
      <c r="AR402" s="195"/>
      <c r="AS402" s="195"/>
      <c r="AT402" s="34" t="s">
        <v>236</v>
      </c>
      <c r="AU402" s="34" t="s">
        <v>431</v>
      </c>
      <c r="AV402" s="140"/>
      <c r="AW402" s="140"/>
      <c r="AX402" s="63"/>
      <c r="AY402" s="34" t="s">
        <v>1923</v>
      </c>
      <c r="AZ402" s="63" t="s">
        <v>1924</v>
      </c>
      <c r="BA402" s="15" t="s">
        <v>797</v>
      </c>
      <c r="BB402" s="41"/>
    </row>
    <row r="403" spans="1:54" ht="31.5" hidden="1" customHeight="1">
      <c r="A403" s="193">
        <f>+A401+1</f>
        <v>1</v>
      </c>
      <c r="B403" s="88" t="s">
        <v>2285</v>
      </c>
      <c r="C403" s="102"/>
      <c r="D403" s="103"/>
      <c r="E403" s="103"/>
      <c r="F403" s="103">
        <v>0.94</v>
      </c>
      <c r="G403" s="195"/>
      <c r="H403" s="195"/>
      <c r="I403" s="195"/>
      <c r="J403" s="195"/>
      <c r="K403" s="195"/>
      <c r="L403" s="195"/>
      <c r="M403" s="195"/>
      <c r="N403" s="195"/>
      <c r="O403" s="195"/>
      <c r="P403" s="195"/>
      <c r="Q403" s="195"/>
      <c r="R403" s="195"/>
      <c r="S403" s="195"/>
      <c r="T403" s="195"/>
      <c r="U403" s="195"/>
      <c r="V403" s="195"/>
      <c r="W403" s="195"/>
      <c r="X403" s="195"/>
      <c r="Y403" s="195"/>
      <c r="Z403" s="195"/>
      <c r="AA403" s="195"/>
      <c r="AB403" s="195"/>
      <c r="AC403" s="195"/>
      <c r="AD403" s="195"/>
      <c r="AE403" s="195"/>
      <c r="AF403" s="195"/>
      <c r="AG403" s="195"/>
      <c r="AH403" s="195"/>
      <c r="AI403" s="195"/>
      <c r="AJ403" s="195"/>
      <c r="AK403" s="195"/>
      <c r="AL403" s="195"/>
      <c r="AM403" s="195"/>
      <c r="AN403" s="195"/>
      <c r="AO403" s="195"/>
      <c r="AP403" s="195"/>
      <c r="AQ403" s="195"/>
      <c r="AR403" s="195"/>
      <c r="AS403" s="195"/>
      <c r="AT403" s="34" t="s">
        <v>237</v>
      </c>
      <c r="AU403" s="34"/>
      <c r="AV403" s="140"/>
      <c r="AW403" s="140"/>
      <c r="AX403" s="63"/>
      <c r="AY403" s="140" t="s">
        <v>1917</v>
      </c>
      <c r="AZ403" s="63" t="s">
        <v>2286</v>
      </c>
      <c r="BA403" s="234" t="s">
        <v>308</v>
      </c>
      <c r="BB403" s="41"/>
    </row>
    <row r="404" spans="1:54" ht="15.75" hidden="1" customHeight="1">
      <c r="A404" s="193">
        <f>+A403+1</f>
        <v>2</v>
      </c>
      <c r="B404" s="88" t="s">
        <v>2287</v>
      </c>
      <c r="C404" s="102"/>
      <c r="D404" s="103"/>
      <c r="E404" s="103"/>
      <c r="F404" s="103">
        <v>0.15</v>
      </c>
      <c r="G404" s="195"/>
      <c r="H404" s="195"/>
      <c r="I404" s="195"/>
      <c r="J404" s="195"/>
      <c r="K404" s="195"/>
      <c r="L404" s="195"/>
      <c r="M404" s="195"/>
      <c r="N404" s="195"/>
      <c r="O404" s="195"/>
      <c r="P404" s="195"/>
      <c r="Q404" s="195"/>
      <c r="R404" s="195"/>
      <c r="S404" s="195"/>
      <c r="T404" s="195"/>
      <c r="U404" s="195"/>
      <c r="V404" s="195"/>
      <c r="W404" s="195"/>
      <c r="X404" s="195"/>
      <c r="Y404" s="195"/>
      <c r="Z404" s="195"/>
      <c r="AA404" s="195"/>
      <c r="AB404" s="195"/>
      <c r="AC404" s="195"/>
      <c r="AD404" s="195"/>
      <c r="AE404" s="195"/>
      <c r="AF404" s="195"/>
      <c r="AG404" s="195"/>
      <c r="AH404" s="195"/>
      <c r="AI404" s="195"/>
      <c r="AJ404" s="195"/>
      <c r="AK404" s="195"/>
      <c r="AL404" s="195"/>
      <c r="AM404" s="195"/>
      <c r="AN404" s="195"/>
      <c r="AO404" s="195"/>
      <c r="AP404" s="195"/>
      <c r="AQ404" s="195"/>
      <c r="AR404" s="195"/>
      <c r="AS404" s="195"/>
      <c r="AT404" s="34" t="s">
        <v>237</v>
      </c>
      <c r="AU404" s="34"/>
      <c r="AV404" s="140"/>
      <c r="AW404" s="140"/>
      <c r="AX404" s="63"/>
      <c r="AY404" s="34" t="s">
        <v>1923</v>
      </c>
      <c r="AZ404" s="63" t="s">
        <v>1924</v>
      </c>
      <c r="BA404" s="234" t="s">
        <v>308</v>
      </c>
      <c r="BB404" s="41" t="s">
        <v>802</v>
      </c>
    </row>
    <row r="405" spans="1:54" ht="15.75" hidden="1" customHeight="1">
      <c r="A405" s="193">
        <f>+A404+1</f>
        <v>3</v>
      </c>
      <c r="B405" s="88" t="s">
        <v>2288</v>
      </c>
      <c r="C405" s="102"/>
      <c r="D405" s="103"/>
      <c r="E405" s="103"/>
      <c r="F405" s="103">
        <v>0.24</v>
      </c>
      <c r="G405" s="195"/>
      <c r="H405" s="195"/>
      <c r="I405" s="195"/>
      <c r="J405" s="195"/>
      <c r="K405" s="195"/>
      <c r="L405" s="195"/>
      <c r="M405" s="195"/>
      <c r="N405" s="195"/>
      <c r="O405" s="195"/>
      <c r="P405" s="195"/>
      <c r="Q405" s="195"/>
      <c r="R405" s="195"/>
      <c r="S405" s="195"/>
      <c r="T405" s="195"/>
      <c r="U405" s="195"/>
      <c r="V405" s="195"/>
      <c r="W405" s="195"/>
      <c r="X405" s="195"/>
      <c r="Y405" s="195"/>
      <c r="Z405" s="195"/>
      <c r="AA405" s="195"/>
      <c r="AB405" s="195"/>
      <c r="AC405" s="195"/>
      <c r="AD405" s="195"/>
      <c r="AE405" s="195"/>
      <c r="AF405" s="195"/>
      <c r="AG405" s="195"/>
      <c r="AH405" s="195"/>
      <c r="AI405" s="195"/>
      <c r="AJ405" s="195"/>
      <c r="AK405" s="195"/>
      <c r="AL405" s="195"/>
      <c r="AM405" s="195"/>
      <c r="AN405" s="195"/>
      <c r="AO405" s="195"/>
      <c r="AP405" s="195"/>
      <c r="AQ405" s="195"/>
      <c r="AR405" s="195"/>
      <c r="AS405" s="195"/>
      <c r="AT405" s="34" t="s">
        <v>237</v>
      </c>
      <c r="AU405" s="34"/>
      <c r="AV405" s="140"/>
      <c r="AW405" s="140"/>
      <c r="AX405" s="63"/>
      <c r="AY405" s="34" t="s">
        <v>1923</v>
      </c>
      <c r="AZ405" s="63" t="s">
        <v>2014</v>
      </c>
      <c r="BA405" s="234"/>
      <c r="BB405" s="41"/>
    </row>
    <row r="406" spans="1:54" ht="31.5" hidden="1" customHeight="1">
      <c r="A406" s="220" t="s">
        <v>193</v>
      </c>
      <c r="B406" s="60" t="s">
        <v>2289</v>
      </c>
      <c r="C406" s="102" t="s">
        <v>50</v>
      </c>
      <c r="D406" s="103">
        <v>0.2</v>
      </c>
      <c r="E406" s="103"/>
      <c r="F406" s="103">
        <v>0.2</v>
      </c>
      <c r="G406" s="195"/>
      <c r="H406" s="195"/>
      <c r="I406" s="195"/>
      <c r="J406" s="195"/>
      <c r="K406" s="195"/>
      <c r="L406" s="195"/>
      <c r="M406" s="195">
        <v>0.2</v>
      </c>
      <c r="N406" s="195"/>
      <c r="O406" s="195"/>
      <c r="P406" s="195"/>
      <c r="Q406" s="195"/>
      <c r="R406" s="195"/>
      <c r="S406" s="195"/>
      <c r="T406" s="195"/>
      <c r="U406" s="195"/>
      <c r="V406" s="195"/>
      <c r="W406" s="195"/>
      <c r="X406" s="195"/>
      <c r="Y406" s="195"/>
      <c r="Z406" s="195"/>
      <c r="AA406" s="195"/>
      <c r="AB406" s="195"/>
      <c r="AC406" s="195"/>
      <c r="AD406" s="195"/>
      <c r="AE406" s="195"/>
      <c r="AF406" s="195"/>
      <c r="AG406" s="195"/>
      <c r="AH406" s="195"/>
      <c r="AI406" s="195"/>
      <c r="AJ406" s="195"/>
      <c r="AK406" s="195"/>
      <c r="AL406" s="195"/>
      <c r="AM406" s="195"/>
      <c r="AN406" s="195"/>
      <c r="AO406" s="195"/>
      <c r="AP406" s="195"/>
      <c r="AQ406" s="195"/>
      <c r="AR406" s="195"/>
      <c r="AS406" s="195"/>
      <c r="AT406" s="38" t="s">
        <v>238</v>
      </c>
      <c r="AU406" s="34"/>
      <c r="AV406" s="140"/>
      <c r="AW406" s="140"/>
      <c r="AX406" s="63"/>
      <c r="AY406" s="140" t="s">
        <v>2290</v>
      </c>
      <c r="AZ406" s="63" t="s">
        <v>2291</v>
      </c>
      <c r="BA406" s="65" t="s">
        <v>2292</v>
      </c>
      <c r="BB406" s="41"/>
    </row>
    <row r="407" spans="1:54" ht="15.75" hidden="1" customHeight="1">
      <c r="A407" s="220" t="s">
        <v>193</v>
      </c>
      <c r="B407" s="60" t="s">
        <v>2293</v>
      </c>
      <c r="C407" s="102" t="s">
        <v>50</v>
      </c>
      <c r="D407" s="103">
        <v>0.7</v>
      </c>
      <c r="E407" s="103"/>
      <c r="F407" s="103">
        <v>0.7</v>
      </c>
      <c r="G407" s="195"/>
      <c r="H407" s="195"/>
      <c r="I407" s="195"/>
      <c r="J407" s="195"/>
      <c r="K407" s="195"/>
      <c r="L407" s="195"/>
      <c r="M407" s="195">
        <v>0.7</v>
      </c>
      <c r="N407" s="195"/>
      <c r="O407" s="195"/>
      <c r="P407" s="195"/>
      <c r="Q407" s="195"/>
      <c r="R407" s="195"/>
      <c r="S407" s="195"/>
      <c r="T407" s="195"/>
      <c r="U407" s="195"/>
      <c r="V407" s="195"/>
      <c r="W407" s="195"/>
      <c r="X407" s="195"/>
      <c r="Y407" s="195"/>
      <c r="Z407" s="195"/>
      <c r="AA407" s="195"/>
      <c r="AB407" s="195"/>
      <c r="AC407" s="195"/>
      <c r="AD407" s="195"/>
      <c r="AE407" s="195"/>
      <c r="AF407" s="195"/>
      <c r="AG407" s="195"/>
      <c r="AH407" s="195"/>
      <c r="AI407" s="195"/>
      <c r="AJ407" s="195"/>
      <c r="AK407" s="195"/>
      <c r="AL407" s="195"/>
      <c r="AM407" s="195"/>
      <c r="AN407" s="195"/>
      <c r="AO407" s="195"/>
      <c r="AP407" s="195"/>
      <c r="AQ407" s="195"/>
      <c r="AR407" s="195"/>
      <c r="AS407" s="195"/>
      <c r="AT407" s="38" t="s">
        <v>238</v>
      </c>
      <c r="AU407" s="34"/>
      <c r="AV407" s="140"/>
      <c r="AW407" s="140"/>
      <c r="AX407" s="63"/>
      <c r="AY407" s="140" t="s">
        <v>1923</v>
      </c>
      <c r="AZ407" s="63" t="s">
        <v>2294</v>
      </c>
      <c r="BA407" s="65"/>
      <c r="BB407" s="41"/>
    </row>
    <row r="408" spans="1:54" ht="31.5" hidden="1" customHeight="1">
      <c r="A408" s="193"/>
      <c r="B408" s="88" t="s">
        <v>2295</v>
      </c>
      <c r="C408" s="102"/>
      <c r="D408" s="103"/>
      <c r="E408" s="103"/>
      <c r="F408" s="103">
        <v>0.1</v>
      </c>
      <c r="G408" s="195"/>
      <c r="H408" s="195"/>
      <c r="I408" s="195"/>
      <c r="J408" s="195"/>
      <c r="K408" s="195"/>
      <c r="L408" s="195"/>
      <c r="M408" s="195"/>
      <c r="N408" s="195"/>
      <c r="O408" s="195"/>
      <c r="P408" s="195"/>
      <c r="Q408" s="195"/>
      <c r="R408" s="195"/>
      <c r="S408" s="195"/>
      <c r="T408" s="195"/>
      <c r="U408" s="195"/>
      <c r="V408" s="195"/>
      <c r="W408" s="195"/>
      <c r="X408" s="195"/>
      <c r="Y408" s="195"/>
      <c r="Z408" s="195"/>
      <c r="AA408" s="195"/>
      <c r="AB408" s="195"/>
      <c r="AC408" s="195"/>
      <c r="AD408" s="195"/>
      <c r="AE408" s="195"/>
      <c r="AF408" s="195"/>
      <c r="AG408" s="195"/>
      <c r="AH408" s="195"/>
      <c r="AI408" s="195"/>
      <c r="AJ408" s="195"/>
      <c r="AK408" s="195"/>
      <c r="AL408" s="195"/>
      <c r="AM408" s="195"/>
      <c r="AN408" s="195"/>
      <c r="AO408" s="195"/>
      <c r="AP408" s="195"/>
      <c r="AQ408" s="195"/>
      <c r="AR408" s="195"/>
      <c r="AS408" s="195"/>
      <c r="AT408" s="34" t="s">
        <v>239</v>
      </c>
      <c r="AU408" s="34" t="s">
        <v>425</v>
      </c>
      <c r="AV408" s="140"/>
      <c r="AW408" s="140"/>
      <c r="AX408" s="63"/>
      <c r="AY408" s="140" t="s">
        <v>1973</v>
      </c>
      <c r="AZ408" s="63" t="s">
        <v>2296</v>
      </c>
      <c r="BB408" s="41"/>
    </row>
    <row r="409" spans="1:54" ht="31.5" hidden="1" customHeight="1">
      <c r="A409" s="193"/>
      <c r="B409" s="88" t="s">
        <v>2297</v>
      </c>
      <c r="C409" s="102"/>
      <c r="D409" s="103"/>
      <c r="E409" s="103"/>
      <c r="F409" s="103">
        <v>0.1</v>
      </c>
      <c r="G409" s="195"/>
      <c r="H409" s="195"/>
      <c r="I409" s="195"/>
      <c r="J409" s="195"/>
      <c r="K409" s="195"/>
      <c r="L409" s="195"/>
      <c r="M409" s="195"/>
      <c r="N409" s="195"/>
      <c r="O409" s="195"/>
      <c r="P409" s="195"/>
      <c r="Q409" s="195"/>
      <c r="R409" s="195"/>
      <c r="S409" s="195"/>
      <c r="T409" s="195"/>
      <c r="U409" s="195"/>
      <c r="V409" s="195"/>
      <c r="W409" s="195"/>
      <c r="X409" s="195"/>
      <c r="Y409" s="195"/>
      <c r="Z409" s="195"/>
      <c r="AA409" s="195"/>
      <c r="AB409" s="195"/>
      <c r="AC409" s="195"/>
      <c r="AD409" s="195"/>
      <c r="AE409" s="195"/>
      <c r="AF409" s="195"/>
      <c r="AG409" s="195"/>
      <c r="AH409" s="195"/>
      <c r="AI409" s="195"/>
      <c r="AJ409" s="195"/>
      <c r="AK409" s="195"/>
      <c r="AL409" s="195"/>
      <c r="AM409" s="195"/>
      <c r="AN409" s="195"/>
      <c r="AO409" s="195"/>
      <c r="AP409" s="195"/>
      <c r="AQ409" s="195"/>
      <c r="AR409" s="195"/>
      <c r="AS409" s="195"/>
      <c r="AT409" s="34" t="s">
        <v>239</v>
      </c>
      <c r="AU409" s="34" t="s">
        <v>425</v>
      </c>
      <c r="AV409" s="140"/>
      <c r="AW409" s="140"/>
      <c r="AX409" s="63"/>
      <c r="AY409" s="38" t="s">
        <v>1923</v>
      </c>
      <c r="AZ409" s="39" t="s">
        <v>2298</v>
      </c>
      <c r="BB409" s="41"/>
    </row>
    <row r="410" spans="1:54" ht="31.5" hidden="1" customHeight="1">
      <c r="A410" s="193"/>
      <c r="B410" s="88" t="s">
        <v>2299</v>
      </c>
      <c r="C410" s="102"/>
      <c r="D410" s="103"/>
      <c r="E410" s="103"/>
      <c r="F410" s="103">
        <v>1.1000000000000001</v>
      </c>
      <c r="G410" s="195"/>
      <c r="H410" s="195"/>
      <c r="I410" s="195"/>
      <c r="J410" s="195"/>
      <c r="K410" s="195"/>
      <c r="L410" s="195"/>
      <c r="M410" s="195"/>
      <c r="N410" s="195"/>
      <c r="O410" s="195"/>
      <c r="P410" s="195"/>
      <c r="Q410" s="195"/>
      <c r="R410" s="195"/>
      <c r="S410" s="195"/>
      <c r="T410" s="195"/>
      <c r="U410" s="195"/>
      <c r="V410" s="195"/>
      <c r="W410" s="195"/>
      <c r="X410" s="195"/>
      <c r="Y410" s="195"/>
      <c r="Z410" s="195"/>
      <c r="AA410" s="195"/>
      <c r="AB410" s="195"/>
      <c r="AC410" s="195"/>
      <c r="AD410" s="195"/>
      <c r="AE410" s="195"/>
      <c r="AF410" s="195"/>
      <c r="AG410" s="195"/>
      <c r="AH410" s="195"/>
      <c r="AI410" s="195"/>
      <c r="AJ410" s="195"/>
      <c r="AK410" s="195"/>
      <c r="AL410" s="195"/>
      <c r="AM410" s="195"/>
      <c r="AN410" s="195"/>
      <c r="AO410" s="195"/>
      <c r="AP410" s="195"/>
      <c r="AQ410" s="195"/>
      <c r="AR410" s="195"/>
      <c r="AS410" s="195"/>
      <c r="AT410" s="47" t="s">
        <v>240</v>
      </c>
      <c r="AU410" s="34" t="s">
        <v>305</v>
      </c>
      <c r="AV410" s="140"/>
      <c r="AW410" s="140"/>
      <c r="AX410" s="63"/>
      <c r="AY410" s="140" t="s">
        <v>1917</v>
      </c>
      <c r="AZ410" s="63" t="s">
        <v>2300</v>
      </c>
      <c r="BA410" s="58"/>
      <c r="BB410" s="41"/>
    </row>
    <row r="411" spans="1:54" ht="15.75" hidden="1" customHeight="1">
      <c r="A411" s="193"/>
      <c r="B411" s="88" t="s">
        <v>2301</v>
      </c>
      <c r="C411" s="102"/>
      <c r="D411" s="103"/>
      <c r="E411" s="103"/>
      <c r="F411" s="103">
        <v>0.15</v>
      </c>
      <c r="G411" s="195"/>
      <c r="H411" s="195"/>
      <c r="I411" s="195"/>
      <c r="J411" s="195"/>
      <c r="K411" s="195"/>
      <c r="L411" s="195"/>
      <c r="M411" s="195"/>
      <c r="N411" s="195"/>
      <c r="O411" s="195"/>
      <c r="P411" s="195"/>
      <c r="Q411" s="195"/>
      <c r="R411" s="195"/>
      <c r="S411" s="195"/>
      <c r="T411" s="195"/>
      <c r="U411" s="195"/>
      <c r="V411" s="195"/>
      <c r="W411" s="195"/>
      <c r="X411" s="195"/>
      <c r="Y411" s="195"/>
      <c r="Z411" s="195"/>
      <c r="AA411" s="195"/>
      <c r="AB411" s="195"/>
      <c r="AC411" s="195"/>
      <c r="AD411" s="195"/>
      <c r="AE411" s="195"/>
      <c r="AF411" s="195"/>
      <c r="AG411" s="195"/>
      <c r="AH411" s="195"/>
      <c r="AI411" s="195"/>
      <c r="AJ411" s="195"/>
      <c r="AK411" s="195"/>
      <c r="AL411" s="195"/>
      <c r="AM411" s="195"/>
      <c r="AN411" s="195"/>
      <c r="AO411" s="195"/>
      <c r="AP411" s="195"/>
      <c r="AQ411" s="195"/>
      <c r="AR411" s="195"/>
      <c r="AS411" s="195"/>
      <c r="AT411" s="47" t="s">
        <v>240</v>
      </c>
      <c r="AU411" s="34" t="s">
        <v>305</v>
      </c>
      <c r="AV411" s="140"/>
      <c r="AW411" s="140"/>
      <c r="AX411" s="63"/>
      <c r="AY411" s="34" t="s">
        <v>1923</v>
      </c>
      <c r="AZ411" s="63" t="s">
        <v>1924</v>
      </c>
      <c r="BB411" s="41"/>
    </row>
    <row r="412" spans="1:54" ht="31.5" hidden="1" customHeight="1">
      <c r="A412" s="193"/>
      <c r="B412" s="88" t="s">
        <v>2302</v>
      </c>
      <c r="C412" s="102"/>
      <c r="D412" s="103"/>
      <c r="E412" s="103"/>
      <c r="F412" s="103">
        <v>1</v>
      </c>
      <c r="G412" s="195"/>
      <c r="H412" s="195"/>
      <c r="I412" s="195"/>
      <c r="J412" s="195"/>
      <c r="K412" s="195"/>
      <c r="L412" s="195"/>
      <c r="M412" s="195"/>
      <c r="N412" s="195"/>
      <c r="O412" s="195"/>
      <c r="P412" s="195"/>
      <c r="Q412" s="195"/>
      <c r="R412" s="195"/>
      <c r="S412" s="195"/>
      <c r="T412" s="195"/>
      <c r="U412" s="195"/>
      <c r="V412" s="195"/>
      <c r="W412" s="195"/>
      <c r="X412" s="195"/>
      <c r="Y412" s="195"/>
      <c r="Z412" s="195"/>
      <c r="AA412" s="195"/>
      <c r="AB412" s="195"/>
      <c r="AC412" s="195"/>
      <c r="AD412" s="195"/>
      <c r="AE412" s="195"/>
      <c r="AF412" s="195"/>
      <c r="AG412" s="195"/>
      <c r="AH412" s="195"/>
      <c r="AI412" s="195"/>
      <c r="AJ412" s="195"/>
      <c r="AK412" s="195"/>
      <c r="AL412" s="195"/>
      <c r="AM412" s="195"/>
      <c r="AN412" s="195"/>
      <c r="AO412" s="195"/>
      <c r="AP412" s="195"/>
      <c r="AQ412" s="195"/>
      <c r="AR412" s="195"/>
      <c r="AS412" s="195"/>
      <c r="AT412" s="47" t="s">
        <v>240</v>
      </c>
      <c r="AU412" s="34" t="s">
        <v>305</v>
      </c>
      <c r="AV412" s="140"/>
      <c r="AW412" s="140"/>
      <c r="AX412" s="63"/>
      <c r="AY412" s="34" t="s">
        <v>1923</v>
      </c>
      <c r="AZ412" s="63" t="s">
        <v>2303</v>
      </c>
      <c r="BB412" s="41"/>
    </row>
    <row r="413" spans="1:54" ht="31.5" hidden="1" customHeight="1">
      <c r="A413" s="193" t="s">
        <v>193</v>
      </c>
      <c r="B413" s="88" t="s">
        <v>2295</v>
      </c>
      <c r="C413" s="102" t="s">
        <v>50</v>
      </c>
      <c r="D413" s="103">
        <v>0.4</v>
      </c>
      <c r="E413" s="103"/>
      <c r="F413" s="103">
        <v>0.4</v>
      </c>
      <c r="G413" s="195">
        <v>0.2</v>
      </c>
      <c r="H413" s="195">
        <v>0.2</v>
      </c>
      <c r="I413" s="195"/>
      <c r="J413" s="195"/>
      <c r="K413" s="195"/>
      <c r="L413" s="195"/>
      <c r="M413" s="195"/>
      <c r="N413" s="195"/>
      <c r="O413" s="195"/>
      <c r="P413" s="195"/>
      <c r="Q413" s="195"/>
      <c r="R413" s="195"/>
      <c r="S413" s="195"/>
      <c r="T413" s="195"/>
      <c r="U413" s="195"/>
      <c r="V413" s="195"/>
      <c r="W413" s="195"/>
      <c r="X413" s="195"/>
      <c r="Y413" s="195"/>
      <c r="Z413" s="195"/>
      <c r="AA413" s="195"/>
      <c r="AB413" s="195"/>
      <c r="AC413" s="195"/>
      <c r="AD413" s="195"/>
      <c r="AE413" s="195"/>
      <c r="AF413" s="195"/>
      <c r="AG413" s="195"/>
      <c r="AH413" s="195"/>
      <c r="AI413" s="195"/>
      <c r="AJ413" s="195"/>
      <c r="AK413" s="195"/>
      <c r="AL413" s="195"/>
      <c r="AM413" s="195"/>
      <c r="AN413" s="195"/>
      <c r="AO413" s="195"/>
      <c r="AP413" s="195"/>
      <c r="AQ413" s="195"/>
      <c r="AR413" s="195"/>
      <c r="AS413" s="195"/>
      <c r="AT413" s="47" t="s">
        <v>241</v>
      </c>
      <c r="AU413" s="34" t="s">
        <v>451</v>
      </c>
      <c r="AV413" s="140"/>
      <c r="AW413" s="140"/>
      <c r="AX413" s="63"/>
      <c r="AY413" s="34" t="s">
        <v>1917</v>
      </c>
      <c r="AZ413" s="63" t="s">
        <v>818</v>
      </c>
      <c r="BB413" s="41"/>
    </row>
    <row r="414" spans="1:54" ht="15.75" hidden="1" customHeight="1">
      <c r="A414" s="193" t="s">
        <v>193</v>
      </c>
      <c r="B414" s="88" t="s">
        <v>2304</v>
      </c>
      <c r="C414" s="102" t="s">
        <v>50</v>
      </c>
      <c r="D414" s="103">
        <v>0.28000000000000003</v>
      </c>
      <c r="E414" s="103"/>
      <c r="F414" s="103">
        <v>0.28000000000000003</v>
      </c>
      <c r="G414" s="195"/>
      <c r="H414" s="195"/>
      <c r="I414" s="195"/>
      <c r="J414" s="195"/>
      <c r="K414" s="195"/>
      <c r="L414" s="195"/>
      <c r="M414" s="195"/>
      <c r="N414" s="195"/>
      <c r="O414" s="195"/>
      <c r="P414" s="195"/>
      <c r="Q414" s="195"/>
      <c r="R414" s="195"/>
      <c r="S414" s="195"/>
      <c r="T414" s="195"/>
      <c r="U414" s="195"/>
      <c r="V414" s="195"/>
      <c r="W414" s="195"/>
      <c r="X414" s="195"/>
      <c r="Y414" s="195"/>
      <c r="Z414" s="195"/>
      <c r="AA414" s="195"/>
      <c r="AB414" s="195"/>
      <c r="AC414" s="195"/>
      <c r="AD414" s="195"/>
      <c r="AE414" s="195"/>
      <c r="AF414" s="195"/>
      <c r="AG414" s="195"/>
      <c r="AH414" s="195"/>
      <c r="AI414" s="195"/>
      <c r="AJ414" s="195"/>
      <c r="AK414" s="195"/>
      <c r="AL414" s="195"/>
      <c r="AM414" s="195"/>
      <c r="AN414" s="195"/>
      <c r="AO414" s="195"/>
      <c r="AP414" s="195"/>
      <c r="AQ414" s="195"/>
      <c r="AR414" s="195"/>
      <c r="AS414" s="195"/>
      <c r="AT414" s="47" t="s">
        <v>241</v>
      </c>
      <c r="AU414" s="34" t="s">
        <v>305</v>
      </c>
      <c r="AV414" s="140"/>
      <c r="AW414" s="140"/>
      <c r="AX414" s="63"/>
      <c r="AY414" s="34" t="s">
        <v>1923</v>
      </c>
      <c r="AZ414" s="63" t="s">
        <v>1924</v>
      </c>
      <c r="BB414" s="41"/>
    </row>
    <row r="415" spans="1:54" ht="31.5" hidden="1" customHeight="1">
      <c r="A415" s="193" t="s">
        <v>193</v>
      </c>
      <c r="B415" s="88" t="s">
        <v>2305</v>
      </c>
      <c r="C415" s="102" t="s">
        <v>50</v>
      </c>
      <c r="D415" s="103">
        <v>0.15</v>
      </c>
      <c r="E415" s="103"/>
      <c r="F415" s="103">
        <v>0.15</v>
      </c>
      <c r="G415" s="195"/>
      <c r="H415" s="195">
        <v>0.15</v>
      </c>
      <c r="I415" s="195"/>
      <c r="J415" s="195"/>
      <c r="K415" s="195"/>
      <c r="L415" s="195"/>
      <c r="M415" s="195"/>
      <c r="N415" s="195"/>
      <c r="O415" s="195"/>
      <c r="P415" s="195"/>
      <c r="Q415" s="195"/>
      <c r="R415" s="195"/>
      <c r="S415" s="195"/>
      <c r="T415" s="195"/>
      <c r="U415" s="195"/>
      <c r="V415" s="195"/>
      <c r="W415" s="195"/>
      <c r="X415" s="195"/>
      <c r="Y415" s="195"/>
      <c r="Z415" s="195"/>
      <c r="AA415" s="195"/>
      <c r="AB415" s="195"/>
      <c r="AC415" s="195"/>
      <c r="AD415" s="195"/>
      <c r="AE415" s="195"/>
      <c r="AF415" s="195"/>
      <c r="AG415" s="195"/>
      <c r="AH415" s="195"/>
      <c r="AI415" s="195"/>
      <c r="AJ415" s="195"/>
      <c r="AK415" s="195"/>
      <c r="AL415" s="195"/>
      <c r="AM415" s="195"/>
      <c r="AN415" s="195"/>
      <c r="AO415" s="195"/>
      <c r="AP415" s="195"/>
      <c r="AQ415" s="195"/>
      <c r="AR415" s="195"/>
      <c r="AS415" s="195"/>
      <c r="AT415" s="47" t="s">
        <v>241</v>
      </c>
      <c r="AU415" s="34" t="s">
        <v>387</v>
      </c>
      <c r="AV415" s="140"/>
      <c r="AW415" s="140"/>
      <c r="AX415" s="63"/>
      <c r="AY415" s="34" t="s">
        <v>1923</v>
      </c>
      <c r="AZ415" s="63" t="s">
        <v>2306</v>
      </c>
      <c r="BB415" s="41"/>
    </row>
    <row r="416" spans="1:54" s="24" customFormat="1" ht="21" customHeight="1">
      <c r="A416" s="189" t="s">
        <v>840</v>
      </c>
      <c r="B416" s="25" t="s">
        <v>2307</v>
      </c>
      <c r="C416" s="26" t="s">
        <v>51</v>
      </c>
      <c r="D416" s="192">
        <f>F416+E416</f>
        <v>33.32</v>
      </c>
      <c r="E416" s="192">
        <f>SUM(E417:E434)</f>
        <v>1.1400000000000001</v>
      </c>
      <c r="F416" s="192">
        <f>SUM(G416:K416,O416:AS416)</f>
        <v>32.18</v>
      </c>
      <c r="G416" s="192">
        <f t="shared" ref="G416:AS416" si="23">SUM(G417:G434)</f>
        <v>9.3100000000000023</v>
      </c>
      <c r="H416" s="192">
        <f t="shared" si="23"/>
        <v>1.6199999999999999</v>
      </c>
      <c r="I416" s="192">
        <f t="shared" si="23"/>
        <v>9.42</v>
      </c>
      <c r="J416" s="192">
        <f t="shared" si="23"/>
        <v>0.95000000000000007</v>
      </c>
      <c r="K416" s="192">
        <f t="shared" si="23"/>
        <v>10.399999999999999</v>
      </c>
      <c r="L416" s="192">
        <f t="shared" si="23"/>
        <v>0</v>
      </c>
      <c r="M416" s="192">
        <f t="shared" si="23"/>
        <v>10.399999999999999</v>
      </c>
      <c r="N416" s="192">
        <f t="shared" si="23"/>
        <v>0</v>
      </c>
      <c r="O416" s="192">
        <f t="shared" si="23"/>
        <v>0</v>
      </c>
      <c r="P416" s="192">
        <f t="shared" si="23"/>
        <v>0.32</v>
      </c>
      <c r="Q416" s="192">
        <f t="shared" si="23"/>
        <v>0</v>
      </c>
      <c r="R416" s="192">
        <f t="shared" si="23"/>
        <v>0</v>
      </c>
      <c r="S416" s="192">
        <f t="shared" si="23"/>
        <v>0</v>
      </c>
      <c r="T416" s="192">
        <f t="shared" si="23"/>
        <v>0</v>
      </c>
      <c r="U416" s="192">
        <f t="shared" si="23"/>
        <v>0</v>
      </c>
      <c r="V416" s="192">
        <f t="shared" si="23"/>
        <v>0</v>
      </c>
      <c r="W416" s="192">
        <f t="shared" si="23"/>
        <v>0</v>
      </c>
      <c r="X416" s="192">
        <f t="shared" si="23"/>
        <v>0</v>
      </c>
      <c r="Y416" s="192">
        <f t="shared" si="23"/>
        <v>0.06</v>
      </c>
      <c r="Z416" s="192">
        <f t="shared" si="23"/>
        <v>0</v>
      </c>
      <c r="AA416" s="192">
        <f t="shared" si="23"/>
        <v>0</v>
      </c>
      <c r="AB416" s="192">
        <f t="shared" si="23"/>
        <v>0</v>
      </c>
      <c r="AC416" s="192">
        <f t="shared" si="23"/>
        <v>0</v>
      </c>
      <c r="AD416" s="192">
        <f t="shared" si="23"/>
        <v>0</v>
      </c>
      <c r="AE416" s="192">
        <f t="shared" si="23"/>
        <v>0</v>
      </c>
      <c r="AF416" s="192">
        <f t="shared" si="23"/>
        <v>0</v>
      </c>
      <c r="AG416" s="192">
        <f t="shared" si="23"/>
        <v>0</v>
      </c>
      <c r="AH416" s="192">
        <f t="shared" si="23"/>
        <v>0</v>
      </c>
      <c r="AI416" s="192">
        <f t="shared" si="23"/>
        <v>0</v>
      </c>
      <c r="AJ416" s="192">
        <f t="shared" si="23"/>
        <v>0</v>
      </c>
      <c r="AK416" s="192">
        <f t="shared" si="23"/>
        <v>0</v>
      </c>
      <c r="AL416" s="192">
        <f t="shared" si="23"/>
        <v>0</v>
      </c>
      <c r="AM416" s="192">
        <f t="shared" si="23"/>
        <v>0</v>
      </c>
      <c r="AN416" s="192">
        <f t="shared" si="23"/>
        <v>0.1</v>
      </c>
      <c r="AO416" s="192">
        <f t="shared" si="23"/>
        <v>0</v>
      </c>
      <c r="AP416" s="192">
        <f t="shared" si="23"/>
        <v>0</v>
      </c>
      <c r="AQ416" s="192">
        <f t="shared" si="23"/>
        <v>0</v>
      </c>
      <c r="AR416" s="192">
        <f t="shared" si="23"/>
        <v>0</v>
      </c>
      <c r="AS416" s="192">
        <f t="shared" si="23"/>
        <v>0</v>
      </c>
      <c r="AT416" s="29"/>
      <c r="AU416" s="29"/>
      <c r="AV416" s="29"/>
      <c r="AW416" s="29"/>
      <c r="AX416" s="30"/>
      <c r="AY416" s="29"/>
      <c r="AZ416" s="30"/>
    </row>
    <row r="417" spans="1:58" ht="20.100000000000001" customHeight="1">
      <c r="A417" s="193">
        <v>72</v>
      </c>
      <c r="B417" s="56" t="s">
        <v>2308</v>
      </c>
      <c r="C417" s="78" t="s">
        <v>51</v>
      </c>
      <c r="D417" s="103">
        <f>F417+E417</f>
        <v>9.0400000000000009</v>
      </c>
      <c r="E417" s="103">
        <v>0.38</v>
      </c>
      <c r="F417" s="103">
        <f>SUM(G417:K417,O417:AR417)</f>
        <v>8.66</v>
      </c>
      <c r="G417" s="103">
        <v>0.4</v>
      </c>
      <c r="H417" s="103">
        <v>0</v>
      </c>
      <c r="I417" s="103">
        <v>3.66</v>
      </c>
      <c r="J417" s="103">
        <v>0</v>
      </c>
      <c r="K417" s="103">
        <v>4.5999999999999996</v>
      </c>
      <c r="L417" s="103">
        <v>0</v>
      </c>
      <c r="M417" s="103">
        <v>4.5999999999999996</v>
      </c>
      <c r="N417" s="103">
        <v>0</v>
      </c>
      <c r="O417" s="103">
        <v>0</v>
      </c>
      <c r="P417" s="103">
        <v>0</v>
      </c>
      <c r="Q417" s="103">
        <v>0</v>
      </c>
      <c r="R417" s="103">
        <v>0</v>
      </c>
      <c r="S417" s="103">
        <v>0</v>
      </c>
      <c r="T417" s="103">
        <v>0</v>
      </c>
      <c r="U417" s="103">
        <v>0</v>
      </c>
      <c r="V417" s="103">
        <v>0</v>
      </c>
      <c r="W417" s="103">
        <v>0</v>
      </c>
      <c r="X417" s="103">
        <v>0</v>
      </c>
      <c r="Y417" s="103">
        <v>0</v>
      </c>
      <c r="Z417" s="103">
        <v>0</v>
      </c>
      <c r="AA417" s="103">
        <v>0</v>
      </c>
      <c r="AB417" s="103">
        <v>0</v>
      </c>
      <c r="AC417" s="103">
        <v>0</v>
      </c>
      <c r="AD417" s="103">
        <v>0</v>
      </c>
      <c r="AE417" s="103">
        <v>0</v>
      </c>
      <c r="AF417" s="103">
        <v>0</v>
      </c>
      <c r="AG417" s="103">
        <v>0</v>
      </c>
      <c r="AH417" s="103">
        <v>0</v>
      </c>
      <c r="AI417" s="103">
        <v>0</v>
      </c>
      <c r="AJ417" s="103">
        <v>0</v>
      </c>
      <c r="AK417" s="103">
        <v>0</v>
      </c>
      <c r="AL417" s="103">
        <v>0</v>
      </c>
      <c r="AM417" s="103">
        <v>0</v>
      </c>
      <c r="AN417" s="103">
        <v>0</v>
      </c>
      <c r="AO417" s="103">
        <v>0</v>
      </c>
      <c r="AP417" s="103">
        <v>0</v>
      </c>
      <c r="AQ417" s="103">
        <v>0</v>
      </c>
      <c r="AR417" s="103">
        <v>0</v>
      </c>
      <c r="AS417" s="103">
        <v>0</v>
      </c>
      <c r="AT417" s="34" t="s">
        <v>860</v>
      </c>
      <c r="AU417" s="34" t="s">
        <v>615</v>
      </c>
      <c r="AV417" s="140"/>
      <c r="AW417" s="140"/>
      <c r="AX417" s="63" t="s">
        <v>1970</v>
      </c>
      <c r="AY417" s="140" t="s">
        <v>1917</v>
      </c>
      <c r="AZ417" s="63" t="s">
        <v>1924</v>
      </c>
      <c r="BF417" s="15">
        <v>1</v>
      </c>
    </row>
    <row r="418" spans="1:58" ht="15.75" hidden="1" customHeight="1">
      <c r="A418" s="193"/>
      <c r="B418" s="60" t="s">
        <v>2309</v>
      </c>
      <c r="C418" s="78"/>
      <c r="D418" s="103"/>
      <c r="E418" s="103"/>
      <c r="F418" s="103">
        <v>3</v>
      </c>
      <c r="G418" s="103"/>
      <c r="H418" s="103"/>
      <c r="I418" s="103"/>
      <c r="J418" s="103"/>
      <c r="K418" s="103"/>
      <c r="L418" s="103"/>
      <c r="M418" s="103"/>
      <c r="N418" s="103"/>
      <c r="O418" s="103"/>
      <c r="P418" s="103"/>
      <c r="Q418" s="103"/>
      <c r="R418" s="103"/>
      <c r="S418" s="103"/>
      <c r="T418" s="103"/>
      <c r="U418" s="103"/>
      <c r="V418" s="103"/>
      <c r="W418" s="103"/>
      <c r="X418" s="103"/>
      <c r="Y418" s="103"/>
      <c r="Z418" s="103"/>
      <c r="AA418" s="103"/>
      <c r="AB418" s="103"/>
      <c r="AC418" s="103"/>
      <c r="AD418" s="103"/>
      <c r="AE418" s="103"/>
      <c r="AF418" s="103"/>
      <c r="AG418" s="103"/>
      <c r="AH418" s="103"/>
      <c r="AI418" s="103"/>
      <c r="AJ418" s="103"/>
      <c r="AK418" s="103"/>
      <c r="AL418" s="103"/>
      <c r="AM418" s="103"/>
      <c r="AN418" s="103"/>
      <c r="AO418" s="103"/>
      <c r="AP418" s="103"/>
      <c r="AQ418" s="103"/>
      <c r="AR418" s="103"/>
      <c r="AS418" s="103"/>
      <c r="AT418" s="34" t="s">
        <v>222</v>
      </c>
      <c r="AU418" s="34" t="s">
        <v>471</v>
      </c>
      <c r="AV418" s="140"/>
      <c r="AW418" s="140"/>
      <c r="AX418" s="63"/>
      <c r="AY418" s="34" t="s">
        <v>1923</v>
      </c>
      <c r="AZ418" s="39" t="s">
        <v>2310</v>
      </c>
      <c r="BA418" s="218" t="s">
        <v>2311</v>
      </c>
    </row>
    <row r="419" spans="1:58" ht="15.75" hidden="1" customHeight="1">
      <c r="A419" s="220"/>
      <c r="B419" s="125" t="s">
        <v>2312</v>
      </c>
      <c r="C419" s="78"/>
      <c r="D419" s="103"/>
      <c r="E419" s="103"/>
      <c r="F419" s="103">
        <v>1.19</v>
      </c>
      <c r="G419" s="103"/>
      <c r="H419" s="103"/>
      <c r="I419" s="103"/>
      <c r="J419" s="103"/>
      <c r="K419" s="103"/>
      <c r="L419" s="103"/>
      <c r="M419" s="103"/>
      <c r="N419" s="103"/>
      <c r="O419" s="103"/>
      <c r="P419" s="103"/>
      <c r="Q419" s="103"/>
      <c r="R419" s="103"/>
      <c r="S419" s="103"/>
      <c r="T419" s="103"/>
      <c r="U419" s="103"/>
      <c r="V419" s="103"/>
      <c r="W419" s="103"/>
      <c r="X419" s="103"/>
      <c r="Y419" s="103"/>
      <c r="Z419" s="103"/>
      <c r="AA419" s="103"/>
      <c r="AB419" s="103"/>
      <c r="AC419" s="103"/>
      <c r="AD419" s="103"/>
      <c r="AE419" s="103"/>
      <c r="AF419" s="103"/>
      <c r="AG419" s="103"/>
      <c r="AH419" s="103"/>
      <c r="AI419" s="103"/>
      <c r="AJ419" s="103"/>
      <c r="AK419" s="103"/>
      <c r="AL419" s="103"/>
      <c r="AM419" s="103"/>
      <c r="AN419" s="103"/>
      <c r="AO419" s="103"/>
      <c r="AP419" s="103"/>
      <c r="AQ419" s="103"/>
      <c r="AR419" s="103"/>
      <c r="AS419" s="103"/>
      <c r="AT419" s="34" t="s">
        <v>225</v>
      </c>
      <c r="AU419" s="34" t="s">
        <v>1349</v>
      </c>
      <c r="AV419" s="140"/>
      <c r="AW419" s="140"/>
      <c r="AX419" s="63"/>
      <c r="AY419" s="140" t="s">
        <v>1917</v>
      </c>
      <c r="AZ419" s="63" t="s">
        <v>1924</v>
      </c>
    </row>
    <row r="420" spans="1:58" ht="31.5" hidden="1" customHeight="1">
      <c r="A420" s="193"/>
      <c r="B420" s="56" t="s">
        <v>839</v>
      </c>
      <c r="C420" s="78"/>
      <c r="D420" s="103"/>
      <c r="E420" s="103"/>
      <c r="F420" s="103">
        <v>0.4</v>
      </c>
      <c r="G420" s="103"/>
      <c r="H420" s="103"/>
      <c r="I420" s="103"/>
      <c r="J420" s="103"/>
      <c r="K420" s="103"/>
      <c r="L420" s="103"/>
      <c r="M420" s="103"/>
      <c r="N420" s="103"/>
      <c r="O420" s="103"/>
      <c r="P420" s="103"/>
      <c r="Q420" s="103"/>
      <c r="R420" s="103"/>
      <c r="S420" s="103"/>
      <c r="T420" s="103"/>
      <c r="U420" s="103"/>
      <c r="V420" s="103"/>
      <c r="W420" s="103"/>
      <c r="X420" s="103"/>
      <c r="Y420" s="103"/>
      <c r="Z420" s="103"/>
      <c r="AA420" s="103"/>
      <c r="AB420" s="103"/>
      <c r="AC420" s="103"/>
      <c r="AD420" s="103"/>
      <c r="AE420" s="103"/>
      <c r="AF420" s="103"/>
      <c r="AG420" s="103"/>
      <c r="AH420" s="103"/>
      <c r="AI420" s="103"/>
      <c r="AJ420" s="103"/>
      <c r="AK420" s="103"/>
      <c r="AL420" s="103"/>
      <c r="AM420" s="103"/>
      <c r="AN420" s="103"/>
      <c r="AO420" s="103"/>
      <c r="AP420" s="103"/>
      <c r="AQ420" s="103"/>
      <c r="AR420" s="103"/>
      <c r="AS420" s="103"/>
      <c r="AT420" s="47" t="s">
        <v>240</v>
      </c>
      <c r="AU420" s="34" t="s">
        <v>305</v>
      </c>
      <c r="AV420" s="140"/>
      <c r="AW420" s="140"/>
      <c r="AX420" s="63"/>
      <c r="AY420" s="34" t="s">
        <v>1923</v>
      </c>
      <c r="AZ420" s="63" t="s">
        <v>2313</v>
      </c>
      <c r="BA420" s="15" t="s">
        <v>12</v>
      </c>
    </row>
    <row r="421" spans="1:58" ht="15.75" hidden="1" customHeight="1">
      <c r="A421" s="193"/>
      <c r="B421" s="56" t="s">
        <v>2314</v>
      </c>
      <c r="C421" s="78"/>
      <c r="D421" s="103"/>
      <c r="E421" s="103"/>
      <c r="F421" s="103">
        <v>0.4</v>
      </c>
      <c r="G421" s="103"/>
      <c r="H421" s="103"/>
      <c r="I421" s="103"/>
      <c r="J421" s="103"/>
      <c r="K421" s="103"/>
      <c r="L421" s="103"/>
      <c r="M421" s="103"/>
      <c r="N421" s="103"/>
      <c r="O421" s="103"/>
      <c r="P421" s="103"/>
      <c r="Q421" s="103"/>
      <c r="R421" s="103"/>
      <c r="S421" s="103"/>
      <c r="T421" s="103"/>
      <c r="U421" s="103"/>
      <c r="V421" s="103"/>
      <c r="W421" s="103"/>
      <c r="X421" s="103"/>
      <c r="Y421" s="103"/>
      <c r="Z421" s="103"/>
      <c r="AA421" s="103"/>
      <c r="AB421" s="103"/>
      <c r="AC421" s="103"/>
      <c r="AD421" s="103"/>
      <c r="AE421" s="103"/>
      <c r="AF421" s="103"/>
      <c r="AG421" s="103"/>
      <c r="AH421" s="103"/>
      <c r="AI421" s="103"/>
      <c r="AJ421" s="103"/>
      <c r="AK421" s="103"/>
      <c r="AL421" s="103"/>
      <c r="AM421" s="103"/>
      <c r="AN421" s="103"/>
      <c r="AO421" s="103"/>
      <c r="AP421" s="103"/>
      <c r="AQ421" s="103"/>
      <c r="AR421" s="103"/>
      <c r="AS421" s="103"/>
      <c r="AT421" s="34" t="s">
        <v>983</v>
      </c>
      <c r="AU421" s="34" t="s">
        <v>724</v>
      </c>
      <c r="AV421" s="140"/>
      <c r="AW421" s="140"/>
      <c r="AX421" s="63"/>
      <c r="AY421" s="140" t="s">
        <v>1923</v>
      </c>
      <c r="AZ421" s="63" t="s">
        <v>1943</v>
      </c>
      <c r="BA421" s="64"/>
      <c r="BB421" s="15" t="s">
        <v>2315</v>
      </c>
    </row>
    <row r="422" spans="1:58" s="61" customFormat="1" ht="15.75" hidden="1" customHeight="1">
      <c r="A422" s="220"/>
      <c r="B422" s="56" t="s">
        <v>2316</v>
      </c>
      <c r="C422" s="78"/>
      <c r="D422" s="103"/>
      <c r="E422" s="103"/>
      <c r="F422" s="103">
        <v>0.52</v>
      </c>
      <c r="G422" s="103"/>
      <c r="H422" s="103"/>
      <c r="I422" s="103"/>
      <c r="J422" s="103"/>
      <c r="K422" s="103"/>
      <c r="L422" s="103"/>
      <c r="M422" s="103"/>
      <c r="N422" s="103"/>
      <c r="O422" s="103"/>
      <c r="P422" s="103"/>
      <c r="Q422" s="103"/>
      <c r="R422" s="103"/>
      <c r="S422" s="103"/>
      <c r="T422" s="103"/>
      <c r="U422" s="103"/>
      <c r="V422" s="103"/>
      <c r="W422" s="103"/>
      <c r="X422" s="103"/>
      <c r="Y422" s="103"/>
      <c r="Z422" s="103"/>
      <c r="AA422" s="103"/>
      <c r="AB422" s="103"/>
      <c r="AC422" s="103"/>
      <c r="AD422" s="103"/>
      <c r="AE422" s="103"/>
      <c r="AF422" s="103"/>
      <c r="AG422" s="103"/>
      <c r="AH422" s="103"/>
      <c r="AI422" s="103"/>
      <c r="AJ422" s="103"/>
      <c r="AK422" s="103"/>
      <c r="AL422" s="103"/>
      <c r="AM422" s="103"/>
      <c r="AN422" s="103"/>
      <c r="AO422" s="103"/>
      <c r="AP422" s="103"/>
      <c r="AQ422" s="103"/>
      <c r="AR422" s="103"/>
      <c r="AS422" s="103"/>
      <c r="AT422" s="34" t="s">
        <v>227</v>
      </c>
      <c r="AU422" s="34" t="s">
        <v>401</v>
      </c>
      <c r="AV422" s="140"/>
      <c r="AW422" s="140"/>
      <c r="AX422" s="63"/>
      <c r="AY422" s="140" t="s">
        <v>1986</v>
      </c>
      <c r="AZ422" s="63"/>
      <c r="BA422" s="15" t="s">
        <v>2317</v>
      </c>
    </row>
    <row r="423" spans="1:58" ht="15.75" hidden="1" customHeight="1">
      <c r="A423" s="193"/>
      <c r="B423" s="60" t="s">
        <v>2318</v>
      </c>
      <c r="C423" s="78"/>
      <c r="D423" s="103"/>
      <c r="E423" s="103"/>
      <c r="F423" s="231">
        <v>0.1</v>
      </c>
      <c r="G423" s="103"/>
      <c r="H423" s="103"/>
      <c r="I423" s="103"/>
      <c r="J423" s="103"/>
      <c r="K423" s="103"/>
      <c r="L423" s="103"/>
      <c r="M423" s="103"/>
      <c r="N423" s="103"/>
      <c r="O423" s="103"/>
      <c r="P423" s="103"/>
      <c r="Q423" s="103"/>
      <c r="R423" s="103"/>
      <c r="S423" s="103"/>
      <c r="T423" s="103"/>
      <c r="U423" s="103"/>
      <c r="V423" s="103"/>
      <c r="W423" s="103"/>
      <c r="X423" s="103"/>
      <c r="Y423" s="103"/>
      <c r="Z423" s="103"/>
      <c r="AA423" s="103"/>
      <c r="AB423" s="103"/>
      <c r="AC423" s="103"/>
      <c r="AD423" s="103"/>
      <c r="AE423" s="103"/>
      <c r="AF423" s="103"/>
      <c r="AG423" s="103"/>
      <c r="AH423" s="103"/>
      <c r="AI423" s="103"/>
      <c r="AJ423" s="103"/>
      <c r="AK423" s="103"/>
      <c r="AL423" s="103"/>
      <c r="AM423" s="103"/>
      <c r="AN423" s="103"/>
      <c r="AO423" s="103"/>
      <c r="AP423" s="103"/>
      <c r="AQ423" s="103"/>
      <c r="AR423" s="103"/>
      <c r="AS423" s="103"/>
      <c r="AT423" s="34" t="s">
        <v>228</v>
      </c>
      <c r="AU423" s="34" t="s">
        <v>1145</v>
      </c>
      <c r="AV423" s="140"/>
      <c r="AW423" s="140"/>
      <c r="AX423" s="63"/>
      <c r="AY423" s="140" t="s">
        <v>1923</v>
      </c>
      <c r="AZ423" s="63" t="s">
        <v>1924</v>
      </c>
    </row>
    <row r="424" spans="1:58" ht="15.75" hidden="1" customHeight="1">
      <c r="A424" s="193"/>
      <c r="B424" s="60" t="s">
        <v>2319</v>
      </c>
      <c r="C424" s="78"/>
      <c r="D424" s="103"/>
      <c r="E424" s="103"/>
      <c r="F424" s="231">
        <v>0.19</v>
      </c>
      <c r="G424" s="103"/>
      <c r="H424" s="103"/>
      <c r="I424" s="103"/>
      <c r="J424" s="103"/>
      <c r="K424" s="103"/>
      <c r="L424" s="103"/>
      <c r="M424" s="103"/>
      <c r="N424" s="103"/>
      <c r="O424" s="103"/>
      <c r="P424" s="103"/>
      <c r="Q424" s="103"/>
      <c r="R424" s="103"/>
      <c r="S424" s="103"/>
      <c r="T424" s="103"/>
      <c r="U424" s="103"/>
      <c r="V424" s="103"/>
      <c r="W424" s="103"/>
      <c r="X424" s="103"/>
      <c r="Y424" s="103"/>
      <c r="Z424" s="103"/>
      <c r="AA424" s="103"/>
      <c r="AB424" s="103"/>
      <c r="AC424" s="103"/>
      <c r="AD424" s="103"/>
      <c r="AE424" s="103"/>
      <c r="AF424" s="103"/>
      <c r="AG424" s="103"/>
      <c r="AH424" s="103"/>
      <c r="AI424" s="103"/>
      <c r="AJ424" s="103"/>
      <c r="AK424" s="103"/>
      <c r="AL424" s="103"/>
      <c r="AM424" s="103"/>
      <c r="AN424" s="103"/>
      <c r="AO424" s="103"/>
      <c r="AP424" s="103"/>
      <c r="AQ424" s="103"/>
      <c r="AR424" s="103"/>
      <c r="AS424" s="103"/>
      <c r="AT424" s="34" t="s">
        <v>228</v>
      </c>
      <c r="AU424" s="34" t="s">
        <v>2320</v>
      </c>
      <c r="AV424" s="140"/>
      <c r="AW424" s="140"/>
      <c r="AX424" s="63"/>
      <c r="AY424" s="140" t="s">
        <v>1923</v>
      </c>
      <c r="AZ424" s="63" t="s">
        <v>1924</v>
      </c>
    </row>
    <row r="425" spans="1:58" ht="15.75" hidden="1" customHeight="1">
      <c r="A425" s="193"/>
      <c r="B425" s="60" t="s">
        <v>2321</v>
      </c>
      <c r="C425" s="78"/>
      <c r="D425" s="103"/>
      <c r="E425" s="103"/>
      <c r="F425" s="231">
        <v>0.06</v>
      </c>
      <c r="G425" s="103"/>
      <c r="H425" s="103"/>
      <c r="I425" s="103"/>
      <c r="J425" s="103"/>
      <c r="K425" s="103"/>
      <c r="L425" s="103"/>
      <c r="M425" s="103"/>
      <c r="N425" s="103"/>
      <c r="O425" s="103"/>
      <c r="P425" s="103"/>
      <c r="Q425" s="103"/>
      <c r="R425" s="103"/>
      <c r="S425" s="103"/>
      <c r="T425" s="103"/>
      <c r="U425" s="103"/>
      <c r="V425" s="103"/>
      <c r="W425" s="103"/>
      <c r="X425" s="103"/>
      <c r="Y425" s="103"/>
      <c r="Z425" s="103"/>
      <c r="AA425" s="103"/>
      <c r="AB425" s="103"/>
      <c r="AC425" s="103"/>
      <c r="AD425" s="103"/>
      <c r="AE425" s="103"/>
      <c r="AF425" s="103"/>
      <c r="AG425" s="103"/>
      <c r="AH425" s="103"/>
      <c r="AI425" s="103"/>
      <c r="AJ425" s="103"/>
      <c r="AK425" s="103"/>
      <c r="AL425" s="103"/>
      <c r="AM425" s="103"/>
      <c r="AN425" s="103"/>
      <c r="AO425" s="103"/>
      <c r="AP425" s="103"/>
      <c r="AQ425" s="103"/>
      <c r="AR425" s="103"/>
      <c r="AS425" s="103"/>
      <c r="AT425" s="34" t="s">
        <v>228</v>
      </c>
      <c r="AU425" s="34" t="s">
        <v>1143</v>
      </c>
      <c r="AV425" s="140"/>
      <c r="AW425" s="140"/>
      <c r="AX425" s="63"/>
      <c r="AY425" s="140" t="s">
        <v>1923</v>
      </c>
      <c r="AZ425" s="63" t="s">
        <v>1924</v>
      </c>
    </row>
    <row r="426" spans="1:58" ht="15.75" hidden="1" customHeight="1">
      <c r="A426" s="193"/>
      <c r="B426" s="60" t="s">
        <v>2322</v>
      </c>
      <c r="C426" s="78"/>
      <c r="D426" s="103"/>
      <c r="E426" s="103"/>
      <c r="F426" s="231">
        <v>0.1</v>
      </c>
      <c r="G426" s="103"/>
      <c r="H426" s="103"/>
      <c r="I426" s="103"/>
      <c r="J426" s="103"/>
      <c r="K426" s="103"/>
      <c r="L426" s="103"/>
      <c r="M426" s="103"/>
      <c r="N426" s="103"/>
      <c r="O426" s="103"/>
      <c r="P426" s="103"/>
      <c r="Q426" s="103"/>
      <c r="R426" s="103"/>
      <c r="S426" s="103"/>
      <c r="T426" s="103"/>
      <c r="U426" s="103"/>
      <c r="V426" s="103"/>
      <c r="W426" s="103"/>
      <c r="X426" s="103"/>
      <c r="Y426" s="103"/>
      <c r="Z426" s="103"/>
      <c r="AA426" s="103"/>
      <c r="AB426" s="103"/>
      <c r="AC426" s="103"/>
      <c r="AD426" s="103"/>
      <c r="AE426" s="103"/>
      <c r="AF426" s="103"/>
      <c r="AG426" s="103"/>
      <c r="AH426" s="103"/>
      <c r="AI426" s="103"/>
      <c r="AJ426" s="103"/>
      <c r="AK426" s="103"/>
      <c r="AL426" s="103"/>
      <c r="AM426" s="103"/>
      <c r="AN426" s="103"/>
      <c r="AO426" s="103"/>
      <c r="AP426" s="103"/>
      <c r="AQ426" s="103"/>
      <c r="AR426" s="103"/>
      <c r="AS426" s="103"/>
      <c r="AT426" s="34" t="s">
        <v>228</v>
      </c>
      <c r="AU426" s="34" t="s">
        <v>1147</v>
      </c>
      <c r="AV426" s="140"/>
      <c r="AW426" s="140"/>
      <c r="AX426" s="63"/>
      <c r="AY426" s="140" t="s">
        <v>1917</v>
      </c>
      <c r="AZ426" s="63" t="s">
        <v>1924</v>
      </c>
    </row>
    <row r="427" spans="1:58" ht="15.75" hidden="1" customHeight="1">
      <c r="A427" s="193"/>
      <c r="B427" s="60" t="s">
        <v>2323</v>
      </c>
      <c r="C427" s="78"/>
      <c r="D427" s="103"/>
      <c r="E427" s="103"/>
      <c r="F427" s="231">
        <v>0.16</v>
      </c>
      <c r="G427" s="103"/>
      <c r="H427" s="103"/>
      <c r="I427" s="103"/>
      <c r="J427" s="103"/>
      <c r="K427" s="103"/>
      <c r="L427" s="103"/>
      <c r="M427" s="103"/>
      <c r="N427" s="103"/>
      <c r="O427" s="103"/>
      <c r="P427" s="103"/>
      <c r="Q427" s="103"/>
      <c r="R427" s="103"/>
      <c r="S427" s="103"/>
      <c r="T427" s="103"/>
      <c r="U427" s="103"/>
      <c r="V427" s="103"/>
      <c r="W427" s="103"/>
      <c r="X427" s="103"/>
      <c r="Y427" s="103"/>
      <c r="Z427" s="103"/>
      <c r="AA427" s="103"/>
      <c r="AB427" s="103"/>
      <c r="AC427" s="103"/>
      <c r="AD427" s="103"/>
      <c r="AE427" s="103"/>
      <c r="AF427" s="103"/>
      <c r="AG427" s="103"/>
      <c r="AH427" s="103"/>
      <c r="AI427" s="103"/>
      <c r="AJ427" s="103"/>
      <c r="AK427" s="103"/>
      <c r="AL427" s="103"/>
      <c r="AM427" s="103"/>
      <c r="AN427" s="103"/>
      <c r="AO427" s="103"/>
      <c r="AP427" s="103"/>
      <c r="AQ427" s="103"/>
      <c r="AR427" s="103"/>
      <c r="AS427" s="103"/>
      <c r="AT427" s="34" t="s">
        <v>228</v>
      </c>
      <c r="AU427" s="34" t="s">
        <v>1149</v>
      </c>
      <c r="AV427" s="140"/>
      <c r="AW427" s="140"/>
      <c r="AX427" s="63"/>
      <c r="AY427" s="140" t="s">
        <v>1923</v>
      </c>
      <c r="AZ427" s="63" t="s">
        <v>1924</v>
      </c>
    </row>
    <row r="428" spans="1:58" ht="15.75" hidden="1" customHeight="1">
      <c r="A428" s="193"/>
      <c r="B428" s="56" t="s">
        <v>2324</v>
      </c>
      <c r="C428" s="78"/>
      <c r="D428" s="103"/>
      <c r="E428" s="103"/>
      <c r="F428" s="103">
        <v>2</v>
      </c>
      <c r="G428" s="103"/>
      <c r="H428" s="103"/>
      <c r="I428" s="103"/>
      <c r="J428" s="103"/>
      <c r="K428" s="103"/>
      <c r="L428" s="103"/>
      <c r="M428" s="103"/>
      <c r="N428" s="103"/>
      <c r="O428" s="103"/>
      <c r="P428" s="103"/>
      <c r="Q428" s="103"/>
      <c r="R428" s="103"/>
      <c r="S428" s="103"/>
      <c r="T428" s="103"/>
      <c r="U428" s="103"/>
      <c r="V428" s="103"/>
      <c r="W428" s="103"/>
      <c r="X428" s="103"/>
      <c r="Y428" s="103"/>
      <c r="Z428" s="103"/>
      <c r="AA428" s="103"/>
      <c r="AB428" s="103"/>
      <c r="AC428" s="103"/>
      <c r="AD428" s="103"/>
      <c r="AE428" s="103"/>
      <c r="AF428" s="103"/>
      <c r="AG428" s="103"/>
      <c r="AH428" s="103"/>
      <c r="AI428" s="103"/>
      <c r="AJ428" s="103"/>
      <c r="AK428" s="103"/>
      <c r="AL428" s="103"/>
      <c r="AM428" s="103"/>
      <c r="AN428" s="103"/>
      <c r="AO428" s="103"/>
      <c r="AP428" s="103"/>
      <c r="AQ428" s="103"/>
      <c r="AR428" s="103"/>
      <c r="AS428" s="103"/>
      <c r="AT428" s="34" t="s">
        <v>231</v>
      </c>
      <c r="AU428" s="34" t="s">
        <v>451</v>
      </c>
      <c r="AV428" s="140"/>
      <c r="AW428" s="140"/>
      <c r="AX428" s="63"/>
      <c r="AY428" s="140" t="s">
        <v>1923</v>
      </c>
      <c r="AZ428" s="39" t="s">
        <v>1924</v>
      </c>
    </row>
    <row r="429" spans="1:58" ht="15.75" hidden="1" customHeight="1">
      <c r="A429" s="193"/>
      <c r="B429" s="56" t="s">
        <v>2325</v>
      </c>
      <c r="C429" s="78" t="s">
        <v>51</v>
      </c>
      <c r="D429" s="103">
        <v>0.86</v>
      </c>
      <c r="E429" s="103">
        <v>0.38</v>
      </c>
      <c r="F429" s="103">
        <v>0.48</v>
      </c>
      <c r="G429" s="103"/>
      <c r="H429" s="103"/>
      <c r="I429" s="103"/>
      <c r="J429" s="103"/>
      <c r="K429" s="103"/>
      <c r="L429" s="103"/>
      <c r="M429" s="103"/>
      <c r="N429" s="103"/>
      <c r="O429" s="103"/>
      <c r="P429" s="103"/>
      <c r="Q429" s="103"/>
      <c r="R429" s="103"/>
      <c r="S429" s="103"/>
      <c r="T429" s="103"/>
      <c r="U429" s="103"/>
      <c r="V429" s="103"/>
      <c r="W429" s="103"/>
      <c r="X429" s="103"/>
      <c r="Y429" s="103"/>
      <c r="Z429" s="103"/>
      <c r="AA429" s="103"/>
      <c r="AB429" s="103"/>
      <c r="AC429" s="103"/>
      <c r="AD429" s="103"/>
      <c r="AE429" s="103"/>
      <c r="AF429" s="103"/>
      <c r="AG429" s="103"/>
      <c r="AH429" s="103"/>
      <c r="AI429" s="103"/>
      <c r="AJ429" s="103"/>
      <c r="AK429" s="103"/>
      <c r="AL429" s="103"/>
      <c r="AM429" s="103"/>
      <c r="AN429" s="103"/>
      <c r="AO429" s="103"/>
      <c r="AP429" s="103"/>
      <c r="AQ429" s="103"/>
      <c r="AR429" s="103"/>
      <c r="AS429" s="103"/>
      <c r="AT429" s="34" t="s">
        <v>232</v>
      </c>
      <c r="AU429" s="34" t="s">
        <v>425</v>
      </c>
      <c r="AV429" s="140"/>
      <c r="AW429" s="140"/>
      <c r="AX429" s="63" t="s">
        <v>1970</v>
      </c>
      <c r="AY429" s="140" t="s">
        <v>1923</v>
      </c>
      <c r="AZ429" s="63" t="s">
        <v>1931</v>
      </c>
    </row>
    <row r="430" spans="1:58" ht="15.75" hidden="1" customHeight="1">
      <c r="A430" s="220"/>
      <c r="B430" s="56" t="s">
        <v>2326</v>
      </c>
      <c r="C430" s="78"/>
      <c r="D430" s="103"/>
      <c r="E430" s="103"/>
      <c r="F430" s="103">
        <v>0.7</v>
      </c>
      <c r="G430" s="103"/>
      <c r="H430" s="103"/>
      <c r="I430" s="103"/>
      <c r="J430" s="103"/>
      <c r="K430" s="103"/>
      <c r="L430" s="103"/>
      <c r="M430" s="103"/>
      <c r="N430" s="103"/>
      <c r="O430" s="103"/>
      <c r="P430" s="103"/>
      <c r="Q430" s="103"/>
      <c r="R430" s="103"/>
      <c r="S430" s="103"/>
      <c r="T430" s="103"/>
      <c r="U430" s="103"/>
      <c r="V430" s="103"/>
      <c r="W430" s="103"/>
      <c r="X430" s="103"/>
      <c r="Y430" s="103"/>
      <c r="Z430" s="103"/>
      <c r="AA430" s="103"/>
      <c r="AB430" s="103"/>
      <c r="AC430" s="103"/>
      <c r="AD430" s="103"/>
      <c r="AE430" s="103"/>
      <c r="AF430" s="103"/>
      <c r="AG430" s="103"/>
      <c r="AH430" s="103"/>
      <c r="AI430" s="103"/>
      <c r="AJ430" s="103"/>
      <c r="AK430" s="103"/>
      <c r="AL430" s="103"/>
      <c r="AM430" s="103"/>
      <c r="AN430" s="103"/>
      <c r="AO430" s="103"/>
      <c r="AP430" s="103"/>
      <c r="AQ430" s="103"/>
      <c r="AR430" s="103"/>
      <c r="AS430" s="103"/>
      <c r="AT430" s="34" t="s">
        <v>234</v>
      </c>
      <c r="AU430" s="34" t="s">
        <v>328</v>
      </c>
      <c r="AV430" s="140"/>
      <c r="AW430" s="140"/>
      <c r="AX430" s="63"/>
      <c r="AY430" s="140" t="s">
        <v>1923</v>
      </c>
      <c r="AZ430" s="63" t="s">
        <v>1924</v>
      </c>
      <c r="BA430" s="15" t="s">
        <v>2327</v>
      </c>
    </row>
    <row r="431" spans="1:58" ht="31.5" hidden="1" customHeight="1">
      <c r="A431" s="193"/>
      <c r="B431" s="56" t="s">
        <v>2328</v>
      </c>
      <c r="C431" s="78" t="s">
        <v>51</v>
      </c>
      <c r="D431" s="103">
        <f>F431+E431</f>
        <v>4.38</v>
      </c>
      <c r="E431" s="103">
        <v>0.38</v>
      </c>
      <c r="F431" s="103">
        <v>4</v>
      </c>
      <c r="G431" s="103">
        <v>0.4</v>
      </c>
      <c r="H431" s="103">
        <v>0</v>
      </c>
      <c r="I431" s="103">
        <v>3.66</v>
      </c>
      <c r="J431" s="103">
        <v>0</v>
      </c>
      <c r="K431" s="103">
        <v>4.5999999999999996</v>
      </c>
      <c r="L431" s="103">
        <v>0</v>
      </c>
      <c r="M431" s="103">
        <v>4.5999999999999996</v>
      </c>
      <c r="N431" s="103">
        <v>0</v>
      </c>
      <c r="O431" s="103">
        <v>0</v>
      </c>
      <c r="P431" s="103">
        <v>0</v>
      </c>
      <c r="Q431" s="103">
        <v>0</v>
      </c>
      <c r="R431" s="103">
        <v>0</v>
      </c>
      <c r="S431" s="103">
        <v>0</v>
      </c>
      <c r="T431" s="103">
        <v>0</v>
      </c>
      <c r="U431" s="103">
        <v>0</v>
      </c>
      <c r="V431" s="103">
        <v>0</v>
      </c>
      <c r="W431" s="103">
        <v>0</v>
      </c>
      <c r="X431" s="103">
        <v>0</v>
      </c>
      <c r="Y431" s="103">
        <v>0</v>
      </c>
      <c r="Z431" s="103">
        <v>0</v>
      </c>
      <c r="AA431" s="103">
        <v>0</v>
      </c>
      <c r="AB431" s="103">
        <v>0</v>
      </c>
      <c r="AC431" s="103">
        <v>0</v>
      </c>
      <c r="AD431" s="103">
        <v>0</v>
      </c>
      <c r="AE431" s="103">
        <v>0</v>
      </c>
      <c r="AF431" s="103">
        <v>0</v>
      </c>
      <c r="AG431" s="103">
        <v>0</v>
      </c>
      <c r="AH431" s="103">
        <v>0</v>
      </c>
      <c r="AI431" s="103">
        <v>0</v>
      </c>
      <c r="AJ431" s="103">
        <v>0</v>
      </c>
      <c r="AK431" s="103">
        <v>0</v>
      </c>
      <c r="AL431" s="103">
        <v>0</v>
      </c>
      <c r="AM431" s="103">
        <v>0</v>
      </c>
      <c r="AN431" s="103">
        <v>0</v>
      </c>
      <c r="AO431" s="103">
        <v>0</v>
      </c>
      <c r="AP431" s="103">
        <v>0</v>
      </c>
      <c r="AQ431" s="103">
        <v>0</v>
      </c>
      <c r="AR431" s="103">
        <v>0</v>
      </c>
      <c r="AS431" s="103">
        <v>0</v>
      </c>
      <c r="AT431" s="34" t="s">
        <v>235</v>
      </c>
      <c r="AU431" s="140" t="s">
        <v>2329</v>
      </c>
      <c r="AV431" s="140"/>
      <c r="AW431" s="140"/>
      <c r="AX431" s="63" t="s">
        <v>1970</v>
      </c>
      <c r="AY431" s="140" t="s">
        <v>1923</v>
      </c>
      <c r="AZ431" s="63" t="s">
        <v>2330</v>
      </c>
    </row>
    <row r="432" spans="1:58" ht="15.75" hidden="1" customHeight="1">
      <c r="A432" s="193"/>
      <c r="B432" s="56" t="s">
        <v>2331</v>
      </c>
      <c r="C432" s="78"/>
      <c r="D432" s="103"/>
      <c r="E432" s="103"/>
      <c r="F432" s="103">
        <v>1.6</v>
      </c>
      <c r="G432" s="103"/>
      <c r="H432" s="103"/>
      <c r="I432" s="103"/>
      <c r="J432" s="103"/>
      <c r="K432" s="103"/>
      <c r="L432" s="103"/>
      <c r="M432" s="103"/>
      <c r="N432" s="103"/>
      <c r="O432" s="103"/>
      <c r="P432" s="103"/>
      <c r="Q432" s="103"/>
      <c r="R432" s="103"/>
      <c r="S432" s="103"/>
      <c r="T432" s="103"/>
      <c r="U432" s="103"/>
      <c r="V432" s="103"/>
      <c r="W432" s="103"/>
      <c r="X432" s="103"/>
      <c r="Y432" s="103"/>
      <c r="Z432" s="103"/>
      <c r="AA432" s="103"/>
      <c r="AB432" s="103"/>
      <c r="AC432" s="103"/>
      <c r="AD432" s="103"/>
      <c r="AE432" s="103"/>
      <c r="AF432" s="103"/>
      <c r="AG432" s="103"/>
      <c r="AH432" s="103"/>
      <c r="AI432" s="103"/>
      <c r="AJ432" s="103"/>
      <c r="AK432" s="103"/>
      <c r="AL432" s="103"/>
      <c r="AM432" s="103"/>
      <c r="AN432" s="103"/>
      <c r="AO432" s="103"/>
      <c r="AP432" s="103"/>
      <c r="AQ432" s="103"/>
      <c r="AR432" s="103"/>
      <c r="AS432" s="103"/>
      <c r="AT432" s="34" t="s">
        <v>236</v>
      </c>
      <c r="AU432" s="34" t="s">
        <v>355</v>
      </c>
      <c r="AV432" s="140"/>
      <c r="AW432" s="140"/>
      <c r="AX432" s="63"/>
      <c r="AY432" s="140" t="s">
        <v>1923</v>
      </c>
      <c r="AZ432" s="63" t="s">
        <v>2332</v>
      </c>
    </row>
    <row r="433" spans="1:58" ht="31.5" hidden="1" customHeight="1">
      <c r="A433" s="193"/>
      <c r="B433" s="56" t="s">
        <v>2333</v>
      </c>
      <c r="C433" s="78"/>
      <c r="D433" s="103"/>
      <c r="E433" s="103"/>
      <c r="F433" s="103">
        <v>2</v>
      </c>
      <c r="G433" s="103"/>
      <c r="H433" s="103"/>
      <c r="I433" s="103"/>
      <c r="J433" s="103"/>
      <c r="K433" s="103"/>
      <c r="L433" s="103"/>
      <c r="M433" s="103"/>
      <c r="N433" s="103"/>
      <c r="O433" s="103"/>
      <c r="P433" s="103"/>
      <c r="Q433" s="103"/>
      <c r="R433" s="103"/>
      <c r="S433" s="103"/>
      <c r="T433" s="103"/>
      <c r="U433" s="103"/>
      <c r="V433" s="103"/>
      <c r="W433" s="103"/>
      <c r="X433" s="103"/>
      <c r="Y433" s="103"/>
      <c r="Z433" s="103"/>
      <c r="AA433" s="103"/>
      <c r="AB433" s="103"/>
      <c r="AC433" s="103"/>
      <c r="AD433" s="103"/>
      <c r="AE433" s="103"/>
      <c r="AF433" s="103"/>
      <c r="AG433" s="103"/>
      <c r="AH433" s="103"/>
      <c r="AI433" s="103"/>
      <c r="AJ433" s="103"/>
      <c r="AK433" s="103"/>
      <c r="AL433" s="103"/>
      <c r="AM433" s="103"/>
      <c r="AN433" s="103"/>
      <c r="AO433" s="103"/>
      <c r="AP433" s="103"/>
      <c r="AQ433" s="103"/>
      <c r="AR433" s="103"/>
      <c r="AS433" s="103"/>
      <c r="AT433" s="34" t="s">
        <v>239</v>
      </c>
      <c r="AU433" s="34" t="s">
        <v>471</v>
      </c>
      <c r="AV433" s="140"/>
      <c r="AW433" s="140"/>
      <c r="AX433" s="63"/>
      <c r="AY433" s="38" t="s">
        <v>1917</v>
      </c>
      <c r="AZ433" s="39" t="s">
        <v>2334</v>
      </c>
    </row>
    <row r="434" spans="1:58" ht="18" customHeight="1">
      <c r="A434" s="193">
        <v>73</v>
      </c>
      <c r="B434" s="56" t="s">
        <v>2335</v>
      </c>
      <c r="C434" s="78" t="s">
        <v>51</v>
      </c>
      <c r="D434" s="103">
        <f>F434+E434</f>
        <v>14.86</v>
      </c>
      <c r="E434" s="103"/>
      <c r="F434" s="103">
        <f>SUM(G434:K434,O434:AR434)</f>
        <v>14.86</v>
      </c>
      <c r="G434" s="103">
        <v>8.5100000000000016</v>
      </c>
      <c r="H434" s="103">
        <v>1.6199999999999999</v>
      </c>
      <c r="I434" s="103">
        <v>2.1</v>
      </c>
      <c r="J434" s="103">
        <v>0.95000000000000007</v>
      </c>
      <c r="K434" s="103">
        <v>1.2000000000000002</v>
      </c>
      <c r="L434" s="103">
        <v>0</v>
      </c>
      <c r="M434" s="103">
        <v>1.2000000000000002</v>
      </c>
      <c r="N434" s="103">
        <v>0</v>
      </c>
      <c r="O434" s="103">
        <v>0</v>
      </c>
      <c r="P434" s="103">
        <v>0.32</v>
      </c>
      <c r="Q434" s="103">
        <v>0</v>
      </c>
      <c r="R434" s="103">
        <v>0</v>
      </c>
      <c r="S434" s="103">
        <v>0</v>
      </c>
      <c r="T434" s="103">
        <v>0</v>
      </c>
      <c r="U434" s="103">
        <v>0</v>
      </c>
      <c r="V434" s="103">
        <v>0</v>
      </c>
      <c r="W434" s="103">
        <v>0</v>
      </c>
      <c r="X434" s="103">
        <v>0</v>
      </c>
      <c r="Y434" s="103">
        <v>0.06</v>
      </c>
      <c r="Z434" s="103">
        <v>0</v>
      </c>
      <c r="AA434" s="103">
        <v>0</v>
      </c>
      <c r="AB434" s="103">
        <v>0</v>
      </c>
      <c r="AC434" s="103">
        <v>0</v>
      </c>
      <c r="AD434" s="103">
        <v>0</v>
      </c>
      <c r="AE434" s="103">
        <v>0</v>
      </c>
      <c r="AF434" s="103">
        <v>0</v>
      </c>
      <c r="AG434" s="103">
        <v>0</v>
      </c>
      <c r="AH434" s="103">
        <v>0</v>
      </c>
      <c r="AI434" s="103">
        <v>0</v>
      </c>
      <c r="AJ434" s="103">
        <v>0</v>
      </c>
      <c r="AK434" s="103">
        <v>0</v>
      </c>
      <c r="AL434" s="103">
        <v>0</v>
      </c>
      <c r="AM434" s="103">
        <v>0</v>
      </c>
      <c r="AN434" s="103">
        <v>0.1</v>
      </c>
      <c r="AO434" s="103">
        <v>0</v>
      </c>
      <c r="AP434" s="103">
        <v>0</v>
      </c>
      <c r="AQ434" s="103">
        <v>0</v>
      </c>
      <c r="AR434" s="103">
        <v>0</v>
      </c>
      <c r="AS434" s="103">
        <v>0</v>
      </c>
      <c r="AT434" s="34" t="s">
        <v>860</v>
      </c>
      <c r="AU434" s="34" t="s">
        <v>615</v>
      </c>
      <c r="AV434" s="140"/>
      <c r="AW434" s="140"/>
      <c r="AX434" s="63" t="s">
        <v>1970</v>
      </c>
      <c r="AY434" s="140" t="s">
        <v>1917</v>
      </c>
      <c r="AZ434" s="63" t="s">
        <v>1924</v>
      </c>
      <c r="BF434" s="15">
        <v>1</v>
      </c>
    </row>
    <row r="435" spans="1:58" ht="15.75" hidden="1" customHeight="1">
      <c r="A435" s="193"/>
      <c r="B435" s="60" t="s">
        <v>2336</v>
      </c>
      <c r="C435" s="78"/>
      <c r="D435" s="103"/>
      <c r="E435" s="103"/>
      <c r="F435" s="103">
        <v>0.2</v>
      </c>
      <c r="G435" s="103"/>
      <c r="H435" s="103"/>
      <c r="I435" s="103"/>
      <c r="J435" s="103"/>
      <c r="K435" s="103"/>
      <c r="L435" s="103"/>
      <c r="M435" s="103"/>
      <c r="N435" s="103"/>
      <c r="O435" s="103"/>
      <c r="P435" s="103"/>
      <c r="Q435" s="103"/>
      <c r="R435" s="103"/>
      <c r="S435" s="103"/>
      <c r="T435" s="103"/>
      <c r="U435" s="103"/>
      <c r="V435" s="103"/>
      <c r="W435" s="103"/>
      <c r="X435" s="103"/>
      <c r="Y435" s="103"/>
      <c r="Z435" s="103"/>
      <c r="AA435" s="103"/>
      <c r="AB435" s="103"/>
      <c r="AC435" s="103"/>
      <c r="AD435" s="103"/>
      <c r="AE435" s="103"/>
      <c r="AF435" s="103"/>
      <c r="AG435" s="103"/>
      <c r="AH435" s="103"/>
      <c r="AI435" s="103"/>
      <c r="AJ435" s="103"/>
      <c r="AK435" s="103"/>
      <c r="AL435" s="103"/>
      <c r="AM435" s="103"/>
      <c r="AN435" s="103"/>
      <c r="AO435" s="103"/>
      <c r="AP435" s="103"/>
      <c r="AQ435" s="103"/>
      <c r="AR435" s="103"/>
      <c r="AS435" s="103"/>
      <c r="AT435" s="34" t="s">
        <v>289</v>
      </c>
      <c r="AU435" s="34"/>
      <c r="AV435" s="140"/>
      <c r="AW435" s="140"/>
      <c r="AX435" s="63"/>
      <c r="AY435" s="140" t="s">
        <v>1923</v>
      </c>
      <c r="AZ435" s="63" t="s">
        <v>2058</v>
      </c>
    </row>
    <row r="436" spans="1:58" ht="15.75" hidden="1" customHeight="1">
      <c r="A436" s="193"/>
      <c r="B436" s="56" t="s">
        <v>2337</v>
      </c>
      <c r="C436" s="78"/>
      <c r="D436" s="103"/>
      <c r="E436" s="103"/>
      <c r="F436" s="103">
        <v>0.1</v>
      </c>
      <c r="G436" s="103"/>
      <c r="H436" s="103"/>
      <c r="I436" s="103"/>
      <c r="J436" s="103"/>
      <c r="K436" s="103"/>
      <c r="L436" s="103"/>
      <c r="M436" s="103"/>
      <c r="N436" s="103"/>
      <c r="O436" s="103"/>
      <c r="P436" s="103"/>
      <c r="Q436" s="103"/>
      <c r="R436" s="103"/>
      <c r="S436" s="103"/>
      <c r="T436" s="103"/>
      <c r="U436" s="103"/>
      <c r="V436" s="103"/>
      <c r="W436" s="103"/>
      <c r="X436" s="103"/>
      <c r="Y436" s="103"/>
      <c r="Z436" s="103"/>
      <c r="AA436" s="103"/>
      <c r="AB436" s="103"/>
      <c r="AC436" s="103"/>
      <c r="AD436" s="103"/>
      <c r="AE436" s="103"/>
      <c r="AF436" s="103"/>
      <c r="AG436" s="103"/>
      <c r="AH436" s="103"/>
      <c r="AI436" s="103"/>
      <c r="AJ436" s="103"/>
      <c r="AK436" s="103"/>
      <c r="AL436" s="103"/>
      <c r="AM436" s="103"/>
      <c r="AN436" s="103"/>
      <c r="AO436" s="103"/>
      <c r="AP436" s="103"/>
      <c r="AQ436" s="103"/>
      <c r="AR436" s="103"/>
      <c r="AS436" s="103"/>
      <c r="AT436" s="34" t="s">
        <v>221</v>
      </c>
      <c r="AU436" s="34"/>
      <c r="AV436" s="140"/>
      <c r="AW436" s="140"/>
      <c r="AX436" s="63"/>
      <c r="AY436" s="140" t="s">
        <v>1923</v>
      </c>
      <c r="AZ436" s="63" t="s">
        <v>1924</v>
      </c>
    </row>
    <row r="437" spans="1:58" ht="15.75" hidden="1" customHeight="1">
      <c r="A437" s="220" t="s">
        <v>193</v>
      </c>
      <c r="B437" s="60" t="s">
        <v>2338</v>
      </c>
      <c r="C437" s="78" t="s">
        <v>51</v>
      </c>
      <c r="D437" s="222">
        <v>0.8</v>
      </c>
      <c r="E437" s="103"/>
      <c r="F437" s="222">
        <v>0.8</v>
      </c>
      <c r="G437" s="103"/>
      <c r="H437" s="103"/>
      <c r="I437" s="103"/>
      <c r="J437" s="103">
        <v>0.8</v>
      </c>
      <c r="K437" s="103"/>
      <c r="L437" s="103"/>
      <c r="M437" s="103"/>
      <c r="N437" s="103"/>
      <c r="O437" s="103"/>
      <c r="P437" s="103"/>
      <c r="Q437" s="103"/>
      <c r="R437" s="103"/>
      <c r="S437" s="103"/>
      <c r="T437" s="103"/>
      <c r="U437" s="103"/>
      <c r="V437" s="103"/>
      <c r="W437" s="103"/>
      <c r="X437" s="103"/>
      <c r="Y437" s="103"/>
      <c r="Z437" s="103"/>
      <c r="AA437" s="103"/>
      <c r="AB437" s="103"/>
      <c r="AC437" s="103"/>
      <c r="AD437" s="103"/>
      <c r="AE437" s="103"/>
      <c r="AF437" s="103"/>
      <c r="AG437" s="103"/>
      <c r="AH437" s="103"/>
      <c r="AI437" s="103"/>
      <c r="AJ437" s="103"/>
      <c r="AK437" s="103"/>
      <c r="AL437" s="103"/>
      <c r="AM437" s="103"/>
      <c r="AN437" s="103"/>
      <c r="AO437" s="103"/>
      <c r="AP437" s="103"/>
      <c r="AQ437" s="103"/>
      <c r="AR437" s="103"/>
      <c r="AS437" s="103"/>
      <c r="AT437" s="34" t="s">
        <v>223</v>
      </c>
      <c r="AU437" s="34"/>
      <c r="AV437" s="140"/>
      <c r="AW437" s="140"/>
      <c r="AX437" s="63"/>
      <c r="AY437" s="140" t="s">
        <v>1923</v>
      </c>
      <c r="AZ437" s="63" t="s">
        <v>1924</v>
      </c>
      <c r="BA437" s="65" t="s">
        <v>825</v>
      </c>
    </row>
    <row r="438" spans="1:58" ht="15.75" hidden="1" customHeight="1">
      <c r="A438" s="220" t="s">
        <v>193</v>
      </c>
      <c r="B438" s="60" t="s">
        <v>2339</v>
      </c>
      <c r="C438" s="78" t="s">
        <v>51</v>
      </c>
      <c r="D438" s="235">
        <v>0.08</v>
      </c>
      <c r="E438" s="103"/>
      <c r="F438" s="235">
        <v>0.08</v>
      </c>
      <c r="G438" s="103"/>
      <c r="H438" s="103"/>
      <c r="I438" s="103"/>
      <c r="J438" s="231">
        <v>0.08</v>
      </c>
      <c r="K438" s="103"/>
      <c r="L438" s="103"/>
      <c r="M438" s="103"/>
      <c r="N438" s="103"/>
      <c r="O438" s="103"/>
      <c r="P438" s="103"/>
      <c r="Q438" s="103"/>
      <c r="R438" s="103"/>
      <c r="S438" s="103"/>
      <c r="T438" s="103"/>
      <c r="U438" s="103"/>
      <c r="V438" s="103"/>
      <c r="W438" s="103"/>
      <c r="X438" s="103"/>
      <c r="Y438" s="103"/>
      <c r="Z438" s="103"/>
      <c r="AA438" s="103"/>
      <c r="AB438" s="103"/>
      <c r="AC438" s="103"/>
      <c r="AD438" s="103"/>
      <c r="AE438" s="103"/>
      <c r="AF438" s="103"/>
      <c r="AG438" s="103"/>
      <c r="AH438" s="103"/>
      <c r="AI438" s="103"/>
      <c r="AJ438" s="103"/>
      <c r="AK438" s="103"/>
      <c r="AL438" s="103"/>
      <c r="AM438" s="103"/>
      <c r="AN438" s="103"/>
      <c r="AO438" s="103"/>
      <c r="AP438" s="103"/>
      <c r="AQ438" s="103"/>
      <c r="AR438" s="103"/>
      <c r="AS438" s="103"/>
      <c r="AT438" s="34" t="s">
        <v>223</v>
      </c>
      <c r="AU438" s="34"/>
      <c r="AV438" s="140"/>
      <c r="AW438" s="140"/>
      <c r="AX438" s="63"/>
      <c r="AY438" s="140" t="s">
        <v>1923</v>
      </c>
      <c r="AZ438" s="63" t="s">
        <v>2340</v>
      </c>
      <c r="BA438" s="65"/>
    </row>
    <row r="439" spans="1:58" ht="15.75" hidden="1" customHeight="1">
      <c r="A439" s="220" t="s">
        <v>193</v>
      </c>
      <c r="B439" s="60" t="s">
        <v>2341</v>
      </c>
      <c r="C439" s="78" t="s">
        <v>51</v>
      </c>
      <c r="D439" s="235">
        <v>0.05</v>
      </c>
      <c r="E439" s="103"/>
      <c r="F439" s="235">
        <v>0.05</v>
      </c>
      <c r="G439" s="103"/>
      <c r="H439" s="103"/>
      <c r="I439" s="103"/>
      <c r="J439" s="231">
        <v>0.05</v>
      </c>
      <c r="K439" s="103"/>
      <c r="L439" s="103"/>
      <c r="M439" s="103"/>
      <c r="N439" s="103"/>
      <c r="O439" s="103"/>
      <c r="P439" s="103"/>
      <c r="Q439" s="103"/>
      <c r="R439" s="103"/>
      <c r="S439" s="103"/>
      <c r="T439" s="103"/>
      <c r="U439" s="103"/>
      <c r="V439" s="103"/>
      <c r="W439" s="103"/>
      <c r="X439" s="103"/>
      <c r="Y439" s="103"/>
      <c r="Z439" s="103"/>
      <c r="AA439" s="103"/>
      <c r="AB439" s="103"/>
      <c r="AC439" s="103"/>
      <c r="AD439" s="103"/>
      <c r="AE439" s="103"/>
      <c r="AF439" s="103"/>
      <c r="AG439" s="103"/>
      <c r="AH439" s="103"/>
      <c r="AI439" s="103"/>
      <c r="AJ439" s="103"/>
      <c r="AK439" s="103"/>
      <c r="AL439" s="103"/>
      <c r="AM439" s="103"/>
      <c r="AN439" s="103"/>
      <c r="AO439" s="103"/>
      <c r="AP439" s="103"/>
      <c r="AQ439" s="103"/>
      <c r="AR439" s="103"/>
      <c r="AS439" s="103"/>
      <c r="AT439" s="34" t="s">
        <v>223</v>
      </c>
      <c r="AU439" s="34"/>
      <c r="AV439" s="140"/>
      <c r="AW439" s="140"/>
      <c r="AX439" s="63"/>
      <c r="AY439" s="140" t="s">
        <v>1923</v>
      </c>
      <c r="AZ439" s="63" t="s">
        <v>2340</v>
      </c>
      <c r="BA439" s="65"/>
    </row>
    <row r="440" spans="1:58" ht="31.5" hidden="1" customHeight="1">
      <c r="A440" s="193"/>
      <c r="B440" s="56" t="s">
        <v>2342</v>
      </c>
      <c r="C440" s="78"/>
      <c r="D440" s="103"/>
      <c r="E440" s="103"/>
      <c r="F440" s="103">
        <v>0.1</v>
      </c>
      <c r="G440" s="103"/>
      <c r="H440" s="103"/>
      <c r="I440" s="103"/>
      <c r="J440" s="103"/>
      <c r="K440" s="103"/>
      <c r="L440" s="103"/>
      <c r="M440" s="103"/>
      <c r="N440" s="103"/>
      <c r="O440" s="103"/>
      <c r="P440" s="103"/>
      <c r="Q440" s="103"/>
      <c r="R440" s="103"/>
      <c r="S440" s="103"/>
      <c r="T440" s="103"/>
      <c r="U440" s="103"/>
      <c r="V440" s="103"/>
      <c r="W440" s="103"/>
      <c r="X440" s="103"/>
      <c r="Y440" s="103"/>
      <c r="Z440" s="103"/>
      <c r="AA440" s="103"/>
      <c r="AB440" s="103"/>
      <c r="AC440" s="103"/>
      <c r="AD440" s="103"/>
      <c r="AE440" s="103"/>
      <c r="AF440" s="103"/>
      <c r="AG440" s="103"/>
      <c r="AH440" s="103"/>
      <c r="AI440" s="103"/>
      <c r="AJ440" s="103"/>
      <c r="AK440" s="103"/>
      <c r="AL440" s="103"/>
      <c r="AM440" s="103"/>
      <c r="AN440" s="103"/>
      <c r="AO440" s="103"/>
      <c r="AP440" s="103"/>
      <c r="AQ440" s="103"/>
      <c r="AR440" s="103"/>
      <c r="AS440" s="103"/>
      <c r="AT440" s="34" t="s">
        <v>983</v>
      </c>
      <c r="AU440" s="34" t="s">
        <v>2343</v>
      </c>
      <c r="AV440" s="140"/>
      <c r="AW440" s="140"/>
      <c r="AX440" s="63"/>
      <c r="AY440" s="140" t="s">
        <v>1923</v>
      </c>
      <c r="AZ440" s="63" t="s">
        <v>2344</v>
      </c>
      <c r="BA440" s="64"/>
      <c r="BB440" s="15" t="s">
        <v>7</v>
      </c>
    </row>
    <row r="441" spans="1:58" ht="31.5" hidden="1" customHeight="1">
      <c r="A441" s="193"/>
      <c r="B441" s="56" t="s">
        <v>2345</v>
      </c>
      <c r="C441" s="78"/>
      <c r="D441" s="103"/>
      <c r="E441" s="103"/>
      <c r="F441" s="103">
        <v>0.1</v>
      </c>
      <c r="G441" s="103"/>
      <c r="H441" s="103"/>
      <c r="I441" s="103"/>
      <c r="J441" s="103"/>
      <c r="K441" s="103"/>
      <c r="L441" s="103"/>
      <c r="M441" s="103"/>
      <c r="N441" s="103"/>
      <c r="O441" s="103"/>
      <c r="P441" s="103"/>
      <c r="Q441" s="103"/>
      <c r="R441" s="103"/>
      <c r="S441" s="103"/>
      <c r="T441" s="103"/>
      <c r="U441" s="103"/>
      <c r="V441" s="103"/>
      <c r="W441" s="103"/>
      <c r="X441" s="103"/>
      <c r="Y441" s="103"/>
      <c r="Z441" s="103"/>
      <c r="AA441" s="103"/>
      <c r="AB441" s="103"/>
      <c r="AC441" s="103"/>
      <c r="AD441" s="103"/>
      <c r="AE441" s="103"/>
      <c r="AF441" s="103"/>
      <c r="AG441" s="103"/>
      <c r="AH441" s="103"/>
      <c r="AI441" s="103"/>
      <c r="AJ441" s="103"/>
      <c r="AK441" s="103"/>
      <c r="AL441" s="103"/>
      <c r="AM441" s="103"/>
      <c r="AN441" s="103"/>
      <c r="AO441" s="103"/>
      <c r="AP441" s="103"/>
      <c r="AQ441" s="103"/>
      <c r="AR441" s="103"/>
      <c r="AS441" s="103"/>
      <c r="AT441" s="34" t="s">
        <v>983</v>
      </c>
      <c r="AU441" s="34" t="s">
        <v>394</v>
      </c>
      <c r="AV441" s="140"/>
      <c r="AW441" s="140"/>
      <c r="AX441" s="63"/>
      <c r="AY441" s="140" t="s">
        <v>1923</v>
      </c>
      <c r="AZ441" s="63" t="s">
        <v>2346</v>
      </c>
      <c r="BA441" s="64"/>
      <c r="BB441" s="15" t="s">
        <v>112</v>
      </c>
    </row>
    <row r="442" spans="1:58" ht="15.75" hidden="1" customHeight="1">
      <c r="A442" s="220" t="s">
        <v>193</v>
      </c>
      <c r="B442" s="56" t="s">
        <v>2347</v>
      </c>
      <c r="C442" s="78"/>
      <c r="D442" s="103"/>
      <c r="E442" s="103"/>
      <c r="F442" s="103">
        <v>0.25</v>
      </c>
      <c r="G442" s="103"/>
      <c r="H442" s="103"/>
      <c r="I442" s="103"/>
      <c r="J442" s="103"/>
      <c r="K442" s="103"/>
      <c r="L442" s="103"/>
      <c r="M442" s="103"/>
      <c r="N442" s="103"/>
      <c r="O442" s="103"/>
      <c r="P442" s="103"/>
      <c r="Q442" s="103"/>
      <c r="R442" s="103"/>
      <c r="S442" s="103"/>
      <c r="T442" s="103"/>
      <c r="U442" s="103"/>
      <c r="V442" s="103"/>
      <c r="W442" s="103"/>
      <c r="X442" s="103"/>
      <c r="Y442" s="103"/>
      <c r="Z442" s="103"/>
      <c r="AA442" s="103"/>
      <c r="AB442" s="103"/>
      <c r="AC442" s="103"/>
      <c r="AD442" s="103"/>
      <c r="AE442" s="103"/>
      <c r="AF442" s="103"/>
      <c r="AG442" s="103"/>
      <c r="AH442" s="103"/>
      <c r="AI442" s="103"/>
      <c r="AJ442" s="103"/>
      <c r="AK442" s="103"/>
      <c r="AL442" s="103"/>
      <c r="AM442" s="103"/>
      <c r="AN442" s="103"/>
      <c r="AO442" s="103"/>
      <c r="AP442" s="103"/>
      <c r="AQ442" s="103"/>
      <c r="AR442" s="103"/>
      <c r="AS442" s="103"/>
      <c r="AT442" s="34" t="s">
        <v>227</v>
      </c>
      <c r="AU442" s="34" t="s">
        <v>666</v>
      </c>
      <c r="AV442" s="140"/>
      <c r="AW442" s="140"/>
      <c r="AX442" s="63"/>
      <c r="AY442" s="140" t="s">
        <v>1923</v>
      </c>
      <c r="AZ442" s="39" t="s">
        <v>1924</v>
      </c>
    </row>
    <row r="443" spans="1:58" ht="15.75" hidden="1" customHeight="1">
      <c r="A443" s="193"/>
      <c r="B443" s="60" t="s">
        <v>2348</v>
      </c>
      <c r="C443" s="78" t="s">
        <v>51</v>
      </c>
      <c r="D443" s="235">
        <v>0.5</v>
      </c>
      <c r="E443" s="222"/>
      <c r="F443" s="235">
        <v>0.5</v>
      </c>
      <c r="G443" s="103"/>
      <c r="H443" s="103"/>
      <c r="I443" s="103"/>
      <c r="J443" s="103"/>
      <c r="K443" s="103"/>
      <c r="L443" s="103"/>
      <c r="M443" s="103"/>
      <c r="N443" s="103"/>
      <c r="O443" s="103"/>
      <c r="P443" s="103"/>
      <c r="Q443" s="103"/>
      <c r="R443" s="103"/>
      <c r="S443" s="103"/>
      <c r="T443" s="103"/>
      <c r="U443" s="103"/>
      <c r="V443" s="103"/>
      <c r="W443" s="103"/>
      <c r="X443" s="103"/>
      <c r="Y443" s="103"/>
      <c r="Z443" s="103"/>
      <c r="AA443" s="103"/>
      <c r="AB443" s="103"/>
      <c r="AC443" s="103"/>
      <c r="AD443" s="103"/>
      <c r="AE443" s="103"/>
      <c r="AF443" s="103"/>
      <c r="AG443" s="103"/>
      <c r="AH443" s="103"/>
      <c r="AI443" s="103"/>
      <c r="AJ443" s="103"/>
      <c r="AK443" s="103"/>
      <c r="AL443" s="103"/>
      <c r="AM443" s="103"/>
      <c r="AN443" s="103"/>
      <c r="AO443" s="103"/>
      <c r="AP443" s="103"/>
      <c r="AQ443" s="103"/>
      <c r="AR443" s="103"/>
      <c r="AS443" s="103"/>
      <c r="AT443" s="34" t="s">
        <v>229</v>
      </c>
      <c r="AU443" s="34"/>
      <c r="AV443" s="140"/>
      <c r="AW443" s="140"/>
      <c r="AX443" s="63"/>
      <c r="AY443" s="34" t="s">
        <v>1923</v>
      </c>
      <c r="AZ443" s="39" t="s">
        <v>1926</v>
      </c>
    </row>
    <row r="444" spans="1:58" ht="15.75" hidden="1" customHeight="1">
      <c r="A444" s="193"/>
      <c r="B444" s="60" t="s">
        <v>2349</v>
      </c>
      <c r="C444" s="78" t="s">
        <v>51</v>
      </c>
      <c r="D444" s="235">
        <v>0.14000000000000001</v>
      </c>
      <c r="E444" s="222"/>
      <c r="F444" s="235">
        <v>0.14000000000000001</v>
      </c>
      <c r="G444" s="103"/>
      <c r="H444" s="103"/>
      <c r="I444" s="103"/>
      <c r="J444" s="103"/>
      <c r="K444" s="103"/>
      <c r="L444" s="103"/>
      <c r="M444" s="103"/>
      <c r="N444" s="103"/>
      <c r="O444" s="103"/>
      <c r="P444" s="103"/>
      <c r="Q444" s="103"/>
      <c r="R444" s="103"/>
      <c r="S444" s="103"/>
      <c r="T444" s="103"/>
      <c r="U444" s="103"/>
      <c r="V444" s="103"/>
      <c r="W444" s="103"/>
      <c r="X444" s="103"/>
      <c r="Y444" s="103"/>
      <c r="Z444" s="103"/>
      <c r="AA444" s="103"/>
      <c r="AB444" s="103"/>
      <c r="AC444" s="103"/>
      <c r="AD444" s="103"/>
      <c r="AE444" s="103"/>
      <c r="AF444" s="103"/>
      <c r="AG444" s="103"/>
      <c r="AH444" s="103"/>
      <c r="AI444" s="103"/>
      <c r="AJ444" s="103"/>
      <c r="AK444" s="103"/>
      <c r="AL444" s="103"/>
      <c r="AM444" s="103"/>
      <c r="AN444" s="103"/>
      <c r="AO444" s="103"/>
      <c r="AP444" s="103"/>
      <c r="AQ444" s="103"/>
      <c r="AR444" s="103"/>
      <c r="AS444" s="103"/>
      <c r="AT444" s="34" t="s">
        <v>229</v>
      </c>
      <c r="AU444" s="34"/>
      <c r="AV444" s="140"/>
      <c r="AW444" s="140"/>
      <c r="AX444" s="63"/>
      <c r="AY444" s="34" t="s">
        <v>1923</v>
      </c>
      <c r="AZ444" s="39" t="s">
        <v>2350</v>
      </c>
    </row>
    <row r="445" spans="1:58" ht="15.75" hidden="1" customHeight="1">
      <c r="A445" s="193"/>
      <c r="B445" s="60" t="s">
        <v>2351</v>
      </c>
      <c r="C445" s="78" t="s">
        <v>51</v>
      </c>
      <c r="D445" s="235">
        <v>0.05</v>
      </c>
      <c r="E445" s="222"/>
      <c r="F445" s="235">
        <v>0.05</v>
      </c>
      <c r="G445" s="103"/>
      <c r="H445" s="103"/>
      <c r="I445" s="103"/>
      <c r="J445" s="103"/>
      <c r="K445" s="103"/>
      <c r="L445" s="103"/>
      <c r="M445" s="103"/>
      <c r="N445" s="103"/>
      <c r="O445" s="103"/>
      <c r="P445" s="103"/>
      <c r="Q445" s="103"/>
      <c r="R445" s="103"/>
      <c r="S445" s="103"/>
      <c r="T445" s="103"/>
      <c r="U445" s="103"/>
      <c r="V445" s="103"/>
      <c r="W445" s="103"/>
      <c r="X445" s="103"/>
      <c r="Y445" s="103"/>
      <c r="Z445" s="103"/>
      <c r="AA445" s="103"/>
      <c r="AB445" s="103"/>
      <c r="AC445" s="103"/>
      <c r="AD445" s="103"/>
      <c r="AE445" s="103"/>
      <c r="AF445" s="103"/>
      <c r="AG445" s="103"/>
      <c r="AH445" s="103"/>
      <c r="AI445" s="103"/>
      <c r="AJ445" s="103"/>
      <c r="AK445" s="103"/>
      <c r="AL445" s="103"/>
      <c r="AM445" s="103"/>
      <c r="AN445" s="103"/>
      <c r="AO445" s="103"/>
      <c r="AP445" s="103"/>
      <c r="AQ445" s="103"/>
      <c r="AR445" s="103"/>
      <c r="AS445" s="103"/>
      <c r="AT445" s="34" t="s">
        <v>229</v>
      </c>
      <c r="AU445" s="34"/>
      <c r="AV445" s="140"/>
      <c r="AW445" s="140"/>
      <c r="AX445" s="63"/>
      <c r="AY445" s="34" t="s">
        <v>1923</v>
      </c>
      <c r="AZ445" s="39" t="s">
        <v>1926</v>
      </c>
    </row>
    <row r="446" spans="1:58" ht="15.75" hidden="1" customHeight="1">
      <c r="A446" s="193"/>
      <c r="B446" s="56" t="s">
        <v>2352</v>
      </c>
      <c r="C446" s="78"/>
      <c r="D446" s="103"/>
      <c r="E446" s="103"/>
      <c r="F446" s="103">
        <v>0.5</v>
      </c>
      <c r="G446" s="103"/>
      <c r="H446" s="103"/>
      <c r="I446" s="103"/>
      <c r="J446" s="103"/>
      <c r="K446" s="103"/>
      <c r="L446" s="103"/>
      <c r="M446" s="103"/>
      <c r="N446" s="103"/>
      <c r="O446" s="103"/>
      <c r="P446" s="103"/>
      <c r="Q446" s="103"/>
      <c r="R446" s="103"/>
      <c r="S446" s="103"/>
      <c r="T446" s="103"/>
      <c r="U446" s="103"/>
      <c r="V446" s="103"/>
      <c r="W446" s="103"/>
      <c r="X446" s="103"/>
      <c r="Y446" s="103"/>
      <c r="Z446" s="103"/>
      <c r="AA446" s="103"/>
      <c r="AB446" s="103"/>
      <c r="AC446" s="103"/>
      <c r="AD446" s="103"/>
      <c r="AE446" s="103"/>
      <c r="AF446" s="103"/>
      <c r="AG446" s="103"/>
      <c r="AH446" s="103"/>
      <c r="AI446" s="103"/>
      <c r="AJ446" s="103"/>
      <c r="AK446" s="103"/>
      <c r="AL446" s="103"/>
      <c r="AM446" s="103"/>
      <c r="AN446" s="103"/>
      <c r="AO446" s="103"/>
      <c r="AP446" s="103"/>
      <c r="AQ446" s="103"/>
      <c r="AR446" s="103"/>
      <c r="AS446" s="103"/>
      <c r="AT446" s="34" t="s">
        <v>230</v>
      </c>
      <c r="AU446" s="34"/>
      <c r="AV446" s="140"/>
      <c r="AW446" s="140"/>
      <c r="AX446" s="63"/>
      <c r="AY446" s="140" t="s">
        <v>1917</v>
      </c>
      <c r="AZ446" s="63" t="s">
        <v>1924</v>
      </c>
      <c r="BA446" s="65" t="s">
        <v>2353</v>
      </c>
    </row>
    <row r="447" spans="1:58" ht="15.75" hidden="1" customHeight="1">
      <c r="A447" s="193"/>
      <c r="B447" s="56" t="s">
        <v>2354</v>
      </c>
      <c r="C447" s="78"/>
      <c r="D447" s="103"/>
      <c r="E447" s="103"/>
      <c r="F447" s="103">
        <v>0.4</v>
      </c>
      <c r="G447" s="103"/>
      <c r="H447" s="103"/>
      <c r="I447" s="103"/>
      <c r="J447" s="103"/>
      <c r="K447" s="103"/>
      <c r="L447" s="103"/>
      <c r="M447" s="103"/>
      <c r="N447" s="103"/>
      <c r="O447" s="103"/>
      <c r="P447" s="103"/>
      <c r="Q447" s="103"/>
      <c r="R447" s="103"/>
      <c r="S447" s="103"/>
      <c r="T447" s="103"/>
      <c r="U447" s="103"/>
      <c r="V447" s="103"/>
      <c r="W447" s="103"/>
      <c r="X447" s="103"/>
      <c r="Y447" s="103"/>
      <c r="Z447" s="103"/>
      <c r="AA447" s="103"/>
      <c r="AB447" s="103"/>
      <c r="AC447" s="103"/>
      <c r="AD447" s="103"/>
      <c r="AE447" s="103"/>
      <c r="AF447" s="103"/>
      <c r="AG447" s="103"/>
      <c r="AH447" s="103"/>
      <c r="AI447" s="103"/>
      <c r="AJ447" s="103"/>
      <c r="AK447" s="103"/>
      <c r="AL447" s="103"/>
      <c r="AM447" s="103"/>
      <c r="AN447" s="103"/>
      <c r="AO447" s="103"/>
      <c r="AP447" s="103"/>
      <c r="AQ447" s="103"/>
      <c r="AR447" s="103"/>
      <c r="AS447" s="103"/>
      <c r="AT447" s="34" t="s">
        <v>230</v>
      </c>
      <c r="AU447" s="34"/>
      <c r="AV447" s="140"/>
      <c r="AW447" s="140"/>
      <c r="AX447" s="63"/>
      <c r="AY447" s="140" t="s">
        <v>1923</v>
      </c>
      <c r="AZ447" s="63" t="s">
        <v>2355</v>
      </c>
      <c r="BA447" s="65" t="s">
        <v>2356</v>
      </c>
    </row>
    <row r="448" spans="1:58" ht="15.75" hidden="1" customHeight="1">
      <c r="A448" s="193"/>
      <c r="B448" s="56" t="s">
        <v>2357</v>
      </c>
      <c r="C448" s="78"/>
      <c r="D448" s="103"/>
      <c r="E448" s="103"/>
      <c r="F448" s="103">
        <v>0.15</v>
      </c>
      <c r="G448" s="103"/>
      <c r="H448" s="103"/>
      <c r="I448" s="103"/>
      <c r="J448" s="103"/>
      <c r="K448" s="103"/>
      <c r="L448" s="103"/>
      <c r="M448" s="103"/>
      <c r="N448" s="103"/>
      <c r="O448" s="103"/>
      <c r="P448" s="103"/>
      <c r="Q448" s="103"/>
      <c r="R448" s="103"/>
      <c r="S448" s="103"/>
      <c r="T448" s="103"/>
      <c r="U448" s="103"/>
      <c r="V448" s="103"/>
      <c r="W448" s="103"/>
      <c r="X448" s="103"/>
      <c r="Y448" s="103"/>
      <c r="Z448" s="103"/>
      <c r="AA448" s="103"/>
      <c r="AB448" s="103"/>
      <c r="AC448" s="103"/>
      <c r="AD448" s="103"/>
      <c r="AE448" s="103"/>
      <c r="AF448" s="103"/>
      <c r="AG448" s="103"/>
      <c r="AH448" s="103"/>
      <c r="AI448" s="103"/>
      <c r="AJ448" s="103"/>
      <c r="AK448" s="103"/>
      <c r="AL448" s="103"/>
      <c r="AM448" s="103"/>
      <c r="AN448" s="103"/>
      <c r="AO448" s="103"/>
      <c r="AP448" s="103"/>
      <c r="AQ448" s="103"/>
      <c r="AR448" s="103"/>
      <c r="AS448" s="103"/>
      <c r="AT448" s="34" t="s">
        <v>231</v>
      </c>
      <c r="AU448" s="34"/>
      <c r="AV448" s="140"/>
      <c r="AW448" s="140"/>
      <c r="AX448" s="63"/>
      <c r="AY448" s="140" t="s">
        <v>1923</v>
      </c>
      <c r="AZ448" s="39" t="s">
        <v>2358</v>
      </c>
    </row>
    <row r="449" spans="1:57" ht="15.75" hidden="1" customHeight="1">
      <c r="A449" s="193"/>
      <c r="B449" s="56" t="s">
        <v>2359</v>
      </c>
      <c r="C449" s="78"/>
      <c r="D449" s="103"/>
      <c r="E449" s="103"/>
      <c r="F449" s="103">
        <v>1</v>
      </c>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E449" s="103"/>
      <c r="AF449" s="103"/>
      <c r="AG449" s="103"/>
      <c r="AH449" s="103"/>
      <c r="AI449" s="103"/>
      <c r="AJ449" s="103"/>
      <c r="AK449" s="103"/>
      <c r="AL449" s="103"/>
      <c r="AM449" s="103"/>
      <c r="AN449" s="103"/>
      <c r="AO449" s="103"/>
      <c r="AP449" s="103"/>
      <c r="AQ449" s="103"/>
      <c r="AR449" s="103"/>
      <c r="AS449" s="103"/>
      <c r="AT449" s="34" t="s">
        <v>231</v>
      </c>
      <c r="AU449" s="34"/>
      <c r="AV449" s="140"/>
      <c r="AW449" s="140"/>
      <c r="AX449" s="63"/>
      <c r="AY449" s="140" t="s">
        <v>1923</v>
      </c>
      <c r="AZ449" s="39" t="s">
        <v>1924</v>
      </c>
    </row>
    <row r="450" spans="1:57" ht="15.75" hidden="1" customHeight="1">
      <c r="A450" s="193"/>
      <c r="B450" s="56" t="s">
        <v>2360</v>
      </c>
      <c r="C450" s="78"/>
      <c r="D450" s="103"/>
      <c r="E450" s="103"/>
      <c r="F450" s="103">
        <v>0.2</v>
      </c>
      <c r="G450" s="103"/>
      <c r="H450" s="103"/>
      <c r="I450" s="103"/>
      <c r="J450" s="103"/>
      <c r="K450" s="103"/>
      <c r="L450" s="103"/>
      <c r="M450" s="103"/>
      <c r="N450" s="103"/>
      <c r="O450" s="103"/>
      <c r="P450" s="103"/>
      <c r="Q450" s="103"/>
      <c r="R450" s="103"/>
      <c r="S450" s="103"/>
      <c r="T450" s="103"/>
      <c r="U450" s="103"/>
      <c r="V450" s="103"/>
      <c r="W450" s="103"/>
      <c r="X450" s="103"/>
      <c r="Y450" s="103"/>
      <c r="Z450" s="103"/>
      <c r="AA450" s="103"/>
      <c r="AB450" s="103"/>
      <c r="AC450" s="103"/>
      <c r="AD450" s="103"/>
      <c r="AE450" s="103"/>
      <c r="AF450" s="103"/>
      <c r="AG450" s="103"/>
      <c r="AH450" s="103"/>
      <c r="AI450" s="103"/>
      <c r="AJ450" s="103"/>
      <c r="AK450" s="103"/>
      <c r="AL450" s="103"/>
      <c r="AM450" s="103"/>
      <c r="AN450" s="103"/>
      <c r="AO450" s="103"/>
      <c r="AP450" s="103"/>
      <c r="AQ450" s="103"/>
      <c r="AR450" s="103"/>
      <c r="AS450" s="103"/>
      <c r="AT450" s="34" t="s">
        <v>232</v>
      </c>
      <c r="AU450" s="34" t="s">
        <v>685</v>
      </c>
      <c r="AV450" s="140"/>
      <c r="AW450" s="140"/>
      <c r="AX450" s="63"/>
      <c r="AY450" s="140" t="s">
        <v>1923</v>
      </c>
      <c r="AZ450" s="63" t="s">
        <v>1971</v>
      </c>
    </row>
    <row r="451" spans="1:57" ht="15.75" hidden="1" customHeight="1">
      <c r="A451" s="193"/>
      <c r="B451" s="56" t="s">
        <v>2339</v>
      </c>
      <c r="C451" s="78"/>
      <c r="D451" s="103"/>
      <c r="E451" s="103"/>
      <c r="F451" s="103">
        <v>0.05</v>
      </c>
      <c r="G451" s="103"/>
      <c r="H451" s="103"/>
      <c r="I451" s="103"/>
      <c r="J451" s="103"/>
      <c r="K451" s="103"/>
      <c r="L451" s="103"/>
      <c r="M451" s="103"/>
      <c r="N451" s="103"/>
      <c r="O451" s="103"/>
      <c r="P451" s="103"/>
      <c r="Q451" s="103"/>
      <c r="R451" s="103"/>
      <c r="S451" s="103"/>
      <c r="T451" s="103"/>
      <c r="U451" s="103"/>
      <c r="V451" s="103"/>
      <c r="W451" s="103"/>
      <c r="X451" s="103"/>
      <c r="Y451" s="103"/>
      <c r="Z451" s="103"/>
      <c r="AA451" s="103"/>
      <c r="AB451" s="103"/>
      <c r="AC451" s="103"/>
      <c r="AD451" s="103"/>
      <c r="AE451" s="103"/>
      <c r="AF451" s="103"/>
      <c r="AG451" s="103"/>
      <c r="AH451" s="103"/>
      <c r="AI451" s="103"/>
      <c r="AJ451" s="103"/>
      <c r="AK451" s="103"/>
      <c r="AL451" s="103"/>
      <c r="AM451" s="103"/>
      <c r="AN451" s="103"/>
      <c r="AO451" s="103"/>
      <c r="AP451" s="103"/>
      <c r="AQ451" s="103"/>
      <c r="AR451" s="103"/>
      <c r="AS451" s="103"/>
      <c r="AT451" s="34" t="s">
        <v>232</v>
      </c>
      <c r="AU451" s="34" t="s">
        <v>389</v>
      </c>
      <c r="AV451" s="140"/>
      <c r="AW451" s="140"/>
      <c r="AX451" s="63"/>
      <c r="AY451" s="140" t="s">
        <v>1923</v>
      </c>
      <c r="AZ451" s="63" t="s">
        <v>1971</v>
      </c>
    </row>
    <row r="452" spans="1:57" ht="15.75" hidden="1" customHeight="1">
      <c r="A452" s="193"/>
      <c r="B452" s="56" t="s">
        <v>2361</v>
      </c>
      <c r="C452" s="78"/>
      <c r="D452" s="103"/>
      <c r="E452" s="103"/>
      <c r="F452" s="103">
        <v>0.05</v>
      </c>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E452" s="103"/>
      <c r="AF452" s="103"/>
      <c r="AG452" s="103"/>
      <c r="AH452" s="103"/>
      <c r="AI452" s="103"/>
      <c r="AJ452" s="103"/>
      <c r="AK452" s="103"/>
      <c r="AL452" s="103"/>
      <c r="AM452" s="103"/>
      <c r="AN452" s="103"/>
      <c r="AO452" s="103"/>
      <c r="AP452" s="103"/>
      <c r="AQ452" s="103"/>
      <c r="AR452" s="103"/>
      <c r="AS452" s="103"/>
      <c r="AT452" s="34" t="s">
        <v>232</v>
      </c>
      <c r="AU452" s="34" t="s">
        <v>328</v>
      </c>
      <c r="AV452" s="140"/>
      <c r="AW452" s="140"/>
      <c r="AX452" s="63"/>
      <c r="AY452" s="140" t="s">
        <v>1923</v>
      </c>
      <c r="AZ452" s="63" t="s">
        <v>1971</v>
      </c>
    </row>
    <row r="453" spans="1:57" ht="15.75" hidden="1" customHeight="1">
      <c r="A453" s="193"/>
      <c r="B453" s="56" t="s">
        <v>2362</v>
      </c>
      <c r="C453" s="78"/>
      <c r="D453" s="103"/>
      <c r="E453" s="103"/>
      <c r="F453" s="103">
        <v>0.05</v>
      </c>
      <c r="G453" s="103"/>
      <c r="H453" s="103"/>
      <c r="I453" s="103"/>
      <c r="J453" s="103"/>
      <c r="K453" s="103"/>
      <c r="L453" s="103"/>
      <c r="M453" s="103"/>
      <c r="N453" s="103"/>
      <c r="O453" s="103"/>
      <c r="P453" s="103"/>
      <c r="Q453" s="103"/>
      <c r="R453" s="103"/>
      <c r="S453" s="103"/>
      <c r="T453" s="103"/>
      <c r="U453" s="103"/>
      <c r="V453" s="103"/>
      <c r="W453" s="103"/>
      <c r="X453" s="103"/>
      <c r="Y453" s="103"/>
      <c r="Z453" s="103"/>
      <c r="AA453" s="103"/>
      <c r="AB453" s="103"/>
      <c r="AC453" s="103"/>
      <c r="AD453" s="103"/>
      <c r="AE453" s="103"/>
      <c r="AF453" s="103"/>
      <c r="AG453" s="103"/>
      <c r="AH453" s="103"/>
      <c r="AI453" s="103"/>
      <c r="AJ453" s="103"/>
      <c r="AK453" s="103"/>
      <c r="AL453" s="103"/>
      <c r="AM453" s="103"/>
      <c r="AN453" s="103"/>
      <c r="AO453" s="103"/>
      <c r="AP453" s="103"/>
      <c r="AQ453" s="103"/>
      <c r="AR453" s="103"/>
      <c r="AS453" s="103"/>
      <c r="AT453" s="34" t="s">
        <v>232</v>
      </c>
      <c r="AU453" s="34" t="s">
        <v>387</v>
      </c>
      <c r="AV453" s="140"/>
      <c r="AW453" s="140"/>
      <c r="AX453" s="63"/>
      <c r="AY453" s="140" t="s">
        <v>1923</v>
      </c>
      <c r="AZ453" s="63" t="s">
        <v>1971</v>
      </c>
    </row>
    <row r="454" spans="1:57" ht="15.75" hidden="1" customHeight="1">
      <c r="A454" s="193"/>
      <c r="B454" s="56" t="s">
        <v>2341</v>
      </c>
      <c r="C454" s="78" t="s">
        <v>51</v>
      </c>
      <c r="D454" s="103">
        <v>0.05</v>
      </c>
      <c r="E454" s="103"/>
      <c r="F454" s="103">
        <v>0.05</v>
      </c>
      <c r="G454" s="103"/>
      <c r="H454" s="103"/>
      <c r="I454" s="103"/>
      <c r="J454" s="103"/>
      <c r="K454" s="103"/>
      <c r="L454" s="103"/>
      <c r="M454" s="103"/>
      <c r="N454" s="103"/>
      <c r="O454" s="103"/>
      <c r="P454" s="103"/>
      <c r="Q454" s="103"/>
      <c r="R454" s="103"/>
      <c r="S454" s="103"/>
      <c r="T454" s="103"/>
      <c r="U454" s="103"/>
      <c r="V454" s="103"/>
      <c r="W454" s="103"/>
      <c r="X454" s="103"/>
      <c r="Y454" s="103"/>
      <c r="Z454" s="103"/>
      <c r="AA454" s="103"/>
      <c r="AB454" s="103"/>
      <c r="AC454" s="103"/>
      <c r="AD454" s="103"/>
      <c r="AE454" s="103"/>
      <c r="AF454" s="103"/>
      <c r="AG454" s="103"/>
      <c r="AH454" s="103"/>
      <c r="AI454" s="103"/>
      <c r="AJ454" s="103"/>
      <c r="AK454" s="103"/>
      <c r="AL454" s="103"/>
      <c r="AM454" s="103"/>
      <c r="AN454" s="103"/>
      <c r="AO454" s="103"/>
      <c r="AP454" s="103"/>
      <c r="AQ454" s="103"/>
      <c r="AR454" s="103"/>
      <c r="AS454" s="103"/>
      <c r="AT454" s="34" t="s">
        <v>232</v>
      </c>
      <c r="AU454" s="34" t="s">
        <v>305</v>
      </c>
      <c r="AV454" s="140"/>
      <c r="AW454" s="140"/>
      <c r="AX454" s="63" t="s">
        <v>1970</v>
      </c>
      <c r="AY454" s="140" t="s">
        <v>1923</v>
      </c>
      <c r="AZ454" s="63" t="s">
        <v>1971</v>
      </c>
    </row>
    <row r="455" spans="1:57" ht="15.75" hidden="1" customHeight="1">
      <c r="A455" s="193"/>
      <c r="B455" s="56" t="s">
        <v>2363</v>
      </c>
      <c r="C455" s="78"/>
      <c r="D455" s="103"/>
      <c r="E455" s="103"/>
      <c r="F455" s="103">
        <v>0.47</v>
      </c>
      <c r="G455" s="103"/>
      <c r="H455" s="103"/>
      <c r="I455" s="103"/>
      <c r="J455" s="103"/>
      <c r="K455" s="103"/>
      <c r="L455" s="103"/>
      <c r="M455" s="103"/>
      <c r="N455" s="103"/>
      <c r="O455" s="103"/>
      <c r="P455" s="103"/>
      <c r="Q455" s="103"/>
      <c r="R455" s="103"/>
      <c r="S455" s="103"/>
      <c r="T455" s="103"/>
      <c r="U455" s="103"/>
      <c r="V455" s="103"/>
      <c r="W455" s="103"/>
      <c r="X455" s="103"/>
      <c r="Y455" s="103"/>
      <c r="Z455" s="103"/>
      <c r="AA455" s="103"/>
      <c r="AB455" s="103"/>
      <c r="AC455" s="103"/>
      <c r="AD455" s="103"/>
      <c r="AE455" s="103"/>
      <c r="AF455" s="103"/>
      <c r="AG455" s="103"/>
      <c r="AH455" s="103"/>
      <c r="AI455" s="103"/>
      <c r="AJ455" s="103"/>
      <c r="AK455" s="103"/>
      <c r="AL455" s="103"/>
      <c r="AM455" s="103"/>
      <c r="AN455" s="103"/>
      <c r="AO455" s="103"/>
      <c r="AP455" s="103"/>
      <c r="AQ455" s="103"/>
      <c r="AR455" s="103"/>
      <c r="AS455" s="103"/>
      <c r="AT455" s="34" t="s">
        <v>233</v>
      </c>
      <c r="AU455" s="34" t="s">
        <v>1174</v>
      </c>
      <c r="AV455" s="140"/>
      <c r="AW455" s="140"/>
      <c r="AX455" s="63"/>
      <c r="AY455" s="34" t="s">
        <v>1917</v>
      </c>
      <c r="AZ455" s="39" t="s">
        <v>1926</v>
      </c>
    </row>
    <row r="456" spans="1:57" ht="15.75" hidden="1" customHeight="1">
      <c r="A456" s="193"/>
      <c r="B456" s="56" t="s">
        <v>2364</v>
      </c>
      <c r="C456" s="78"/>
      <c r="D456" s="103"/>
      <c r="E456" s="103"/>
      <c r="F456" s="103">
        <v>0.2</v>
      </c>
      <c r="G456" s="103"/>
      <c r="H456" s="103"/>
      <c r="I456" s="103"/>
      <c r="J456" s="103"/>
      <c r="K456" s="103"/>
      <c r="L456" s="103"/>
      <c r="M456" s="103"/>
      <c r="N456" s="103"/>
      <c r="O456" s="103"/>
      <c r="P456" s="103"/>
      <c r="Q456" s="103"/>
      <c r="R456" s="103"/>
      <c r="S456" s="103"/>
      <c r="T456" s="103"/>
      <c r="U456" s="103"/>
      <c r="V456" s="103"/>
      <c r="W456" s="103"/>
      <c r="X456" s="103"/>
      <c r="Y456" s="103"/>
      <c r="Z456" s="103"/>
      <c r="AA456" s="103"/>
      <c r="AB456" s="103"/>
      <c r="AC456" s="103"/>
      <c r="AD456" s="103"/>
      <c r="AE456" s="103"/>
      <c r="AF456" s="103"/>
      <c r="AG456" s="103"/>
      <c r="AH456" s="103"/>
      <c r="AI456" s="103"/>
      <c r="AJ456" s="103"/>
      <c r="AK456" s="103"/>
      <c r="AL456" s="103"/>
      <c r="AM456" s="103"/>
      <c r="AN456" s="103"/>
      <c r="AO456" s="103"/>
      <c r="AP456" s="103"/>
      <c r="AQ456" s="103"/>
      <c r="AR456" s="103"/>
      <c r="AS456" s="103"/>
      <c r="AT456" s="34" t="s">
        <v>233</v>
      </c>
      <c r="AU456" s="34" t="s">
        <v>1179</v>
      </c>
      <c r="AV456" s="140"/>
      <c r="AW456" s="140"/>
      <c r="AX456" s="63"/>
      <c r="AY456" s="34" t="s">
        <v>1923</v>
      </c>
      <c r="AZ456" s="39" t="s">
        <v>1926</v>
      </c>
    </row>
    <row r="457" spans="1:57" ht="15.75" hidden="1" customHeight="1">
      <c r="A457" s="193"/>
      <c r="B457" s="56" t="s">
        <v>2337</v>
      </c>
      <c r="C457" s="78" t="s">
        <v>51</v>
      </c>
      <c r="D457" s="103">
        <f>F457+E457</f>
        <v>0.3</v>
      </c>
      <c r="E457" s="103"/>
      <c r="F457" s="103">
        <v>0.3</v>
      </c>
      <c r="G457" s="103">
        <v>8.5100000000000016</v>
      </c>
      <c r="H457" s="103">
        <v>1.6199999999999999</v>
      </c>
      <c r="I457" s="103">
        <v>2.1</v>
      </c>
      <c r="J457" s="103">
        <v>0.95000000000000007</v>
      </c>
      <c r="K457" s="103">
        <v>1.2000000000000002</v>
      </c>
      <c r="L457" s="103">
        <v>0</v>
      </c>
      <c r="M457" s="103">
        <v>1.2000000000000002</v>
      </c>
      <c r="N457" s="103">
        <v>0</v>
      </c>
      <c r="O457" s="103">
        <v>0</v>
      </c>
      <c r="P457" s="103">
        <v>0.32</v>
      </c>
      <c r="Q457" s="103">
        <v>0</v>
      </c>
      <c r="R457" s="103">
        <v>0</v>
      </c>
      <c r="S457" s="103">
        <v>0</v>
      </c>
      <c r="T457" s="103">
        <v>0</v>
      </c>
      <c r="U457" s="103">
        <v>0</v>
      </c>
      <c r="V457" s="103">
        <v>0</v>
      </c>
      <c r="W457" s="103">
        <v>0</v>
      </c>
      <c r="X457" s="103">
        <v>0</v>
      </c>
      <c r="Y457" s="103">
        <v>0.06</v>
      </c>
      <c r="Z457" s="103">
        <v>0</v>
      </c>
      <c r="AA457" s="103">
        <v>0</v>
      </c>
      <c r="AB457" s="103">
        <v>0</v>
      </c>
      <c r="AC457" s="103">
        <v>0</v>
      </c>
      <c r="AD457" s="103">
        <v>0</v>
      </c>
      <c r="AE457" s="103">
        <v>0</v>
      </c>
      <c r="AF457" s="103">
        <v>0</v>
      </c>
      <c r="AG457" s="103">
        <v>0</v>
      </c>
      <c r="AH457" s="103">
        <v>0</v>
      </c>
      <c r="AI457" s="103">
        <v>0</v>
      </c>
      <c r="AJ457" s="103">
        <v>0</v>
      </c>
      <c r="AK457" s="103">
        <v>0</v>
      </c>
      <c r="AL457" s="103">
        <v>0</v>
      </c>
      <c r="AM457" s="103">
        <v>0</v>
      </c>
      <c r="AN457" s="103">
        <v>0.1</v>
      </c>
      <c r="AO457" s="103">
        <v>0</v>
      </c>
      <c r="AP457" s="103">
        <v>0</v>
      </c>
      <c r="AQ457" s="103">
        <v>0</v>
      </c>
      <c r="AR457" s="103">
        <v>0</v>
      </c>
      <c r="AS457" s="103">
        <v>0</v>
      </c>
      <c r="AT457" s="34" t="s">
        <v>235</v>
      </c>
      <c r="AU457" s="34" t="s">
        <v>387</v>
      </c>
      <c r="AV457" s="140"/>
      <c r="AW457" s="140"/>
      <c r="AX457" s="63" t="s">
        <v>1970</v>
      </c>
      <c r="AY457" s="34" t="s">
        <v>1923</v>
      </c>
      <c r="AZ457" s="39" t="s">
        <v>2193</v>
      </c>
    </row>
    <row r="458" spans="1:57" ht="15.75" hidden="1" customHeight="1">
      <c r="A458" s="193">
        <f>+A453+1</f>
        <v>1</v>
      </c>
      <c r="B458" s="56" t="s">
        <v>2365</v>
      </c>
      <c r="C458" s="78"/>
      <c r="D458" s="103"/>
      <c r="E458" s="103"/>
      <c r="F458" s="103">
        <v>0.15</v>
      </c>
      <c r="G458" s="103"/>
      <c r="H458" s="103"/>
      <c r="I458" s="103"/>
      <c r="J458" s="103"/>
      <c r="K458" s="103"/>
      <c r="L458" s="103"/>
      <c r="M458" s="103"/>
      <c r="N458" s="103"/>
      <c r="O458" s="103"/>
      <c r="P458" s="103"/>
      <c r="Q458" s="103"/>
      <c r="R458" s="103"/>
      <c r="S458" s="103"/>
      <c r="T458" s="103"/>
      <c r="U458" s="103"/>
      <c r="V458" s="103"/>
      <c r="W458" s="103"/>
      <c r="X458" s="103"/>
      <c r="Y458" s="103"/>
      <c r="Z458" s="103"/>
      <c r="AA458" s="103"/>
      <c r="AB458" s="103"/>
      <c r="AC458" s="103"/>
      <c r="AD458" s="103"/>
      <c r="AE458" s="103"/>
      <c r="AF458" s="103"/>
      <c r="AG458" s="103"/>
      <c r="AH458" s="103"/>
      <c r="AI458" s="103"/>
      <c r="AJ458" s="103"/>
      <c r="AK458" s="103"/>
      <c r="AL458" s="103"/>
      <c r="AM458" s="103"/>
      <c r="AN458" s="103"/>
      <c r="AO458" s="103"/>
      <c r="AP458" s="103"/>
      <c r="AQ458" s="103"/>
      <c r="AR458" s="103"/>
      <c r="AS458" s="103"/>
      <c r="AT458" s="34" t="s">
        <v>237</v>
      </c>
      <c r="AU458" s="34"/>
      <c r="AV458" s="140"/>
      <c r="AW458" s="140"/>
      <c r="AX458" s="63"/>
      <c r="AY458" s="34" t="s">
        <v>1923</v>
      </c>
      <c r="AZ458" s="63" t="s">
        <v>1924</v>
      </c>
      <c r="BA458" s="234"/>
    </row>
    <row r="459" spans="1:57" ht="15.75" hidden="1" customHeight="1">
      <c r="A459" s="193">
        <f>+A458+1</f>
        <v>2</v>
      </c>
      <c r="B459" s="56" t="s">
        <v>2366</v>
      </c>
      <c r="C459" s="78"/>
      <c r="D459" s="103"/>
      <c r="E459" s="103"/>
      <c r="F459" s="103">
        <v>0.19</v>
      </c>
      <c r="G459" s="103"/>
      <c r="H459" s="103"/>
      <c r="I459" s="103"/>
      <c r="J459" s="103"/>
      <c r="K459" s="103"/>
      <c r="L459" s="103"/>
      <c r="M459" s="103"/>
      <c r="N459" s="103"/>
      <c r="O459" s="103"/>
      <c r="P459" s="103"/>
      <c r="Q459" s="103"/>
      <c r="R459" s="103"/>
      <c r="S459" s="103"/>
      <c r="T459" s="103"/>
      <c r="U459" s="103"/>
      <c r="V459" s="103"/>
      <c r="W459" s="103"/>
      <c r="X459" s="103"/>
      <c r="Y459" s="103"/>
      <c r="Z459" s="103"/>
      <c r="AA459" s="103"/>
      <c r="AB459" s="103"/>
      <c r="AC459" s="103"/>
      <c r="AD459" s="103"/>
      <c r="AE459" s="103"/>
      <c r="AF459" s="103"/>
      <c r="AG459" s="103"/>
      <c r="AH459" s="103"/>
      <c r="AI459" s="103"/>
      <c r="AJ459" s="103"/>
      <c r="AK459" s="103"/>
      <c r="AL459" s="103"/>
      <c r="AM459" s="103"/>
      <c r="AN459" s="103"/>
      <c r="AO459" s="103"/>
      <c r="AP459" s="103"/>
      <c r="AQ459" s="103"/>
      <c r="AR459" s="103"/>
      <c r="AS459" s="103"/>
      <c r="AT459" s="34" t="s">
        <v>237</v>
      </c>
      <c r="AU459" s="34"/>
      <c r="AV459" s="140"/>
      <c r="AW459" s="140"/>
      <c r="AX459" s="63"/>
      <c r="AY459" s="34" t="s">
        <v>1923</v>
      </c>
      <c r="AZ459" s="63" t="s">
        <v>1924</v>
      </c>
      <c r="BA459" s="234"/>
    </row>
    <row r="460" spans="1:57" ht="15.75" hidden="1" customHeight="1">
      <c r="A460" s="193">
        <f>+A459+1</f>
        <v>3</v>
      </c>
      <c r="B460" s="56" t="s">
        <v>2367</v>
      </c>
      <c r="C460" s="78"/>
      <c r="D460" s="103"/>
      <c r="E460" s="103"/>
      <c r="F460" s="103">
        <v>0.09</v>
      </c>
      <c r="G460" s="103"/>
      <c r="H460" s="103"/>
      <c r="I460" s="103"/>
      <c r="J460" s="103"/>
      <c r="K460" s="103"/>
      <c r="L460" s="103"/>
      <c r="M460" s="103"/>
      <c r="N460" s="103"/>
      <c r="O460" s="103"/>
      <c r="P460" s="103"/>
      <c r="Q460" s="103"/>
      <c r="R460" s="103"/>
      <c r="S460" s="103"/>
      <c r="T460" s="103"/>
      <c r="U460" s="103"/>
      <c r="V460" s="103"/>
      <c r="W460" s="103"/>
      <c r="X460" s="103"/>
      <c r="Y460" s="103"/>
      <c r="Z460" s="103"/>
      <c r="AA460" s="103"/>
      <c r="AB460" s="103"/>
      <c r="AC460" s="103"/>
      <c r="AD460" s="103"/>
      <c r="AE460" s="103"/>
      <c r="AF460" s="103"/>
      <c r="AG460" s="103"/>
      <c r="AH460" s="103"/>
      <c r="AI460" s="103"/>
      <c r="AJ460" s="103"/>
      <c r="AK460" s="103"/>
      <c r="AL460" s="103"/>
      <c r="AM460" s="103"/>
      <c r="AN460" s="103"/>
      <c r="AO460" s="103"/>
      <c r="AP460" s="103"/>
      <c r="AQ460" s="103"/>
      <c r="AR460" s="103"/>
      <c r="AS460" s="103"/>
      <c r="AT460" s="34" t="s">
        <v>237</v>
      </c>
      <c r="AU460" s="34"/>
      <c r="AV460" s="140"/>
      <c r="AW460" s="140"/>
      <c r="AX460" s="63"/>
      <c r="AY460" s="34" t="s">
        <v>1923</v>
      </c>
      <c r="AZ460" s="63" t="s">
        <v>2014</v>
      </c>
      <c r="BA460" s="234"/>
    </row>
    <row r="461" spans="1:57" ht="15.75" hidden="1" customHeight="1">
      <c r="A461" s="193"/>
      <c r="B461" s="56" t="s">
        <v>2368</v>
      </c>
      <c r="C461" s="78"/>
      <c r="D461" s="103"/>
      <c r="E461" s="103"/>
      <c r="F461" s="103">
        <v>0.15</v>
      </c>
      <c r="G461" s="103"/>
      <c r="H461" s="103"/>
      <c r="I461" s="103"/>
      <c r="J461" s="103"/>
      <c r="K461" s="103"/>
      <c r="L461" s="103"/>
      <c r="M461" s="103"/>
      <c r="N461" s="103"/>
      <c r="O461" s="103"/>
      <c r="P461" s="103"/>
      <c r="Q461" s="103"/>
      <c r="R461" s="103"/>
      <c r="S461" s="103"/>
      <c r="T461" s="103"/>
      <c r="U461" s="103"/>
      <c r="V461" s="103"/>
      <c r="W461" s="103"/>
      <c r="X461" s="103"/>
      <c r="Y461" s="103"/>
      <c r="Z461" s="103"/>
      <c r="AA461" s="103"/>
      <c r="AB461" s="103"/>
      <c r="AC461" s="103"/>
      <c r="AD461" s="103"/>
      <c r="AE461" s="103"/>
      <c r="AF461" s="103"/>
      <c r="AG461" s="103"/>
      <c r="AH461" s="103"/>
      <c r="AI461" s="103"/>
      <c r="AJ461" s="103"/>
      <c r="AK461" s="103"/>
      <c r="AL461" s="103"/>
      <c r="AM461" s="103"/>
      <c r="AN461" s="103"/>
      <c r="AO461" s="103"/>
      <c r="AP461" s="103"/>
      <c r="AQ461" s="103"/>
      <c r="AR461" s="103"/>
      <c r="AS461" s="103"/>
      <c r="AT461" s="34" t="s">
        <v>239</v>
      </c>
      <c r="AU461" s="34" t="s">
        <v>471</v>
      </c>
      <c r="AV461" s="140"/>
      <c r="AW461" s="140"/>
      <c r="AX461" s="63"/>
      <c r="AY461" s="38" t="s">
        <v>1923</v>
      </c>
      <c r="AZ461" s="39" t="s">
        <v>1971</v>
      </c>
    </row>
    <row r="462" spans="1:57" ht="15.75" hidden="1" customHeight="1">
      <c r="A462" s="193" t="s">
        <v>193</v>
      </c>
      <c r="B462" s="56" t="s">
        <v>2369</v>
      </c>
      <c r="C462" s="78" t="s">
        <v>51</v>
      </c>
      <c r="D462" s="103">
        <v>0.2</v>
      </c>
      <c r="E462" s="103"/>
      <c r="F462" s="103">
        <v>0.2</v>
      </c>
      <c r="G462" s="103">
        <v>0.2</v>
      </c>
      <c r="H462" s="103"/>
      <c r="I462" s="103"/>
      <c r="J462" s="103"/>
      <c r="K462" s="103"/>
      <c r="L462" s="103"/>
      <c r="M462" s="103"/>
      <c r="N462" s="103"/>
      <c r="O462" s="103"/>
      <c r="P462" s="103"/>
      <c r="Q462" s="103"/>
      <c r="R462" s="103"/>
      <c r="S462" s="103"/>
      <c r="T462" s="103"/>
      <c r="U462" s="103"/>
      <c r="V462" s="103"/>
      <c r="W462" s="103"/>
      <c r="X462" s="103"/>
      <c r="Y462" s="103"/>
      <c r="Z462" s="103"/>
      <c r="AA462" s="103"/>
      <c r="AB462" s="103"/>
      <c r="AC462" s="103"/>
      <c r="AD462" s="103"/>
      <c r="AE462" s="103"/>
      <c r="AF462" s="103"/>
      <c r="AG462" s="103"/>
      <c r="AH462" s="103"/>
      <c r="AI462" s="103"/>
      <c r="AJ462" s="103"/>
      <c r="AK462" s="103"/>
      <c r="AL462" s="103"/>
      <c r="AM462" s="103"/>
      <c r="AN462" s="103"/>
      <c r="AO462" s="103"/>
      <c r="AP462" s="103"/>
      <c r="AQ462" s="103"/>
      <c r="AR462" s="103"/>
      <c r="AS462" s="103"/>
      <c r="AT462" s="34" t="s">
        <v>241</v>
      </c>
      <c r="AU462" s="34"/>
      <c r="AV462" s="140"/>
      <c r="AW462" s="140"/>
      <c r="AX462" s="63"/>
      <c r="AY462" s="38" t="s">
        <v>1923</v>
      </c>
      <c r="AZ462" s="39" t="s">
        <v>1924</v>
      </c>
    </row>
    <row r="463" spans="1:57" s="24" customFormat="1" ht="20.45" customHeight="1">
      <c r="A463" s="189" t="s">
        <v>899</v>
      </c>
      <c r="B463" s="25" t="s">
        <v>134</v>
      </c>
      <c r="C463" s="26" t="s">
        <v>46</v>
      </c>
      <c r="D463" s="192">
        <f>F463+E463</f>
        <v>13.720999999999997</v>
      </c>
      <c r="E463" s="192">
        <f>SUM(E464:E485)</f>
        <v>0</v>
      </c>
      <c r="F463" s="192">
        <f>SUM(G463:K463,O463:AS463)</f>
        <v>13.720999999999997</v>
      </c>
      <c r="G463" s="192">
        <f t="shared" ref="G463:AS463" si="24">SUM(G464:G485)</f>
        <v>2.3790000000000004</v>
      </c>
      <c r="H463" s="192">
        <f t="shared" si="24"/>
        <v>1.9000000000000003E-2</v>
      </c>
      <c r="I463" s="192">
        <f t="shared" si="24"/>
        <v>1.9240000000000004</v>
      </c>
      <c r="J463" s="192">
        <f t="shared" si="24"/>
        <v>3.0079999999999996</v>
      </c>
      <c r="K463" s="192">
        <f t="shared" si="24"/>
        <v>6.2149999999999999</v>
      </c>
      <c r="L463" s="192">
        <f t="shared" si="24"/>
        <v>0</v>
      </c>
      <c r="M463" s="192">
        <f t="shared" si="24"/>
        <v>6.2149999999999999</v>
      </c>
      <c r="N463" s="192">
        <f t="shared" si="24"/>
        <v>0</v>
      </c>
      <c r="O463" s="192">
        <f t="shared" si="24"/>
        <v>0</v>
      </c>
      <c r="P463" s="192">
        <f t="shared" si="24"/>
        <v>0.02</v>
      </c>
      <c r="Q463" s="192">
        <f t="shared" si="24"/>
        <v>0</v>
      </c>
      <c r="R463" s="192">
        <f t="shared" si="24"/>
        <v>0</v>
      </c>
      <c r="S463" s="192">
        <f t="shared" si="24"/>
        <v>0</v>
      </c>
      <c r="T463" s="192">
        <f t="shared" si="24"/>
        <v>0</v>
      </c>
      <c r="U463" s="192">
        <f t="shared" si="24"/>
        <v>0</v>
      </c>
      <c r="V463" s="192">
        <f t="shared" si="24"/>
        <v>0</v>
      </c>
      <c r="W463" s="192">
        <f t="shared" si="24"/>
        <v>1.3000000000000001E-2</v>
      </c>
      <c r="X463" s="192">
        <f t="shared" si="24"/>
        <v>0</v>
      </c>
      <c r="Y463" s="192">
        <f t="shared" si="24"/>
        <v>6.0000000000000001E-3</v>
      </c>
      <c r="Z463" s="192">
        <f t="shared" si="24"/>
        <v>0</v>
      </c>
      <c r="AA463" s="192">
        <f t="shared" si="24"/>
        <v>4.2000000000000003E-2</v>
      </c>
      <c r="AB463" s="192">
        <f t="shared" si="24"/>
        <v>0</v>
      </c>
      <c r="AC463" s="192">
        <f t="shared" si="24"/>
        <v>0</v>
      </c>
      <c r="AD463" s="192">
        <f t="shared" si="24"/>
        <v>0</v>
      </c>
      <c r="AE463" s="192">
        <f t="shared" si="24"/>
        <v>0</v>
      </c>
      <c r="AF463" s="192">
        <f t="shared" si="24"/>
        <v>0</v>
      </c>
      <c r="AG463" s="192">
        <f t="shared" si="24"/>
        <v>0.03</v>
      </c>
      <c r="AH463" s="192">
        <f t="shared" si="24"/>
        <v>0.01</v>
      </c>
      <c r="AI463" s="192">
        <f t="shared" si="24"/>
        <v>0</v>
      </c>
      <c r="AJ463" s="192">
        <f t="shared" si="24"/>
        <v>0</v>
      </c>
      <c r="AK463" s="192">
        <f t="shared" si="24"/>
        <v>0</v>
      </c>
      <c r="AL463" s="192">
        <f t="shared" si="24"/>
        <v>1.7000000000000001E-2</v>
      </c>
      <c r="AM463" s="192">
        <f t="shared" si="24"/>
        <v>0</v>
      </c>
      <c r="AN463" s="192">
        <f t="shared" si="24"/>
        <v>0.03</v>
      </c>
      <c r="AO463" s="192">
        <f t="shared" si="24"/>
        <v>0</v>
      </c>
      <c r="AP463" s="192">
        <f t="shared" si="24"/>
        <v>0</v>
      </c>
      <c r="AQ463" s="192">
        <f t="shared" si="24"/>
        <v>0</v>
      </c>
      <c r="AR463" s="192">
        <f t="shared" si="24"/>
        <v>8.0000000000000002E-3</v>
      </c>
      <c r="AS463" s="192">
        <f t="shared" si="24"/>
        <v>0</v>
      </c>
      <c r="AT463" s="29"/>
      <c r="AU463" s="29"/>
      <c r="AV463" s="29"/>
      <c r="AW463" s="29"/>
      <c r="AX463" s="63"/>
      <c r="AY463" s="29"/>
      <c r="AZ463" s="63"/>
    </row>
    <row r="464" spans="1:57" ht="31.35" customHeight="1">
      <c r="A464" s="1658">
        <v>74</v>
      </c>
      <c r="B464" s="1659" t="s">
        <v>868</v>
      </c>
      <c r="C464" s="1660" t="s">
        <v>46</v>
      </c>
      <c r="D464" s="103">
        <f>E464+F464</f>
        <v>0.05</v>
      </c>
      <c r="E464" s="103"/>
      <c r="F464" s="103">
        <f>SUM(G464:K464,O464:AR464)</f>
        <v>0.05</v>
      </c>
      <c r="G464" s="103"/>
      <c r="H464" s="103"/>
      <c r="I464" s="103">
        <v>0.05</v>
      </c>
      <c r="J464" s="103"/>
      <c r="K464" s="194"/>
      <c r="L464" s="103"/>
      <c r="M464" s="103"/>
      <c r="N464" s="103"/>
      <c r="O464" s="103"/>
      <c r="P464" s="103"/>
      <c r="Q464" s="103"/>
      <c r="R464" s="103"/>
      <c r="S464" s="103"/>
      <c r="T464" s="103"/>
      <c r="U464" s="103"/>
      <c r="V464" s="103"/>
      <c r="W464" s="103"/>
      <c r="X464" s="103"/>
      <c r="Y464" s="103"/>
      <c r="Z464" s="103"/>
      <c r="AA464" s="103"/>
      <c r="AB464" s="103"/>
      <c r="AC464" s="103"/>
      <c r="AD464" s="103"/>
      <c r="AE464" s="103"/>
      <c r="AF464" s="103"/>
      <c r="AG464" s="103"/>
      <c r="AH464" s="103"/>
      <c r="AI464" s="103"/>
      <c r="AJ464" s="103"/>
      <c r="AK464" s="103"/>
      <c r="AL464" s="103"/>
      <c r="AM464" s="103"/>
      <c r="AN464" s="103"/>
      <c r="AO464" s="103"/>
      <c r="AP464" s="103"/>
      <c r="AQ464" s="103"/>
      <c r="AR464" s="103"/>
      <c r="AS464" s="103"/>
      <c r="AT464" s="34" t="s">
        <v>289</v>
      </c>
      <c r="AU464" s="34"/>
      <c r="AV464" s="1661"/>
      <c r="AW464" s="1661" t="s">
        <v>2370</v>
      </c>
      <c r="AX464" s="1662">
        <v>2021</v>
      </c>
      <c r="AY464" s="236" t="s">
        <v>1923</v>
      </c>
      <c r="AZ464" s="63" t="s">
        <v>1924</v>
      </c>
      <c r="BB464" s="41"/>
      <c r="BE464" s="15">
        <v>1</v>
      </c>
    </row>
    <row r="465" spans="1:58" ht="31.35" customHeight="1">
      <c r="A465" s="1658"/>
      <c r="B465" s="1659"/>
      <c r="C465" s="1660"/>
      <c r="D465" s="103">
        <f>E465+F465</f>
        <v>0.15</v>
      </c>
      <c r="E465" s="103"/>
      <c r="F465" s="103">
        <f>SUM(G465:K465,O465:AR465)</f>
        <v>0.15</v>
      </c>
      <c r="G465" s="103">
        <v>9.5000000000000001E-2</v>
      </c>
      <c r="H465" s="103"/>
      <c r="I465" s="103">
        <v>5.5E-2</v>
      </c>
      <c r="J465" s="103"/>
      <c r="K465" s="194"/>
      <c r="L465" s="103"/>
      <c r="M465" s="103"/>
      <c r="N465" s="103"/>
      <c r="O465" s="103"/>
      <c r="P465" s="103"/>
      <c r="Q465" s="103"/>
      <c r="R465" s="103"/>
      <c r="S465" s="103"/>
      <c r="T465" s="103"/>
      <c r="U465" s="103"/>
      <c r="V465" s="103"/>
      <c r="W465" s="103"/>
      <c r="X465" s="103"/>
      <c r="Y465" s="103"/>
      <c r="Z465" s="103"/>
      <c r="AA465" s="103"/>
      <c r="AB465" s="103"/>
      <c r="AC465" s="103"/>
      <c r="AD465" s="103"/>
      <c r="AE465" s="103"/>
      <c r="AF465" s="103"/>
      <c r="AG465" s="103"/>
      <c r="AH465" s="103"/>
      <c r="AI465" s="103"/>
      <c r="AJ465" s="103"/>
      <c r="AK465" s="103"/>
      <c r="AL465" s="103"/>
      <c r="AM465" s="103"/>
      <c r="AN465" s="103"/>
      <c r="AO465" s="103"/>
      <c r="AP465" s="103"/>
      <c r="AQ465" s="103"/>
      <c r="AR465" s="103"/>
      <c r="AS465" s="103"/>
      <c r="AT465" s="34" t="s">
        <v>225</v>
      </c>
      <c r="AU465" s="34"/>
      <c r="AV465" s="1661"/>
      <c r="AW465" s="1661"/>
      <c r="AX465" s="1662"/>
      <c r="AY465" s="34" t="s">
        <v>1917</v>
      </c>
      <c r="AZ465" s="63" t="s">
        <v>1924</v>
      </c>
      <c r="BB465" s="41"/>
      <c r="BF465" s="15">
        <v>1</v>
      </c>
    </row>
    <row r="466" spans="1:58" ht="35.450000000000003" customHeight="1">
      <c r="A466" s="193">
        <v>75</v>
      </c>
      <c r="B466" s="56" t="s">
        <v>2371</v>
      </c>
      <c r="C466" s="78" t="s">
        <v>46</v>
      </c>
      <c r="D466" s="103">
        <f>E466+F466</f>
        <v>0.11100000000000002</v>
      </c>
      <c r="E466" s="103"/>
      <c r="F466" s="103">
        <f>SUM(G466:K466,O466:AR466)</f>
        <v>0.11100000000000002</v>
      </c>
      <c r="G466" s="103">
        <v>1.2E-2</v>
      </c>
      <c r="H466" s="103"/>
      <c r="I466" s="103"/>
      <c r="J466" s="103">
        <v>1.4E-2</v>
      </c>
      <c r="K466" s="194">
        <v>8.5000000000000006E-2</v>
      </c>
      <c r="L466" s="103"/>
      <c r="M466" s="103">
        <v>8.5000000000000006E-2</v>
      </c>
      <c r="N466" s="103"/>
      <c r="O466" s="103"/>
      <c r="P466" s="103"/>
      <c r="Q466" s="103"/>
      <c r="R466" s="103"/>
      <c r="S466" s="103"/>
      <c r="T466" s="103"/>
      <c r="U466" s="103"/>
      <c r="V466" s="103"/>
      <c r="W466" s="103"/>
      <c r="X466" s="103"/>
      <c r="Y466" s="103"/>
      <c r="Z466" s="103"/>
      <c r="AA466" s="103"/>
      <c r="AB466" s="103"/>
      <c r="AC466" s="103"/>
      <c r="AD466" s="103"/>
      <c r="AE466" s="103"/>
      <c r="AF466" s="103"/>
      <c r="AG466" s="103"/>
      <c r="AH466" s="103"/>
      <c r="AI466" s="103"/>
      <c r="AJ466" s="103"/>
      <c r="AK466" s="103"/>
      <c r="AL466" s="103"/>
      <c r="AM466" s="103"/>
      <c r="AN466" s="103"/>
      <c r="AO466" s="103"/>
      <c r="AP466" s="103"/>
      <c r="AQ466" s="103"/>
      <c r="AR466" s="103"/>
      <c r="AS466" s="103"/>
      <c r="AT466" s="34" t="s">
        <v>2372</v>
      </c>
      <c r="AU466" s="34"/>
      <c r="AV466" s="34"/>
      <c r="AW466" s="34"/>
      <c r="AX466" s="63">
        <v>2021</v>
      </c>
      <c r="AY466" s="34" t="s">
        <v>1917</v>
      </c>
      <c r="AZ466" s="63" t="s">
        <v>1974</v>
      </c>
      <c r="BB466" s="41"/>
      <c r="BF466" s="15">
        <v>1</v>
      </c>
    </row>
    <row r="467" spans="1:58" ht="31.5" hidden="1" customHeight="1">
      <c r="A467" s="193"/>
      <c r="B467" s="56"/>
      <c r="C467" s="78"/>
      <c r="D467" s="103"/>
      <c r="E467" s="103"/>
      <c r="F467" s="103"/>
      <c r="G467" s="103"/>
      <c r="H467" s="103"/>
      <c r="I467" s="103"/>
      <c r="J467" s="103"/>
      <c r="K467" s="194"/>
      <c r="L467" s="103"/>
      <c r="M467" s="103"/>
      <c r="N467" s="103"/>
      <c r="O467" s="103"/>
      <c r="P467" s="103"/>
      <c r="Q467" s="103"/>
      <c r="R467" s="103"/>
      <c r="S467" s="103"/>
      <c r="T467" s="103"/>
      <c r="U467" s="103"/>
      <c r="V467" s="103"/>
      <c r="W467" s="103"/>
      <c r="X467" s="103"/>
      <c r="Y467" s="103"/>
      <c r="Z467" s="103"/>
      <c r="AA467" s="103"/>
      <c r="AB467" s="103"/>
      <c r="AC467" s="103"/>
      <c r="AD467" s="103"/>
      <c r="AE467" s="103"/>
      <c r="AF467" s="103"/>
      <c r="AG467" s="103"/>
      <c r="AH467" s="103"/>
      <c r="AI467" s="103"/>
      <c r="AJ467" s="103"/>
      <c r="AK467" s="103"/>
      <c r="AL467" s="103"/>
      <c r="AM467" s="103"/>
      <c r="AN467" s="103"/>
      <c r="AO467" s="103"/>
      <c r="AP467" s="103"/>
      <c r="AQ467" s="103"/>
      <c r="AR467" s="103"/>
      <c r="AS467" s="103"/>
      <c r="AT467" s="34" t="s">
        <v>232</v>
      </c>
      <c r="AU467" s="34"/>
      <c r="AV467" s="34"/>
      <c r="AW467" s="34"/>
      <c r="AX467" s="63"/>
      <c r="AY467" s="34" t="s">
        <v>1917</v>
      </c>
      <c r="AZ467" s="63" t="s">
        <v>1974</v>
      </c>
      <c r="BB467" s="41"/>
    </row>
    <row r="468" spans="1:58" ht="15.75" hidden="1" customHeight="1">
      <c r="A468" s="193"/>
      <c r="B468" s="56"/>
      <c r="C468" s="78"/>
      <c r="D468" s="103"/>
      <c r="E468" s="103"/>
      <c r="F468" s="103"/>
      <c r="G468" s="103"/>
      <c r="H468" s="103"/>
      <c r="I468" s="103"/>
      <c r="J468" s="103"/>
      <c r="K468" s="194"/>
      <c r="L468" s="103"/>
      <c r="M468" s="103"/>
      <c r="N468" s="103"/>
      <c r="O468" s="103"/>
      <c r="P468" s="103"/>
      <c r="Q468" s="103"/>
      <c r="R468" s="103"/>
      <c r="S468" s="103"/>
      <c r="T468" s="103"/>
      <c r="U468" s="103"/>
      <c r="V468" s="103"/>
      <c r="W468" s="103"/>
      <c r="X468" s="103"/>
      <c r="Y468" s="103"/>
      <c r="Z468" s="103"/>
      <c r="AA468" s="103"/>
      <c r="AB468" s="103"/>
      <c r="AC468" s="103"/>
      <c r="AD468" s="103"/>
      <c r="AE468" s="103"/>
      <c r="AF468" s="103"/>
      <c r="AG468" s="103"/>
      <c r="AH468" s="103"/>
      <c r="AI468" s="103"/>
      <c r="AJ468" s="103"/>
      <c r="AK468" s="103"/>
      <c r="AL468" s="103"/>
      <c r="AM468" s="103"/>
      <c r="AN468" s="103"/>
      <c r="AO468" s="103"/>
      <c r="AP468" s="103"/>
      <c r="AQ468" s="103"/>
      <c r="AR468" s="103"/>
      <c r="AS468" s="103"/>
      <c r="AT468" s="34" t="s">
        <v>236</v>
      </c>
      <c r="AU468" s="34"/>
      <c r="AV468" s="34"/>
      <c r="AW468" s="34"/>
      <c r="AX468" s="63"/>
      <c r="AY468" s="34" t="s">
        <v>1917</v>
      </c>
      <c r="AZ468" s="63" t="s">
        <v>1924</v>
      </c>
      <c r="BB468" s="41"/>
    </row>
    <row r="469" spans="1:58" ht="35.450000000000003" customHeight="1">
      <c r="A469" s="193">
        <v>76</v>
      </c>
      <c r="B469" s="56" t="s">
        <v>2373</v>
      </c>
      <c r="C469" s="78" t="s">
        <v>46</v>
      </c>
      <c r="D469" s="103">
        <f>E469+F469</f>
        <v>0.27900000000000003</v>
      </c>
      <c r="E469" s="103"/>
      <c r="F469" s="103">
        <f>SUM(G469:K469,O469:AR469)</f>
        <v>0.27900000000000003</v>
      </c>
      <c r="G469" s="103">
        <v>0.05</v>
      </c>
      <c r="H469" s="103"/>
      <c r="I469" s="103"/>
      <c r="J469" s="103">
        <v>6.0999999999999999E-2</v>
      </c>
      <c r="K469" s="194">
        <v>0.16800000000000001</v>
      </c>
      <c r="L469" s="103"/>
      <c r="M469" s="103">
        <v>0.16800000000000001</v>
      </c>
      <c r="N469" s="103"/>
      <c r="O469" s="103"/>
      <c r="P469" s="103"/>
      <c r="Q469" s="103"/>
      <c r="R469" s="103"/>
      <c r="S469" s="103"/>
      <c r="T469" s="103"/>
      <c r="U469" s="103"/>
      <c r="V469" s="103"/>
      <c r="W469" s="103"/>
      <c r="X469" s="103"/>
      <c r="Y469" s="103"/>
      <c r="Z469" s="103"/>
      <c r="AA469" s="103"/>
      <c r="AB469" s="103"/>
      <c r="AC469" s="103"/>
      <c r="AD469" s="103"/>
      <c r="AE469" s="103"/>
      <c r="AF469" s="103"/>
      <c r="AG469" s="103"/>
      <c r="AH469" s="103"/>
      <c r="AI469" s="103"/>
      <c r="AJ469" s="103"/>
      <c r="AK469" s="103"/>
      <c r="AL469" s="103"/>
      <c r="AM469" s="103"/>
      <c r="AN469" s="103"/>
      <c r="AO469" s="103"/>
      <c r="AP469" s="103"/>
      <c r="AQ469" s="103"/>
      <c r="AR469" s="103"/>
      <c r="AS469" s="103"/>
      <c r="AT469" s="34" t="s">
        <v>875</v>
      </c>
      <c r="AU469" s="34"/>
      <c r="AV469" s="34"/>
      <c r="AW469" s="34"/>
      <c r="AX469" s="63">
        <v>2021</v>
      </c>
      <c r="AY469" s="34" t="s">
        <v>1917</v>
      </c>
      <c r="AZ469" s="63" t="s">
        <v>1974</v>
      </c>
      <c r="BB469" s="41"/>
      <c r="BF469" s="15">
        <v>1</v>
      </c>
    </row>
    <row r="470" spans="1:58" ht="31.5" hidden="1" customHeight="1">
      <c r="A470" s="193"/>
      <c r="B470" s="56"/>
      <c r="C470" s="78"/>
      <c r="D470" s="103"/>
      <c r="E470" s="103"/>
      <c r="F470" s="103"/>
      <c r="G470" s="103"/>
      <c r="H470" s="103"/>
      <c r="I470" s="103"/>
      <c r="J470" s="103"/>
      <c r="K470" s="194"/>
      <c r="L470" s="103"/>
      <c r="M470" s="103"/>
      <c r="N470" s="103"/>
      <c r="O470" s="103"/>
      <c r="P470" s="103"/>
      <c r="Q470" s="103"/>
      <c r="R470" s="103"/>
      <c r="S470" s="103"/>
      <c r="T470" s="103"/>
      <c r="U470" s="103"/>
      <c r="V470" s="103"/>
      <c r="W470" s="103"/>
      <c r="X470" s="103"/>
      <c r="Y470" s="103"/>
      <c r="Z470" s="103"/>
      <c r="AA470" s="103"/>
      <c r="AB470" s="103"/>
      <c r="AC470" s="103"/>
      <c r="AD470" s="103"/>
      <c r="AE470" s="103"/>
      <c r="AF470" s="103"/>
      <c r="AG470" s="103"/>
      <c r="AH470" s="103"/>
      <c r="AI470" s="103"/>
      <c r="AJ470" s="103"/>
      <c r="AK470" s="103"/>
      <c r="AL470" s="103"/>
      <c r="AM470" s="103"/>
      <c r="AN470" s="103"/>
      <c r="AO470" s="103"/>
      <c r="AP470" s="103"/>
      <c r="AQ470" s="103"/>
      <c r="AR470" s="103"/>
      <c r="AS470" s="103"/>
      <c r="AT470" s="34" t="s">
        <v>232</v>
      </c>
      <c r="AU470" s="34"/>
      <c r="AV470" s="34"/>
      <c r="AW470" s="34"/>
      <c r="AX470" s="63"/>
      <c r="AY470" s="34" t="s">
        <v>1917</v>
      </c>
      <c r="AZ470" s="63" t="s">
        <v>1974</v>
      </c>
      <c r="BB470" s="41"/>
    </row>
    <row r="471" spans="1:58" ht="15.75" hidden="1" customHeight="1">
      <c r="A471" s="193"/>
      <c r="B471" s="56"/>
      <c r="C471" s="78"/>
      <c r="D471" s="103"/>
      <c r="E471" s="103"/>
      <c r="F471" s="103"/>
      <c r="G471" s="103"/>
      <c r="H471" s="103"/>
      <c r="I471" s="103"/>
      <c r="J471" s="103"/>
      <c r="K471" s="194"/>
      <c r="L471" s="103"/>
      <c r="M471" s="103"/>
      <c r="N471" s="103"/>
      <c r="O471" s="103"/>
      <c r="P471" s="103"/>
      <c r="Q471" s="103"/>
      <c r="R471" s="103"/>
      <c r="S471" s="103"/>
      <c r="T471" s="103"/>
      <c r="U471" s="103"/>
      <c r="V471" s="103"/>
      <c r="W471" s="103"/>
      <c r="X471" s="103"/>
      <c r="Y471" s="103"/>
      <c r="Z471" s="103"/>
      <c r="AA471" s="103"/>
      <c r="AB471" s="103"/>
      <c r="AC471" s="103"/>
      <c r="AD471" s="103"/>
      <c r="AE471" s="103"/>
      <c r="AF471" s="103"/>
      <c r="AG471" s="103"/>
      <c r="AH471" s="103"/>
      <c r="AI471" s="103"/>
      <c r="AJ471" s="103"/>
      <c r="AK471" s="103"/>
      <c r="AL471" s="103"/>
      <c r="AM471" s="103"/>
      <c r="AN471" s="103"/>
      <c r="AO471" s="103"/>
      <c r="AP471" s="103"/>
      <c r="AQ471" s="103"/>
      <c r="AR471" s="103"/>
      <c r="AS471" s="103"/>
      <c r="AT471" s="34" t="s">
        <v>226</v>
      </c>
      <c r="AU471" s="34"/>
      <c r="AV471" s="34"/>
      <c r="AW471" s="34"/>
      <c r="AX471" s="63"/>
      <c r="AY471" s="34" t="s">
        <v>1923</v>
      </c>
      <c r="AZ471" s="63" t="s">
        <v>1924</v>
      </c>
      <c r="BB471" s="41"/>
    </row>
    <row r="472" spans="1:58" ht="78.75">
      <c r="A472" s="193">
        <v>77</v>
      </c>
      <c r="B472" s="56" t="s">
        <v>2374</v>
      </c>
      <c r="C472" s="78" t="s">
        <v>46</v>
      </c>
      <c r="D472" s="103">
        <f>E472+F472</f>
        <v>4.7100000000000009</v>
      </c>
      <c r="E472" s="103"/>
      <c r="F472" s="103">
        <f>SUM(G472:K472,O472:AR472)</f>
        <v>4.7100000000000009</v>
      </c>
      <c r="G472" s="103">
        <v>0.34</v>
      </c>
      <c r="H472" s="103"/>
      <c r="I472" s="103">
        <v>0.56000000000000005</v>
      </c>
      <c r="J472" s="103">
        <v>1.1299999999999999</v>
      </c>
      <c r="K472" s="194">
        <v>2.68</v>
      </c>
      <c r="L472" s="103"/>
      <c r="M472" s="103">
        <v>2.68</v>
      </c>
      <c r="N472" s="103"/>
      <c r="O472" s="103"/>
      <c r="P472" s="103"/>
      <c r="Q472" s="103"/>
      <c r="R472" s="103"/>
      <c r="S472" s="103"/>
      <c r="T472" s="103"/>
      <c r="U472" s="103"/>
      <c r="V472" s="103"/>
      <c r="W472" s="103"/>
      <c r="X472" s="103"/>
      <c r="Y472" s="103"/>
      <c r="Z472" s="103"/>
      <c r="AA472" s="103"/>
      <c r="AB472" s="103"/>
      <c r="AC472" s="103"/>
      <c r="AD472" s="103"/>
      <c r="AE472" s="103"/>
      <c r="AF472" s="103"/>
      <c r="AG472" s="103"/>
      <c r="AH472" s="103"/>
      <c r="AI472" s="103"/>
      <c r="AJ472" s="103"/>
      <c r="AK472" s="103"/>
      <c r="AL472" s="103"/>
      <c r="AM472" s="103"/>
      <c r="AN472" s="103"/>
      <c r="AO472" s="103"/>
      <c r="AP472" s="103"/>
      <c r="AQ472" s="103"/>
      <c r="AR472" s="103"/>
      <c r="AS472" s="103"/>
      <c r="AT472" s="34" t="s">
        <v>877</v>
      </c>
      <c r="AU472" s="34"/>
      <c r="AV472" s="34"/>
      <c r="AW472" s="34"/>
      <c r="AX472" s="63">
        <v>2021</v>
      </c>
      <c r="AY472" s="34" t="s">
        <v>1923</v>
      </c>
      <c r="AZ472" s="63" t="s">
        <v>1924</v>
      </c>
      <c r="BB472" s="41"/>
      <c r="BE472" s="15">
        <v>1</v>
      </c>
    </row>
    <row r="473" spans="1:58" ht="15.75" hidden="1" customHeight="1">
      <c r="A473" s="193"/>
      <c r="B473" s="56"/>
      <c r="C473" s="78"/>
      <c r="D473" s="103"/>
      <c r="E473" s="103"/>
      <c r="F473" s="103"/>
      <c r="G473" s="103"/>
      <c r="H473" s="103"/>
      <c r="I473" s="103"/>
      <c r="J473" s="103"/>
      <c r="K473" s="194"/>
      <c r="L473" s="103"/>
      <c r="M473" s="103"/>
      <c r="N473" s="103"/>
      <c r="O473" s="103"/>
      <c r="P473" s="103"/>
      <c r="Q473" s="103"/>
      <c r="R473" s="103"/>
      <c r="S473" s="103"/>
      <c r="T473" s="103"/>
      <c r="U473" s="103"/>
      <c r="V473" s="103"/>
      <c r="W473" s="103"/>
      <c r="X473" s="103"/>
      <c r="Y473" s="103"/>
      <c r="Z473" s="103"/>
      <c r="AA473" s="103"/>
      <c r="AB473" s="103"/>
      <c r="AC473" s="103"/>
      <c r="AD473" s="103"/>
      <c r="AE473" s="103"/>
      <c r="AF473" s="103"/>
      <c r="AG473" s="103"/>
      <c r="AH473" s="103"/>
      <c r="AI473" s="103"/>
      <c r="AJ473" s="103"/>
      <c r="AK473" s="103"/>
      <c r="AL473" s="103"/>
      <c r="AM473" s="103"/>
      <c r="AN473" s="103"/>
      <c r="AO473" s="103"/>
      <c r="AP473" s="103"/>
      <c r="AQ473" s="103"/>
      <c r="AR473" s="103"/>
      <c r="AS473" s="103"/>
      <c r="AT473" s="34" t="s">
        <v>222</v>
      </c>
      <c r="AU473" s="34"/>
      <c r="AV473" s="34"/>
      <c r="AW473" s="34"/>
      <c r="AX473" s="63"/>
      <c r="AY473" s="34" t="s">
        <v>1923</v>
      </c>
      <c r="AZ473" s="63" t="s">
        <v>1924</v>
      </c>
      <c r="BB473" s="41"/>
    </row>
    <row r="474" spans="1:58" ht="31.5" hidden="1" customHeight="1">
      <c r="A474" s="193"/>
      <c r="B474" s="33"/>
      <c r="C474" s="78"/>
      <c r="D474" s="103"/>
      <c r="E474" s="34"/>
      <c r="F474" s="103"/>
      <c r="G474" s="34">
        <v>0.08</v>
      </c>
      <c r="H474" s="34"/>
      <c r="I474" s="34">
        <v>0.08</v>
      </c>
      <c r="J474" s="34">
        <v>0.02</v>
      </c>
      <c r="K474" s="194">
        <v>0.05</v>
      </c>
      <c r="L474" s="194"/>
      <c r="M474" s="34">
        <v>0.05</v>
      </c>
      <c r="N474" s="194"/>
      <c r="O474" s="194"/>
      <c r="P474" s="34"/>
      <c r="Q474" s="194"/>
      <c r="R474" s="194"/>
      <c r="S474" s="194"/>
      <c r="T474" s="194"/>
      <c r="U474" s="194"/>
      <c r="V474" s="194"/>
      <c r="W474" s="194"/>
      <c r="X474" s="194"/>
      <c r="Y474" s="194"/>
      <c r="Z474" s="194"/>
      <c r="AA474" s="194"/>
      <c r="AB474" s="194"/>
      <c r="AC474" s="194"/>
      <c r="AD474" s="194"/>
      <c r="AE474" s="194"/>
      <c r="AF474" s="194"/>
      <c r="AG474" s="194"/>
      <c r="AH474" s="194"/>
      <c r="AI474" s="34"/>
      <c r="AJ474" s="194"/>
      <c r="AK474" s="194"/>
      <c r="AL474" s="194"/>
      <c r="AM474" s="194"/>
      <c r="AN474" s="194"/>
      <c r="AO474" s="194"/>
      <c r="AP474" s="194"/>
      <c r="AQ474" s="194"/>
      <c r="AR474" s="34"/>
      <c r="AS474" s="34"/>
      <c r="AT474" s="34" t="s">
        <v>231</v>
      </c>
      <c r="AU474" s="34"/>
      <c r="AV474" s="34"/>
      <c r="AW474" s="34" t="s">
        <v>2370</v>
      </c>
      <c r="AX474" s="63">
        <v>2021</v>
      </c>
      <c r="AY474" s="34" t="s">
        <v>1923</v>
      </c>
      <c r="AZ474" s="39" t="s">
        <v>1924</v>
      </c>
      <c r="BB474" s="41"/>
      <c r="BC474" s="41"/>
    </row>
    <row r="475" spans="1:58" ht="15.75" hidden="1" customHeight="1">
      <c r="A475" s="193"/>
      <c r="B475" s="56"/>
      <c r="C475" s="78"/>
      <c r="D475" s="103"/>
      <c r="E475" s="103"/>
      <c r="F475" s="103"/>
      <c r="G475" s="103"/>
      <c r="H475" s="103"/>
      <c r="I475" s="103"/>
      <c r="J475" s="103"/>
      <c r="K475" s="194"/>
      <c r="L475" s="103"/>
      <c r="M475" s="103"/>
      <c r="N475" s="103"/>
      <c r="O475" s="103"/>
      <c r="P475" s="103"/>
      <c r="Q475" s="103"/>
      <c r="R475" s="103"/>
      <c r="S475" s="103"/>
      <c r="T475" s="103"/>
      <c r="U475" s="103"/>
      <c r="V475" s="103"/>
      <c r="W475" s="103"/>
      <c r="X475" s="103"/>
      <c r="Y475" s="103"/>
      <c r="Z475" s="103"/>
      <c r="AA475" s="103"/>
      <c r="AB475" s="103"/>
      <c r="AC475" s="103"/>
      <c r="AD475" s="103"/>
      <c r="AE475" s="103"/>
      <c r="AF475" s="103"/>
      <c r="AG475" s="103"/>
      <c r="AH475" s="103"/>
      <c r="AI475" s="103"/>
      <c r="AJ475" s="103"/>
      <c r="AK475" s="103"/>
      <c r="AL475" s="103"/>
      <c r="AM475" s="103"/>
      <c r="AN475" s="103"/>
      <c r="AO475" s="103"/>
      <c r="AP475" s="103"/>
      <c r="AQ475" s="103"/>
      <c r="AR475" s="103"/>
      <c r="AS475" s="103"/>
      <c r="AT475" s="34" t="s">
        <v>232</v>
      </c>
      <c r="AU475" s="34"/>
      <c r="AV475" s="34"/>
      <c r="AW475" s="34"/>
      <c r="AX475" s="63"/>
      <c r="AY475" s="34" t="s">
        <v>1923</v>
      </c>
      <c r="AZ475" s="63" t="s">
        <v>1924</v>
      </c>
      <c r="BB475" s="41"/>
    </row>
    <row r="476" spans="1:58" ht="15.75" hidden="1" customHeight="1">
      <c r="A476" s="193"/>
      <c r="B476" s="56"/>
      <c r="C476" s="78"/>
      <c r="D476" s="103"/>
      <c r="E476" s="103"/>
      <c r="F476" s="103">
        <v>0.38</v>
      </c>
      <c r="G476" s="103"/>
      <c r="H476" s="103"/>
      <c r="I476" s="103"/>
      <c r="J476" s="103"/>
      <c r="K476" s="194"/>
      <c r="L476" s="103"/>
      <c r="M476" s="103"/>
      <c r="N476" s="103"/>
      <c r="O476" s="103"/>
      <c r="P476" s="103"/>
      <c r="Q476" s="103"/>
      <c r="R476" s="103"/>
      <c r="S476" s="103"/>
      <c r="T476" s="103"/>
      <c r="U476" s="103"/>
      <c r="V476" s="103"/>
      <c r="W476" s="103"/>
      <c r="X476" s="103"/>
      <c r="Y476" s="103"/>
      <c r="Z476" s="103"/>
      <c r="AA476" s="103"/>
      <c r="AB476" s="103"/>
      <c r="AC476" s="103"/>
      <c r="AD476" s="103"/>
      <c r="AE476" s="103"/>
      <c r="AF476" s="103"/>
      <c r="AG476" s="103"/>
      <c r="AH476" s="103"/>
      <c r="AI476" s="103"/>
      <c r="AJ476" s="103"/>
      <c r="AK476" s="103"/>
      <c r="AL476" s="103"/>
      <c r="AM476" s="103"/>
      <c r="AN476" s="103"/>
      <c r="AO476" s="103"/>
      <c r="AP476" s="103"/>
      <c r="AQ476" s="103"/>
      <c r="AR476" s="103"/>
      <c r="AS476" s="103"/>
      <c r="AT476" s="34" t="s">
        <v>233</v>
      </c>
      <c r="AU476" s="34" t="s">
        <v>1857</v>
      </c>
      <c r="AV476" s="34"/>
      <c r="AW476" s="34"/>
      <c r="AX476" s="63"/>
      <c r="AY476" s="34" t="s">
        <v>1917</v>
      </c>
      <c r="AZ476" s="39" t="s">
        <v>1926</v>
      </c>
      <c r="BB476" s="41"/>
    </row>
    <row r="477" spans="1:58" ht="15.75" hidden="1" customHeight="1">
      <c r="A477" s="193"/>
      <c r="B477" s="56"/>
      <c r="C477" s="78"/>
      <c r="D477" s="103"/>
      <c r="E477" s="103"/>
      <c r="F477" s="103"/>
      <c r="G477" s="103"/>
      <c r="H477" s="103"/>
      <c r="I477" s="103"/>
      <c r="J477" s="103"/>
      <c r="K477" s="194"/>
      <c r="L477" s="103"/>
      <c r="M477" s="103"/>
      <c r="N477" s="103"/>
      <c r="O477" s="103"/>
      <c r="P477" s="103"/>
      <c r="Q477" s="103"/>
      <c r="R477" s="103"/>
      <c r="S477" s="103"/>
      <c r="T477" s="103"/>
      <c r="U477" s="103"/>
      <c r="V477" s="103"/>
      <c r="W477" s="103"/>
      <c r="X477" s="103"/>
      <c r="Y477" s="103"/>
      <c r="Z477" s="103"/>
      <c r="AA477" s="103"/>
      <c r="AB477" s="103"/>
      <c r="AC477" s="103"/>
      <c r="AD477" s="103"/>
      <c r="AE477" s="103"/>
      <c r="AF477" s="103"/>
      <c r="AG477" s="103"/>
      <c r="AH477" s="103"/>
      <c r="AI477" s="103"/>
      <c r="AJ477" s="103"/>
      <c r="AK477" s="103"/>
      <c r="AL477" s="103"/>
      <c r="AM477" s="103"/>
      <c r="AN477" s="103"/>
      <c r="AO477" s="103"/>
      <c r="AP477" s="103"/>
      <c r="AQ477" s="103"/>
      <c r="AR477" s="103"/>
      <c r="AS477" s="103"/>
      <c r="AT477" s="34" t="s">
        <v>234</v>
      </c>
      <c r="AU477" s="34"/>
      <c r="AV477" s="34"/>
      <c r="AW477" s="34"/>
      <c r="AX477" s="63"/>
      <c r="AY477" s="34" t="s">
        <v>1923</v>
      </c>
      <c r="AZ477" s="63" t="s">
        <v>1924</v>
      </c>
      <c r="BB477" s="41"/>
    </row>
    <row r="478" spans="1:58" ht="15.75" hidden="1" customHeight="1">
      <c r="A478" s="193"/>
      <c r="B478" s="56"/>
      <c r="C478" s="78"/>
      <c r="D478" s="103"/>
      <c r="E478" s="103"/>
      <c r="F478" s="103"/>
      <c r="G478" s="103"/>
      <c r="H478" s="103"/>
      <c r="I478" s="103"/>
      <c r="J478" s="103"/>
      <c r="K478" s="194"/>
      <c r="L478" s="103"/>
      <c r="M478" s="103"/>
      <c r="N478" s="103"/>
      <c r="O478" s="103"/>
      <c r="P478" s="103"/>
      <c r="Q478" s="103"/>
      <c r="R478" s="103"/>
      <c r="S478" s="103"/>
      <c r="T478" s="103"/>
      <c r="U478" s="103"/>
      <c r="V478" s="103"/>
      <c r="W478" s="103"/>
      <c r="X478" s="103"/>
      <c r="Y478" s="103"/>
      <c r="Z478" s="103"/>
      <c r="AA478" s="103"/>
      <c r="AB478" s="103"/>
      <c r="AC478" s="103"/>
      <c r="AD478" s="103"/>
      <c r="AE478" s="103"/>
      <c r="AF478" s="103"/>
      <c r="AG478" s="103"/>
      <c r="AH478" s="103"/>
      <c r="AI478" s="103"/>
      <c r="AJ478" s="103"/>
      <c r="AK478" s="103"/>
      <c r="AL478" s="103"/>
      <c r="AM478" s="103"/>
      <c r="AN478" s="103"/>
      <c r="AO478" s="103"/>
      <c r="AP478" s="103"/>
      <c r="AQ478" s="103"/>
      <c r="AR478" s="103"/>
      <c r="AS478" s="103"/>
      <c r="AT478" s="34" t="s">
        <v>236</v>
      </c>
      <c r="AU478" s="34"/>
      <c r="AV478" s="34"/>
      <c r="AW478" s="34"/>
      <c r="AX478" s="63"/>
      <c r="AY478" s="34" t="s">
        <v>1917</v>
      </c>
      <c r="AZ478" s="63" t="s">
        <v>1924</v>
      </c>
      <c r="BB478" s="41"/>
    </row>
    <row r="479" spans="1:58" ht="15.75" hidden="1" customHeight="1">
      <c r="A479" s="193"/>
      <c r="B479" s="56"/>
      <c r="C479" s="78"/>
      <c r="D479" s="103"/>
      <c r="E479" s="103"/>
      <c r="F479" s="103"/>
      <c r="G479" s="103">
        <v>0.34</v>
      </c>
      <c r="H479" s="103"/>
      <c r="I479" s="103">
        <v>0.56000000000000005</v>
      </c>
      <c r="J479" s="103">
        <v>1.1299999999999999</v>
      </c>
      <c r="K479" s="194">
        <v>2.68</v>
      </c>
      <c r="L479" s="103"/>
      <c r="M479" s="103">
        <v>2.68</v>
      </c>
      <c r="N479" s="103"/>
      <c r="O479" s="103"/>
      <c r="P479" s="103"/>
      <c r="Q479" s="103"/>
      <c r="R479" s="103"/>
      <c r="S479" s="103"/>
      <c r="T479" s="103"/>
      <c r="U479" s="103"/>
      <c r="V479" s="103"/>
      <c r="W479" s="103"/>
      <c r="X479" s="103"/>
      <c r="Y479" s="103"/>
      <c r="Z479" s="103"/>
      <c r="AA479" s="103"/>
      <c r="AB479" s="103"/>
      <c r="AC479" s="103"/>
      <c r="AD479" s="103"/>
      <c r="AE479" s="103"/>
      <c r="AF479" s="103"/>
      <c r="AG479" s="103"/>
      <c r="AH479" s="103"/>
      <c r="AI479" s="103"/>
      <c r="AJ479" s="103"/>
      <c r="AK479" s="103"/>
      <c r="AL479" s="103"/>
      <c r="AM479" s="103"/>
      <c r="AN479" s="103"/>
      <c r="AO479" s="103"/>
      <c r="AP479" s="103"/>
      <c r="AQ479" s="103"/>
      <c r="AR479" s="103"/>
      <c r="AS479" s="103"/>
      <c r="AT479" s="34" t="s">
        <v>237</v>
      </c>
      <c r="AU479" s="34"/>
      <c r="AV479" s="34"/>
      <c r="AW479" s="140"/>
      <c r="AX479" s="39"/>
      <c r="AY479" s="34" t="s">
        <v>1923</v>
      </c>
      <c r="AZ479" s="63" t="s">
        <v>1924</v>
      </c>
      <c r="BA479" s="229"/>
      <c r="BB479" s="41"/>
    </row>
    <row r="480" spans="1:58" ht="15.75" hidden="1" customHeight="1">
      <c r="A480" s="193"/>
      <c r="B480" s="56"/>
      <c r="C480" s="78"/>
      <c r="D480" s="103"/>
      <c r="E480" s="103"/>
      <c r="F480" s="103"/>
      <c r="G480" s="103"/>
      <c r="H480" s="103"/>
      <c r="I480" s="103"/>
      <c r="J480" s="103"/>
      <c r="K480" s="194"/>
      <c r="L480" s="103"/>
      <c r="M480" s="103"/>
      <c r="N480" s="103"/>
      <c r="O480" s="103"/>
      <c r="P480" s="103"/>
      <c r="Q480" s="103"/>
      <c r="R480" s="103"/>
      <c r="S480" s="103"/>
      <c r="T480" s="103"/>
      <c r="U480" s="103"/>
      <c r="V480" s="103"/>
      <c r="W480" s="103"/>
      <c r="X480" s="103"/>
      <c r="Y480" s="103"/>
      <c r="Z480" s="103"/>
      <c r="AA480" s="103"/>
      <c r="AB480" s="103"/>
      <c r="AC480" s="103"/>
      <c r="AD480" s="103"/>
      <c r="AE480" s="103"/>
      <c r="AF480" s="103"/>
      <c r="AG480" s="103"/>
      <c r="AH480" s="103"/>
      <c r="AI480" s="103"/>
      <c r="AJ480" s="103"/>
      <c r="AK480" s="103"/>
      <c r="AL480" s="103"/>
      <c r="AM480" s="103"/>
      <c r="AN480" s="103"/>
      <c r="AO480" s="103"/>
      <c r="AP480" s="103"/>
      <c r="AQ480" s="103"/>
      <c r="AR480" s="103"/>
      <c r="AS480" s="103"/>
      <c r="AT480" s="34" t="s">
        <v>241</v>
      </c>
      <c r="AU480" s="34"/>
      <c r="AV480" s="34"/>
      <c r="AW480" s="34"/>
      <c r="AX480" s="63"/>
      <c r="AY480" s="34" t="s">
        <v>1923</v>
      </c>
      <c r="AZ480" s="63" t="s">
        <v>1924</v>
      </c>
      <c r="BB480" s="41"/>
    </row>
    <row r="481" spans="1:58" ht="20.45" customHeight="1">
      <c r="A481" s="193">
        <v>78</v>
      </c>
      <c r="B481" s="56" t="s">
        <v>890</v>
      </c>
      <c r="C481" s="78" t="s">
        <v>46</v>
      </c>
      <c r="D481" s="103">
        <f>E481+F481</f>
        <v>0.1</v>
      </c>
      <c r="E481" s="103"/>
      <c r="F481" s="103">
        <f>SUM(G481:K481,O481:AR481)</f>
        <v>0.1</v>
      </c>
      <c r="G481" s="103">
        <v>0.1</v>
      </c>
      <c r="H481" s="103"/>
      <c r="I481" s="103"/>
      <c r="J481" s="103"/>
      <c r="K481" s="194"/>
      <c r="L481" s="103"/>
      <c r="M481" s="103"/>
      <c r="N481" s="103"/>
      <c r="O481" s="103"/>
      <c r="P481" s="103"/>
      <c r="Q481" s="103"/>
      <c r="R481" s="103"/>
      <c r="S481" s="103"/>
      <c r="T481" s="103"/>
      <c r="U481" s="103"/>
      <c r="V481" s="103"/>
      <c r="W481" s="103"/>
      <c r="X481" s="103"/>
      <c r="Y481" s="103"/>
      <c r="Z481" s="103"/>
      <c r="AA481" s="103"/>
      <c r="AB481" s="103"/>
      <c r="AC481" s="103"/>
      <c r="AD481" s="103"/>
      <c r="AE481" s="103"/>
      <c r="AF481" s="103"/>
      <c r="AG481" s="103"/>
      <c r="AH481" s="103"/>
      <c r="AI481" s="103"/>
      <c r="AJ481" s="103"/>
      <c r="AK481" s="103"/>
      <c r="AL481" s="103"/>
      <c r="AM481" s="103"/>
      <c r="AN481" s="103"/>
      <c r="AO481" s="103"/>
      <c r="AP481" s="103"/>
      <c r="AQ481" s="103"/>
      <c r="AR481" s="103"/>
      <c r="AS481" s="103"/>
      <c r="AT481" s="34" t="s">
        <v>237</v>
      </c>
      <c r="AU481" s="34"/>
      <c r="AV481" s="34"/>
      <c r="AW481" s="140"/>
      <c r="AX481" s="39" t="s">
        <v>1920</v>
      </c>
      <c r="AY481" s="140" t="s">
        <v>1923</v>
      </c>
      <c r="AZ481" s="39" t="s">
        <v>1924</v>
      </c>
      <c r="BB481" s="41"/>
      <c r="BE481" s="15">
        <v>1</v>
      </c>
    </row>
    <row r="482" spans="1:58" ht="33.6" customHeight="1">
      <c r="A482" s="193">
        <v>79</v>
      </c>
      <c r="B482" s="33" t="s">
        <v>866</v>
      </c>
      <c r="C482" s="78" t="s">
        <v>46</v>
      </c>
      <c r="D482" s="103">
        <f>E482+F482</f>
        <v>0.22999999999999998</v>
      </c>
      <c r="E482" s="34"/>
      <c r="F482" s="103">
        <f>SUM(G482:K482,O482:AR482)</f>
        <v>0.22999999999999998</v>
      </c>
      <c r="G482" s="34">
        <v>0.08</v>
      </c>
      <c r="H482" s="34"/>
      <c r="I482" s="34">
        <v>0.08</v>
      </c>
      <c r="J482" s="34">
        <v>0.02</v>
      </c>
      <c r="K482" s="194">
        <v>0.05</v>
      </c>
      <c r="L482" s="194"/>
      <c r="M482" s="34">
        <v>0.05</v>
      </c>
      <c r="N482" s="194"/>
      <c r="O482" s="194"/>
      <c r="P482" s="34"/>
      <c r="Q482" s="194"/>
      <c r="R482" s="194"/>
      <c r="S482" s="194"/>
      <c r="T482" s="194"/>
      <c r="U482" s="194"/>
      <c r="V482" s="194"/>
      <c r="W482" s="194"/>
      <c r="X482" s="194"/>
      <c r="Y482" s="194"/>
      <c r="Z482" s="194"/>
      <c r="AA482" s="194"/>
      <c r="AB482" s="194"/>
      <c r="AC482" s="194"/>
      <c r="AD482" s="194"/>
      <c r="AE482" s="194"/>
      <c r="AF482" s="194"/>
      <c r="AG482" s="194"/>
      <c r="AH482" s="194"/>
      <c r="AI482" s="34"/>
      <c r="AJ482" s="194"/>
      <c r="AK482" s="194"/>
      <c r="AL482" s="194"/>
      <c r="AM482" s="194"/>
      <c r="AN482" s="194"/>
      <c r="AO482" s="194"/>
      <c r="AP482" s="194"/>
      <c r="AQ482" s="194"/>
      <c r="AR482" s="34"/>
      <c r="AS482" s="34"/>
      <c r="AT482" s="34" t="s">
        <v>2375</v>
      </c>
      <c r="AU482" s="34"/>
      <c r="AV482" s="34"/>
      <c r="AW482" s="34" t="s">
        <v>2370</v>
      </c>
      <c r="AX482" s="63">
        <v>2021</v>
      </c>
      <c r="AY482" s="34" t="s">
        <v>1923</v>
      </c>
      <c r="AZ482" s="63" t="s">
        <v>1924</v>
      </c>
      <c r="BB482" s="41"/>
      <c r="BC482" s="41"/>
      <c r="BE482" s="15">
        <v>1</v>
      </c>
    </row>
    <row r="483" spans="1:58" ht="31.5" hidden="1" customHeight="1">
      <c r="A483" s="193"/>
      <c r="B483" s="33"/>
      <c r="C483" s="78"/>
      <c r="D483" s="103"/>
      <c r="E483" s="34"/>
      <c r="F483" s="103"/>
      <c r="G483" s="34">
        <v>0.08</v>
      </c>
      <c r="H483" s="34"/>
      <c r="I483" s="34">
        <v>0.08</v>
      </c>
      <c r="J483" s="34">
        <v>0.02</v>
      </c>
      <c r="K483" s="194">
        <v>0.05</v>
      </c>
      <c r="L483" s="194"/>
      <c r="M483" s="34">
        <v>0.05</v>
      </c>
      <c r="N483" s="194"/>
      <c r="O483" s="194"/>
      <c r="P483" s="34"/>
      <c r="Q483" s="194"/>
      <c r="R483" s="194"/>
      <c r="S483" s="194"/>
      <c r="T483" s="194"/>
      <c r="U483" s="194"/>
      <c r="V483" s="194"/>
      <c r="W483" s="194"/>
      <c r="X483" s="194"/>
      <c r="Y483" s="194"/>
      <c r="Z483" s="194"/>
      <c r="AA483" s="194"/>
      <c r="AB483" s="194"/>
      <c r="AC483" s="194"/>
      <c r="AD483" s="194"/>
      <c r="AE483" s="194"/>
      <c r="AF483" s="194"/>
      <c r="AG483" s="194"/>
      <c r="AH483" s="194"/>
      <c r="AI483" s="34"/>
      <c r="AJ483" s="194"/>
      <c r="AK483" s="194"/>
      <c r="AL483" s="194"/>
      <c r="AM483" s="194"/>
      <c r="AN483" s="194"/>
      <c r="AO483" s="194"/>
      <c r="AP483" s="194"/>
      <c r="AQ483" s="194"/>
      <c r="AR483" s="34"/>
      <c r="AS483" s="34"/>
      <c r="AT483" s="34" t="s">
        <v>231</v>
      </c>
      <c r="AU483" s="34"/>
      <c r="AV483" s="34"/>
      <c r="AW483" s="34" t="s">
        <v>2370</v>
      </c>
      <c r="AX483" s="63">
        <v>2021</v>
      </c>
      <c r="AY483" s="34" t="s">
        <v>1923</v>
      </c>
      <c r="AZ483" s="39" t="s">
        <v>1924</v>
      </c>
      <c r="BB483" s="41"/>
      <c r="BC483" s="41"/>
    </row>
    <row r="484" spans="1:58" ht="15.75" hidden="1" customHeight="1">
      <c r="A484" s="193"/>
      <c r="B484" s="33"/>
      <c r="C484" s="78"/>
      <c r="D484" s="103"/>
      <c r="E484" s="34"/>
      <c r="F484" s="103">
        <v>0.1</v>
      </c>
      <c r="G484" s="34"/>
      <c r="H484" s="34"/>
      <c r="I484" s="34"/>
      <c r="J484" s="34"/>
      <c r="K484" s="194"/>
      <c r="L484" s="194"/>
      <c r="M484" s="34"/>
      <c r="N484" s="194"/>
      <c r="O484" s="194"/>
      <c r="P484" s="34"/>
      <c r="Q484" s="194"/>
      <c r="R484" s="194"/>
      <c r="S484" s="194"/>
      <c r="T484" s="194"/>
      <c r="U484" s="194"/>
      <c r="V484" s="194"/>
      <c r="W484" s="194"/>
      <c r="X484" s="194"/>
      <c r="Y484" s="194"/>
      <c r="Z484" s="194"/>
      <c r="AA484" s="194"/>
      <c r="AB484" s="194"/>
      <c r="AC484" s="194"/>
      <c r="AD484" s="194"/>
      <c r="AE484" s="194"/>
      <c r="AF484" s="194"/>
      <c r="AG484" s="194"/>
      <c r="AH484" s="194"/>
      <c r="AI484" s="34"/>
      <c r="AJ484" s="194"/>
      <c r="AK484" s="194"/>
      <c r="AL484" s="194"/>
      <c r="AM484" s="194"/>
      <c r="AN484" s="194"/>
      <c r="AO484" s="194"/>
      <c r="AP484" s="194"/>
      <c r="AQ484" s="194"/>
      <c r="AR484" s="34"/>
      <c r="AS484" s="34"/>
      <c r="AT484" s="34" t="s">
        <v>224</v>
      </c>
      <c r="AU484" s="34"/>
      <c r="AV484" s="34"/>
      <c r="AW484" s="34"/>
      <c r="AX484" s="63"/>
      <c r="AY484" s="34" t="s">
        <v>1923</v>
      </c>
      <c r="AZ484" s="39" t="s">
        <v>1924</v>
      </c>
      <c r="BB484" s="41"/>
      <c r="BC484" s="41"/>
    </row>
    <row r="485" spans="1:58" ht="47.25">
      <c r="A485" s="193">
        <v>80</v>
      </c>
      <c r="B485" s="56" t="s">
        <v>2376</v>
      </c>
      <c r="C485" s="78" t="s">
        <v>46</v>
      </c>
      <c r="D485" s="103">
        <v>2.9209999999999985</v>
      </c>
      <c r="E485" s="34"/>
      <c r="F485" s="103">
        <v>2.9209999999999985</v>
      </c>
      <c r="G485" s="34">
        <v>1.202</v>
      </c>
      <c r="H485" s="34">
        <v>1.9000000000000003E-2</v>
      </c>
      <c r="I485" s="34">
        <v>0.45899999999999996</v>
      </c>
      <c r="J485" s="34">
        <v>0.6130000000000001</v>
      </c>
      <c r="K485" s="34">
        <v>0.45200000000000001</v>
      </c>
      <c r="L485" s="34">
        <v>0</v>
      </c>
      <c r="M485" s="34">
        <v>0.45200000000000001</v>
      </c>
      <c r="N485" s="34">
        <v>0</v>
      </c>
      <c r="O485" s="34">
        <v>0</v>
      </c>
      <c r="P485" s="34">
        <v>0.02</v>
      </c>
      <c r="Q485" s="34">
        <v>0</v>
      </c>
      <c r="R485" s="34">
        <v>0</v>
      </c>
      <c r="S485" s="34">
        <v>0</v>
      </c>
      <c r="T485" s="34">
        <v>0</v>
      </c>
      <c r="U485" s="34">
        <v>0</v>
      </c>
      <c r="V485" s="34">
        <v>0</v>
      </c>
      <c r="W485" s="34">
        <v>1.3000000000000001E-2</v>
      </c>
      <c r="X485" s="34">
        <v>0</v>
      </c>
      <c r="Y485" s="34">
        <v>6.0000000000000001E-3</v>
      </c>
      <c r="Z485" s="34">
        <v>0</v>
      </c>
      <c r="AA485" s="34">
        <v>4.2000000000000003E-2</v>
      </c>
      <c r="AB485" s="34">
        <v>0</v>
      </c>
      <c r="AC485" s="34">
        <v>0</v>
      </c>
      <c r="AD485" s="34">
        <v>0</v>
      </c>
      <c r="AE485" s="34">
        <v>0</v>
      </c>
      <c r="AF485" s="34">
        <v>0</v>
      </c>
      <c r="AG485" s="34">
        <v>0.03</v>
      </c>
      <c r="AH485" s="34">
        <v>0.01</v>
      </c>
      <c r="AI485" s="34">
        <v>0</v>
      </c>
      <c r="AJ485" s="34">
        <v>0</v>
      </c>
      <c r="AK485" s="34">
        <v>0</v>
      </c>
      <c r="AL485" s="34">
        <v>1.7000000000000001E-2</v>
      </c>
      <c r="AM485" s="34">
        <v>0</v>
      </c>
      <c r="AN485" s="34">
        <v>0.03</v>
      </c>
      <c r="AO485" s="34">
        <v>0</v>
      </c>
      <c r="AP485" s="34">
        <v>0</v>
      </c>
      <c r="AQ485" s="34">
        <v>0</v>
      </c>
      <c r="AR485" s="34">
        <v>8.0000000000000002E-3</v>
      </c>
      <c r="AS485" s="34">
        <v>0</v>
      </c>
      <c r="AT485" s="34" t="s">
        <v>860</v>
      </c>
      <c r="AU485" s="34"/>
      <c r="AV485" s="34"/>
      <c r="AW485" s="34"/>
      <c r="AX485" s="39" t="s">
        <v>1920</v>
      </c>
      <c r="AY485" s="34" t="s">
        <v>1917</v>
      </c>
      <c r="AZ485" s="39" t="s">
        <v>1924</v>
      </c>
      <c r="BB485" s="41"/>
      <c r="BC485" s="41"/>
      <c r="BF485" s="15">
        <v>1</v>
      </c>
    </row>
    <row r="486" spans="1:58" ht="31.5" hidden="1" customHeight="1">
      <c r="A486" s="193"/>
      <c r="B486" s="129" t="s">
        <v>898</v>
      </c>
      <c r="C486" s="78"/>
      <c r="D486" s="103"/>
      <c r="E486" s="34"/>
      <c r="F486" s="103">
        <v>0.06</v>
      </c>
      <c r="G486" s="34"/>
      <c r="H486" s="34"/>
      <c r="I486" s="34"/>
      <c r="J486" s="34"/>
      <c r="K486" s="34"/>
      <c r="L486" s="34"/>
      <c r="M486" s="34"/>
      <c r="N486" s="34"/>
      <c r="O486" s="34"/>
      <c r="P486" s="34"/>
      <c r="Q486" s="34"/>
      <c r="R486" s="34"/>
      <c r="S486" s="34"/>
      <c r="T486" s="34"/>
      <c r="U486" s="34"/>
      <c r="V486" s="34"/>
      <c r="W486" s="34"/>
      <c r="X486" s="34"/>
      <c r="Y486" s="34"/>
      <c r="Z486" s="34"/>
      <c r="AA486" s="34"/>
      <c r="AB486" s="34"/>
      <c r="AC486" s="34"/>
      <c r="AD486" s="34"/>
      <c r="AE486" s="34"/>
      <c r="AF486" s="34"/>
      <c r="AG486" s="34"/>
      <c r="AH486" s="34"/>
      <c r="AI486" s="34"/>
      <c r="AJ486" s="34"/>
      <c r="AK486" s="34"/>
      <c r="AL486" s="34"/>
      <c r="AM486" s="34"/>
      <c r="AN486" s="34"/>
      <c r="AO486" s="34"/>
      <c r="AP486" s="34"/>
      <c r="AQ486" s="34"/>
      <c r="AR486" s="34"/>
      <c r="AS486" s="34"/>
      <c r="AT486" s="34" t="s">
        <v>289</v>
      </c>
      <c r="AU486" s="34"/>
      <c r="AV486" s="34"/>
      <c r="AW486" s="34"/>
      <c r="AX486" s="39"/>
      <c r="AY486" s="34" t="s">
        <v>1923</v>
      </c>
      <c r="AZ486" s="39" t="s">
        <v>1924</v>
      </c>
      <c r="BB486" s="41"/>
      <c r="BC486" s="41"/>
    </row>
    <row r="487" spans="1:58" ht="15.75" hidden="1" customHeight="1">
      <c r="A487" s="193"/>
      <c r="B487" s="129" t="s">
        <v>2377</v>
      </c>
      <c r="C487" s="78"/>
      <c r="D487" s="103"/>
      <c r="E487" s="34"/>
      <c r="F487" s="103">
        <v>0.01</v>
      </c>
      <c r="G487" s="34"/>
      <c r="H487" s="34"/>
      <c r="I487" s="34"/>
      <c r="J487" s="34"/>
      <c r="K487" s="34"/>
      <c r="L487" s="34"/>
      <c r="M487" s="34"/>
      <c r="N487" s="34"/>
      <c r="O487" s="34"/>
      <c r="P487" s="34"/>
      <c r="Q487" s="34"/>
      <c r="R487" s="34"/>
      <c r="S487" s="34"/>
      <c r="T487" s="34"/>
      <c r="U487" s="34"/>
      <c r="V487" s="34"/>
      <c r="W487" s="34"/>
      <c r="X487" s="34"/>
      <c r="Y487" s="34"/>
      <c r="Z487" s="34"/>
      <c r="AA487" s="34"/>
      <c r="AB487" s="34"/>
      <c r="AC487" s="34"/>
      <c r="AD487" s="34"/>
      <c r="AE487" s="34"/>
      <c r="AF487" s="34"/>
      <c r="AG487" s="34"/>
      <c r="AH487" s="34"/>
      <c r="AI487" s="34"/>
      <c r="AJ487" s="34"/>
      <c r="AK487" s="34"/>
      <c r="AL487" s="34"/>
      <c r="AM487" s="34"/>
      <c r="AN487" s="34"/>
      <c r="AO487" s="34"/>
      <c r="AP487" s="34"/>
      <c r="AQ487" s="34"/>
      <c r="AR487" s="34"/>
      <c r="AS487" s="34"/>
      <c r="AT487" s="34" t="s">
        <v>289</v>
      </c>
      <c r="AU487" s="34"/>
      <c r="AV487" s="34"/>
      <c r="AW487" s="34"/>
      <c r="AX487" s="39"/>
      <c r="AY487" s="34" t="s">
        <v>1923</v>
      </c>
      <c r="AZ487" s="39" t="s">
        <v>1924</v>
      </c>
      <c r="BB487" s="41"/>
      <c r="BC487" s="41"/>
    </row>
    <row r="488" spans="1:58" ht="15.75" hidden="1" customHeight="1">
      <c r="A488" s="193"/>
      <c r="B488" s="129" t="s">
        <v>2378</v>
      </c>
      <c r="C488" s="78"/>
      <c r="D488" s="103"/>
      <c r="E488" s="34"/>
      <c r="F488" s="103">
        <v>0.06</v>
      </c>
      <c r="G488" s="34"/>
      <c r="H488" s="34"/>
      <c r="I488" s="34"/>
      <c r="J488" s="34"/>
      <c r="K488" s="34"/>
      <c r="L488" s="34"/>
      <c r="M488" s="34"/>
      <c r="N488" s="34"/>
      <c r="O488" s="34"/>
      <c r="P488" s="34"/>
      <c r="Q488" s="34"/>
      <c r="R488" s="34"/>
      <c r="S488" s="34"/>
      <c r="T488" s="34"/>
      <c r="U488" s="34"/>
      <c r="V488" s="34"/>
      <c r="W488" s="34"/>
      <c r="X488" s="34"/>
      <c r="Y488" s="34"/>
      <c r="Z488" s="34"/>
      <c r="AA488" s="34"/>
      <c r="AB488" s="34"/>
      <c r="AC488" s="34"/>
      <c r="AD488" s="34"/>
      <c r="AE488" s="34"/>
      <c r="AF488" s="34"/>
      <c r="AG488" s="34"/>
      <c r="AH488" s="34"/>
      <c r="AI488" s="34"/>
      <c r="AJ488" s="34"/>
      <c r="AK488" s="34"/>
      <c r="AL488" s="34"/>
      <c r="AM488" s="34"/>
      <c r="AN488" s="34"/>
      <c r="AO488" s="34"/>
      <c r="AP488" s="34"/>
      <c r="AQ488" s="34"/>
      <c r="AR488" s="34"/>
      <c r="AS488" s="34"/>
      <c r="AT488" s="34" t="s">
        <v>289</v>
      </c>
      <c r="AU488" s="34"/>
      <c r="AV488" s="34"/>
      <c r="AW488" s="34"/>
      <c r="AX488" s="39"/>
      <c r="AY488" s="34" t="s">
        <v>1923</v>
      </c>
      <c r="AZ488" s="39" t="s">
        <v>1924</v>
      </c>
      <c r="BB488" s="41"/>
      <c r="BC488" s="41"/>
    </row>
    <row r="489" spans="1:58" ht="31.5" hidden="1" customHeight="1">
      <c r="A489" s="193"/>
      <c r="B489" s="129" t="s">
        <v>898</v>
      </c>
      <c r="C489" s="78"/>
      <c r="D489" s="103"/>
      <c r="E489" s="34"/>
      <c r="F489" s="103">
        <v>0.06</v>
      </c>
      <c r="G489" s="34"/>
      <c r="H489" s="34"/>
      <c r="I489" s="34"/>
      <c r="J489" s="34"/>
      <c r="K489" s="34"/>
      <c r="L489" s="34"/>
      <c r="M489" s="34"/>
      <c r="N489" s="34"/>
      <c r="O489" s="34"/>
      <c r="P489" s="34"/>
      <c r="Q489" s="34"/>
      <c r="R489" s="34"/>
      <c r="S489" s="34"/>
      <c r="T489" s="34"/>
      <c r="U489" s="34"/>
      <c r="V489" s="34"/>
      <c r="W489" s="34"/>
      <c r="X489" s="34"/>
      <c r="Y489" s="34"/>
      <c r="Z489" s="34"/>
      <c r="AA489" s="34"/>
      <c r="AB489" s="34"/>
      <c r="AC489" s="34"/>
      <c r="AD489" s="34"/>
      <c r="AE489" s="34"/>
      <c r="AF489" s="34"/>
      <c r="AG489" s="34"/>
      <c r="AH489" s="34"/>
      <c r="AI489" s="34"/>
      <c r="AJ489" s="34"/>
      <c r="AK489" s="34"/>
      <c r="AL489" s="34"/>
      <c r="AM489" s="34"/>
      <c r="AN489" s="34"/>
      <c r="AO489" s="34"/>
      <c r="AP489" s="34"/>
      <c r="AQ489" s="34"/>
      <c r="AR489" s="34"/>
      <c r="AS489" s="34"/>
      <c r="AT489" s="34" t="s">
        <v>221</v>
      </c>
      <c r="AU489" s="34"/>
      <c r="AV489" s="34"/>
      <c r="AW489" s="34"/>
      <c r="AX489" s="39"/>
      <c r="AY489" s="34" t="s">
        <v>1923</v>
      </c>
      <c r="AZ489" s="39" t="s">
        <v>1924</v>
      </c>
      <c r="BB489" s="41"/>
      <c r="BC489" s="41"/>
    </row>
    <row r="490" spans="1:58" ht="15.75" hidden="1" customHeight="1">
      <c r="A490" s="193"/>
      <c r="B490" s="129" t="s">
        <v>2377</v>
      </c>
      <c r="C490" s="78"/>
      <c r="D490" s="103"/>
      <c r="E490" s="34"/>
      <c r="F490" s="103">
        <v>0.01</v>
      </c>
      <c r="G490" s="34"/>
      <c r="H490" s="34"/>
      <c r="I490" s="34"/>
      <c r="J490" s="34"/>
      <c r="K490" s="34"/>
      <c r="L490" s="34"/>
      <c r="M490" s="34"/>
      <c r="N490" s="34"/>
      <c r="O490" s="34"/>
      <c r="P490" s="34"/>
      <c r="Q490" s="34"/>
      <c r="R490" s="34"/>
      <c r="S490" s="34"/>
      <c r="T490" s="34"/>
      <c r="U490" s="34"/>
      <c r="V490" s="34"/>
      <c r="W490" s="34"/>
      <c r="X490" s="34"/>
      <c r="Y490" s="34"/>
      <c r="Z490" s="34"/>
      <c r="AA490" s="34"/>
      <c r="AB490" s="34"/>
      <c r="AC490" s="34"/>
      <c r="AD490" s="34"/>
      <c r="AE490" s="34"/>
      <c r="AF490" s="34"/>
      <c r="AG490" s="34"/>
      <c r="AH490" s="34"/>
      <c r="AI490" s="34"/>
      <c r="AJ490" s="34"/>
      <c r="AK490" s="34"/>
      <c r="AL490" s="34"/>
      <c r="AM490" s="34"/>
      <c r="AN490" s="34"/>
      <c r="AO490" s="34"/>
      <c r="AP490" s="34"/>
      <c r="AQ490" s="34"/>
      <c r="AR490" s="34"/>
      <c r="AS490" s="34"/>
      <c r="AT490" s="34" t="s">
        <v>221</v>
      </c>
      <c r="AU490" s="34"/>
      <c r="AV490" s="34"/>
      <c r="AW490" s="34"/>
      <c r="AX490" s="39"/>
      <c r="AY490" s="34" t="s">
        <v>1923</v>
      </c>
      <c r="AZ490" s="39" t="s">
        <v>1924</v>
      </c>
      <c r="BB490" s="41"/>
      <c r="BC490" s="41"/>
    </row>
    <row r="491" spans="1:58" ht="15.75" hidden="1" customHeight="1">
      <c r="A491" s="193"/>
      <c r="B491" s="129" t="s">
        <v>2378</v>
      </c>
      <c r="C491" s="78"/>
      <c r="D491" s="103"/>
      <c r="E491" s="34"/>
      <c r="F491" s="103">
        <v>7.0000000000000007E-2</v>
      </c>
      <c r="G491" s="34"/>
      <c r="H491" s="34"/>
      <c r="I491" s="34"/>
      <c r="J491" s="34"/>
      <c r="K491" s="34"/>
      <c r="L491" s="34"/>
      <c r="M491" s="34"/>
      <c r="N491" s="34"/>
      <c r="O491" s="34"/>
      <c r="P491" s="34"/>
      <c r="Q491" s="34"/>
      <c r="R491" s="34"/>
      <c r="S491" s="34"/>
      <c r="T491" s="34"/>
      <c r="U491" s="34"/>
      <c r="V491" s="34"/>
      <c r="W491" s="34"/>
      <c r="X491" s="34"/>
      <c r="Y491" s="34"/>
      <c r="Z491" s="34"/>
      <c r="AA491" s="34"/>
      <c r="AB491" s="34"/>
      <c r="AC491" s="34"/>
      <c r="AD491" s="34"/>
      <c r="AE491" s="34"/>
      <c r="AF491" s="34"/>
      <c r="AG491" s="34"/>
      <c r="AH491" s="34"/>
      <c r="AI491" s="34"/>
      <c r="AJ491" s="34"/>
      <c r="AK491" s="34"/>
      <c r="AL491" s="34"/>
      <c r="AM491" s="34"/>
      <c r="AN491" s="34"/>
      <c r="AO491" s="34"/>
      <c r="AP491" s="34"/>
      <c r="AQ491" s="34"/>
      <c r="AR491" s="34"/>
      <c r="AS491" s="34"/>
      <c r="AT491" s="34" t="s">
        <v>221</v>
      </c>
      <c r="AU491" s="34"/>
      <c r="AV491" s="34"/>
      <c r="AW491" s="34"/>
      <c r="AX491" s="39"/>
      <c r="AY491" s="34" t="s">
        <v>1923</v>
      </c>
      <c r="AZ491" s="39" t="s">
        <v>1924</v>
      </c>
      <c r="BB491" s="41"/>
      <c r="BC491" s="41"/>
    </row>
    <row r="492" spans="1:58" ht="31.5" hidden="1" customHeight="1">
      <c r="A492" s="193"/>
      <c r="B492" s="129" t="s">
        <v>898</v>
      </c>
      <c r="C492" s="78"/>
      <c r="D492" s="103"/>
      <c r="E492" s="34"/>
      <c r="F492" s="103">
        <v>0.06</v>
      </c>
      <c r="G492" s="34"/>
      <c r="H492" s="34"/>
      <c r="I492" s="34"/>
      <c r="J492" s="34"/>
      <c r="K492" s="34"/>
      <c r="L492" s="34"/>
      <c r="M492" s="34"/>
      <c r="N492" s="34"/>
      <c r="O492" s="34"/>
      <c r="P492" s="34"/>
      <c r="Q492" s="34"/>
      <c r="R492" s="34"/>
      <c r="S492" s="34"/>
      <c r="T492" s="34"/>
      <c r="U492" s="34"/>
      <c r="V492" s="34"/>
      <c r="W492" s="34"/>
      <c r="X492" s="34"/>
      <c r="Y492" s="34"/>
      <c r="Z492" s="34"/>
      <c r="AA492" s="34"/>
      <c r="AB492" s="34"/>
      <c r="AC492" s="34"/>
      <c r="AD492" s="34"/>
      <c r="AE492" s="34"/>
      <c r="AF492" s="34"/>
      <c r="AG492" s="34"/>
      <c r="AH492" s="34"/>
      <c r="AI492" s="34"/>
      <c r="AJ492" s="34"/>
      <c r="AK492" s="34"/>
      <c r="AL492" s="34"/>
      <c r="AM492" s="34"/>
      <c r="AN492" s="34"/>
      <c r="AO492" s="34"/>
      <c r="AP492" s="34"/>
      <c r="AQ492" s="34"/>
      <c r="AR492" s="34"/>
      <c r="AS492" s="34"/>
      <c r="AT492" s="34" t="s">
        <v>222</v>
      </c>
      <c r="AU492" s="34"/>
      <c r="AV492" s="34"/>
      <c r="AW492" s="34"/>
      <c r="AX492" s="39"/>
      <c r="AY492" s="34" t="s">
        <v>1917</v>
      </c>
      <c r="AZ492" s="39" t="s">
        <v>1924</v>
      </c>
      <c r="BA492" s="218"/>
      <c r="BB492" s="41"/>
      <c r="BC492" s="41"/>
    </row>
    <row r="493" spans="1:58" ht="15.75" hidden="1" customHeight="1">
      <c r="A493" s="193"/>
      <c r="B493" s="129" t="s">
        <v>2378</v>
      </c>
      <c r="C493" s="78"/>
      <c r="D493" s="103"/>
      <c r="E493" s="34"/>
      <c r="F493" s="103">
        <v>7.0000000000000007E-2</v>
      </c>
      <c r="G493" s="34"/>
      <c r="H493" s="34"/>
      <c r="I493" s="34"/>
      <c r="J493" s="34"/>
      <c r="K493" s="34"/>
      <c r="L493" s="34"/>
      <c r="M493" s="34"/>
      <c r="N493" s="34"/>
      <c r="O493" s="34"/>
      <c r="P493" s="34"/>
      <c r="Q493" s="34"/>
      <c r="R493" s="34"/>
      <c r="S493" s="34"/>
      <c r="T493" s="34"/>
      <c r="U493" s="34"/>
      <c r="V493" s="34"/>
      <c r="W493" s="34"/>
      <c r="X493" s="34"/>
      <c r="Y493" s="34"/>
      <c r="Z493" s="34"/>
      <c r="AA493" s="34"/>
      <c r="AB493" s="34"/>
      <c r="AC493" s="34"/>
      <c r="AD493" s="34"/>
      <c r="AE493" s="34"/>
      <c r="AF493" s="34"/>
      <c r="AG493" s="34"/>
      <c r="AH493" s="34"/>
      <c r="AI493" s="34"/>
      <c r="AJ493" s="34"/>
      <c r="AK493" s="34"/>
      <c r="AL493" s="34"/>
      <c r="AM493" s="34"/>
      <c r="AN493" s="34"/>
      <c r="AO493" s="34"/>
      <c r="AP493" s="34"/>
      <c r="AQ493" s="34"/>
      <c r="AR493" s="34"/>
      <c r="AS493" s="34"/>
      <c r="AT493" s="34" t="s">
        <v>222</v>
      </c>
      <c r="AU493" s="34"/>
      <c r="AV493" s="34"/>
      <c r="AW493" s="34"/>
      <c r="AX493" s="39"/>
      <c r="AY493" s="34" t="s">
        <v>1917</v>
      </c>
      <c r="AZ493" s="39" t="s">
        <v>1924</v>
      </c>
      <c r="BA493" s="218"/>
      <c r="BB493" s="41"/>
      <c r="BC493" s="41"/>
    </row>
    <row r="494" spans="1:58" ht="31.5" hidden="1" customHeight="1">
      <c r="A494" s="220" t="s">
        <v>193</v>
      </c>
      <c r="B494" s="129" t="s">
        <v>898</v>
      </c>
      <c r="C494" s="78" t="s">
        <v>46</v>
      </c>
      <c r="D494" s="103">
        <v>0.06</v>
      </c>
      <c r="E494" s="34"/>
      <c r="F494" s="103">
        <v>0.06</v>
      </c>
      <c r="G494" s="34">
        <v>0.06</v>
      </c>
      <c r="H494" s="34"/>
      <c r="I494" s="34"/>
      <c r="J494" s="34"/>
      <c r="K494" s="34"/>
      <c r="L494" s="34"/>
      <c r="M494" s="34"/>
      <c r="N494" s="34"/>
      <c r="O494" s="34"/>
      <c r="P494" s="34"/>
      <c r="Q494" s="34"/>
      <c r="R494" s="34"/>
      <c r="S494" s="34"/>
      <c r="T494" s="34"/>
      <c r="U494" s="34"/>
      <c r="V494" s="34"/>
      <c r="W494" s="34"/>
      <c r="X494" s="34"/>
      <c r="Y494" s="34"/>
      <c r="Z494" s="34"/>
      <c r="AA494" s="34"/>
      <c r="AB494" s="34"/>
      <c r="AC494" s="34"/>
      <c r="AD494" s="34"/>
      <c r="AE494" s="34"/>
      <c r="AF494" s="34"/>
      <c r="AG494" s="34"/>
      <c r="AH494" s="34"/>
      <c r="AI494" s="34"/>
      <c r="AJ494" s="34"/>
      <c r="AK494" s="34"/>
      <c r="AL494" s="34"/>
      <c r="AM494" s="34"/>
      <c r="AN494" s="34"/>
      <c r="AO494" s="34"/>
      <c r="AP494" s="34"/>
      <c r="AQ494" s="34"/>
      <c r="AR494" s="34"/>
      <c r="AS494" s="34"/>
      <c r="AT494" s="34" t="s">
        <v>223</v>
      </c>
      <c r="AU494" s="34"/>
      <c r="AV494" s="34"/>
      <c r="AW494" s="34"/>
      <c r="AX494" s="39"/>
      <c r="AY494" s="140" t="s">
        <v>1923</v>
      </c>
      <c r="AZ494" s="63" t="s">
        <v>1924</v>
      </c>
      <c r="BA494" s="65"/>
      <c r="BB494" s="41"/>
      <c r="BC494" s="41"/>
    </row>
    <row r="495" spans="1:58" ht="15.75" hidden="1" customHeight="1">
      <c r="A495" s="220" t="s">
        <v>193</v>
      </c>
      <c r="B495" s="129" t="s">
        <v>2378</v>
      </c>
      <c r="C495" s="78" t="s">
        <v>46</v>
      </c>
      <c r="D495" s="103">
        <v>0.08</v>
      </c>
      <c r="E495" s="34"/>
      <c r="F495" s="103">
        <v>0.08</v>
      </c>
      <c r="G495" s="34"/>
      <c r="H495" s="34"/>
      <c r="I495" s="34">
        <v>0.02</v>
      </c>
      <c r="J495" s="34">
        <v>0.03</v>
      </c>
      <c r="K495" s="34"/>
      <c r="L495" s="34"/>
      <c r="M495" s="34">
        <v>0.02</v>
      </c>
      <c r="N495" s="34"/>
      <c r="O495" s="34"/>
      <c r="P495" s="34">
        <v>0.01</v>
      </c>
      <c r="Q495" s="34"/>
      <c r="R495" s="34"/>
      <c r="S495" s="34"/>
      <c r="T495" s="34"/>
      <c r="U495" s="34"/>
      <c r="V495" s="34"/>
      <c r="W495" s="34"/>
      <c r="X495" s="34"/>
      <c r="Y495" s="34"/>
      <c r="Z495" s="34"/>
      <c r="AA495" s="34"/>
      <c r="AB495" s="34"/>
      <c r="AC495" s="34"/>
      <c r="AD495" s="34"/>
      <c r="AE495" s="34"/>
      <c r="AF495" s="34"/>
      <c r="AG495" s="34"/>
      <c r="AH495" s="34"/>
      <c r="AI495" s="34"/>
      <c r="AJ495" s="34"/>
      <c r="AK495" s="34"/>
      <c r="AL495" s="34"/>
      <c r="AM495" s="34"/>
      <c r="AN495" s="34"/>
      <c r="AO495" s="34"/>
      <c r="AP495" s="34"/>
      <c r="AQ495" s="34"/>
      <c r="AR495" s="34"/>
      <c r="AS495" s="34"/>
      <c r="AT495" s="34" t="s">
        <v>223</v>
      </c>
      <c r="AU495" s="34"/>
      <c r="AV495" s="34"/>
      <c r="AW495" s="34"/>
      <c r="AX495" s="39"/>
      <c r="AY495" s="140" t="s">
        <v>1923</v>
      </c>
      <c r="AZ495" s="63" t="s">
        <v>1924</v>
      </c>
      <c r="BA495" s="65"/>
      <c r="BB495" s="41"/>
      <c r="BC495" s="41"/>
    </row>
    <row r="496" spans="1:58" ht="31.5" hidden="1" customHeight="1">
      <c r="A496" s="220" t="s">
        <v>193</v>
      </c>
      <c r="B496" s="129" t="s">
        <v>898</v>
      </c>
      <c r="C496" s="78" t="s">
        <v>46</v>
      </c>
      <c r="D496" s="231">
        <v>0.06</v>
      </c>
      <c r="E496" s="34"/>
      <c r="F496" s="231">
        <v>0.06</v>
      </c>
      <c r="G496" s="34"/>
      <c r="H496" s="34"/>
      <c r="I496" s="34"/>
      <c r="J496" s="34"/>
      <c r="K496" s="34"/>
      <c r="L496" s="34"/>
      <c r="M496" s="34"/>
      <c r="N496" s="34"/>
      <c r="O496" s="34"/>
      <c r="P496" s="34"/>
      <c r="Q496" s="34"/>
      <c r="R496" s="34"/>
      <c r="S496" s="34"/>
      <c r="T496" s="34"/>
      <c r="U496" s="34"/>
      <c r="V496" s="34"/>
      <c r="W496" s="34"/>
      <c r="X496" s="34"/>
      <c r="Y496" s="34"/>
      <c r="Z496" s="34"/>
      <c r="AA496" s="34"/>
      <c r="AB496" s="34"/>
      <c r="AC496" s="34"/>
      <c r="AD496" s="34"/>
      <c r="AE496" s="34"/>
      <c r="AF496" s="34"/>
      <c r="AG496" s="34"/>
      <c r="AH496" s="34"/>
      <c r="AI496" s="34"/>
      <c r="AJ496" s="34"/>
      <c r="AK496" s="34"/>
      <c r="AL496" s="34"/>
      <c r="AM496" s="34"/>
      <c r="AN496" s="34"/>
      <c r="AO496" s="34"/>
      <c r="AP496" s="34"/>
      <c r="AQ496" s="34"/>
      <c r="AR496" s="34"/>
      <c r="AS496" s="34"/>
      <c r="AT496" s="34" t="s">
        <v>224</v>
      </c>
      <c r="AU496" s="34"/>
      <c r="AV496" s="34"/>
      <c r="AW496" s="34"/>
      <c r="AX496" s="39"/>
      <c r="AY496" s="140" t="s">
        <v>1923</v>
      </c>
      <c r="AZ496" s="63" t="s">
        <v>1924</v>
      </c>
      <c r="BB496" s="41"/>
      <c r="BC496" s="41"/>
    </row>
    <row r="497" spans="1:56" ht="15.75" hidden="1" customHeight="1">
      <c r="A497" s="220" t="s">
        <v>193</v>
      </c>
      <c r="B497" s="129" t="s">
        <v>2378</v>
      </c>
      <c r="C497" s="78" t="s">
        <v>46</v>
      </c>
      <c r="D497" s="231">
        <v>0.09</v>
      </c>
      <c r="E497" s="34"/>
      <c r="F497" s="231">
        <v>0.09</v>
      </c>
      <c r="G497" s="34"/>
      <c r="H497" s="34"/>
      <c r="I497" s="34"/>
      <c r="J497" s="34"/>
      <c r="K497" s="34"/>
      <c r="L497" s="34"/>
      <c r="M497" s="34"/>
      <c r="N497" s="34"/>
      <c r="O497" s="34"/>
      <c r="P497" s="34"/>
      <c r="Q497" s="34"/>
      <c r="R497" s="34"/>
      <c r="S497" s="34"/>
      <c r="T497" s="34"/>
      <c r="U497" s="34"/>
      <c r="V497" s="34"/>
      <c r="W497" s="34"/>
      <c r="X497" s="34"/>
      <c r="Y497" s="34"/>
      <c r="Z497" s="34"/>
      <c r="AA497" s="34"/>
      <c r="AB497" s="34"/>
      <c r="AC497" s="34"/>
      <c r="AD497" s="34"/>
      <c r="AE497" s="34"/>
      <c r="AF497" s="34"/>
      <c r="AG497" s="34"/>
      <c r="AH497" s="34"/>
      <c r="AI497" s="34"/>
      <c r="AJ497" s="34"/>
      <c r="AK497" s="34"/>
      <c r="AL497" s="34"/>
      <c r="AM497" s="34"/>
      <c r="AN497" s="34"/>
      <c r="AO497" s="34"/>
      <c r="AP497" s="34"/>
      <c r="AQ497" s="34"/>
      <c r="AR497" s="34"/>
      <c r="AS497" s="34"/>
      <c r="AT497" s="34" t="s">
        <v>224</v>
      </c>
      <c r="AU497" s="34"/>
      <c r="AV497" s="34"/>
      <c r="AW497" s="34"/>
      <c r="AX497" s="39"/>
      <c r="AY497" s="140" t="s">
        <v>1923</v>
      </c>
      <c r="AZ497" s="63" t="s">
        <v>1924</v>
      </c>
      <c r="BB497" s="41"/>
      <c r="BC497" s="41"/>
    </row>
    <row r="498" spans="1:56" ht="31.5" hidden="1" customHeight="1">
      <c r="A498" s="220"/>
      <c r="B498" s="56" t="s">
        <v>898</v>
      </c>
      <c r="C498" s="78"/>
      <c r="D498" s="103"/>
      <c r="E498" s="34"/>
      <c r="F498" s="103">
        <v>0.06</v>
      </c>
      <c r="G498" s="34"/>
      <c r="H498" s="34"/>
      <c r="I498" s="34"/>
      <c r="J498" s="34"/>
      <c r="K498" s="34"/>
      <c r="L498" s="34"/>
      <c r="M498" s="34"/>
      <c r="N498" s="34"/>
      <c r="O498" s="34"/>
      <c r="P498" s="34"/>
      <c r="Q498" s="34"/>
      <c r="R498" s="34"/>
      <c r="S498" s="34"/>
      <c r="T498" s="34"/>
      <c r="U498" s="34"/>
      <c r="V498" s="34"/>
      <c r="W498" s="34"/>
      <c r="X498" s="34"/>
      <c r="Y498" s="34"/>
      <c r="Z498" s="34"/>
      <c r="AA498" s="34"/>
      <c r="AB498" s="34"/>
      <c r="AC498" s="34"/>
      <c r="AD498" s="34"/>
      <c r="AE498" s="34"/>
      <c r="AF498" s="34"/>
      <c r="AG498" s="34"/>
      <c r="AH498" s="34"/>
      <c r="AI498" s="34"/>
      <c r="AJ498" s="34"/>
      <c r="AK498" s="34"/>
      <c r="AL498" s="34"/>
      <c r="AM498" s="34"/>
      <c r="AN498" s="34"/>
      <c r="AO498" s="34"/>
      <c r="AP498" s="34"/>
      <c r="AQ498" s="34"/>
      <c r="AR498" s="34"/>
      <c r="AS498" s="34"/>
      <c r="AT498" s="34" t="s">
        <v>225</v>
      </c>
      <c r="AU498" s="34"/>
      <c r="AV498" s="34"/>
      <c r="AW498" s="34"/>
      <c r="AX498" s="39"/>
      <c r="AY498" s="38" t="s">
        <v>1923</v>
      </c>
      <c r="AZ498" s="63" t="s">
        <v>1924</v>
      </c>
      <c r="BB498" s="41"/>
      <c r="BC498" s="41"/>
    </row>
    <row r="499" spans="1:56" ht="15.75" hidden="1" customHeight="1">
      <c r="A499" s="220"/>
      <c r="B499" s="56" t="s">
        <v>2378</v>
      </c>
      <c r="C499" s="78"/>
      <c r="D499" s="103"/>
      <c r="E499" s="34"/>
      <c r="F499" s="103">
        <v>7.0000000000000007E-2</v>
      </c>
      <c r="G499" s="34"/>
      <c r="H499" s="34"/>
      <c r="I499" s="34"/>
      <c r="J499" s="34"/>
      <c r="K499" s="34"/>
      <c r="L499" s="34"/>
      <c r="M499" s="34"/>
      <c r="N499" s="34"/>
      <c r="O499" s="34"/>
      <c r="P499" s="34"/>
      <c r="Q499" s="34"/>
      <c r="R499" s="34"/>
      <c r="S499" s="34"/>
      <c r="T499" s="34"/>
      <c r="U499" s="34"/>
      <c r="V499" s="34"/>
      <c r="W499" s="34"/>
      <c r="X499" s="34"/>
      <c r="Y499" s="34"/>
      <c r="Z499" s="34"/>
      <c r="AA499" s="34"/>
      <c r="AB499" s="34"/>
      <c r="AC499" s="34"/>
      <c r="AD499" s="34"/>
      <c r="AE499" s="34"/>
      <c r="AF499" s="34"/>
      <c r="AG499" s="34"/>
      <c r="AH499" s="34"/>
      <c r="AI499" s="34"/>
      <c r="AJ499" s="34"/>
      <c r="AK499" s="34"/>
      <c r="AL499" s="34"/>
      <c r="AM499" s="34"/>
      <c r="AN499" s="34"/>
      <c r="AO499" s="34"/>
      <c r="AP499" s="34"/>
      <c r="AQ499" s="34"/>
      <c r="AR499" s="34"/>
      <c r="AS499" s="34"/>
      <c r="AT499" s="34" t="s">
        <v>225</v>
      </c>
      <c r="AU499" s="34"/>
      <c r="AV499" s="34"/>
      <c r="AW499" s="34"/>
      <c r="AX499" s="39"/>
      <c r="AY499" s="38" t="s">
        <v>1923</v>
      </c>
      <c r="AZ499" s="63" t="s">
        <v>1924</v>
      </c>
      <c r="BB499" s="41"/>
      <c r="BC499" s="41"/>
    </row>
    <row r="500" spans="1:56" ht="63" hidden="1" customHeight="1">
      <c r="A500" s="193"/>
      <c r="B500" s="56" t="s">
        <v>2379</v>
      </c>
      <c r="C500" s="78"/>
      <c r="D500" s="103"/>
      <c r="E500" s="34"/>
      <c r="F500" s="103">
        <v>0.39</v>
      </c>
      <c r="G500" s="34"/>
      <c r="H500" s="34"/>
      <c r="I500" s="34"/>
      <c r="J500" s="34"/>
      <c r="K500" s="34"/>
      <c r="L500" s="34"/>
      <c r="M500" s="34"/>
      <c r="N500" s="34"/>
      <c r="O500" s="34"/>
      <c r="P500" s="34"/>
      <c r="Q500" s="34"/>
      <c r="R500" s="34"/>
      <c r="S500" s="34"/>
      <c r="T500" s="34"/>
      <c r="U500" s="34"/>
      <c r="V500" s="34"/>
      <c r="W500" s="34"/>
      <c r="X500" s="34"/>
      <c r="Y500" s="34"/>
      <c r="Z500" s="34"/>
      <c r="AA500" s="34"/>
      <c r="AB500" s="34"/>
      <c r="AC500" s="34"/>
      <c r="AD500" s="34"/>
      <c r="AE500" s="34"/>
      <c r="AF500" s="34"/>
      <c r="AG500" s="34"/>
      <c r="AH500" s="34"/>
      <c r="AI500" s="34"/>
      <c r="AJ500" s="34"/>
      <c r="AK500" s="34"/>
      <c r="AL500" s="34"/>
      <c r="AM500" s="34"/>
      <c r="AN500" s="34"/>
      <c r="AO500" s="34"/>
      <c r="AP500" s="34"/>
      <c r="AQ500" s="34"/>
      <c r="AR500" s="34"/>
      <c r="AS500" s="34"/>
      <c r="AT500" s="34" t="s">
        <v>2380</v>
      </c>
      <c r="AU500" s="34"/>
      <c r="AV500" s="34"/>
      <c r="AW500" s="34"/>
      <c r="AX500" s="39"/>
      <c r="AY500" s="140" t="s">
        <v>1923</v>
      </c>
      <c r="AZ500" s="63" t="s">
        <v>1924</v>
      </c>
      <c r="BA500" s="40"/>
      <c r="BC500" s="41"/>
      <c r="BD500" s="41"/>
    </row>
    <row r="501" spans="1:56" s="61" customFormat="1" ht="31.5" hidden="1" customHeight="1">
      <c r="A501" s="220" t="s">
        <v>193</v>
      </c>
      <c r="B501" s="56" t="s">
        <v>898</v>
      </c>
      <c r="C501" s="78"/>
      <c r="D501" s="103"/>
      <c r="E501" s="34"/>
      <c r="F501" s="103">
        <v>0.06</v>
      </c>
      <c r="G501" s="34"/>
      <c r="H501" s="34"/>
      <c r="I501" s="34"/>
      <c r="J501" s="34"/>
      <c r="K501" s="34"/>
      <c r="L501" s="34"/>
      <c r="M501" s="34"/>
      <c r="N501" s="34"/>
      <c r="O501" s="34"/>
      <c r="P501" s="34"/>
      <c r="Q501" s="34"/>
      <c r="R501" s="34"/>
      <c r="S501" s="34"/>
      <c r="T501" s="34"/>
      <c r="U501" s="34"/>
      <c r="V501" s="34"/>
      <c r="W501" s="34"/>
      <c r="X501" s="34"/>
      <c r="Y501" s="34"/>
      <c r="Z501" s="34"/>
      <c r="AA501" s="34"/>
      <c r="AB501" s="34"/>
      <c r="AC501" s="34"/>
      <c r="AD501" s="34"/>
      <c r="AE501" s="34"/>
      <c r="AF501" s="34"/>
      <c r="AG501" s="34"/>
      <c r="AH501" s="34"/>
      <c r="AI501" s="34"/>
      <c r="AJ501" s="34"/>
      <c r="AK501" s="34"/>
      <c r="AL501" s="34"/>
      <c r="AM501" s="34"/>
      <c r="AN501" s="34"/>
      <c r="AO501" s="34"/>
      <c r="AP501" s="34"/>
      <c r="AQ501" s="34"/>
      <c r="AR501" s="34"/>
      <c r="AS501" s="34"/>
      <c r="AT501" s="34" t="s">
        <v>227</v>
      </c>
      <c r="AU501" s="34"/>
      <c r="AV501" s="34"/>
      <c r="AW501" s="34"/>
      <c r="AX501" s="39"/>
      <c r="AY501" s="140" t="s">
        <v>1923</v>
      </c>
      <c r="AZ501" s="39" t="s">
        <v>1924</v>
      </c>
      <c r="BA501" s="15"/>
      <c r="BB501" s="202"/>
      <c r="BC501" s="202"/>
    </row>
    <row r="502" spans="1:56" s="61" customFormat="1" ht="15.75" hidden="1" customHeight="1">
      <c r="A502" s="220" t="s">
        <v>193</v>
      </c>
      <c r="B502" s="56" t="s">
        <v>2378</v>
      </c>
      <c r="C502" s="78"/>
      <c r="D502" s="103"/>
      <c r="E502" s="34"/>
      <c r="F502" s="103">
        <v>7.0000000000000007E-2</v>
      </c>
      <c r="G502" s="34"/>
      <c r="H502" s="34"/>
      <c r="I502" s="34"/>
      <c r="J502" s="34"/>
      <c r="K502" s="34"/>
      <c r="L502" s="34"/>
      <c r="M502" s="34"/>
      <c r="N502" s="34"/>
      <c r="O502" s="34"/>
      <c r="P502" s="34"/>
      <c r="Q502" s="34"/>
      <c r="R502" s="34"/>
      <c r="S502" s="34"/>
      <c r="T502" s="34"/>
      <c r="U502" s="34"/>
      <c r="V502" s="34"/>
      <c r="W502" s="34"/>
      <c r="X502" s="34"/>
      <c r="Y502" s="34"/>
      <c r="Z502" s="34"/>
      <c r="AA502" s="34"/>
      <c r="AB502" s="34"/>
      <c r="AC502" s="34"/>
      <c r="AD502" s="34"/>
      <c r="AE502" s="34"/>
      <c r="AF502" s="34"/>
      <c r="AG502" s="34"/>
      <c r="AH502" s="34"/>
      <c r="AI502" s="34"/>
      <c r="AJ502" s="34"/>
      <c r="AK502" s="34"/>
      <c r="AL502" s="34"/>
      <c r="AM502" s="34"/>
      <c r="AN502" s="34"/>
      <c r="AO502" s="34"/>
      <c r="AP502" s="34"/>
      <c r="AQ502" s="34"/>
      <c r="AR502" s="34"/>
      <c r="AS502" s="34"/>
      <c r="AT502" s="34" t="s">
        <v>227</v>
      </c>
      <c r="AU502" s="34"/>
      <c r="AV502" s="34"/>
      <c r="AW502" s="34"/>
      <c r="AX502" s="39"/>
      <c r="AY502" s="140" t="s">
        <v>1923</v>
      </c>
      <c r="AZ502" s="39" t="s">
        <v>1924</v>
      </c>
      <c r="BA502" s="15"/>
      <c r="BB502" s="202"/>
      <c r="BC502" s="202"/>
    </row>
    <row r="503" spans="1:56" ht="31.5" hidden="1" customHeight="1">
      <c r="A503" s="193"/>
      <c r="B503" s="129" t="s">
        <v>898</v>
      </c>
      <c r="C503" s="78"/>
      <c r="D503" s="103"/>
      <c r="E503" s="34"/>
      <c r="F503" s="103">
        <v>0.06</v>
      </c>
      <c r="G503" s="34"/>
      <c r="H503" s="34"/>
      <c r="I503" s="34"/>
      <c r="J503" s="34"/>
      <c r="K503" s="34"/>
      <c r="L503" s="34"/>
      <c r="M503" s="34"/>
      <c r="N503" s="34"/>
      <c r="O503" s="34"/>
      <c r="P503" s="34"/>
      <c r="Q503" s="34"/>
      <c r="R503" s="34"/>
      <c r="S503" s="34"/>
      <c r="T503" s="34"/>
      <c r="U503" s="34"/>
      <c r="V503" s="34"/>
      <c r="W503" s="34"/>
      <c r="X503" s="34"/>
      <c r="Y503" s="34"/>
      <c r="Z503" s="34"/>
      <c r="AA503" s="34"/>
      <c r="AB503" s="34"/>
      <c r="AC503" s="34"/>
      <c r="AD503" s="34"/>
      <c r="AE503" s="34"/>
      <c r="AF503" s="34"/>
      <c r="AG503" s="34"/>
      <c r="AH503" s="34"/>
      <c r="AI503" s="34"/>
      <c r="AJ503" s="34"/>
      <c r="AK503" s="34"/>
      <c r="AL503" s="34"/>
      <c r="AM503" s="34"/>
      <c r="AN503" s="34"/>
      <c r="AO503" s="34"/>
      <c r="AP503" s="34"/>
      <c r="AQ503" s="34"/>
      <c r="AR503" s="34"/>
      <c r="AS503" s="34"/>
      <c r="AT503" s="34" t="s">
        <v>228</v>
      </c>
      <c r="AU503" s="34"/>
      <c r="AV503" s="34"/>
      <c r="AW503" s="34"/>
      <c r="AX503" s="39"/>
      <c r="AY503" s="34" t="s">
        <v>1923</v>
      </c>
      <c r="AZ503" s="39" t="s">
        <v>1924</v>
      </c>
      <c r="BB503" s="41"/>
      <c r="BC503" s="41"/>
    </row>
    <row r="504" spans="1:56" ht="15.75" hidden="1" customHeight="1">
      <c r="A504" s="193"/>
      <c r="B504" s="129" t="s">
        <v>2378</v>
      </c>
      <c r="C504" s="78"/>
      <c r="D504" s="103"/>
      <c r="E504" s="34"/>
      <c r="F504" s="103">
        <v>0.06</v>
      </c>
      <c r="G504" s="34"/>
      <c r="H504" s="34"/>
      <c r="I504" s="34"/>
      <c r="J504" s="34"/>
      <c r="K504" s="34"/>
      <c r="L504" s="34"/>
      <c r="M504" s="34"/>
      <c r="N504" s="34"/>
      <c r="O504" s="34"/>
      <c r="P504" s="34"/>
      <c r="Q504" s="34"/>
      <c r="R504" s="34"/>
      <c r="S504" s="34"/>
      <c r="T504" s="34"/>
      <c r="U504" s="34"/>
      <c r="V504" s="34"/>
      <c r="W504" s="34"/>
      <c r="X504" s="34"/>
      <c r="Y504" s="34"/>
      <c r="Z504" s="34"/>
      <c r="AA504" s="34"/>
      <c r="AB504" s="34"/>
      <c r="AC504" s="34"/>
      <c r="AD504" s="34"/>
      <c r="AE504" s="34"/>
      <c r="AF504" s="34"/>
      <c r="AG504" s="34"/>
      <c r="AH504" s="34"/>
      <c r="AI504" s="34"/>
      <c r="AJ504" s="34"/>
      <c r="AK504" s="34"/>
      <c r="AL504" s="34"/>
      <c r="AM504" s="34"/>
      <c r="AN504" s="34"/>
      <c r="AO504" s="34"/>
      <c r="AP504" s="34"/>
      <c r="AQ504" s="34"/>
      <c r="AR504" s="34"/>
      <c r="AS504" s="34"/>
      <c r="AT504" s="34" t="s">
        <v>228</v>
      </c>
      <c r="AU504" s="34"/>
      <c r="AV504" s="34"/>
      <c r="AW504" s="34"/>
      <c r="AX504" s="39"/>
      <c r="AY504" s="34" t="s">
        <v>1923</v>
      </c>
      <c r="AZ504" s="39" t="s">
        <v>1924</v>
      </c>
      <c r="BB504" s="41"/>
      <c r="BC504" s="41"/>
    </row>
    <row r="505" spans="1:56" ht="31.5" hidden="1" customHeight="1">
      <c r="A505" s="193"/>
      <c r="B505" s="129" t="s">
        <v>898</v>
      </c>
      <c r="C505" s="78" t="s">
        <v>46</v>
      </c>
      <c r="D505" s="235">
        <v>0.06</v>
      </c>
      <c r="E505" s="222"/>
      <c r="F505" s="235">
        <v>0.06</v>
      </c>
      <c r="G505" s="34"/>
      <c r="H505" s="103"/>
      <c r="I505" s="103"/>
      <c r="J505" s="103"/>
      <c r="K505" s="103"/>
      <c r="L505" s="103"/>
      <c r="M505" s="103"/>
      <c r="N505" s="103"/>
      <c r="O505" s="103"/>
      <c r="P505" s="103"/>
      <c r="Q505" s="103"/>
      <c r="R505" s="103"/>
      <c r="S505" s="103"/>
      <c r="T505" s="103"/>
      <c r="U505" s="103"/>
      <c r="V505" s="103"/>
      <c r="W505" s="103"/>
      <c r="X505" s="103"/>
      <c r="Y505" s="103"/>
      <c r="Z505" s="103"/>
      <c r="AA505" s="103"/>
      <c r="AB505" s="103"/>
      <c r="AC505" s="103"/>
      <c r="AD505" s="103"/>
      <c r="AE505" s="103"/>
      <c r="AF505" s="103"/>
      <c r="AG505" s="103"/>
      <c r="AH505" s="103"/>
      <c r="AI505" s="103"/>
      <c r="AJ505" s="103"/>
      <c r="AK505" s="103"/>
      <c r="AL505" s="103"/>
      <c r="AM505" s="103"/>
      <c r="AN505" s="103"/>
      <c r="AO505" s="103"/>
      <c r="AP505" s="103"/>
      <c r="AQ505" s="103"/>
      <c r="AR505" s="103"/>
      <c r="AS505" s="103"/>
      <c r="AT505" s="34" t="s">
        <v>229</v>
      </c>
      <c r="AU505" s="34"/>
      <c r="AV505" s="34"/>
      <c r="AW505" s="34"/>
      <c r="AX505" s="39"/>
      <c r="AY505" s="34" t="s">
        <v>1917</v>
      </c>
      <c r="AZ505" s="39" t="s">
        <v>1926</v>
      </c>
    </row>
    <row r="506" spans="1:56" ht="15.75" hidden="1" customHeight="1">
      <c r="A506" s="193"/>
      <c r="B506" s="129" t="s">
        <v>2378</v>
      </c>
      <c r="C506" s="78" t="s">
        <v>46</v>
      </c>
      <c r="D506" s="222">
        <v>7.0000000000000007E-2</v>
      </c>
      <c r="E506" s="222"/>
      <c r="F506" s="222">
        <v>7.0000000000000007E-2</v>
      </c>
      <c r="G506" s="34"/>
      <c r="H506" s="103"/>
      <c r="I506" s="103"/>
      <c r="J506" s="103"/>
      <c r="K506" s="103"/>
      <c r="L506" s="103"/>
      <c r="M506" s="103"/>
      <c r="N506" s="103"/>
      <c r="O506" s="103"/>
      <c r="P506" s="103"/>
      <c r="Q506" s="103"/>
      <c r="R506" s="103"/>
      <c r="S506" s="103"/>
      <c r="T506" s="103"/>
      <c r="U506" s="103"/>
      <c r="V506" s="103"/>
      <c r="W506" s="103"/>
      <c r="X506" s="103"/>
      <c r="Y506" s="103"/>
      <c r="Z506" s="103"/>
      <c r="AA506" s="103"/>
      <c r="AB506" s="103"/>
      <c r="AC506" s="103"/>
      <c r="AD506" s="103"/>
      <c r="AE506" s="103"/>
      <c r="AF506" s="103"/>
      <c r="AG506" s="103"/>
      <c r="AH506" s="103"/>
      <c r="AI506" s="103"/>
      <c r="AJ506" s="103"/>
      <c r="AK506" s="103"/>
      <c r="AL506" s="103"/>
      <c r="AM506" s="103"/>
      <c r="AN506" s="103"/>
      <c r="AO506" s="103"/>
      <c r="AP506" s="103"/>
      <c r="AQ506" s="103"/>
      <c r="AR506" s="103"/>
      <c r="AS506" s="103"/>
      <c r="AT506" s="34" t="s">
        <v>229</v>
      </c>
      <c r="AU506" s="34"/>
      <c r="AV506" s="34"/>
      <c r="AW506" s="34"/>
      <c r="AX506" s="39"/>
      <c r="AY506" s="34" t="s">
        <v>1917</v>
      </c>
      <c r="AZ506" s="39" t="s">
        <v>1926</v>
      </c>
    </row>
    <row r="507" spans="1:56" ht="31.5" hidden="1" customHeight="1">
      <c r="A507" s="193"/>
      <c r="B507" s="56" t="s">
        <v>898</v>
      </c>
      <c r="C507" s="78"/>
      <c r="D507" s="103"/>
      <c r="E507" s="34"/>
      <c r="F507" s="103">
        <v>0.05</v>
      </c>
      <c r="G507" s="34"/>
      <c r="H507" s="34"/>
      <c r="I507" s="34"/>
      <c r="J507" s="34"/>
      <c r="K507" s="34"/>
      <c r="L507" s="34"/>
      <c r="M507" s="34"/>
      <c r="N507" s="34"/>
      <c r="O507" s="34"/>
      <c r="P507" s="34"/>
      <c r="Q507" s="34"/>
      <c r="R507" s="34"/>
      <c r="S507" s="34"/>
      <c r="T507" s="34"/>
      <c r="U507" s="34"/>
      <c r="V507" s="34"/>
      <c r="W507" s="34"/>
      <c r="X507" s="34"/>
      <c r="Y507" s="34"/>
      <c r="Z507" s="34"/>
      <c r="AA507" s="34"/>
      <c r="AB507" s="34"/>
      <c r="AC507" s="34"/>
      <c r="AD507" s="34"/>
      <c r="AE507" s="34"/>
      <c r="AF507" s="34"/>
      <c r="AG507" s="34"/>
      <c r="AH507" s="34"/>
      <c r="AI507" s="34"/>
      <c r="AJ507" s="34"/>
      <c r="AK507" s="34"/>
      <c r="AL507" s="34"/>
      <c r="AM507" s="34"/>
      <c r="AN507" s="34"/>
      <c r="AO507" s="34"/>
      <c r="AP507" s="34"/>
      <c r="AQ507" s="34"/>
      <c r="AR507" s="34"/>
      <c r="AS507" s="34"/>
      <c r="AT507" s="34" t="s">
        <v>231</v>
      </c>
      <c r="AU507" s="34"/>
      <c r="AV507" s="34"/>
      <c r="AW507" s="34"/>
      <c r="AX507" s="39"/>
      <c r="AY507" s="34" t="s">
        <v>1923</v>
      </c>
      <c r="AZ507" s="39" t="s">
        <v>1924</v>
      </c>
      <c r="BB507" s="41"/>
      <c r="BC507" s="41"/>
    </row>
    <row r="508" spans="1:56" ht="31.5" hidden="1" customHeight="1">
      <c r="A508" s="193"/>
      <c r="B508" s="56" t="s">
        <v>898</v>
      </c>
      <c r="C508" s="78"/>
      <c r="D508" s="103"/>
      <c r="E508" s="34"/>
      <c r="F508" s="103">
        <v>0.05</v>
      </c>
      <c r="G508" s="34"/>
      <c r="H508" s="34"/>
      <c r="I508" s="34"/>
      <c r="J508" s="34"/>
      <c r="K508" s="34"/>
      <c r="L508" s="34"/>
      <c r="M508" s="34"/>
      <c r="N508" s="34"/>
      <c r="O508" s="34"/>
      <c r="P508" s="34"/>
      <c r="Q508" s="34"/>
      <c r="R508" s="34"/>
      <c r="S508" s="34"/>
      <c r="T508" s="34"/>
      <c r="U508" s="34"/>
      <c r="V508" s="34"/>
      <c r="W508" s="34"/>
      <c r="X508" s="34"/>
      <c r="Y508" s="34"/>
      <c r="Z508" s="34"/>
      <c r="AA508" s="34"/>
      <c r="AB508" s="34"/>
      <c r="AC508" s="34"/>
      <c r="AD508" s="34"/>
      <c r="AE508" s="34"/>
      <c r="AF508" s="34"/>
      <c r="AG508" s="34"/>
      <c r="AH508" s="34"/>
      <c r="AI508" s="34"/>
      <c r="AJ508" s="34"/>
      <c r="AK508" s="34"/>
      <c r="AL508" s="34"/>
      <c r="AM508" s="34"/>
      <c r="AN508" s="34"/>
      <c r="AO508" s="34"/>
      <c r="AP508" s="34"/>
      <c r="AQ508" s="34"/>
      <c r="AR508" s="34"/>
      <c r="AS508" s="34"/>
      <c r="AT508" s="34" t="s">
        <v>230</v>
      </c>
      <c r="AU508" s="34"/>
      <c r="AV508" s="34"/>
      <c r="AW508" s="34"/>
      <c r="AX508" s="39"/>
      <c r="AY508" s="34" t="s">
        <v>1923</v>
      </c>
      <c r="AZ508" s="63" t="s">
        <v>1924</v>
      </c>
      <c r="BB508" s="41"/>
      <c r="BC508" s="41"/>
    </row>
    <row r="509" spans="1:56" ht="15.75" hidden="1" customHeight="1">
      <c r="A509" s="193"/>
      <c r="B509" s="56" t="s">
        <v>2378</v>
      </c>
      <c r="C509" s="78"/>
      <c r="D509" s="103"/>
      <c r="E509" s="34"/>
      <c r="F509" s="103">
        <v>0.06</v>
      </c>
      <c r="G509" s="34"/>
      <c r="H509" s="34"/>
      <c r="I509" s="34"/>
      <c r="J509" s="34"/>
      <c r="K509" s="34"/>
      <c r="L509" s="34"/>
      <c r="M509" s="34"/>
      <c r="N509" s="34"/>
      <c r="O509" s="34"/>
      <c r="P509" s="34"/>
      <c r="Q509" s="34"/>
      <c r="R509" s="34"/>
      <c r="S509" s="34"/>
      <c r="T509" s="34"/>
      <c r="U509" s="34"/>
      <c r="V509" s="34"/>
      <c r="W509" s="34"/>
      <c r="X509" s="34"/>
      <c r="Y509" s="34"/>
      <c r="Z509" s="34"/>
      <c r="AA509" s="34"/>
      <c r="AB509" s="34"/>
      <c r="AC509" s="34"/>
      <c r="AD509" s="34"/>
      <c r="AE509" s="34"/>
      <c r="AF509" s="34"/>
      <c r="AG509" s="34"/>
      <c r="AH509" s="34"/>
      <c r="AI509" s="34"/>
      <c r="AJ509" s="34"/>
      <c r="AK509" s="34"/>
      <c r="AL509" s="34"/>
      <c r="AM509" s="34"/>
      <c r="AN509" s="34"/>
      <c r="AO509" s="34"/>
      <c r="AP509" s="34"/>
      <c r="AQ509" s="34"/>
      <c r="AR509" s="34"/>
      <c r="AS509" s="34"/>
      <c r="AT509" s="34" t="s">
        <v>230</v>
      </c>
      <c r="AU509" s="34"/>
      <c r="AV509" s="34"/>
      <c r="AW509" s="34"/>
      <c r="AX509" s="39"/>
      <c r="AY509" s="34" t="s">
        <v>1923</v>
      </c>
      <c r="AZ509" s="63" t="s">
        <v>1924</v>
      </c>
      <c r="BB509" s="41"/>
      <c r="BC509" s="41"/>
    </row>
    <row r="510" spans="1:56" ht="15.75" hidden="1" customHeight="1">
      <c r="A510" s="193"/>
      <c r="B510" s="56" t="s">
        <v>2378</v>
      </c>
      <c r="C510" s="78"/>
      <c r="D510" s="103"/>
      <c r="E510" s="34"/>
      <c r="F510" s="103">
        <v>7.0000000000000007E-2</v>
      </c>
      <c r="G510" s="34"/>
      <c r="H510" s="34"/>
      <c r="I510" s="34"/>
      <c r="J510" s="34"/>
      <c r="K510" s="34"/>
      <c r="L510" s="34"/>
      <c r="M510" s="34"/>
      <c r="N510" s="34"/>
      <c r="O510" s="34"/>
      <c r="P510" s="34"/>
      <c r="Q510" s="34"/>
      <c r="R510" s="34"/>
      <c r="S510" s="34"/>
      <c r="T510" s="34"/>
      <c r="U510" s="34"/>
      <c r="V510" s="34"/>
      <c r="W510" s="34"/>
      <c r="X510" s="34"/>
      <c r="Y510" s="34"/>
      <c r="Z510" s="34"/>
      <c r="AA510" s="34"/>
      <c r="AB510" s="34"/>
      <c r="AC510" s="34"/>
      <c r="AD510" s="34"/>
      <c r="AE510" s="34"/>
      <c r="AF510" s="34"/>
      <c r="AG510" s="34"/>
      <c r="AH510" s="34"/>
      <c r="AI510" s="34"/>
      <c r="AJ510" s="34"/>
      <c r="AK510" s="34"/>
      <c r="AL510" s="34"/>
      <c r="AM510" s="34"/>
      <c r="AN510" s="34"/>
      <c r="AO510" s="34"/>
      <c r="AP510" s="34"/>
      <c r="AQ510" s="34"/>
      <c r="AR510" s="34"/>
      <c r="AS510" s="34"/>
      <c r="AT510" s="34" t="s">
        <v>231</v>
      </c>
      <c r="AU510" s="34"/>
      <c r="AV510" s="34"/>
      <c r="AW510" s="34"/>
      <c r="AX510" s="39"/>
      <c r="AY510" s="34" t="s">
        <v>1923</v>
      </c>
      <c r="AZ510" s="39" t="s">
        <v>1924</v>
      </c>
      <c r="BB510" s="41"/>
      <c r="BC510" s="41"/>
    </row>
    <row r="511" spans="1:56" ht="31.5" hidden="1" customHeight="1">
      <c r="A511" s="193"/>
      <c r="B511" s="56" t="s">
        <v>898</v>
      </c>
      <c r="C511" s="78"/>
      <c r="D511" s="103"/>
      <c r="E511" s="34"/>
      <c r="F511" s="103">
        <v>0.05</v>
      </c>
      <c r="G511" s="34"/>
      <c r="H511" s="34"/>
      <c r="I511" s="34"/>
      <c r="J511" s="34"/>
      <c r="K511" s="34"/>
      <c r="L511" s="34"/>
      <c r="M511" s="34"/>
      <c r="N511" s="34"/>
      <c r="O511" s="34"/>
      <c r="P511" s="34"/>
      <c r="Q511" s="34"/>
      <c r="R511" s="34"/>
      <c r="S511" s="34"/>
      <c r="T511" s="34"/>
      <c r="U511" s="34"/>
      <c r="V511" s="34"/>
      <c r="W511" s="34"/>
      <c r="X511" s="34"/>
      <c r="Y511" s="34"/>
      <c r="Z511" s="34"/>
      <c r="AA511" s="34"/>
      <c r="AB511" s="34"/>
      <c r="AC511" s="34"/>
      <c r="AD511" s="34"/>
      <c r="AE511" s="34"/>
      <c r="AF511" s="34"/>
      <c r="AG511" s="34"/>
      <c r="AH511" s="34"/>
      <c r="AI511" s="34"/>
      <c r="AJ511" s="34"/>
      <c r="AK511" s="34"/>
      <c r="AL511" s="34"/>
      <c r="AM511" s="34"/>
      <c r="AN511" s="34"/>
      <c r="AO511" s="34"/>
      <c r="AP511" s="34"/>
      <c r="AQ511" s="34"/>
      <c r="AR511" s="34"/>
      <c r="AS511" s="34"/>
      <c r="AT511" s="34" t="s">
        <v>232</v>
      </c>
      <c r="AU511" s="34"/>
      <c r="AV511" s="34"/>
      <c r="AW511" s="34"/>
      <c r="AX511" s="39"/>
      <c r="AY511" s="34" t="s">
        <v>1923</v>
      </c>
      <c r="AZ511" s="39" t="s">
        <v>1924</v>
      </c>
      <c r="BB511" s="41"/>
      <c r="BC511" s="41"/>
    </row>
    <row r="512" spans="1:56" ht="15.75" hidden="1" customHeight="1">
      <c r="A512" s="193"/>
      <c r="B512" s="56" t="s">
        <v>2378</v>
      </c>
      <c r="C512" s="78"/>
      <c r="D512" s="103"/>
      <c r="E512" s="34"/>
      <c r="F512" s="103">
        <v>0.08</v>
      </c>
      <c r="G512" s="34"/>
      <c r="H512" s="34"/>
      <c r="I512" s="34"/>
      <c r="J512" s="34"/>
      <c r="K512" s="34"/>
      <c r="L512" s="34"/>
      <c r="M512" s="34"/>
      <c r="N512" s="34"/>
      <c r="O512" s="34"/>
      <c r="P512" s="34"/>
      <c r="Q512" s="34"/>
      <c r="R512" s="34"/>
      <c r="S512" s="34"/>
      <c r="T512" s="34"/>
      <c r="U512" s="34"/>
      <c r="V512" s="34"/>
      <c r="W512" s="34"/>
      <c r="X512" s="34"/>
      <c r="Y512" s="34"/>
      <c r="Z512" s="34"/>
      <c r="AA512" s="34"/>
      <c r="AB512" s="34"/>
      <c r="AC512" s="34"/>
      <c r="AD512" s="34"/>
      <c r="AE512" s="34"/>
      <c r="AF512" s="34"/>
      <c r="AG512" s="34"/>
      <c r="AH512" s="34"/>
      <c r="AI512" s="34"/>
      <c r="AJ512" s="34"/>
      <c r="AK512" s="34"/>
      <c r="AL512" s="34"/>
      <c r="AM512" s="34"/>
      <c r="AN512" s="34"/>
      <c r="AO512" s="34"/>
      <c r="AP512" s="34"/>
      <c r="AQ512" s="34"/>
      <c r="AR512" s="34"/>
      <c r="AS512" s="34"/>
      <c r="AT512" s="34" t="s">
        <v>232</v>
      </c>
      <c r="AU512" s="34"/>
      <c r="AV512" s="34"/>
      <c r="AW512" s="34"/>
      <c r="AX512" s="39"/>
      <c r="AY512" s="34" t="s">
        <v>1923</v>
      </c>
      <c r="AZ512" s="39" t="s">
        <v>1924</v>
      </c>
      <c r="BB512" s="41"/>
      <c r="BC512" s="41"/>
    </row>
    <row r="513" spans="1:55" ht="31.5" hidden="1" customHeight="1">
      <c r="A513" s="193"/>
      <c r="B513" s="56" t="s">
        <v>898</v>
      </c>
      <c r="C513" s="78"/>
      <c r="D513" s="103"/>
      <c r="E513" s="34"/>
      <c r="F513" s="103">
        <v>0.05</v>
      </c>
      <c r="G513" s="34"/>
      <c r="H513" s="34"/>
      <c r="I513" s="34"/>
      <c r="J513" s="34"/>
      <c r="K513" s="34"/>
      <c r="L513" s="34"/>
      <c r="M513" s="34"/>
      <c r="N513" s="34"/>
      <c r="O513" s="34"/>
      <c r="P513" s="34"/>
      <c r="Q513" s="34"/>
      <c r="R513" s="34"/>
      <c r="S513" s="34"/>
      <c r="T513" s="34"/>
      <c r="U513" s="34"/>
      <c r="V513" s="34"/>
      <c r="W513" s="34"/>
      <c r="X513" s="34"/>
      <c r="Y513" s="34"/>
      <c r="Z513" s="34"/>
      <c r="AA513" s="34"/>
      <c r="AB513" s="34"/>
      <c r="AC513" s="34"/>
      <c r="AD513" s="34"/>
      <c r="AE513" s="34"/>
      <c r="AF513" s="34"/>
      <c r="AG513" s="34"/>
      <c r="AH513" s="34"/>
      <c r="AI513" s="34"/>
      <c r="AJ513" s="34"/>
      <c r="AK513" s="34"/>
      <c r="AL513" s="34"/>
      <c r="AM513" s="34"/>
      <c r="AN513" s="34"/>
      <c r="AO513" s="34"/>
      <c r="AP513" s="34"/>
      <c r="AQ513" s="34"/>
      <c r="AR513" s="34"/>
      <c r="AS513" s="34"/>
      <c r="AT513" s="34" t="s">
        <v>233</v>
      </c>
      <c r="AU513" s="34"/>
      <c r="AV513" s="34"/>
      <c r="AW513" s="34"/>
      <c r="AX513" s="39"/>
      <c r="AY513" s="34" t="s">
        <v>1917</v>
      </c>
      <c r="AZ513" s="39" t="s">
        <v>1926</v>
      </c>
      <c r="BB513" s="41"/>
      <c r="BC513" s="41"/>
    </row>
    <row r="514" spans="1:55" ht="15.75" hidden="1" customHeight="1">
      <c r="A514" s="193"/>
      <c r="B514" s="56" t="s">
        <v>2378</v>
      </c>
      <c r="C514" s="78"/>
      <c r="D514" s="103"/>
      <c r="E514" s="34"/>
      <c r="F514" s="103">
        <v>0.08</v>
      </c>
      <c r="G514" s="34"/>
      <c r="H514" s="34"/>
      <c r="I514" s="34"/>
      <c r="J514" s="34"/>
      <c r="K514" s="34"/>
      <c r="L514" s="34"/>
      <c r="M514" s="34"/>
      <c r="N514" s="34"/>
      <c r="O514" s="34"/>
      <c r="P514" s="34"/>
      <c r="Q514" s="34"/>
      <c r="R514" s="34"/>
      <c r="S514" s="34"/>
      <c r="T514" s="34"/>
      <c r="U514" s="34"/>
      <c r="V514" s="34"/>
      <c r="W514" s="34"/>
      <c r="X514" s="34"/>
      <c r="Y514" s="34"/>
      <c r="Z514" s="34"/>
      <c r="AA514" s="34"/>
      <c r="AB514" s="34"/>
      <c r="AC514" s="34"/>
      <c r="AD514" s="34"/>
      <c r="AE514" s="34"/>
      <c r="AF514" s="34"/>
      <c r="AG514" s="34"/>
      <c r="AH514" s="34"/>
      <c r="AI514" s="34"/>
      <c r="AJ514" s="34"/>
      <c r="AK514" s="34"/>
      <c r="AL514" s="34"/>
      <c r="AM514" s="34"/>
      <c r="AN514" s="34"/>
      <c r="AO514" s="34"/>
      <c r="AP514" s="34"/>
      <c r="AQ514" s="34"/>
      <c r="AR514" s="34"/>
      <c r="AS514" s="34"/>
      <c r="AT514" s="34" t="s">
        <v>233</v>
      </c>
      <c r="AU514" s="34"/>
      <c r="AV514" s="34"/>
      <c r="AW514" s="34"/>
      <c r="AX514" s="39"/>
      <c r="AY514" s="34" t="s">
        <v>1917</v>
      </c>
      <c r="AZ514" s="39" t="s">
        <v>1926</v>
      </c>
      <c r="BB514" s="41"/>
      <c r="BC514" s="41"/>
    </row>
    <row r="515" spans="1:55" ht="31.5" hidden="1" customHeight="1">
      <c r="A515" s="220"/>
      <c r="B515" s="56" t="s">
        <v>898</v>
      </c>
      <c r="C515" s="78"/>
      <c r="D515" s="103"/>
      <c r="E515" s="34"/>
      <c r="F515" s="103">
        <v>1.2</v>
      </c>
      <c r="G515" s="34"/>
      <c r="H515" s="34"/>
      <c r="I515" s="34"/>
      <c r="J515" s="34"/>
      <c r="K515" s="34"/>
      <c r="L515" s="34"/>
      <c r="M515" s="34"/>
      <c r="N515" s="34"/>
      <c r="O515" s="34"/>
      <c r="P515" s="34"/>
      <c r="Q515" s="34"/>
      <c r="R515" s="34"/>
      <c r="S515" s="34"/>
      <c r="T515" s="34"/>
      <c r="U515" s="34"/>
      <c r="V515" s="34"/>
      <c r="W515" s="34"/>
      <c r="X515" s="34"/>
      <c r="Y515" s="34"/>
      <c r="Z515" s="34"/>
      <c r="AA515" s="34"/>
      <c r="AB515" s="34"/>
      <c r="AC515" s="34"/>
      <c r="AD515" s="34"/>
      <c r="AE515" s="34"/>
      <c r="AF515" s="34"/>
      <c r="AG515" s="34"/>
      <c r="AH515" s="34"/>
      <c r="AI515" s="34"/>
      <c r="AJ515" s="34"/>
      <c r="AK515" s="34"/>
      <c r="AL515" s="34"/>
      <c r="AM515" s="34"/>
      <c r="AN515" s="34"/>
      <c r="AO515" s="34"/>
      <c r="AP515" s="34"/>
      <c r="AQ515" s="34"/>
      <c r="AR515" s="34"/>
      <c r="AS515" s="34"/>
      <c r="AT515" s="34" t="s">
        <v>234</v>
      </c>
      <c r="AU515" s="34" t="s">
        <v>615</v>
      </c>
      <c r="AV515" s="34"/>
      <c r="AW515" s="34"/>
      <c r="AX515" s="39"/>
      <c r="AY515" s="34" t="s">
        <v>1923</v>
      </c>
      <c r="AZ515" s="39" t="s">
        <v>1924</v>
      </c>
      <c r="BB515" s="41"/>
      <c r="BC515" s="41"/>
    </row>
    <row r="516" spans="1:55" ht="15.75" hidden="1" customHeight="1">
      <c r="A516" s="220"/>
      <c r="B516" s="56" t="s">
        <v>2378</v>
      </c>
      <c r="C516" s="78"/>
      <c r="D516" s="103"/>
      <c r="E516" s="34"/>
      <c r="F516" s="103">
        <v>0.08</v>
      </c>
      <c r="G516" s="34"/>
      <c r="H516" s="34"/>
      <c r="I516" s="34"/>
      <c r="J516" s="34"/>
      <c r="K516" s="34"/>
      <c r="L516" s="34"/>
      <c r="M516" s="34"/>
      <c r="N516" s="34"/>
      <c r="O516" s="34"/>
      <c r="P516" s="34"/>
      <c r="Q516" s="34"/>
      <c r="R516" s="34"/>
      <c r="S516" s="34"/>
      <c r="T516" s="34"/>
      <c r="U516" s="34"/>
      <c r="V516" s="34"/>
      <c r="W516" s="34"/>
      <c r="X516" s="34"/>
      <c r="Y516" s="34"/>
      <c r="Z516" s="34"/>
      <c r="AA516" s="34"/>
      <c r="AB516" s="34"/>
      <c r="AC516" s="34"/>
      <c r="AD516" s="34"/>
      <c r="AE516" s="34"/>
      <c r="AF516" s="34"/>
      <c r="AG516" s="34"/>
      <c r="AH516" s="34"/>
      <c r="AI516" s="34"/>
      <c r="AJ516" s="34"/>
      <c r="AK516" s="34"/>
      <c r="AL516" s="34"/>
      <c r="AM516" s="34"/>
      <c r="AN516" s="34"/>
      <c r="AO516" s="34"/>
      <c r="AP516" s="34"/>
      <c r="AQ516" s="34"/>
      <c r="AR516" s="34"/>
      <c r="AS516" s="34"/>
      <c r="AT516" s="34" t="s">
        <v>234</v>
      </c>
      <c r="AU516" s="34" t="s">
        <v>615</v>
      </c>
      <c r="AV516" s="34"/>
      <c r="AW516" s="34"/>
      <c r="AX516" s="39"/>
      <c r="AY516" s="34" t="s">
        <v>1923</v>
      </c>
      <c r="AZ516" s="39" t="s">
        <v>1924</v>
      </c>
      <c r="BB516" s="41"/>
      <c r="BC516" s="41"/>
    </row>
    <row r="517" spans="1:55" ht="31.5" hidden="1" customHeight="1">
      <c r="A517" s="193"/>
      <c r="B517" s="56" t="s">
        <v>898</v>
      </c>
      <c r="C517" s="78" t="s">
        <v>46</v>
      </c>
      <c r="D517" s="103">
        <f>E517+F517</f>
        <v>1.2</v>
      </c>
      <c r="E517" s="103"/>
      <c r="F517" s="103">
        <v>1.2</v>
      </c>
      <c r="G517" s="103">
        <v>0.05</v>
      </c>
      <c r="H517" s="103"/>
      <c r="I517" s="103"/>
      <c r="J517" s="103">
        <v>6.0999999999999999E-2</v>
      </c>
      <c r="K517" s="194">
        <v>0.16800000000000001</v>
      </c>
      <c r="L517" s="103"/>
      <c r="M517" s="103">
        <v>0.16800000000000001</v>
      </c>
      <c r="N517" s="103"/>
      <c r="O517" s="103"/>
      <c r="P517" s="103"/>
      <c r="Q517" s="103"/>
      <c r="R517" s="103"/>
      <c r="S517" s="103"/>
      <c r="T517" s="103"/>
      <c r="U517" s="103"/>
      <c r="V517" s="103"/>
      <c r="W517" s="103"/>
      <c r="X517" s="103"/>
      <c r="Y517" s="103"/>
      <c r="Z517" s="103"/>
      <c r="AA517" s="103"/>
      <c r="AB517" s="103"/>
      <c r="AC517" s="103"/>
      <c r="AD517" s="103"/>
      <c r="AE517" s="103"/>
      <c r="AF517" s="103"/>
      <c r="AG517" s="103"/>
      <c r="AH517" s="103"/>
      <c r="AI517" s="103"/>
      <c r="AJ517" s="103"/>
      <c r="AK517" s="103"/>
      <c r="AL517" s="103"/>
      <c r="AM517" s="103"/>
      <c r="AN517" s="103"/>
      <c r="AO517" s="103"/>
      <c r="AP517" s="103"/>
      <c r="AQ517" s="103"/>
      <c r="AR517" s="103"/>
      <c r="AS517" s="103"/>
      <c r="AT517" s="34" t="s">
        <v>880</v>
      </c>
      <c r="AU517" s="34"/>
      <c r="AV517" s="1661"/>
      <c r="AW517" s="1661"/>
      <c r="AX517" s="1662">
        <v>2021</v>
      </c>
      <c r="AY517" s="34" t="s">
        <v>1986</v>
      </c>
      <c r="AZ517" s="63"/>
      <c r="BB517" s="41"/>
    </row>
    <row r="518" spans="1:55" ht="63" hidden="1" customHeight="1">
      <c r="A518" s="193"/>
      <c r="B518" s="56" t="s">
        <v>2379</v>
      </c>
      <c r="C518" s="78"/>
      <c r="D518" s="103"/>
      <c r="E518" s="103"/>
      <c r="F518" s="103">
        <v>0.39</v>
      </c>
      <c r="G518" s="103"/>
      <c r="H518" s="103"/>
      <c r="I518" s="103"/>
      <c r="J518" s="103"/>
      <c r="K518" s="194"/>
      <c r="L518" s="103"/>
      <c r="M518" s="103"/>
      <c r="N518" s="103"/>
      <c r="O518" s="103"/>
      <c r="P518" s="103"/>
      <c r="Q518" s="103"/>
      <c r="R518" s="103"/>
      <c r="S518" s="103"/>
      <c r="T518" s="103"/>
      <c r="U518" s="103"/>
      <c r="V518" s="103"/>
      <c r="W518" s="103"/>
      <c r="X518" s="103"/>
      <c r="Y518" s="103"/>
      <c r="Z518" s="103"/>
      <c r="AA518" s="103"/>
      <c r="AB518" s="103"/>
      <c r="AC518" s="103"/>
      <c r="AD518" s="103"/>
      <c r="AE518" s="103"/>
      <c r="AF518" s="103"/>
      <c r="AG518" s="103"/>
      <c r="AH518" s="103"/>
      <c r="AI518" s="103"/>
      <c r="AJ518" s="103"/>
      <c r="AK518" s="103"/>
      <c r="AL518" s="103"/>
      <c r="AM518" s="103"/>
      <c r="AN518" s="103"/>
      <c r="AO518" s="103"/>
      <c r="AP518" s="103"/>
      <c r="AQ518" s="103"/>
      <c r="AR518" s="103"/>
      <c r="AS518" s="103"/>
      <c r="AT518" s="34" t="s">
        <v>880</v>
      </c>
      <c r="AU518" s="34"/>
      <c r="AV518" s="1661"/>
      <c r="AW518" s="1661"/>
      <c r="AX518" s="1662"/>
      <c r="AY518" s="34" t="s">
        <v>1917</v>
      </c>
      <c r="AZ518" s="63" t="s">
        <v>2381</v>
      </c>
      <c r="BB518" s="41"/>
    </row>
    <row r="519" spans="1:55" ht="15.75" hidden="1" customHeight="1">
      <c r="A519" s="193"/>
      <c r="B519" s="56" t="s">
        <v>2378</v>
      </c>
      <c r="C519" s="78" t="s">
        <v>46</v>
      </c>
      <c r="D519" s="103">
        <v>2.9209999999999985</v>
      </c>
      <c r="E519" s="34"/>
      <c r="F519" s="103">
        <v>2.9209999999999985</v>
      </c>
      <c r="G519" s="34">
        <v>1.202</v>
      </c>
      <c r="H519" s="34">
        <v>1.9000000000000003E-2</v>
      </c>
      <c r="I519" s="34">
        <v>0.45899999999999996</v>
      </c>
      <c r="J519" s="34">
        <v>0.6130000000000001</v>
      </c>
      <c r="K519" s="34">
        <v>0.45200000000000001</v>
      </c>
      <c r="L519" s="34">
        <v>0</v>
      </c>
      <c r="M519" s="34">
        <v>0.45200000000000001</v>
      </c>
      <c r="N519" s="34">
        <v>0</v>
      </c>
      <c r="O519" s="34">
        <v>0</v>
      </c>
      <c r="P519" s="34">
        <v>0.02</v>
      </c>
      <c r="Q519" s="34">
        <v>0</v>
      </c>
      <c r="R519" s="34">
        <v>0</v>
      </c>
      <c r="S519" s="34">
        <v>0</v>
      </c>
      <c r="T519" s="34">
        <v>0</v>
      </c>
      <c r="U519" s="34">
        <v>0</v>
      </c>
      <c r="V519" s="34">
        <v>0</v>
      </c>
      <c r="W519" s="34">
        <v>1.3000000000000001E-2</v>
      </c>
      <c r="X519" s="34">
        <v>0</v>
      </c>
      <c r="Y519" s="34">
        <v>6.0000000000000001E-3</v>
      </c>
      <c r="Z519" s="34">
        <v>0</v>
      </c>
      <c r="AA519" s="34">
        <v>4.2000000000000003E-2</v>
      </c>
      <c r="AB519" s="34">
        <v>0</v>
      </c>
      <c r="AC519" s="34">
        <v>0</v>
      </c>
      <c r="AD519" s="34">
        <v>0</v>
      </c>
      <c r="AE519" s="34">
        <v>0</v>
      </c>
      <c r="AF519" s="34">
        <v>0</v>
      </c>
      <c r="AG519" s="34">
        <v>0.03</v>
      </c>
      <c r="AH519" s="34">
        <v>0.01</v>
      </c>
      <c r="AI519" s="34">
        <v>0</v>
      </c>
      <c r="AJ519" s="34">
        <v>0</v>
      </c>
      <c r="AK519" s="34">
        <v>0</v>
      </c>
      <c r="AL519" s="34">
        <v>1.7000000000000001E-2</v>
      </c>
      <c r="AM519" s="34">
        <v>0</v>
      </c>
      <c r="AN519" s="34">
        <v>0.03</v>
      </c>
      <c r="AO519" s="34">
        <v>0</v>
      </c>
      <c r="AP519" s="34">
        <v>0</v>
      </c>
      <c r="AQ519" s="34">
        <v>0</v>
      </c>
      <c r="AR519" s="34">
        <v>8.0000000000000002E-3</v>
      </c>
      <c r="AS519" s="34">
        <v>0</v>
      </c>
      <c r="AT519" s="34" t="s">
        <v>880</v>
      </c>
      <c r="AU519" s="34"/>
      <c r="AV519" s="1661"/>
      <c r="AW519" s="1661"/>
      <c r="AX519" s="1663" t="s">
        <v>1920</v>
      </c>
      <c r="AY519" s="34" t="s">
        <v>1917</v>
      </c>
      <c r="AZ519" s="39" t="s">
        <v>1924</v>
      </c>
      <c r="BB519" s="41"/>
      <c r="BC519" s="41"/>
    </row>
    <row r="520" spans="1:55" ht="31.5" hidden="1" customHeight="1">
      <c r="A520" s="193"/>
      <c r="B520" s="56" t="s">
        <v>898</v>
      </c>
      <c r="C520" s="78"/>
      <c r="D520" s="103"/>
      <c r="E520" s="34"/>
      <c r="F520" s="103">
        <v>0.05</v>
      </c>
      <c r="G520" s="34"/>
      <c r="H520" s="34"/>
      <c r="I520" s="34"/>
      <c r="J520" s="34"/>
      <c r="K520" s="34"/>
      <c r="L520" s="34"/>
      <c r="M520" s="34"/>
      <c r="N520" s="34"/>
      <c r="O520" s="34"/>
      <c r="P520" s="34"/>
      <c r="Q520" s="34"/>
      <c r="R520" s="34"/>
      <c r="S520" s="34"/>
      <c r="T520" s="34"/>
      <c r="U520" s="34"/>
      <c r="V520" s="34"/>
      <c r="W520" s="34"/>
      <c r="X520" s="34"/>
      <c r="Y520" s="34"/>
      <c r="Z520" s="34"/>
      <c r="AA520" s="34"/>
      <c r="AB520" s="34"/>
      <c r="AC520" s="34"/>
      <c r="AD520" s="34"/>
      <c r="AE520" s="34"/>
      <c r="AF520" s="34"/>
      <c r="AG520" s="34"/>
      <c r="AH520" s="34"/>
      <c r="AI520" s="34"/>
      <c r="AJ520" s="34"/>
      <c r="AK520" s="34"/>
      <c r="AL520" s="34"/>
      <c r="AM520" s="34"/>
      <c r="AN520" s="34"/>
      <c r="AO520" s="34"/>
      <c r="AP520" s="34"/>
      <c r="AQ520" s="34"/>
      <c r="AR520" s="34"/>
      <c r="AS520" s="34"/>
      <c r="AT520" s="34" t="s">
        <v>236</v>
      </c>
      <c r="AU520" s="34"/>
      <c r="AV520" s="34"/>
      <c r="AW520" s="34"/>
      <c r="AX520" s="39"/>
      <c r="AY520" s="140" t="s">
        <v>1923</v>
      </c>
      <c r="AZ520" s="63" t="s">
        <v>1924</v>
      </c>
      <c r="BB520" s="41"/>
      <c r="BC520" s="41"/>
    </row>
    <row r="521" spans="1:55" ht="15.75" hidden="1" customHeight="1">
      <c r="A521" s="193"/>
      <c r="B521" s="56" t="s">
        <v>2378</v>
      </c>
      <c r="C521" s="78"/>
      <c r="D521" s="103"/>
      <c r="E521" s="34"/>
      <c r="F521" s="103">
        <v>0.08</v>
      </c>
      <c r="G521" s="34"/>
      <c r="H521" s="34"/>
      <c r="I521" s="34"/>
      <c r="J521" s="34"/>
      <c r="K521" s="34"/>
      <c r="L521" s="34"/>
      <c r="M521" s="34"/>
      <c r="N521" s="34"/>
      <c r="O521" s="34"/>
      <c r="P521" s="34"/>
      <c r="Q521" s="34"/>
      <c r="R521" s="34"/>
      <c r="S521" s="34"/>
      <c r="T521" s="34"/>
      <c r="U521" s="34"/>
      <c r="V521" s="34"/>
      <c r="W521" s="34"/>
      <c r="X521" s="34"/>
      <c r="Y521" s="34"/>
      <c r="Z521" s="34"/>
      <c r="AA521" s="34"/>
      <c r="AB521" s="34"/>
      <c r="AC521" s="34"/>
      <c r="AD521" s="34"/>
      <c r="AE521" s="34"/>
      <c r="AF521" s="34"/>
      <c r="AG521" s="34"/>
      <c r="AH521" s="34"/>
      <c r="AI521" s="34"/>
      <c r="AJ521" s="34"/>
      <c r="AK521" s="34"/>
      <c r="AL521" s="34"/>
      <c r="AM521" s="34"/>
      <c r="AN521" s="34"/>
      <c r="AO521" s="34"/>
      <c r="AP521" s="34"/>
      <c r="AQ521" s="34"/>
      <c r="AR521" s="34"/>
      <c r="AS521" s="34"/>
      <c r="AT521" s="34" t="s">
        <v>236</v>
      </c>
      <c r="AU521" s="34"/>
      <c r="AV521" s="34"/>
      <c r="AW521" s="34"/>
      <c r="AX521" s="39"/>
      <c r="AY521" s="140" t="s">
        <v>1923</v>
      </c>
      <c r="AZ521" s="63" t="s">
        <v>1924</v>
      </c>
      <c r="BB521" s="41"/>
      <c r="BC521" s="41"/>
    </row>
    <row r="522" spans="1:55" ht="31.5" hidden="1" customHeight="1">
      <c r="A522" s="193"/>
      <c r="B522" s="56" t="s">
        <v>898</v>
      </c>
      <c r="C522" s="78"/>
      <c r="D522" s="103"/>
      <c r="E522" s="34"/>
      <c r="F522" s="103">
        <v>0.05</v>
      </c>
      <c r="G522" s="34"/>
      <c r="H522" s="34"/>
      <c r="I522" s="34"/>
      <c r="J522" s="34"/>
      <c r="K522" s="34"/>
      <c r="L522" s="34"/>
      <c r="M522" s="34"/>
      <c r="N522" s="34"/>
      <c r="O522" s="34"/>
      <c r="P522" s="34"/>
      <c r="Q522" s="34"/>
      <c r="R522" s="34"/>
      <c r="S522" s="34"/>
      <c r="T522" s="34"/>
      <c r="U522" s="34"/>
      <c r="V522" s="34"/>
      <c r="W522" s="34"/>
      <c r="X522" s="34"/>
      <c r="Y522" s="34"/>
      <c r="Z522" s="34"/>
      <c r="AA522" s="34"/>
      <c r="AB522" s="34"/>
      <c r="AC522" s="34"/>
      <c r="AD522" s="34"/>
      <c r="AE522" s="34"/>
      <c r="AF522" s="34"/>
      <c r="AG522" s="34"/>
      <c r="AH522" s="34"/>
      <c r="AI522" s="34"/>
      <c r="AJ522" s="34"/>
      <c r="AK522" s="34"/>
      <c r="AL522" s="34"/>
      <c r="AM522" s="34"/>
      <c r="AN522" s="34"/>
      <c r="AO522" s="34"/>
      <c r="AP522" s="34"/>
      <c r="AQ522" s="34"/>
      <c r="AR522" s="34"/>
      <c r="AS522" s="34"/>
      <c r="AT522" s="34" t="s">
        <v>237</v>
      </c>
      <c r="AU522" s="34"/>
      <c r="AV522" s="34"/>
      <c r="AW522" s="34"/>
      <c r="AX522" s="39"/>
      <c r="AY522" s="34" t="s">
        <v>1923</v>
      </c>
      <c r="AZ522" s="63" t="s">
        <v>1924</v>
      </c>
      <c r="BA522" s="229"/>
      <c r="BB522" s="41"/>
      <c r="BC522" s="41"/>
    </row>
    <row r="523" spans="1:55" ht="15.75" hidden="1" customHeight="1">
      <c r="A523" s="193"/>
      <c r="B523" s="56" t="s">
        <v>2378</v>
      </c>
      <c r="C523" s="78"/>
      <c r="D523" s="103"/>
      <c r="E523" s="34"/>
      <c r="F523" s="103">
        <v>0.08</v>
      </c>
      <c r="G523" s="34"/>
      <c r="H523" s="34"/>
      <c r="I523" s="34"/>
      <c r="J523" s="34"/>
      <c r="K523" s="34"/>
      <c r="L523" s="34"/>
      <c r="M523" s="34"/>
      <c r="N523" s="34"/>
      <c r="O523" s="34"/>
      <c r="P523" s="34"/>
      <c r="Q523" s="34"/>
      <c r="R523" s="34"/>
      <c r="S523" s="34"/>
      <c r="T523" s="34"/>
      <c r="U523" s="34"/>
      <c r="V523" s="34"/>
      <c r="W523" s="34"/>
      <c r="X523" s="34"/>
      <c r="Y523" s="34"/>
      <c r="Z523" s="34"/>
      <c r="AA523" s="34"/>
      <c r="AB523" s="34"/>
      <c r="AC523" s="34"/>
      <c r="AD523" s="34"/>
      <c r="AE523" s="34"/>
      <c r="AF523" s="34"/>
      <c r="AG523" s="34"/>
      <c r="AH523" s="34"/>
      <c r="AI523" s="34"/>
      <c r="AJ523" s="34"/>
      <c r="AK523" s="34"/>
      <c r="AL523" s="34"/>
      <c r="AM523" s="34"/>
      <c r="AN523" s="34"/>
      <c r="AO523" s="34"/>
      <c r="AP523" s="34"/>
      <c r="AQ523" s="34"/>
      <c r="AR523" s="34"/>
      <c r="AS523" s="34"/>
      <c r="AT523" s="34" t="s">
        <v>237</v>
      </c>
      <c r="AU523" s="34"/>
      <c r="AV523" s="34"/>
      <c r="AW523" s="34"/>
      <c r="AX523" s="39"/>
      <c r="AY523" s="34" t="s">
        <v>1923</v>
      </c>
      <c r="AZ523" s="63" t="s">
        <v>1924</v>
      </c>
      <c r="BA523" s="229"/>
      <c r="BB523" s="41"/>
      <c r="BC523" s="41"/>
    </row>
    <row r="524" spans="1:55" ht="31.5" hidden="1" customHeight="1">
      <c r="A524" s="220"/>
      <c r="B524" s="129" t="s">
        <v>898</v>
      </c>
      <c r="C524" s="78" t="s">
        <v>46</v>
      </c>
      <c r="D524" s="103">
        <v>0.05</v>
      </c>
      <c r="E524" s="34"/>
      <c r="F524" s="103">
        <v>0.05</v>
      </c>
      <c r="G524" s="34">
        <v>0.05</v>
      </c>
      <c r="H524" s="34"/>
      <c r="I524" s="34"/>
      <c r="J524" s="34"/>
      <c r="K524" s="34"/>
      <c r="L524" s="34"/>
      <c r="M524" s="34"/>
      <c r="N524" s="34"/>
      <c r="O524" s="34"/>
      <c r="P524" s="34"/>
      <c r="Q524" s="34"/>
      <c r="R524" s="34"/>
      <c r="S524" s="34"/>
      <c r="T524" s="34"/>
      <c r="U524" s="34"/>
      <c r="V524" s="34"/>
      <c r="W524" s="34"/>
      <c r="X524" s="34"/>
      <c r="Y524" s="34"/>
      <c r="Z524" s="34"/>
      <c r="AA524" s="34"/>
      <c r="AB524" s="34"/>
      <c r="AC524" s="34"/>
      <c r="AD524" s="34"/>
      <c r="AE524" s="34"/>
      <c r="AF524" s="34"/>
      <c r="AG524" s="34"/>
      <c r="AH524" s="34"/>
      <c r="AI524" s="34"/>
      <c r="AJ524" s="34"/>
      <c r="AK524" s="34"/>
      <c r="AL524" s="34"/>
      <c r="AM524" s="34"/>
      <c r="AN524" s="34"/>
      <c r="AO524" s="34"/>
      <c r="AP524" s="34"/>
      <c r="AQ524" s="34"/>
      <c r="AR524" s="34"/>
      <c r="AS524" s="34"/>
      <c r="AT524" s="38" t="s">
        <v>238</v>
      </c>
      <c r="AU524" s="34"/>
      <c r="AV524" s="34"/>
      <c r="AW524" s="34"/>
      <c r="AX524" s="39"/>
      <c r="AY524" s="140" t="s">
        <v>1917</v>
      </c>
      <c r="AZ524" s="63" t="s">
        <v>1924</v>
      </c>
      <c r="BA524" s="65"/>
      <c r="BB524" s="41"/>
      <c r="BC524" s="41"/>
    </row>
    <row r="525" spans="1:55" ht="15.75" hidden="1" customHeight="1">
      <c r="A525" s="220"/>
      <c r="B525" s="129" t="s">
        <v>2378</v>
      </c>
      <c r="C525" s="78" t="s">
        <v>46</v>
      </c>
      <c r="D525" s="103">
        <v>0.09</v>
      </c>
      <c r="E525" s="34"/>
      <c r="F525" s="103">
        <v>0.09</v>
      </c>
      <c r="G525" s="34"/>
      <c r="H525" s="34"/>
      <c r="I525" s="34">
        <v>0.02</v>
      </c>
      <c r="J525" s="34">
        <v>0.03</v>
      </c>
      <c r="K525" s="34"/>
      <c r="L525" s="34"/>
      <c r="M525" s="34">
        <v>0.02</v>
      </c>
      <c r="N525" s="34"/>
      <c r="O525" s="34"/>
      <c r="P525" s="34"/>
      <c r="Q525" s="34"/>
      <c r="R525" s="34"/>
      <c r="S525" s="34"/>
      <c r="T525" s="34"/>
      <c r="U525" s="34"/>
      <c r="V525" s="34"/>
      <c r="W525" s="34"/>
      <c r="X525" s="34"/>
      <c r="Y525" s="34"/>
      <c r="Z525" s="34"/>
      <c r="AA525" s="34"/>
      <c r="AB525" s="34"/>
      <c r="AC525" s="34"/>
      <c r="AD525" s="34"/>
      <c r="AE525" s="34"/>
      <c r="AF525" s="34"/>
      <c r="AG525" s="34"/>
      <c r="AH525" s="34"/>
      <c r="AI525" s="34"/>
      <c r="AJ525" s="34"/>
      <c r="AK525" s="34"/>
      <c r="AL525" s="34">
        <v>0.02</v>
      </c>
      <c r="AM525" s="34"/>
      <c r="AN525" s="34"/>
      <c r="AO525" s="34"/>
      <c r="AP525" s="34"/>
      <c r="AQ525" s="34"/>
      <c r="AR525" s="34"/>
      <c r="AS525" s="34"/>
      <c r="AT525" s="38" t="s">
        <v>238</v>
      </c>
      <c r="AU525" s="34"/>
      <c r="AV525" s="34"/>
      <c r="AW525" s="34"/>
      <c r="AX525" s="39"/>
      <c r="AY525" s="140" t="s">
        <v>1917</v>
      </c>
      <c r="AZ525" s="63" t="s">
        <v>1924</v>
      </c>
      <c r="BA525" s="65"/>
      <c r="BB525" s="41"/>
      <c r="BC525" s="41"/>
    </row>
    <row r="526" spans="1:55" ht="31.5" hidden="1" customHeight="1">
      <c r="A526" s="193"/>
      <c r="B526" s="56" t="s">
        <v>898</v>
      </c>
      <c r="C526" s="78"/>
      <c r="D526" s="103"/>
      <c r="E526" s="34"/>
      <c r="F526" s="103">
        <v>0.05</v>
      </c>
      <c r="G526" s="34"/>
      <c r="H526" s="34"/>
      <c r="I526" s="34"/>
      <c r="J526" s="34"/>
      <c r="K526" s="34"/>
      <c r="L526" s="34"/>
      <c r="M526" s="34"/>
      <c r="N526" s="34"/>
      <c r="O526" s="34"/>
      <c r="P526" s="34"/>
      <c r="Q526" s="34"/>
      <c r="R526" s="34"/>
      <c r="S526" s="34"/>
      <c r="T526" s="34"/>
      <c r="U526" s="34"/>
      <c r="V526" s="34"/>
      <c r="W526" s="34"/>
      <c r="X526" s="34"/>
      <c r="Y526" s="34"/>
      <c r="Z526" s="34"/>
      <c r="AA526" s="34"/>
      <c r="AB526" s="34"/>
      <c r="AC526" s="34"/>
      <c r="AD526" s="34"/>
      <c r="AE526" s="34"/>
      <c r="AF526" s="34"/>
      <c r="AG526" s="34"/>
      <c r="AH526" s="34"/>
      <c r="AI526" s="34"/>
      <c r="AJ526" s="34"/>
      <c r="AK526" s="34"/>
      <c r="AL526" s="34"/>
      <c r="AM526" s="34"/>
      <c r="AN526" s="34"/>
      <c r="AO526" s="34"/>
      <c r="AP526" s="34"/>
      <c r="AQ526" s="34"/>
      <c r="AR526" s="34"/>
      <c r="AS526" s="34"/>
      <c r="AT526" s="34" t="s">
        <v>239</v>
      </c>
      <c r="AU526" s="34"/>
      <c r="AV526" s="34"/>
      <c r="AW526" s="34"/>
      <c r="AX526" s="39"/>
      <c r="AY526" s="38" t="s">
        <v>1923</v>
      </c>
      <c r="AZ526" s="39" t="s">
        <v>1924</v>
      </c>
      <c r="BB526" s="41"/>
      <c r="BC526" s="41"/>
    </row>
    <row r="527" spans="1:55" ht="15.75" hidden="1" customHeight="1">
      <c r="A527" s="193"/>
      <c r="B527" s="56" t="s">
        <v>2378</v>
      </c>
      <c r="C527" s="78"/>
      <c r="D527" s="103"/>
      <c r="E527" s="34"/>
      <c r="F527" s="103">
        <v>0.08</v>
      </c>
      <c r="G527" s="34"/>
      <c r="H527" s="34"/>
      <c r="I527" s="34"/>
      <c r="J527" s="34"/>
      <c r="K527" s="34"/>
      <c r="L527" s="34"/>
      <c r="M527" s="34"/>
      <c r="N527" s="34"/>
      <c r="O527" s="34"/>
      <c r="P527" s="34"/>
      <c r="Q527" s="34"/>
      <c r="R527" s="34"/>
      <c r="S527" s="34"/>
      <c r="T527" s="34"/>
      <c r="U527" s="34"/>
      <c r="V527" s="34"/>
      <c r="W527" s="34"/>
      <c r="X527" s="34"/>
      <c r="Y527" s="34"/>
      <c r="Z527" s="34"/>
      <c r="AA527" s="34"/>
      <c r="AB527" s="34"/>
      <c r="AC527" s="34"/>
      <c r="AD527" s="34"/>
      <c r="AE527" s="34"/>
      <c r="AF527" s="34"/>
      <c r="AG527" s="34"/>
      <c r="AH527" s="34"/>
      <c r="AI527" s="34"/>
      <c r="AJ527" s="34"/>
      <c r="AK527" s="34"/>
      <c r="AL527" s="34"/>
      <c r="AM527" s="34"/>
      <c r="AN527" s="34"/>
      <c r="AO527" s="34"/>
      <c r="AP527" s="34"/>
      <c r="AQ527" s="34"/>
      <c r="AR527" s="34"/>
      <c r="AS527" s="34"/>
      <c r="AT527" s="34" t="s">
        <v>239</v>
      </c>
      <c r="AU527" s="34"/>
      <c r="AV527" s="34"/>
      <c r="AW527" s="34"/>
      <c r="AX527" s="39"/>
      <c r="AY527" s="38" t="s">
        <v>1923</v>
      </c>
      <c r="AZ527" s="39" t="s">
        <v>1924</v>
      </c>
      <c r="BB527" s="41"/>
      <c r="BC527" s="41"/>
    </row>
    <row r="528" spans="1:55" ht="31.5" hidden="1" customHeight="1">
      <c r="A528" s="193"/>
      <c r="B528" s="56" t="s">
        <v>898</v>
      </c>
      <c r="C528" s="78"/>
      <c r="D528" s="103"/>
      <c r="E528" s="34"/>
      <c r="F528" s="103">
        <v>0.05</v>
      </c>
      <c r="G528" s="34"/>
      <c r="H528" s="34"/>
      <c r="I528" s="34"/>
      <c r="J528" s="34"/>
      <c r="K528" s="34"/>
      <c r="L528" s="34"/>
      <c r="M528" s="34"/>
      <c r="N528" s="34"/>
      <c r="O528" s="34"/>
      <c r="P528" s="34"/>
      <c r="Q528" s="34"/>
      <c r="R528" s="34"/>
      <c r="S528" s="34"/>
      <c r="T528" s="34"/>
      <c r="U528" s="34"/>
      <c r="V528" s="34"/>
      <c r="W528" s="34"/>
      <c r="X528" s="34"/>
      <c r="Y528" s="34"/>
      <c r="Z528" s="34"/>
      <c r="AA528" s="34"/>
      <c r="AB528" s="34"/>
      <c r="AC528" s="34"/>
      <c r="AD528" s="34"/>
      <c r="AE528" s="34"/>
      <c r="AF528" s="34"/>
      <c r="AG528" s="34"/>
      <c r="AH528" s="34"/>
      <c r="AI528" s="34"/>
      <c r="AJ528" s="34"/>
      <c r="AK528" s="34"/>
      <c r="AL528" s="34"/>
      <c r="AM528" s="34"/>
      <c r="AN528" s="34"/>
      <c r="AO528" s="34"/>
      <c r="AP528" s="34"/>
      <c r="AQ528" s="34"/>
      <c r="AR528" s="34"/>
      <c r="AS528" s="34"/>
      <c r="AT528" s="47" t="s">
        <v>240</v>
      </c>
      <c r="AU528" s="34"/>
      <c r="AV528" s="34"/>
      <c r="AW528" s="34"/>
      <c r="AX528" s="39"/>
      <c r="AY528" s="34" t="s">
        <v>1917</v>
      </c>
      <c r="AZ528" s="63" t="s">
        <v>2382</v>
      </c>
      <c r="BB528" s="41"/>
      <c r="BC528" s="41"/>
    </row>
    <row r="529" spans="1:57" ht="15.75" hidden="1" customHeight="1">
      <c r="A529" s="193"/>
      <c r="B529" s="56" t="s">
        <v>2378</v>
      </c>
      <c r="C529" s="78"/>
      <c r="D529" s="103"/>
      <c r="E529" s="34"/>
      <c r="F529" s="103">
        <v>0.1</v>
      </c>
      <c r="G529" s="34"/>
      <c r="H529" s="34"/>
      <c r="I529" s="34"/>
      <c r="J529" s="34"/>
      <c r="K529" s="34"/>
      <c r="L529" s="34"/>
      <c r="M529" s="34"/>
      <c r="N529" s="34"/>
      <c r="O529" s="34"/>
      <c r="P529" s="34"/>
      <c r="Q529" s="34"/>
      <c r="R529" s="34"/>
      <c r="S529" s="34"/>
      <c r="T529" s="34"/>
      <c r="U529" s="34"/>
      <c r="V529" s="34"/>
      <c r="W529" s="34"/>
      <c r="X529" s="34"/>
      <c r="Y529" s="34"/>
      <c r="Z529" s="34"/>
      <c r="AA529" s="34"/>
      <c r="AB529" s="34"/>
      <c r="AC529" s="34"/>
      <c r="AD529" s="34"/>
      <c r="AE529" s="34"/>
      <c r="AF529" s="34"/>
      <c r="AG529" s="34"/>
      <c r="AH529" s="34"/>
      <c r="AI529" s="34"/>
      <c r="AJ529" s="34"/>
      <c r="AK529" s="34"/>
      <c r="AL529" s="34"/>
      <c r="AM529" s="34"/>
      <c r="AN529" s="34"/>
      <c r="AO529" s="34"/>
      <c r="AP529" s="34"/>
      <c r="AQ529" s="34"/>
      <c r="AR529" s="34"/>
      <c r="AS529" s="34"/>
      <c r="AT529" s="47" t="s">
        <v>240</v>
      </c>
      <c r="AU529" s="34"/>
      <c r="AV529" s="34"/>
      <c r="AW529" s="34"/>
      <c r="AX529" s="39"/>
      <c r="AY529" s="34" t="s">
        <v>1923</v>
      </c>
      <c r="AZ529" s="63" t="s">
        <v>1924</v>
      </c>
      <c r="BB529" s="41"/>
      <c r="BC529" s="41"/>
    </row>
    <row r="530" spans="1:57" ht="15.75" hidden="1" customHeight="1">
      <c r="A530" s="193"/>
      <c r="B530" s="56" t="s">
        <v>2378</v>
      </c>
      <c r="C530" s="78" t="s">
        <v>46</v>
      </c>
      <c r="D530" s="103">
        <v>0.09</v>
      </c>
      <c r="E530" s="34"/>
      <c r="F530" s="103">
        <v>0.09</v>
      </c>
      <c r="G530" s="34"/>
      <c r="H530" s="34"/>
      <c r="I530" s="34">
        <v>0.03</v>
      </c>
      <c r="J530" s="34">
        <v>0.03</v>
      </c>
      <c r="K530" s="34"/>
      <c r="L530" s="34"/>
      <c r="M530" s="34">
        <v>0.02</v>
      </c>
      <c r="N530" s="34"/>
      <c r="O530" s="34"/>
      <c r="P530" s="34"/>
      <c r="Q530" s="34"/>
      <c r="R530" s="34"/>
      <c r="S530" s="34"/>
      <c r="T530" s="34"/>
      <c r="U530" s="34"/>
      <c r="V530" s="34"/>
      <c r="W530" s="34"/>
      <c r="X530" s="34">
        <v>0.01</v>
      </c>
      <c r="Y530" s="34"/>
      <c r="Z530" s="34"/>
      <c r="AA530" s="34"/>
      <c r="AB530" s="34"/>
      <c r="AC530" s="34"/>
      <c r="AD530" s="34"/>
      <c r="AE530" s="34"/>
      <c r="AF530" s="34"/>
      <c r="AG530" s="34"/>
      <c r="AH530" s="34"/>
      <c r="AI530" s="34"/>
      <c r="AJ530" s="34"/>
      <c r="AK530" s="34"/>
      <c r="AL530" s="34"/>
      <c r="AM530" s="34"/>
      <c r="AN530" s="34"/>
      <c r="AO530" s="34"/>
      <c r="AP530" s="34"/>
      <c r="AQ530" s="34"/>
      <c r="AR530" s="34"/>
      <c r="AS530" s="34"/>
      <c r="AT530" s="47" t="s">
        <v>241</v>
      </c>
      <c r="AU530" s="34"/>
      <c r="AV530" s="34"/>
      <c r="AW530" s="34"/>
      <c r="AX530" s="39"/>
      <c r="AY530" s="34" t="s">
        <v>1923</v>
      </c>
      <c r="AZ530" s="63" t="s">
        <v>1924</v>
      </c>
      <c r="BB530" s="41"/>
      <c r="BC530" s="41"/>
    </row>
    <row r="531" spans="1:57" ht="31.5" hidden="1" customHeight="1">
      <c r="A531" s="193"/>
      <c r="B531" s="56" t="s">
        <v>898</v>
      </c>
      <c r="C531" s="78" t="s">
        <v>46</v>
      </c>
      <c r="D531" s="103">
        <v>0.05</v>
      </c>
      <c r="E531" s="34"/>
      <c r="F531" s="103">
        <v>0.05</v>
      </c>
      <c r="G531" s="34">
        <v>0.05</v>
      </c>
      <c r="H531" s="34"/>
      <c r="I531" s="34"/>
      <c r="J531" s="34"/>
      <c r="K531" s="34"/>
      <c r="L531" s="34"/>
      <c r="M531" s="34"/>
      <c r="N531" s="34"/>
      <c r="O531" s="34"/>
      <c r="P531" s="34"/>
      <c r="Q531" s="34"/>
      <c r="R531" s="34"/>
      <c r="S531" s="34"/>
      <c r="T531" s="34"/>
      <c r="U531" s="34"/>
      <c r="V531" s="34"/>
      <c r="W531" s="34"/>
      <c r="X531" s="34"/>
      <c r="Y531" s="34"/>
      <c r="Z531" s="34"/>
      <c r="AA531" s="34"/>
      <c r="AB531" s="34"/>
      <c r="AC531" s="34"/>
      <c r="AD531" s="34"/>
      <c r="AE531" s="34"/>
      <c r="AF531" s="34"/>
      <c r="AG531" s="34"/>
      <c r="AH531" s="34"/>
      <c r="AI531" s="34"/>
      <c r="AJ531" s="34"/>
      <c r="AK531" s="34"/>
      <c r="AL531" s="34"/>
      <c r="AM531" s="34"/>
      <c r="AN531" s="34"/>
      <c r="AO531" s="34"/>
      <c r="AP531" s="34"/>
      <c r="AQ531" s="34"/>
      <c r="AR531" s="34"/>
      <c r="AS531" s="34"/>
      <c r="AT531" s="47" t="s">
        <v>241</v>
      </c>
      <c r="AU531" s="34"/>
      <c r="AV531" s="34"/>
      <c r="AW531" s="34"/>
      <c r="AX531" s="39"/>
      <c r="AY531" s="34" t="s">
        <v>1923</v>
      </c>
      <c r="AZ531" s="63" t="s">
        <v>1924</v>
      </c>
      <c r="BB531" s="41"/>
      <c r="BC531" s="41"/>
    </row>
    <row r="532" spans="1:57" s="24" customFormat="1" ht="20.45" customHeight="1">
      <c r="A532" s="189" t="s">
        <v>906</v>
      </c>
      <c r="B532" s="25" t="s">
        <v>135</v>
      </c>
      <c r="C532" s="26" t="s">
        <v>47</v>
      </c>
      <c r="D532" s="192">
        <f>E532+F532</f>
        <v>0.08</v>
      </c>
      <c r="E532" s="192">
        <f>SUM(E533)</f>
        <v>0</v>
      </c>
      <c r="F532" s="192">
        <f>SUM(G532:K532,O532:AS532)</f>
        <v>0.08</v>
      </c>
      <c r="G532" s="192">
        <f>SUM(G533)</f>
        <v>0.05</v>
      </c>
      <c r="H532" s="192">
        <f t="shared" ref="H532:AS532" si="25">SUM(H533)</f>
        <v>0</v>
      </c>
      <c r="I532" s="192">
        <f t="shared" si="25"/>
        <v>0</v>
      </c>
      <c r="J532" s="192">
        <f t="shared" si="25"/>
        <v>0</v>
      </c>
      <c r="K532" s="192">
        <f t="shared" si="25"/>
        <v>0</v>
      </c>
      <c r="L532" s="192">
        <f t="shared" si="25"/>
        <v>0</v>
      </c>
      <c r="M532" s="192">
        <f t="shared" si="25"/>
        <v>0</v>
      </c>
      <c r="N532" s="192">
        <f t="shared" si="25"/>
        <v>0</v>
      </c>
      <c r="O532" s="192">
        <f t="shared" si="25"/>
        <v>0</v>
      </c>
      <c r="P532" s="192">
        <f t="shared" si="25"/>
        <v>0</v>
      </c>
      <c r="Q532" s="192">
        <f t="shared" si="25"/>
        <v>0</v>
      </c>
      <c r="R532" s="192">
        <f t="shared" si="25"/>
        <v>0</v>
      </c>
      <c r="S532" s="192">
        <f t="shared" si="25"/>
        <v>0</v>
      </c>
      <c r="T532" s="192">
        <f t="shared" si="25"/>
        <v>0</v>
      </c>
      <c r="U532" s="192">
        <f t="shared" si="25"/>
        <v>0</v>
      </c>
      <c r="V532" s="192">
        <f t="shared" si="25"/>
        <v>0</v>
      </c>
      <c r="W532" s="192">
        <f t="shared" si="25"/>
        <v>0</v>
      </c>
      <c r="X532" s="192">
        <f t="shared" si="25"/>
        <v>0</v>
      </c>
      <c r="Y532" s="192">
        <f t="shared" si="25"/>
        <v>0</v>
      </c>
      <c r="Z532" s="192">
        <f t="shared" si="25"/>
        <v>0</v>
      </c>
      <c r="AA532" s="192">
        <f t="shared" si="25"/>
        <v>0</v>
      </c>
      <c r="AB532" s="192">
        <f t="shared" si="25"/>
        <v>0</v>
      </c>
      <c r="AC532" s="192">
        <f t="shared" si="25"/>
        <v>0</v>
      </c>
      <c r="AD532" s="192">
        <f t="shared" si="25"/>
        <v>0</v>
      </c>
      <c r="AE532" s="192">
        <f t="shared" si="25"/>
        <v>0</v>
      </c>
      <c r="AF532" s="192">
        <f t="shared" si="25"/>
        <v>0</v>
      </c>
      <c r="AG532" s="192">
        <f t="shared" si="25"/>
        <v>0</v>
      </c>
      <c r="AH532" s="192">
        <f t="shared" si="25"/>
        <v>0</v>
      </c>
      <c r="AI532" s="192">
        <f t="shared" si="25"/>
        <v>0</v>
      </c>
      <c r="AJ532" s="192">
        <f t="shared" si="25"/>
        <v>0</v>
      </c>
      <c r="AK532" s="192">
        <f t="shared" si="25"/>
        <v>0</v>
      </c>
      <c r="AL532" s="192">
        <f t="shared" si="25"/>
        <v>0</v>
      </c>
      <c r="AM532" s="192">
        <f t="shared" si="25"/>
        <v>0</v>
      </c>
      <c r="AN532" s="192">
        <f t="shared" si="25"/>
        <v>0.03</v>
      </c>
      <c r="AO532" s="192">
        <f t="shared" si="25"/>
        <v>0</v>
      </c>
      <c r="AP532" s="192">
        <f t="shared" si="25"/>
        <v>0</v>
      </c>
      <c r="AQ532" s="192">
        <f t="shared" si="25"/>
        <v>0</v>
      </c>
      <c r="AR532" s="192">
        <f t="shared" si="25"/>
        <v>0</v>
      </c>
      <c r="AS532" s="192">
        <f t="shared" si="25"/>
        <v>0</v>
      </c>
      <c r="AT532" s="29"/>
      <c r="AU532" s="29"/>
      <c r="AV532" s="29"/>
      <c r="AW532" s="29"/>
      <c r="AX532" s="63"/>
      <c r="AY532" s="29"/>
      <c r="AZ532" s="63"/>
    </row>
    <row r="533" spans="1:57" ht="32.1" customHeight="1">
      <c r="A533" s="193">
        <v>81</v>
      </c>
      <c r="B533" s="56" t="s">
        <v>2383</v>
      </c>
      <c r="C533" s="78" t="s">
        <v>47</v>
      </c>
      <c r="D533" s="103">
        <f>E533+F533</f>
        <v>0.08</v>
      </c>
      <c r="E533" s="103"/>
      <c r="F533" s="103">
        <f>SUM(G533:K533,O533:AR533)</f>
        <v>0.08</v>
      </c>
      <c r="G533" s="34">
        <v>0.05</v>
      </c>
      <c r="H533" s="103"/>
      <c r="I533" s="103"/>
      <c r="J533" s="103"/>
      <c r="K533" s="103"/>
      <c r="L533" s="103"/>
      <c r="M533" s="103"/>
      <c r="N533" s="103"/>
      <c r="O533" s="103"/>
      <c r="P533" s="103"/>
      <c r="Q533" s="103"/>
      <c r="R533" s="103"/>
      <c r="S533" s="103"/>
      <c r="T533" s="103"/>
      <c r="U533" s="103"/>
      <c r="V533" s="103"/>
      <c r="W533" s="103"/>
      <c r="X533" s="103"/>
      <c r="Y533" s="103"/>
      <c r="Z533" s="103"/>
      <c r="AA533" s="103"/>
      <c r="AB533" s="103"/>
      <c r="AC533" s="103"/>
      <c r="AD533" s="103"/>
      <c r="AE533" s="103"/>
      <c r="AF533" s="103"/>
      <c r="AG533" s="103"/>
      <c r="AH533" s="103"/>
      <c r="AI533" s="103"/>
      <c r="AJ533" s="103"/>
      <c r="AK533" s="103"/>
      <c r="AL533" s="103"/>
      <c r="AM533" s="103"/>
      <c r="AN533" s="103">
        <v>0.03</v>
      </c>
      <c r="AO533" s="103"/>
      <c r="AP533" s="103"/>
      <c r="AQ533" s="103"/>
      <c r="AR533" s="103"/>
      <c r="AS533" s="103"/>
      <c r="AT533" s="34" t="s">
        <v>2384</v>
      </c>
      <c r="AU533" s="34" t="s">
        <v>2385</v>
      </c>
      <c r="AV533" s="34"/>
      <c r="AW533" s="34"/>
      <c r="AX533" s="39" t="s">
        <v>1920</v>
      </c>
      <c r="AY533" s="34" t="s">
        <v>1923</v>
      </c>
      <c r="AZ533" s="39" t="s">
        <v>2386</v>
      </c>
      <c r="BE533" s="15">
        <v>1</v>
      </c>
    </row>
    <row r="534" spans="1:57" ht="15.75" hidden="1" customHeight="1">
      <c r="A534" s="193"/>
      <c r="B534" s="60" t="s">
        <v>2387</v>
      </c>
      <c r="C534" s="78" t="s">
        <v>47</v>
      </c>
      <c r="D534" s="222">
        <v>0.03</v>
      </c>
      <c r="E534" s="222"/>
      <c r="F534" s="222">
        <v>0.03</v>
      </c>
      <c r="G534" s="34"/>
      <c r="H534" s="103"/>
      <c r="I534" s="103"/>
      <c r="J534" s="103"/>
      <c r="K534" s="103"/>
      <c r="L534" s="103"/>
      <c r="M534" s="103"/>
      <c r="N534" s="103"/>
      <c r="O534" s="103"/>
      <c r="P534" s="103"/>
      <c r="Q534" s="103"/>
      <c r="R534" s="103"/>
      <c r="S534" s="103"/>
      <c r="T534" s="103"/>
      <c r="U534" s="103"/>
      <c r="V534" s="103"/>
      <c r="W534" s="103"/>
      <c r="X534" s="103"/>
      <c r="Y534" s="103"/>
      <c r="Z534" s="103"/>
      <c r="AA534" s="103"/>
      <c r="AB534" s="103"/>
      <c r="AC534" s="103"/>
      <c r="AD534" s="103"/>
      <c r="AE534" s="103"/>
      <c r="AF534" s="103"/>
      <c r="AG534" s="103"/>
      <c r="AH534" s="103"/>
      <c r="AI534" s="103"/>
      <c r="AJ534" s="103"/>
      <c r="AK534" s="103"/>
      <c r="AL534" s="103"/>
      <c r="AM534" s="103"/>
      <c r="AN534" s="103"/>
      <c r="AO534" s="103"/>
      <c r="AP534" s="103"/>
      <c r="AQ534" s="103"/>
      <c r="AR534" s="103"/>
      <c r="AS534" s="103"/>
      <c r="AT534" s="34" t="s">
        <v>229</v>
      </c>
      <c r="AU534" s="34"/>
      <c r="AV534" s="34"/>
      <c r="AW534" s="34"/>
      <c r="AX534" s="39"/>
      <c r="AY534" s="38" t="s">
        <v>1923</v>
      </c>
      <c r="AZ534" s="39" t="s">
        <v>2388</v>
      </c>
    </row>
    <row r="535" spans="1:57" ht="15.75" hidden="1" customHeight="1">
      <c r="A535" s="193"/>
      <c r="B535" s="56" t="s">
        <v>2389</v>
      </c>
      <c r="C535" s="78"/>
      <c r="D535" s="103"/>
      <c r="E535" s="103"/>
      <c r="F535" s="103">
        <v>0.05</v>
      </c>
      <c r="G535" s="34"/>
      <c r="H535" s="103"/>
      <c r="I535" s="103"/>
      <c r="J535" s="103"/>
      <c r="K535" s="103"/>
      <c r="L535" s="103"/>
      <c r="M535" s="103"/>
      <c r="N535" s="103"/>
      <c r="O535" s="103"/>
      <c r="P535" s="103"/>
      <c r="Q535" s="103"/>
      <c r="R535" s="103"/>
      <c r="S535" s="103"/>
      <c r="T535" s="103"/>
      <c r="U535" s="103"/>
      <c r="V535" s="103"/>
      <c r="W535" s="103"/>
      <c r="X535" s="103"/>
      <c r="Y535" s="103"/>
      <c r="Z535" s="103"/>
      <c r="AA535" s="103"/>
      <c r="AB535" s="103"/>
      <c r="AC535" s="103"/>
      <c r="AD535" s="103"/>
      <c r="AE535" s="103"/>
      <c r="AF535" s="103"/>
      <c r="AG535" s="103"/>
      <c r="AH535" s="103"/>
      <c r="AI535" s="103"/>
      <c r="AJ535" s="103"/>
      <c r="AK535" s="103"/>
      <c r="AL535" s="103"/>
      <c r="AM535" s="103"/>
      <c r="AN535" s="103"/>
      <c r="AO535" s="103"/>
      <c r="AP535" s="103"/>
      <c r="AQ535" s="103"/>
      <c r="AR535" s="103"/>
      <c r="AS535" s="103"/>
      <c r="AT535" s="34" t="s">
        <v>239</v>
      </c>
      <c r="AU535" s="34" t="s">
        <v>451</v>
      </c>
      <c r="AV535" s="34"/>
      <c r="AW535" s="34"/>
      <c r="AX535" s="39"/>
      <c r="AY535" s="38" t="s">
        <v>1923</v>
      </c>
      <c r="AZ535" s="39" t="s">
        <v>1924</v>
      </c>
    </row>
    <row r="536" spans="1:57" s="24" customFormat="1" ht="22.35" customHeight="1">
      <c r="A536" s="189" t="s">
        <v>910</v>
      </c>
      <c r="B536" s="25" t="s">
        <v>907</v>
      </c>
      <c r="C536" s="26" t="s">
        <v>36</v>
      </c>
      <c r="D536" s="192">
        <f t="shared" ref="D536:D541" si="26">E536+F536</f>
        <v>0.67</v>
      </c>
      <c r="E536" s="192">
        <f>SUM(E537:E539)</f>
        <v>0</v>
      </c>
      <c r="F536" s="192">
        <f>SUM(G536:K536,O536:AS536)</f>
        <v>0.67</v>
      </c>
      <c r="G536" s="192">
        <f>SUM(G537:G539)</f>
        <v>0</v>
      </c>
      <c r="H536" s="192">
        <f t="shared" ref="H536:AS536" si="27">SUM(H537:H539)</f>
        <v>0</v>
      </c>
      <c r="I536" s="192">
        <f t="shared" si="27"/>
        <v>0</v>
      </c>
      <c r="J536" s="192">
        <f t="shared" si="27"/>
        <v>0.58000000000000007</v>
      </c>
      <c r="K536" s="192">
        <f t="shared" si="27"/>
        <v>0</v>
      </c>
      <c r="L536" s="192">
        <f t="shared" si="27"/>
        <v>0</v>
      </c>
      <c r="M536" s="192">
        <f t="shared" si="27"/>
        <v>0</v>
      </c>
      <c r="N536" s="192">
        <f t="shared" si="27"/>
        <v>0</v>
      </c>
      <c r="O536" s="192">
        <f t="shared" si="27"/>
        <v>0</v>
      </c>
      <c r="P536" s="192">
        <f t="shared" si="27"/>
        <v>0</v>
      </c>
      <c r="Q536" s="192">
        <f t="shared" si="27"/>
        <v>0</v>
      </c>
      <c r="R536" s="192">
        <f t="shared" si="27"/>
        <v>0</v>
      </c>
      <c r="S536" s="192">
        <f t="shared" si="27"/>
        <v>0</v>
      </c>
      <c r="T536" s="192">
        <f t="shared" si="27"/>
        <v>0</v>
      </c>
      <c r="U536" s="192">
        <f t="shared" si="27"/>
        <v>0</v>
      </c>
      <c r="V536" s="192">
        <f t="shared" si="27"/>
        <v>0</v>
      </c>
      <c r="W536" s="192">
        <f t="shared" si="27"/>
        <v>0</v>
      </c>
      <c r="X536" s="192">
        <f t="shared" si="27"/>
        <v>0</v>
      </c>
      <c r="Y536" s="192">
        <f t="shared" si="27"/>
        <v>0</v>
      </c>
      <c r="Z536" s="192">
        <f t="shared" si="27"/>
        <v>0</v>
      </c>
      <c r="AA536" s="192">
        <f t="shared" si="27"/>
        <v>0</v>
      </c>
      <c r="AB536" s="192">
        <f t="shared" si="27"/>
        <v>0</v>
      </c>
      <c r="AC536" s="192">
        <f t="shared" si="27"/>
        <v>0</v>
      </c>
      <c r="AD536" s="192">
        <f t="shared" si="27"/>
        <v>0</v>
      </c>
      <c r="AE536" s="192">
        <f t="shared" si="27"/>
        <v>0</v>
      </c>
      <c r="AF536" s="192">
        <f t="shared" si="27"/>
        <v>0</v>
      </c>
      <c r="AG536" s="192">
        <f t="shared" si="27"/>
        <v>0.09</v>
      </c>
      <c r="AH536" s="192">
        <f t="shared" si="27"/>
        <v>0</v>
      </c>
      <c r="AI536" s="192">
        <f t="shared" si="27"/>
        <v>0</v>
      </c>
      <c r="AJ536" s="192">
        <f t="shared" si="27"/>
        <v>0</v>
      </c>
      <c r="AK536" s="192">
        <f t="shared" si="27"/>
        <v>0</v>
      </c>
      <c r="AL536" s="192">
        <f t="shared" si="27"/>
        <v>0</v>
      </c>
      <c r="AM536" s="192">
        <f t="shared" si="27"/>
        <v>0</v>
      </c>
      <c r="AN536" s="192">
        <f t="shared" si="27"/>
        <v>0</v>
      </c>
      <c r="AO536" s="192">
        <f t="shared" si="27"/>
        <v>0</v>
      </c>
      <c r="AP536" s="192">
        <f t="shared" si="27"/>
        <v>0</v>
      </c>
      <c r="AQ536" s="192">
        <f t="shared" si="27"/>
        <v>0</v>
      </c>
      <c r="AR536" s="192">
        <f t="shared" si="27"/>
        <v>0</v>
      </c>
      <c r="AS536" s="192">
        <f t="shared" si="27"/>
        <v>0</v>
      </c>
      <c r="AT536" s="29"/>
      <c r="AU536" s="29"/>
      <c r="AV536" s="29"/>
      <c r="AW536" s="29"/>
      <c r="AX536" s="63"/>
      <c r="AY536" s="29"/>
      <c r="AZ536" s="63"/>
      <c r="BB536" s="59"/>
    </row>
    <row r="537" spans="1:57" ht="31.5">
      <c r="A537" s="193">
        <v>82</v>
      </c>
      <c r="B537" s="33" t="s">
        <v>908</v>
      </c>
      <c r="C537" s="78" t="s">
        <v>36</v>
      </c>
      <c r="D537" s="103">
        <f t="shared" si="26"/>
        <v>0.3</v>
      </c>
      <c r="E537" s="34"/>
      <c r="F537" s="103">
        <f>SUM(G537:K537,O537:AR537)</f>
        <v>0.3</v>
      </c>
      <c r="G537" s="34"/>
      <c r="H537" s="34"/>
      <c r="I537" s="34"/>
      <c r="J537" s="34">
        <v>0.3</v>
      </c>
      <c r="K537" s="194"/>
      <c r="L537" s="194"/>
      <c r="M537" s="34"/>
      <c r="N537" s="194"/>
      <c r="O537" s="194"/>
      <c r="P537" s="34"/>
      <c r="Q537" s="194"/>
      <c r="R537" s="194"/>
      <c r="S537" s="194"/>
      <c r="T537" s="194"/>
      <c r="U537" s="194"/>
      <c r="V537" s="194"/>
      <c r="W537" s="194"/>
      <c r="X537" s="194"/>
      <c r="Y537" s="194"/>
      <c r="Z537" s="194"/>
      <c r="AA537" s="194"/>
      <c r="AB537" s="194"/>
      <c r="AC537" s="194"/>
      <c r="AD537" s="194"/>
      <c r="AE537" s="194"/>
      <c r="AF537" s="194"/>
      <c r="AG537" s="194"/>
      <c r="AH537" s="194"/>
      <c r="AI537" s="34"/>
      <c r="AJ537" s="194"/>
      <c r="AK537" s="194"/>
      <c r="AL537" s="194"/>
      <c r="AM537" s="194"/>
      <c r="AN537" s="194"/>
      <c r="AO537" s="194"/>
      <c r="AP537" s="194"/>
      <c r="AQ537" s="194"/>
      <c r="AR537" s="34"/>
      <c r="AS537" s="34"/>
      <c r="AT537" s="34" t="s">
        <v>289</v>
      </c>
      <c r="AU537" s="34" t="s">
        <v>2390</v>
      </c>
      <c r="AV537" s="34"/>
      <c r="AW537" s="34" t="s">
        <v>2391</v>
      </c>
      <c r="AX537" s="39" t="s">
        <v>1920</v>
      </c>
      <c r="AY537" s="34" t="s">
        <v>1923</v>
      </c>
      <c r="AZ537" s="39" t="s">
        <v>1924</v>
      </c>
      <c r="BB537" s="41"/>
      <c r="BC537" s="41"/>
      <c r="BE537" s="15">
        <v>1</v>
      </c>
    </row>
    <row r="538" spans="1:57" ht="59.1" customHeight="1">
      <c r="A538" s="193">
        <v>83</v>
      </c>
      <c r="B538" s="33" t="s">
        <v>2392</v>
      </c>
      <c r="C538" s="78" t="s">
        <v>36</v>
      </c>
      <c r="D538" s="103">
        <f t="shared" si="26"/>
        <v>0.1</v>
      </c>
      <c r="E538" s="34"/>
      <c r="F538" s="103">
        <f>SUM(G538:K538,O538:AR538)</f>
        <v>0.1</v>
      </c>
      <c r="G538" s="34"/>
      <c r="H538" s="34"/>
      <c r="I538" s="34"/>
      <c r="J538" s="34">
        <v>0.02</v>
      </c>
      <c r="K538" s="194"/>
      <c r="L538" s="194"/>
      <c r="M538" s="34"/>
      <c r="N538" s="194"/>
      <c r="O538" s="194"/>
      <c r="P538" s="34"/>
      <c r="Q538" s="194"/>
      <c r="R538" s="194"/>
      <c r="S538" s="194"/>
      <c r="T538" s="194"/>
      <c r="U538" s="194"/>
      <c r="V538" s="194"/>
      <c r="W538" s="194"/>
      <c r="X538" s="194"/>
      <c r="Y538" s="194"/>
      <c r="Z538" s="194"/>
      <c r="AA538" s="194"/>
      <c r="AB538" s="194"/>
      <c r="AC538" s="194"/>
      <c r="AD538" s="194"/>
      <c r="AE538" s="194"/>
      <c r="AF538" s="194"/>
      <c r="AG538" s="194">
        <v>0.08</v>
      </c>
      <c r="AH538" s="194"/>
      <c r="AI538" s="34"/>
      <c r="AJ538" s="194"/>
      <c r="AK538" s="194"/>
      <c r="AL538" s="194"/>
      <c r="AM538" s="194"/>
      <c r="AN538" s="194"/>
      <c r="AO538" s="194"/>
      <c r="AP538" s="194"/>
      <c r="AQ538" s="194"/>
      <c r="AR538" s="34"/>
      <c r="AS538" s="34"/>
      <c r="AT538" s="34" t="s">
        <v>224</v>
      </c>
      <c r="AU538" s="34" t="s">
        <v>389</v>
      </c>
      <c r="AV538" s="34"/>
      <c r="AW538" s="34"/>
      <c r="AX538" s="39" t="s">
        <v>1920</v>
      </c>
      <c r="AY538" s="34" t="s">
        <v>1923</v>
      </c>
      <c r="AZ538" s="47" t="s">
        <v>2393</v>
      </c>
      <c r="BB538" s="41"/>
      <c r="BC538" s="41"/>
      <c r="BD538" s="15">
        <v>1</v>
      </c>
    </row>
    <row r="539" spans="1:57" ht="24" customHeight="1">
      <c r="A539" s="193">
        <v>84</v>
      </c>
      <c r="B539" s="33" t="s">
        <v>2394</v>
      </c>
      <c r="C539" s="78" t="s">
        <v>36</v>
      </c>
      <c r="D539" s="103">
        <f t="shared" si="26"/>
        <v>0.27</v>
      </c>
      <c r="E539" s="34"/>
      <c r="F539" s="103">
        <f>SUM(G539:K539,O539:AR539)</f>
        <v>0.27</v>
      </c>
      <c r="G539" s="34"/>
      <c r="H539" s="34"/>
      <c r="I539" s="34"/>
      <c r="J539" s="34">
        <v>0.26</v>
      </c>
      <c r="K539" s="194"/>
      <c r="L539" s="194"/>
      <c r="M539" s="34"/>
      <c r="N539" s="194"/>
      <c r="O539" s="194"/>
      <c r="P539" s="34"/>
      <c r="Q539" s="194"/>
      <c r="R539" s="194"/>
      <c r="S539" s="194"/>
      <c r="T539" s="194"/>
      <c r="U539" s="194"/>
      <c r="V539" s="194"/>
      <c r="W539" s="194"/>
      <c r="X539" s="194"/>
      <c r="Y539" s="194"/>
      <c r="Z539" s="194"/>
      <c r="AA539" s="194"/>
      <c r="AB539" s="194"/>
      <c r="AC539" s="194"/>
      <c r="AD539" s="194"/>
      <c r="AE539" s="194"/>
      <c r="AF539" s="194"/>
      <c r="AG539" s="194">
        <v>0.01</v>
      </c>
      <c r="AH539" s="194"/>
      <c r="AI539" s="34"/>
      <c r="AJ539" s="194"/>
      <c r="AK539" s="194"/>
      <c r="AL539" s="194"/>
      <c r="AM539" s="194"/>
      <c r="AN539" s="194"/>
      <c r="AO539" s="194"/>
      <c r="AP539" s="194"/>
      <c r="AQ539" s="194"/>
      <c r="AR539" s="34"/>
      <c r="AS539" s="34"/>
      <c r="AT539" s="34" t="s">
        <v>241</v>
      </c>
      <c r="AU539" s="34" t="s">
        <v>387</v>
      </c>
      <c r="AV539" s="34"/>
      <c r="AW539" s="34" t="s">
        <v>2101</v>
      </c>
      <c r="AX539" s="63">
        <v>2021</v>
      </c>
      <c r="AY539" s="34" t="s">
        <v>1923</v>
      </c>
      <c r="AZ539" s="39" t="s">
        <v>1971</v>
      </c>
      <c r="BB539" s="41" t="s">
        <v>2395</v>
      </c>
      <c r="BC539" s="41"/>
      <c r="BE539" s="15">
        <v>1</v>
      </c>
    </row>
    <row r="540" spans="1:57" s="24" customFormat="1" ht="21.6" customHeight="1">
      <c r="A540" s="189" t="s">
        <v>929</v>
      </c>
      <c r="B540" s="25" t="s">
        <v>80</v>
      </c>
      <c r="C540" s="26" t="s">
        <v>37</v>
      </c>
      <c r="D540" s="192">
        <f t="shared" si="26"/>
        <v>16.330000000000002</v>
      </c>
      <c r="E540" s="103">
        <v>0.76</v>
      </c>
      <c r="F540" s="192">
        <f>SUM(G540:K540,O540:AS540)</f>
        <v>15.57</v>
      </c>
      <c r="G540" s="192">
        <f t="shared" ref="G540:AS540" si="28">SUM(G541:G546)</f>
        <v>1.03</v>
      </c>
      <c r="H540" s="192">
        <f t="shared" si="28"/>
        <v>0.14000000000000001</v>
      </c>
      <c r="I540" s="192">
        <f t="shared" si="28"/>
        <v>2.69</v>
      </c>
      <c r="J540" s="192">
        <f t="shared" si="28"/>
        <v>3.08</v>
      </c>
      <c r="K540" s="192">
        <f t="shared" si="28"/>
        <v>6.29</v>
      </c>
      <c r="L540" s="192">
        <f t="shared" si="28"/>
        <v>0</v>
      </c>
      <c r="M540" s="192">
        <f t="shared" si="28"/>
        <v>6.5299999999999994</v>
      </c>
      <c r="N540" s="192">
        <f t="shared" si="28"/>
        <v>0</v>
      </c>
      <c r="O540" s="192">
        <f t="shared" si="28"/>
        <v>0</v>
      </c>
      <c r="P540" s="192">
        <f t="shared" si="28"/>
        <v>0</v>
      </c>
      <c r="Q540" s="192">
        <f t="shared" si="28"/>
        <v>0</v>
      </c>
      <c r="R540" s="192">
        <f t="shared" si="28"/>
        <v>0</v>
      </c>
      <c r="S540" s="192">
        <f t="shared" si="28"/>
        <v>0</v>
      </c>
      <c r="T540" s="192">
        <f t="shared" si="28"/>
        <v>0</v>
      </c>
      <c r="U540" s="192">
        <f t="shared" si="28"/>
        <v>0</v>
      </c>
      <c r="V540" s="192">
        <f t="shared" si="28"/>
        <v>0</v>
      </c>
      <c r="W540" s="192">
        <f t="shared" si="28"/>
        <v>0</v>
      </c>
      <c r="X540" s="192">
        <f t="shared" si="28"/>
        <v>0</v>
      </c>
      <c r="Y540" s="192">
        <f t="shared" si="28"/>
        <v>0</v>
      </c>
      <c r="Z540" s="192">
        <f t="shared" si="28"/>
        <v>0</v>
      </c>
      <c r="AA540" s="192">
        <f t="shared" si="28"/>
        <v>0</v>
      </c>
      <c r="AB540" s="192">
        <f t="shared" si="28"/>
        <v>0</v>
      </c>
      <c r="AC540" s="192">
        <f t="shared" si="28"/>
        <v>0</v>
      </c>
      <c r="AD540" s="192">
        <f t="shared" si="28"/>
        <v>0</v>
      </c>
      <c r="AE540" s="192">
        <f t="shared" si="28"/>
        <v>0</v>
      </c>
      <c r="AF540" s="192">
        <f t="shared" si="28"/>
        <v>0</v>
      </c>
      <c r="AG540" s="192">
        <f t="shared" si="28"/>
        <v>0</v>
      </c>
      <c r="AH540" s="192">
        <f t="shared" si="28"/>
        <v>0</v>
      </c>
      <c r="AI540" s="192">
        <f t="shared" si="28"/>
        <v>0</v>
      </c>
      <c r="AJ540" s="192">
        <f t="shared" si="28"/>
        <v>0</v>
      </c>
      <c r="AK540" s="192">
        <f t="shared" si="28"/>
        <v>0</v>
      </c>
      <c r="AL540" s="192">
        <f t="shared" si="28"/>
        <v>0</v>
      </c>
      <c r="AM540" s="192">
        <f t="shared" si="28"/>
        <v>0</v>
      </c>
      <c r="AN540" s="192">
        <f t="shared" si="28"/>
        <v>0</v>
      </c>
      <c r="AO540" s="192">
        <f t="shared" si="28"/>
        <v>0</v>
      </c>
      <c r="AP540" s="192">
        <f t="shared" si="28"/>
        <v>0</v>
      </c>
      <c r="AQ540" s="192">
        <f t="shared" si="28"/>
        <v>2.34</v>
      </c>
      <c r="AR540" s="192">
        <f t="shared" si="28"/>
        <v>0</v>
      </c>
      <c r="AS540" s="192">
        <f t="shared" si="28"/>
        <v>0</v>
      </c>
      <c r="AT540" s="29"/>
      <c r="AU540" s="29"/>
      <c r="AV540" s="29"/>
      <c r="AW540" s="237"/>
      <c r="AX540" s="63"/>
      <c r="AY540" s="237"/>
      <c r="AZ540" s="63"/>
    </row>
    <row r="541" spans="1:57" ht="20.45" customHeight="1">
      <c r="A541" s="193">
        <v>85</v>
      </c>
      <c r="B541" s="56" t="s">
        <v>2396</v>
      </c>
      <c r="C541" s="78" t="s">
        <v>37</v>
      </c>
      <c r="D541" s="103">
        <f t="shared" si="26"/>
        <v>3.6399999999999997</v>
      </c>
      <c r="E541" s="34"/>
      <c r="F541" s="34">
        <f>SUM(G541:K541,O541:AR541)</f>
        <v>3.6399999999999997</v>
      </c>
      <c r="G541" s="103">
        <v>0</v>
      </c>
      <c r="H541" s="103">
        <v>0</v>
      </c>
      <c r="I541" s="103">
        <v>0.3</v>
      </c>
      <c r="J541" s="103">
        <v>0.4</v>
      </c>
      <c r="K541" s="103">
        <v>1.77</v>
      </c>
      <c r="L541" s="103">
        <v>0</v>
      </c>
      <c r="M541" s="103">
        <v>1.77</v>
      </c>
      <c r="N541" s="103">
        <v>0</v>
      </c>
      <c r="O541" s="103">
        <v>0</v>
      </c>
      <c r="P541" s="103">
        <v>0</v>
      </c>
      <c r="Q541" s="103">
        <v>0</v>
      </c>
      <c r="R541" s="103">
        <v>0</v>
      </c>
      <c r="S541" s="103">
        <v>0</v>
      </c>
      <c r="T541" s="103">
        <v>0</v>
      </c>
      <c r="U541" s="103">
        <v>0</v>
      </c>
      <c r="V541" s="103">
        <v>0</v>
      </c>
      <c r="W541" s="103">
        <v>0</v>
      </c>
      <c r="X541" s="103">
        <v>0</v>
      </c>
      <c r="Y541" s="103">
        <v>0</v>
      </c>
      <c r="Z541" s="103">
        <v>0</v>
      </c>
      <c r="AA541" s="103">
        <v>0</v>
      </c>
      <c r="AB541" s="103">
        <v>0</v>
      </c>
      <c r="AC541" s="103">
        <v>0</v>
      </c>
      <c r="AD541" s="103">
        <v>0</v>
      </c>
      <c r="AE541" s="103">
        <v>0</v>
      </c>
      <c r="AF541" s="103">
        <v>0</v>
      </c>
      <c r="AG541" s="103">
        <v>0</v>
      </c>
      <c r="AH541" s="103">
        <v>0</v>
      </c>
      <c r="AI541" s="103">
        <v>0</v>
      </c>
      <c r="AJ541" s="103">
        <v>0</v>
      </c>
      <c r="AK541" s="103">
        <v>0</v>
      </c>
      <c r="AL541" s="103">
        <v>0</v>
      </c>
      <c r="AM541" s="103">
        <v>0</v>
      </c>
      <c r="AN541" s="103">
        <v>0</v>
      </c>
      <c r="AO541" s="103">
        <v>0</v>
      </c>
      <c r="AP541" s="103">
        <v>0</v>
      </c>
      <c r="AQ541" s="103">
        <v>1.17</v>
      </c>
      <c r="AR541" s="103">
        <v>0</v>
      </c>
      <c r="AS541" s="103">
        <v>0</v>
      </c>
      <c r="AT541" s="34" t="s">
        <v>880</v>
      </c>
      <c r="AU541" s="34" t="s">
        <v>615</v>
      </c>
      <c r="AV541" s="34"/>
      <c r="AW541" s="236"/>
      <c r="AX541" s="63" t="s">
        <v>1970</v>
      </c>
      <c r="AY541" s="236" t="s">
        <v>1923</v>
      </c>
      <c r="AZ541" s="39" t="s">
        <v>1924</v>
      </c>
      <c r="BE541" s="15">
        <v>1</v>
      </c>
    </row>
    <row r="542" spans="1:57" s="61" customFormat="1" ht="15.75" hidden="1" customHeight="1">
      <c r="A542" s="220" t="s">
        <v>193</v>
      </c>
      <c r="B542" s="60" t="s">
        <v>2397</v>
      </c>
      <c r="C542" s="78" t="s">
        <v>37</v>
      </c>
      <c r="D542" s="103">
        <v>0.24</v>
      </c>
      <c r="E542" s="34"/>
      <c r="F542" s="34">
        <v>0.24</v>
      </c>
      <c r="G542" s="103"/>
      <c r="H542" s="103"/>
      <c r="I542" s="103"/>
      <c r="J542" s="103"/>
      <c r="K542" s="103"/>
      <c r="L542" s="103"/>
      <c r="M542" s="103">
        <v>0.24</v>
      </c>
      <c r="N542" s="103"/>
      <c r="O542" s="103"/>
      <c r="P542" s="103"/>
      <c r="Q542" s="103"/>
      <c r="R542" s="103"/>
      <c r="S542" s="103"/>
      <c r="T542" s="103"/>
      <c r="U542" s="103"/>
      <c r="V542" s="103"/>
      <c r="W542" s="103"/>
      <c r="X542" s="103"/>
      <c r="Y542" s="103"/>
      <c r="Z542" s="103"/>
      <c r="AA542" s="103"/>
      <c r="AB542" s="103"/>
      <c r="AC542" s="103"/>
      <c r="AD542" s="103"/>
      <c r="AE542" s="103"/>
      <c r="AF542" s="103"/>
      <c r="AG542" s="103"/>
      <c r="AH542" s="103"/>
      <c r="AI542" s="103"/>
      <c r="AJ542" s="103"/>
      <c r="AK542" s="103"/>
      <c r="AL542" s="103"/>
      <c r="AM542" s="103"/>
      <c r="AN542" s="103"/>
      <c r="AO542" s="103"/>
      <c r="AP542" s="103"/>
      <c r="AQ542" s="103"/>
      <c r="AR542" s="103"/>
      <c r="AS542" s="103"/>
      <c r="AT542" s="34" t="s">
        <v>223</v>
      </c>
      <c r="AU542" s="34"/>
      <c r="AV542" s="34"/>
      <c r="AW542" s="236"/>
      <c r="AX542" s="63"/>
      <c r="AY542" s="140" t="s">
        <v>1923</v>
      </c>
      <c r="AZ542" s="63" t="s">
        <v>1950</v>
      </c>
      <c r="BA542" s="65"/>
    </row>
    <row r="543" spans="1:57" ht="15.75" hidden="1" customHeight="1">
      <c r="A543" s="193"/>
      <c r="B543" s="60" t="s">
        <v>2398</v>
      </c>
      <c r="C543" s="78" t="s">
        <v>37</v>
      </c>
      <c r="D543" s="222">
        <v>2</v>
      </c>
      <c r="E543" s="238"/>
      <c r="F543" s="238">
        <v>2</v>
      </c>
      <c r="G543" s="103"/>
      <c r="H543" s="103"/>
      <c r="I543" s="103"/>
      <c r="J543" s="103"/>
      <c r="K543" s="103"/>
      <c r="L543" s="103"/>
      <c r="M543" s="103"/>
      <c r="N543" s="103"/>
      <c r="O543" s="103"/>
      <c r="P543" s="103"/>
      <c r="Q543" s="103"/>
      <c r="R543" s="103"/>
      <c r="S543" s="103"/>
      <c r="T543" s="103"/>
      <c r="U543" s="103"/>
      <c r="V543" s="103"/>
      <c r="W543" s="103"/>
      <c r="X543" s="103"/>
      <c r="Y543" s="103"/>
      <c r="Z543" s="103"/>
      <c r="AA543" s="103"/>
      <c r="AB543" s="103"/>
      <c r="AC543" s="103"/>
      <c r="AD543" s="103"/>
      <c r="AE543" s="103"/>
      <c r="AF543" s="103"/>
      <c r="AG543" s="103"/>
      <c r="AH543" s="103"/>
      <c r="AI543" s="103"/>
      <c r="AJ543" s="103"/>
      <c r="AK543" s="103"/>
      <c r="AL543" s="103"/>
      <c r="AM543" s="103"/>
      <c r="AN543" s="103"/>
      <c r="AO543" s="103"/>
      <c r="AP543" s="103"/>
      <c r="AQ543" s="103"/>
      <c r="AR543" s="103"/>
      <c r="AS543" s="103"/>
      <c r="AT543" s="34" t="s">
        <v>229</v>
      </c>
      <c r="AU543" s="34"/>
      <c r="AV543" s="34"/>
      <c r="AW543" s="236"/>
      <c r="AX543" s="63"/>
      <c r="AY543" s="34" t="s">
        <v>1923</v>
      </c>
      <c r="AZ543" s="39" t="s">
        <v>1926</v>
      </c>
    </row>
    <row r="544" spans="1:57" ht="15.75" hidden="1" customHeight="1">
      <c r="A544" s="193"/>
      <c r="B544" s="56" t="s">
        <v>2399</v>
      </c>
      <c r="C544" s="78" t="s">
        <v>37</v>
      </c>
      <c r="D544" s="103">
        <f>E544+F544</f>
        <v>0.4</v>
      </c>
      <c r="E544" s="34"/>
      <c r="F544" s="34">
        <v>0.4</v>
      </c>
      <c r="G544" s="103">
        <v>0</v>
      </c>
      <c r="H544" s="103">
        <v>0</v>
      </c>
      <c r="I544" s="103">
        <v>0.3</v>
      </c>
      <c r="J544" s="103">
        <v>0.4</v>
      </c>
      <c r="K544" s="103">
        <v>1.77</v>
      </c>
      <c r="L544" s="103">
        <v>0</v>
      </c>
      <c r="M544" s="103">
        <v>1.77</v>
      </c>
      <c r="N544" s="103">
        <v>0</v>
      </c>
      <c r="O544" s="103">
        <v>0</v>
      </c>
      <c r="P544" s="103">
        <v>0</v>
      </c>
      <c r="Q544" s="103">
        <v>0</v>
      </c>
      <c r="R544" s="103">
        <v>0</v>
      </c>
      <c r="S544" s="103">
        <v>0</v>
      </c>
      <c r="T544" s="103">
        <v>0</v>
      </c>
      <c r="U544" s="103">
        <v>0</v>
      </c>
      <c r="V544" s="103">
        <v>0</v>
      </c>
      <c r="W544" s="103">
        <v>0</v>
      </c>
      <c r="X544" s="103">
        <v>0</v>
      </c>
      <c r="Y544" s="103">
        <v>0</v>
      </c>
      <c r="Z544" s="103">
        <v>0</v>
      </c>
      <c r="AA544" s="103">
        <v>0</v>
      </c>
      <c r="AB544" s="103">
        <v>0</v>
      </c>
      <c r="AC544" s="103">
        <v>0</v>
      </c>
      <c r="AD544" s="103">
        <v>0</v>
      </c>
      <c r="AE544" s="103">
        <v>0</v>
      </c>
      <c r="AF544" s="103">
        <v>0</v>
      </c>
      <c r="AG544" s="103">
        <v>0</v>
      </c>
      <c r="AH544" s="103">
        <v>0</v>
      </c>
      <c r="AI544" s="103">
        <v>0</v>
      </c>
      <c r="AJ544" s="103">
        <v>0</v>
      </c>
      <c r="AK544" s="103">
        <v>0</v>
      </c>
      <c r="AL544" s="103">
        <v>0</v>
      </c>
      <c r="AM544" s="103">
        <v>0</v>
      </c>
      <c r="AN544" s="103">
        <v>0</v>
      </c>
      <c r="AO544" s="103">
        <v>0</v>
      </c>
      <c r="AP544" s="103">
        <v>0</v>
      </c>
      <c r="AQ544" s="103">
        <v>1.17</v>
      </c>
      <c r="AR544" s="103">
        <v>0</v>
      </c>
      <c r="AS544" s="103">
        <v>0</v>
      </c>
      <c r="AT544" s="34" t="s">
        <v>235</v>
      </c>
      <c r="AU544" s="34" t="s">
        <v>389</v>
      </c>
      <c r="AV544" s="34"/>
      <c r="AW544" s="236"/>
      <c r="AX544" s="63" t="s">
        <v>1970</v>
      </c>
      <c r="AY544" s="236" t="s">
        <v>1923</v>
      </c>
      <c r="AZ544" s="63" t="s">
        <v>1924</v>
      </c>
    </row>
    <row r="545" spans="1:57" ht="15.75" hidden="1" customHeight="1">
      <c r="A545" s="193"/>
      <c r="B545" s="56" t="s">
        <v>2400</v>
      </c>
      <c r="C545" s="78"/>
      <c r="D545" s="103"/>
      <c r="E545" s="34"/>
      <c r="F545" s="34">
        <v>3</v>
      </c>
      <c r="G545" s="103"/>
      <c r="H545" s="103"/>
      <c r="I545" s="103"/>
      <c r="J545" s="103"/>
      <c r="K545" s="103"/>
      <c r="L545" s="103"/>
      <c r="M545" s="103"/>
      <c r="N545" s="103"/>
      <c r="O545" s="103"/>
      <c r="P545" s="103"/>
      <c r="Q545" s="103"/>
      <c r="R545" s="103"/>
      <c r="S545" s="103"/>
      <c r="T545" s="103"/>
      <c r="U545" s="103"/>
      <c r="V545" s="103"/>
      <c r="W545" s="103"/>
      <c r="X545" s="103"/>
      <c r="Y545" s="103"/>
      <c r="Z545" s="103"/>
      <c r="AA545" s="103"/>
      <c r="AB545" s="103"/>
      <c r="AC545" s="103"/>
      <c r="AD545" s="103"/>
      <c r="AE545" s="103"/>
      <c r="AF545" s="103"/>
      <c r="AG545" s="103"/>
      <c r="AH545" s="103"/>
      <c r="AI545" s="103"/>
      <c r="AJ545" s="103"/>
      <c r="AK545" s="103"/>
      <c r="AL545" s="103"/>
      <c r="AM545" s="103"/>
      <c r="AN545" s="103"/>
      <c r="AO545" s="103"/>
      <c r="AP545" s="103"/>
      <c r="AQ545" s="103"/>
      <c r="AR545" s="103"/>
      <c r="AS545" s="103"/>
      <c r="AT545" s="34" t="s">
        <v>239</v>
      </c>
      <c r="AU545" s="34" t="s">
        <v>925</v>
      </c>
      <c r="AV545" s="34"/>
      <c r="AW545" s="236"/>
      <c r="AX545" s="63"/>
      <c r="AY545" s="38" t="s">
        <v>1923</v>
      </c>
      <c r="AZ545" s="39" t="s">
        <v>1924</v>
      </c>
    </row>
    <row r="546" spans="1:57" ht="20.45" customHeight="1">
      <c r="A546" s="193">
        <v>86</v>
      </c>
      <c r="B546" s="56" t="s">
        <v>2401</v>
      </c>
      <c r="C546" s="78" t="s">
        <v>37</v>
      </c>
      <c r="D546" s="103">
        <f>E546+F546</f>
        <v>9.0499999999999989</v>
      </c>
      <c r="E546" s="34">
        <v>0.76</v>
      </c>
      <c r="F546" s="34">
        <f>SUM(G546:K546,O546:AR546)</f>
        <v>8.2899999999999991</v>
      </c>
      <c r="G546" s="103">
        <v>1.03</v>
      </c>
      <c r="H546" s="103">
        <v>0.14000000000000001</v>
      </c>
      <c r="I546" s="103">
        <v>2.09</v>
      </c>
      <c r="J546" s="103">
        <v>2.2799999999999998</v>
      </c>
      <c r="K546" s="103">
        <v>2.75</v>
      </c>
      <c r="L546" s="103">
        <v>0</v>
      </c>
      <c r="M546" s="103">
        <v>2.75</v>
      </c>
      <c r="N546" s="103">
        <v>0</v>
      </c>
      <c r="O546" s="103">
        <v>0</v>
      </c>
      <c r="P546" s="103">
        <v>0</v>
      </c>
      <c r="Q546" s="103">
        <v>0</v>
      </c>
      <c r="R546" s="103">
        <v>0</v>
      </c>
      <c r="S546" s="103">
        <v>0</v>
      </c>
      <c r="T546" s="103">
        <v>0</v>
      </c>
      <c r="U546" s="103">
        <v>0</v>
      </c>
      <c r="V546" s="103">
        <v>0</v>
      </c>
      <c r="W546" s="103">
        <v>0</v>
      </c>
      <c r="X546" s="103">
        <v>0</v>
      </c>
      <c r="Y546" s="103">
        <v>0</v>
      </c>
      <c r="Z546" s="103">
        <v>0</v>
      </c>
      <c r="AA546" s="103">
        <v>0</v>
      </c>
      <c r="AB546" s="103">
        <v>0</v>
      </c>
      <c r="AC546" s="103">
        <v>0</v>
      </c>
      <c r="AD546" s="103">
        <v>0</v>
      </c>
      <c r="AE546" s="103">
        <v>0</v>
      </c>
      <c r="AF546" s="103">
        <v>0</v>
      </c>
      <c r="AG546" s="103">
        <v>0</v>
      </c>
      <c r="AH546" s="103">
        <v>0</v>
      </c>
      <c r="AI546" s="103">
        <v>0</v>
      </c>
      <c r="AJ546" s="103">
        <v>0</v>
      </c>
      <c r="AK546" s="103">
        <v>0</v>
      </c>
      <c r="AL546" s="103">
        <v>0</v>
      </c>
      <c r="AM546" s="103">
        <v>0</v>
      </c>
      <c r="AN546" s="103">
        <v>0</v>
      </c>
      <c r="AO546" s="103">
        <v>0</v>
      </c>
      <c r="AP546" s="103">
        <v>0</v>
      </c>
      <c r="AQ546" s="103">
        <v>0</v>
      </c>
      <c r="AR546" s="103">
        <v>0</v>
      </c>
      <c r="AS546" s="103">
        <v>0</v>
      </c>
      <c r="AT546" s="34" t="s">
        <v>880</v>
      </c>
      <c r="AU546" s="34" t="s">
        <v>615</v>
      </c>
      <c r="AV546" s="34"/>
      <c r="AW546" s="236"/>
      <c r="AX546" s="63" t="s">
        <v>1970</v>
      </c>
      <c r="AY546" s="236" t="s">
        <v>1923</v>
      </c>
      <c r="AZ546" s="39" t="s">
        <v>1924</v>
      </c>
      <c r="BE546" s="15">
        <v>1</v>
      </c>
    </row>
    <row r="547" spans="1:57" ht="15.75" hidden="1" customHeight="1">
      <c r="A547" s="193"/>
      <c r="B547" s="56" t="s">
        <v>2402</v>
      </c>
      <c r="C547" s="78"/>
      <c r="D547" s="103"/>
      <c r="E547" s="34"/>
      <c r="F547" s="34">
        <v>0.15</v>
      </c>
      <c r="G547" s="103"/>
      <c r="H547" s="103"/>
      <c r="I547" s="103"/>
      <c r="J547" s="103"/>
      <c r="K547" s="103"/>
      <c r="L547" s="103"/>
      <c r="M547" s="103"/>
      <c r="N547" s="103"/>
      <c r="O547" s="103"/>
      <c r="P547" s="103"/>
      <c r="Q547" s="103"/>
      <c r="R547" s="103"/>
      <c r="S547" s="103"/>
      <c r="T547" s="103"/>
      <c r="U547" s="103"/>
      <c r="V547" s="103"/>
      <c r="W547" s="103"/>
      <c r="X547" s="103"/>
      <c r="Y547" s="103"/>
      <c r="Z547" s="103"/>
      <c r="AA547" s="103"/>
      <c r="AB547" s="103"/>
      <c r="AC547" s="103"/>
      <c r="AD547" s="103"/>
      <c r="AE547" s="103"/>
      <c r="AF547" s="103"/>
      <c r="AG547" s="103"/>
      <c r="AH547" s="103"/>
      <c r="AI547" s="103"/>
      <c r="AJ547" s="103"/>
      <c r="AK547" s="103"/>
      <c r="AL547" s="103"/>
      <c r="AM547" s="103"/>
      <c r="AN547" s="103"/>
      <c r="AO547" s="103"/>
      <c r="AP547" s="103"/>
      <c r="AQ547" s="103"/>
      <c r="AR547" s="103"/>
      <c r="AS547" s="103"/>
      <c r="AT547" s="34" t="s">
        <v>2403</v>
      </c>
      <c r="AU547" s="34"/>
      <c r="AV547" s="34"/>
      <c r="AW547" s="236"/>
      <c r="AX547" s="63"/>
      <c r="AY547" s="140" t="s">
        <v>1923</v>
      </c>
      <c r="AZ547" s="63" t="s">
        <v>2044</v>
      </c>
      <c r="BA547" s="64"/>
      <c r="BB547" s="15" t="s">
        <v>2404</v>
      </c>
    </row>
    <row r="548" spans="1:57" ht="15.75" hidden="1" customHeight="1">
      <c r="A548" s="193"/>
      <c r="B548" s="56" t="s">
        <v>2405</v>
      </c>
      <c r="C548" s="78"/>
      <c r="D548" s="103"/>
      <c r="E548" s="34"/>
      <c r="F548" s="34">
        <v>0.23</v>
      </c>
      <c r="G548" s="103"/>
      <c r="H548" s="103"/>
      <c r="I548" s="103"/>
      <c r="J548" s="103"/>
      <c r="K548" s="103"/>
      <c r="L548" s="103"/>
      <c r="M548" s="103"/>
      <c r="N548" s="103"/>
      <c r="O548" s="103"/>
      <c r="P548" s="103"/>
      <c r="Q548" s="103"/>
      <c r="R548" s="103"/>
      <c r="S548" s="103"/>
      <c r="T548" s="103"/>
      <c r="U548" s="103"/>
      <c r="V548" s="103"/>
      <c r="W548" s="103"/>
      <c r="X548" s="103"/>
      <c r="Y548" s="103"/>
      <c r="Z548" s="103"/>
      <c r="AA548" s="103"/>
      <c r="AB548" s="103"/>
      <c r="AC548" s="103"/>
      <c r="AD548" s="103"/>
      <c r="AE548" s="103"/>
      <c r="AF548" s="103"/>
      <c r="AG548" s="103"/>
      <c r="AH548" s="103"/>
      <c r="AI548" s="103"/>
      <c r="AJ548" s="103"/>
      <c r="AK548" s="103"/>
      <c r="AL548" s="103"/>
      <c r="AM548" s="103"/>
      <c r="AN548" s="103"/>
      <c r="AO548" s="103"/>
      <c r="AP548" s="103"/>
      <c r="AQ548" s="103"/>
      <c r="AR548" s="103"/>
      <c r="AS548" s="103"/>
      <c r="AT548" s="34" t="s">
        <v>2403</v>
      </c>
      <c r="AU548" s="34"/>
      <c r="AV548" s="34"/>
      <c r="AW548" s="236"/>
      <c r="AX548" s="63"/>
      <c r="AY548" s="140" t="s">
        <v>1923</v>
      </c>
      <c r="AZ548" s="63" t="s">
        <v>2044</v>
      </c>
      <c r="BA548" s="64"/>
      <c r="BB548" s="15" t="s">
        <v>2406</v>
      </c>
    </row>
    <row r="549" spans="1:57" s="61" customFormat="1" ht="15.75" hidden="1" customHeight="1">
      <c r="A549" s="220"/>
      <c r="B549" s="56" t="s">
        <v>2405</v>
      </c>
      <c r="C549" s="78"/>
      <c r="D549" s="103"/>
      <c r="E549" s="34"/>
      <c r="F549" s="34">
        <v>0.25</v>
      </c>
      <c r="G549" s="103"/>
      <c r="H549" s="103"/>
      <c r="I549" s="103"/>
      <c r="J549" s="103"/>
      <c r="K549" s="103"/>
      <c r="L549" s="103"/>
      <c r="M549" s="103"/>
      <c r="N549" s="103"/>
      <c r="O549" s="103"/>
      <c r="P549" s="103"/>
      <c r="Q549" s="103"/>
      <c r="R549" s="103"/>
      <c r="S549" s="103"/>
      <c r="T549" s="103"/>
      <c r="U549" s="103"/>
      <c r="V549" s="103"/>
      <c r="W549" s="103"/>
      <c r="X549" s="103"/>
      <c r="Y549" s="103"/>
      <c r="Z549" s="103"/>
      <c r="AA549" s="103"/>
      <c r="AB549" s="103"/>
      <c r="AC549" s="103"/>
      <c r="AD549" s="103"/>
      <c r="AE549" s="103"/>
      <c r="AF549" s="103"/>
      <c r="AG549" s="103"/>
      <c r="AH549" s="103"/>
      <c r="AI549" s="103"/>
      <c r="AJ549" s="103"/>
      <c r="AK549" s="103"/>
      <c r="AL549" s="103"/>
      <c r="AM549" s="103"/>
      <c r="AN549" s="103"/>
      <c r="AO549" s="103"/>
      <c r="AP549" s="103"/>
      <c r="AQ549" s="103"/>
      <c r="AR549" s="103"/>
      <c r="AS549" s="103"/>
      <c r="AT549" s="34" t="s">
        <v>227</v>
      </c>
      <c r="AU549" s="34" t="s">
        <v>916</v>
      </c>
      <c r="AV549" s="34"/>
      <c r="AW549" s="236"/>
      <c r="AX549" s="63"/>
      <c r="AY549" s="140" t="s">
        <v>1923</v>
      </c>
      <c r="AZ549" s="39" t="s">
        <v>1924</v>
      </c>
      <c r="BA549" s="15"/>
    </row>
    <row r="550" spans="1:57" ht="15.75" hidden="1" customHeight="1">
      <c r="A550" s="193"/>
      <c r="B550" s="56" t="s">
        <v>2407</v>
      </c>
      <c r="C550" s="78"/>
      <c r="D550" s="103"/>
      <c r="E550" s="34"/>
      <c r="F550" s="34">
        <v>1</v>
      </c>
      <c r="G550" s="103"/>
      <c r="H550" s="103"/>
      <c r="I550" s="103"/>
      <c r="J550" s="103"/>
      <c r="K550" s="103"/>
      <c r="L550" s="103"/>
      <c r="M550" s="103"/>
      <c r="N550" s="103"/>
      <c r="O550" s="103"/>
      <c r="P550" s="103"/>
      <c r="Q550" s="103"/>
      <c r="R550" s="103"/>
      <c r="S550" s="103"/>
      <c r="T550" s="103"/>
      <c r="U550" s="103"/>
      <c r="V550" s="103"/>
      <c r="W550" s="103"/>
      <c r="X550" s="103"/>
      <c r="Y550" s="103"/>
      <c r="Z550" s="103"/>
      <c r="AA550" s="103"/>
      <c r="AB550" s="103"/>
      <c r="AC550" s="103"/>
      <c r="AD550" s="103"/>
      <c r="AE550" s="103"/>
      <c r="AF550" s="103"/>
      <c r="AG550" s="103"/>
      <c r="AH550" s="103"/>
      <c r="AI550" s="103"/>
      <c r="AJ550" s="103"/>
      <c r="AK550" s="103"/>
      <c r="AL550" s="103"/>
      <c r="AM550" s="103"/>
      <c r="AN550" s="103"/>
      <c r="AO550" s="103"/>
      <c r="AP550" s="103"/>
      <c r="AQ550" s="103"/>
      <c r="AR550" s="103"/>
      <c r="AS550" s="103"/>
      <c r="AT550" s="34" t="s">
        <v>228</v>
      </c>
      <c r="AU550" s="34"/>
      <c r="AV550" s="34"/>
      <c r="AW550" s="236"/>
      <c r="AX550" s="63"/>
      <c r="AY550" s="34" t="s">
        <v>1923</v>
      </c>
      <c r="AZ550" s="63" t="s">
        <v>2408</v>
      </c>
    </row>
    <row r="551" spans="1:57" ht="15.75" hidden="1" customHeight="1">
      <c r="A551" s="193"/>
      <c r="B551" s="60" t="s">
        <v>2409</v>
      </c>
      <c r="C551" s="78" t="s">
        <v>37</v>
      </c>
      <c r="D551" s="222">
        <v>0.32</v>
      </c>
      <c r="E551" s="238"/>
      <c r="F551" s="238">
        <v>0.32</v>
      </c>
      <c r="G551" s="103"/>
      <c r="H551" s="103"/>
      <c r="I551" s="103"/>
      <c r="J551" s="103"/>
      <c r="K551" s="103"/>
      <c r="L551" s="103"/>
      <c r="M551" s="103"/>
      <c r="N551" s="103"/>
      <c r="O551" s="103"/>
      <c r="P551" s="103"/>
      <c r="Q551" s="103"/>
      <c r="R551" s="103"/>
      <c r="S551" s="103"/>
      <c r="T551" s="103"/>
      <c r="U551" s="103"/>
      <c r="V551" s="103"/>
      <c r="W551" s="103"/>
      <c r="X551" s="103"/>
      <c r="Y551" s="103"/>
      <c r="Z551" s="103"/>
      <c r="AA551" s="103"/>
      <c r="AB551" s="103"/>
      <c r="AC551" s="103"/>
      <c r="AD551" s="103"/>
      <c r="AE551" s="103"/>
      <c r="AF551" s="103"/>
      <c r="AG551" s="103"/>
      <c r="AH551" s="103"/>
      <c r="AI551" s="103"/>
      <c r="AJ551" s="103"/>
      <c r="AK551" s="103"/>
      <c r="AL551" s="103"/>
      <c r="AM551" s="103"/>
      <c r="AN551" s="103"/>
      <c r="AO551" s="103"/>
      <c r="AP551" s="103"/>
      <c r="AQ551" s="103"/>
      <c r="AR551" s="103"/>
      <c r="AS551" s="103"/>
      <c r="AT551" s="34" t="s">
        <v>229</v>
      </c>
      <c r="AU551" s="34"/>
      <c r="AV551" s="34"/>
      <c r="AW551" s="236"/>
      <c r="AX551" s="63"/>
      <c r="AY551" s="34" t="s">
        <v>1923</v>
      </c>
      <c r="AZ551" s="39" t="s">
        <v>1926</v>
      </c>
    </row>
    <row r="552" spans="1:57" ht="15.75" hidden="1" customHeight="1">
      <c r="A552" s="193"/>
      <c r="B552" s="56" t="s">
        <v>2410</v>
      </c>
      <c r="C552" s="78"/>
      <c r="D552" s="103"/>
      <c r="E552" s="34"/>
      <c r="F552" s="34">
        <v>2.27</v>
      </c>
      <c r="G552" s="103"/>
      <c r="H552" s="103"/>
      <c r="I552" s="103"/>
      <c r="J552" s="103"/>
      <c r="K552" s="103"/>
      <c r="L552" s="103"/>
      <c r="M552" s="103"/>
      <c r="N552" s="103"/>
      <c r="O552" s="103"/>
      <c r="P552" s="103"/>
      <c r="Q552" s="103"/>
      <c r="R552" s="103"/>
      <c r="S552" s="103"/>
      <c r="T552" s="103"/>
      <c r="U552" s="103"/>
      <c r="V552" s="103"/>
      <c r="W552" s="103"/>
      <c r="X552" s="103"/>
      <c r="Y552" s="103"/>
      <c r="Z552" s="103"/>
      <c r="AA552" s="103"/>
      <c r="AB552" s="103"/>
      <c r="AC552" s="103"/>
      <c r="AD552" s="103"/>
      <c r="AE552" s="103"/>
      <c r="AF552" s="103"/>
      <c r="AG552" s="103"/>
      <c r="AH552" s="103"/>
      <c r="AI552" s="103"/>
      <c r="AJ552" s="103"/>
      <c r="AK552" s="103"/>
      <c r="AL552" s="103"/>
      <c r="AM552" s="103"/>
      <c r="AN552" s="103"/>
      <c r="AO552" s="103"/>
      <c r="AP552" s="103"/>
      <c r="AQ552" s="103"/>
      <c r="AR552" s="103"/>
      <c r="AS552" s="103"/>
      <c r="AT552" s="34" t="s">
        <v>233</v>
      </c>
      <c r="AU552" s="34"/>
      <c r="AV552" s="34"/>
      <c r="AW552" s="236"/>
      <c r="AX552" s="63"/>
      <c r="AY552" s="34" t="s">
        <v>1923</v>
      </c>
      <c r="AZ552" s="39" t="s">
        <v>1926</v>
      </c>
    </row>
    <row r="553" spans="1:57" ht="15.75" hidden="1" customHeight="1">
      <c r="A553" s="193"/>
      <c r="B553" s="56" t="s">
        <v>2411</v>
      </c>
      <c r="C553" s="78"/>
      <c r="D553" s="103"/>
      <c r="E553" s="34"/>
      <c r="F553" s="34">
        <v>0.44</v>
      </c>
      <c r="G553" s="103"/>
      <c r="H553" s="103"/>
      <c r="I553" s="103"/>
      <c r="J553" s="103"/>
      <c r="K553" s="103"/>
      <c r="L553" s="103"/>
      <c r="M553" s="103"/>
      <c r="N553" s="103"/>
      <c r="O553" s="103"/>
      <c r="P553" s="103"/>
      <c r="Q553" s="103"/>
      <c r="R553" s="103"/>
      <c r="S553" s="103"/>
      <c r="T553" s="103"/>
      <c r="U553" s="103"/>
      <c r="V553" s="103"/>
      <c r="W553" s="103"/>
      <c r="X553" s="103"/>
      <c r="Y553" s="103"/>
      <c r="Z553" s="103"/>
      <c r="AA553" s="103"/>
      <c r="AB553" s="103"/>
      <c r="AC553" s="103"/>
      <c r="AD553" s="103"/>
      <c r="AE553" s="103"/>
      <c r="AF553" s="103"/>
      <c r="AG553" s="103"/>
      <c r="AH553" s="103"/>
      <c r="AI553" s="103"/>
      <c r="AJ553" s="103"/>
      <c r="AK553" s="103"/>
      <c r="AL553" s="103"/>
      <c r="AM553" s="103"/>
      <c r="AN553" s="103"/>
      <c r="AO553" s="103"/>
      <c r="AP553" s="103"/>
      <c r="AQ553" s="103"/>
      <c r="AR553" s="103"/>
      <c r="AS553" s="103"/>
      <c r="AT553" s="34" t="s">
        <v>233</v>
      </c>
      <c r="AU553" s="34"/>
      <c r="AV553" s="34"/>
      <c r="AW553" s="236"/>
      <c r="AX553" s="63"/>
      <c r="AY553" s="34" t="s">
        <v>1923</v>
      </c>
      <c r="AZ553" s="39" t="s">
        <v>1926</v>
      </c>
    </row>
    <row r="554" spans="1:57" ht="15.75" hidden="1" customHeight="1">
      <c r="A554" s="193"/>
      <c r="B554" s="56" t="s">
        <v>2412</v>
      </c>
      <c r="C554" s="78"/>
      <c r="D554" s="103"/>
      <c r="E554" s="34"/>
      <c r="F554" s="34">
        <v>0.32</v>
      </c>
      <c r="G554" s="103"/>
      <c r="H554" s="103"/>
      <c r="I554" s="103"/>
      <c r="J554" s="103"/>
      <c r="K554" s="103"/>
      <c r="L554" s="103"/>
      <c r="M554" s="103"/>
      <c r="N554" s="103"/>
      <c r="O554" s="103"/>
      <c r="P554" s="103"/>
      <c r="Q554" s="103"/>
      <c r="R554" s="103"/>
      <c r="S554" s="103"/>
      <c r="T554" s="103"/>
      <c r="U554" s="103"/>
      <c r="V554" s="103"/>
      <c r="W554" s="103"/>
      <c r="X554" s="103"/>
      <c r="Y554" s="103"/>
      <c r="Z554" s="103"/>
      <c r="AA554" s="103"/>
      <c r="AB554" s="103"/>
      <c r="AC554" s="103"/>
      <c r="AD554" s="103"/>
      <c r="AE554" s="103"/>
      <c r="AF554" s="103"/>
      <c r="AG554" s="103"/>
      <c r="AH554" s="103"/>
      <c r="AI554" s="103"/>
      <c r="AJ554" s="103"/>
      <c r="AK554" s="103"/>
      <c r="AL554" s="103"/>
      <c r="AM554" s="103"/>
      <c r="AN554" s="103"/>
      <c r="AO554" s="103"/>
      <c r="AP554" s="103"/>
      <c r="AQ554" s="103"/>
      <c r="AR554" s="103"/>
      <c r="AS554" s="103"/>
      <c r="AT554" s="34" t="s">
        <v>233</v>
      </c>
      <c r="AU554" s="34"/>
      <c r="AV554" s="34"/>
      <c r="AW554" s="236"/>
      <c r="AX554" s="63"/>
      <c r="AY554" s="34" t="s">
        <v>1923</v>
      </c>
      <c r="AZ554" s="39" t="s">
        <v>1926</v>
      </c>
    </row>
    <row r="555" spans="1:57" ht="15.75" hidden="1" customHeight="1">
      <c r="A555" s="193"/>
      <c r="B555" s="56" t="s">
        <v>2402</v>
      </c>
      <c r="C555" s="78" t="s">
        <v>37</v>
      </c>
      <c r="D555" s="103">
        <f>E555+F555</f>
        <v>1.24</v>
      </c>
      <c r="E555" s="34">
        <v>0.76</v>
      </c>
      <c r="F555" s="34">
        <v>0.48</v>
      </c>
      <c r="G555" s="103">
        <v>1.03</v>
      </c>
      <c r="H555" s="103">
        <v>0.14000000000000001</v>
      </c>
      <c r="I555" s="103">
        <v>2.09</v>
      </c>
      <c r="J555" s="103">
        <v>2.2799999999999998</v>
      </c>
      <c r="K555" s="103">
        <v>2.75</v>
      </c>
      <c r="L555" s="103">
        <v>0</v>
      </c>
      <c r="M555" s="103">
        <v>2.75</v>
      </c>
      <c r="N555" s="103">
        <v>0</v>
      </c>
      <c r="O555" s="103">
        <v>0</v>
      </c>
      <c r="P555" s="103">
        <v>0</v>
      </c>
      <c r="Q555" s="103">
        <v>0</v>
      </c>
      <c r="R555" s="103">
        <v>0</v>
      </c>
      <c r="S555" s="103">
        <v>0</v>
      </c>
      <c r="T555" s="103">
        <v>0</v>
      </c>
      <c r="U555" s="103">
        <v>0</v>
      </c>
      <c r="V555" s="103">
        <v>0</v>
      </c>
      <c r="W555" s="103">
        <v>0</v>
      </c>
      <c r="X555" s="103">
        <v>0</v>
      </c>
      <c r="Y555" s="103">
        <v>0</v>
      </c>
      <c r="Z555" s="103">
        <v>0</v>
      </c>
      <c r="AA555" s="103">
        <v>0</v>
      </c>
      <c r="AB555" s="103">
        <v>0</v>
      </c>
      <c r="AC555" s="103">
        <v>0</v>
      </c>
      <c r="AD555" s="103">
        <v>0</v>
      </c>
      <c r="AE555" s="103">
        <v>0</v>
      </c>
      <c r="AF555" s="103">
        <v>0</v>
      </c>
      <c r="AG555" s="103">
        <v>0</v>
      </c>
      <c r="AH555" s="103">
        <v>0</v>
      </c>
      <c r="AI555" s="103">
        <v>0</v>
      </c>
      <c r="AJ555" s="103">
        <v>0</v>
      </c>
      <c r="AK555" s="103">
        <v>0</v>
      </c>
      <c r="AL555" s="103">
        <v>0</v>
      </c>
      <c r="AM555" s="103">
        <v>0</v>
      </c>
      <c r="AN555" s="103">
        <v>0</v>
      </c>
      <c r="AO555" s="103">
        <v>0</v>
      </c>
      <c r="AP555" s="103">
        <v>0</v>
      </c>
      <c r="AQ555" s="103">
        <v>0</v>
      </c>
      <c r="AR555" s="103">
        <v>0</v>
      </c>
      <c r="AS555" s="103">
        <v>0</v>
      </c>
      <c r="AT555" s="34" t="s">
        <v>235</v>
      </c>
      <c r="AU555" s="34" t="s">
        <v>615</v>
      </c>
      <c r="AV555" s="34"/>
      <c r="AW555" s="236"/>
      <c r="AX555" s="63" t="s">
        <v>1970</v>
      </c>
      <c r="AY555" s="236" t="s">
        <v>1923</v>
      </c>
      <c r="AZ555" s="63" t="s">
        <v>2058</v>
      </c>
    </row>
    <row r="556" spans="1:57" ht="15.75" hidden="1" customHeight="1">
      <c r="A556" s="193"/>
      <c r="B556" s="56" t="s">
        <v>2413</v>
      </c>
      <c r="C556" s="78"/>
      <c r="D556" s="103"/>
      <c r="E556" s="34"/>
      <c r="F556" s="34">
        <v>0.32</v>
      </c>
      <c r="G556" s="103"/>
      <c r="H556" s="103"/>
      <c r="I556" s="103"/>
      <c r="J556" s="103"/>
      <c r="K556" s="103"/>
      <c r="L556" s="103"/>
      <c r="M556" s="103"/>
      <c r="N556" s="103"/>
      <c r="O556" s="103"/>
      <c r="P556" s="103"/>
      <c r="Q556" s="103"/>
      <c r="R556" s="103"/>
      <c r="S556" s="103"/>
      <c r="T556" s="103"/>
      <c r="U556" s="103"/>
      <c r="V556" s="103"/>
      <c r="W556" s="103"/>
      <c r="X556" s="103"/>
      <c r="Y556" s="103"/>
      <c r="Z556" s="103"/>
      <c r="AA556" s="103"/>
      <c r="AB556" s="103"/>
      <c r="AC556" s="103"/>
      <c r="AD556" s="103"/>
      <c r="AE556" s="103"/>
      <c r="AF556" s="103"/>
      <c r="AG556" s="103"/>
      <c r="AH556" s="103"/>
      <c r="AI556" s="103"/>
      <c r="AJ556" s="103"/>
      <c r="AK556" s="103"/>
      <c r="AL556" s="103"/>
      <c r="AM556" s="103"/>
      <c r="AN556" s="103"/>
      <c r="AO556" s="103"/>
      <c r="AP556" s="103"/>
      <c r="AQ556" s="103"/>
      <c r="AR556" s="103"/>
      <c r="AS556" s="103"/>
      <c r="AT556" s="34" t="s">
        <v>236</v>
      </c>
      <c r="AU556" s="34" t="s">
        <v>615</v>
      </c>
      <c r="AV556" s="34"/>
      <c r="AW556" s="236"/>
      <c r="AX556" s="63"/>
      <c r="AY556" s="140" t="s">
        <v>1923</v>
      </c>
      <c r="AZ556" s="63" t="s">
        <v>1924</v>
      </c>
    </row>
    <row r="557" spans="1:57" ht="15.75" hidden="1" customHeight="1">
      <c r="A557" s="193"/>
      <c r="B557" s="56" t="s">
        <v>2414</v>
      </c>
      <c r="C557" s="78"/>
      <c r="D557" s="103"/>
      <c r="E557" s="34"/>
      <c r="F557" s="34">
        <v>0.02</v>
      </c>
      <c r="G557" s="103"/>
      <c r="H557" s="103"/>
      <c r="I557" s="103"/>
      <c r="J557" s="103"/>
      <c r="K557" s="103"/>
      <c r="L557" s="103"/>
      <c r="M557" s="103"/>
      <c r="N557" s="103"/>
      <c r="O557" s="103"/>
      <c r="P557" s="103"/>
      <c r="Q557" s="103"/>
      <c r="R557" s="103"/>
      <c r="S557" s="103"/>
      <c r="T557" s="103"/>
      <c r="U557" s="103"/>
      <c r="V557" s="103"/>
      <c r="W557" s="103"/>
      <c r="X557" s="103"/>
      <c r="Y557" s="103"/>
      <c r="Z557" s="103"/>
      <c r="AA557" s="103"/>
      <c r="AB557" s="103"/>
      <c r="AC557" s="103"/>
      <c r="AD557" s="103"/>
      <c r="AE557" s="103"/>
      <c r="AF557" s="103"/>
      <c r="AG557" s="103"/>
      <c r="AH557" s="103"/>
      <c r="AI557" s="103"/>
      <c r="AJ557" s="103"/>
      <c r="AK557" s="103"/>
      <c r="AL557" s="103"/>
      <c r="AM557" s="103"/>
      <c r="AN557" s="103"/>
      <c r="AO557" s="103"/>
      <c r="AP557" s="103"/>
      <c r="AQ557" s="103"/>
      <c r="AR557" s="103"/>
      <c r="AS557" s="103"/>
      <c r="AT557" s="34" t="s">
        <v>237</v>
      </c>
      <c r="AU557" s="63" t="s">
        <v>924</v>
      </c>
      <c r="AV557" s="34"/>
      <c r="AW557" s="236"/>
      <c r="AX557" s="63"/>
      <c r="AY557" s="34" t="s">
        <v>1923</v>
      </c>
      <c r="AZ557" s="63" t="s">
        <v>1924</v>
      </c>
      <c r="BA557" s="234" t="s">
        <v>924</v>
      </c>
    </row>
    <row r="558" spans="1:57" ht="15.75" hidden="1" customHeight="1">
      <c r="A558" s="193"/>
      <c r="B558" s="56" t="s">
        <v>2415</v>
      </c>
      <c r="C558" s="78"/>
      <c r="D558" s="103"/>
      <c r="E558" s="34"/>
      <c r="F558" s="34">
        <v>0.2</v>
      </c>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103"/>
      <c r="AF558" s="103"/>
      <c r="AG558" s="103"/>
      <c r="AH558" s="103"/>
      <c r="AI558" s="103"/>
      <c r="AJ558" s="103"/>
      <c r="AK558" s="103"/>
      <c r="AL558" s="103"/>
      <c r="AM558" s="103"/>
      <c r="AN558" s="103"/>
      <c r="AO558" s="103"/>
      <c r="AP558" s="103"/>
      <c r="AQ558" s="103"/>
      <c r="AR558" s="103"/>
      <c r="AS558" s="103"/>
      <c r="AT558" s="47" t="s">
        <v>240</v>
      </c>
      <c r="AU558" s="34" t="s">
        <v>615</v>
      </c>
      <c r="AV558" s="34"/>
      <c r="AW558" s="236"/>
      <c r="AX558" s="63"/>
      <c r="AY558" s="34" t="s">
        <v>1923</v>
      </c>
      <c r="AZ558" s="63" t="s">
        <v>2044</v>
      </c>
    </row>
    <row r="559" spans="1:57" ht="15.75" hidden="1" customHeight="1">
      <c r="A559" s="193"/>
      <c r="B559" s="56" t="s">
        <v>2416</v>
      </c>
      <c r="C559" s="78" t="s">
        <v>37</v>
      </c>
      <c r="D559" s="103">
        <v>0.28999999999999998</v>
      </c>
      <c r="E559" s="34"/>
      <c r="F559" s="34">
        <v>0.28999999999999998</v>
      </c>
      <c r="G559" s="103"/>
      <c r="H559" s="103"/>
      <c r="I559" s="103"/>
      <c r="J559" s="103"/>
      <c r="K559" s="103"/>
      <c r="L559" s="103"/>
      <c r="M559" s="103"/>
      <c r="N559" s="103"/>
      <c r="O559" s="103"/>
      <c r="P559" s="103"/>
      <c r="Q559" s="103"/>
      <c r="R559" s="103"/>
      <c r="S559" s="103"/>
      <c r="T559" s="103"/>
      <c r="U559" s="103"/>
      <c r="V559" s="103"/>
      <c r="W559" s="103"/>
      <c r="X559" s="103"/>
      <c r="Y559" s="103"/>
      <c r="Z559" s="103"/>
      <c r="AA559" s="103"/>
      <c r="AB559" s="103"/>
      <c r="AC559" s="103"/>
      <c r="AD559" s="103"/>
      <c r="AE559" s="103"/>
      <c r="AF559" s="103"/>
      <c r="AG559" s="103"/>
      <c r="AH559" s="103"/>
      <c r="AI559" s="103"/>
      <c r="AJ559" s="103"/>
      <c r="AK559" s="103"/>
      <c r="AL559" s="103"/>
      <c r="AM559" s="103"/>
      <c r="AN559" s="103"/>
      <c r="AO559" s="103"/>
      <c r="AP559" s="103"/>
      <c r="AQ559" s="103"/>
      <c r="AR559" s="103"/>
      <c r="AS559" s="103"/>
      <c r="AT559" s="47" t="s">
        <v>241</v>
      </c>
      <c r="AU559" s="34"/>
      <c r="AV559" s="34"/>
      <c r="AW559" s="236"/>
      <c r="AX559" s="63"/>
      <c r="AY559" s="34" t="s">
        <v>1923</v>
      </c>
      <c r="AZ559" s="63" t="s">
        <v>2417</v>
      </c>
    </row>
    <row r="560" spans="1:57" s="24" customFormat="1" ht="25.35" customHeight="1">
      <c r="A560" s="189" t="s">
        <v>966</v>
      </c>
      <c r="B560" s="25" t="s">
        <v>111</v>
      </c>
      <c r="C560" s="26" t="s">
        <v>38</v>
      </c>
      <c r="D560" s="192">
        <f>E560+F560</f>
        <v>2.5300000000000002</v>
      </c>
      <c r="E560" s="192">
        <f>SUM(E561:E570)</f>
        <v>0.63</v>
      </c>
      <c r="F560" s="192">
        <f>SUM(G560:K560,O560:AS560)</f>
        <v>1.9000000000000001</v>
      </c>
      <c r="G560" s="192">
        <f t="shared" ref="G560:AS560" si="29">SUM(G561:G570)</f>
        <v>0</v>
      </c>
      <c r="H560" s="192">
        <f t="shared" si="29"/>
        <v>0</v>
      </c>
      <c r="I560" s="192">
        <f t="shared" si="29"/>
        <v>0.59</v>
      </c>
      <c r="J560" s="192">
        <f t="shared" si="29"/>
        <v>0.25</v>
      </c>
      <c r="K560" s="192">
        <f t="shared" si="29"/>
        <v>0.95</v>
      </c>
      <c r="L560" s="192">
        <f t="shared" si="29"/>
        <v>0</v>
      </c>
      <c r="M560" s="192">
        <f t="shared" si="29"/>
        <v>0.95</v>
      </c>
      <c r="N560" s="192">
        <f t="shared" si="29"/>
        <v>0</v>
      </c>
      <c r="O560" s="192">
        <f t="shared" si="29"/>
        <v>0</v>
      </c>
      <c r="P560" s="192">
        <f t="shared" si="29"/>
        <v>0</v>
      </c>
      <c r="Q560" s="192">
        <f t="shared" si="29"/>
        <v>0</v>
      </c>
      <c r="R560" s="192">
        <f t="shared" si="29"/>
        <v>0</v>
      </c>
      <c r="S560" s="192">
        <f t="shared" si="29"/>
        <v>0</v>
      </c>
      <c r="T560" s="192">
        <f t="shared" si="29"/>
        <v>0</v>
      </c>
      <c r="U560" s="192">
        <f t="shared" si="29"/>
        <v>0</v>
      </c>
      <c r="V560" s="192">
        <f t="shared" si="29"/>
        <v>0</v>
      </c>
      <c r="W560" s="192">
        <f t="shared" si="29"/>
        <v>0</v>
      </c>
      <c r="X560" s="192">
        <f t="shared" si="29"/>
        <v>0</v>
      </c>
      <c r="Y560" s="192">
        <f t="shared" si="29"/>
        <v>0</v>
      </c>
      <c r="Z560" s="192">
        <f t="shared" si="29"/>
        <v>0</v>
      </c>
      <c r="AA560" s="192">
        <f t="shared" si="29"/>
        <v>0</v>
      </c>
      <c r="AB560" s="192">
        <f t="shared" si="29"/>
        <v>0</v>
      </c>
      <c r="AC560" s="192">
        <f t="shared" si="29"/>
        <v>0</v>
      </c>
      <c r="AD560" s="192">
        <f t="shared" si="29"/>
        <v>0</v>
      </c>
      <c r="AE560" s="192">
        <f t="shared" si="29"/>
        <v>0</v>
      </c>
      <c r="AF560" s="192">
        <f t="shared" si="29"/>
        <v>0</v>
      </c>
      <c r="AG560" s="192">
        <f t="shared" si="29"/>
        <v>0.11</v>
      </c>
      <c r="AH560" s="192">
        <f t="shared" si="29"/>
        <v>0</v>
      </c>
      <c r="AI560" s="192">
        <f t="shared" si="29"/>
        <v>0</v>
      </c>
      <c r="AJ560" s="192">
        <f t="shared" si="29"/>
        <v>0</v>
      </c>
      <c r="AK560" s="192">
        <f t="shared" si="29"/>
        <v>0</v>
      </c>
      <c r="AL560" s="192">
        <f t="shared" si="29"/>
        <v>0</v>
      </c>
      <c r="AM560" s="192">
        <f t="shared" si="29"/>
        <v>0</v>
      </c>
      <c r="AN560" s="192">
        <f t="shared" si="29"/>
        <v>0</v>
      </c>
      <c r="AO560" s="192">
        <f t="shared" si="29"/>
        <v>0</v>
      </c>
      <c r="AP560" s="192">
        <f t="shared" si="29"/>
        <v>0</v>
      </c>
      <c r="AQ560" s="192">
        <f t="shared" si="29"/>
        <v>0</v>
      </c>
      <c r="AR560" s="192">
        <f t="shared" si="29"/>
        <v>0</v>
      </c>
      <c r="AS560" s="192">
        <f t="shared" si="29"/>
        <v>0</v>
      </c>
      <c r="AT560" s="29"/>
      <c r="AU560" s="29"/>
      <c r="AV560" s="29"/>
      <c r="AW560" s="29"/>
      <c r="AX560" s="63"/>
      <c r="AY560" s="29"/>
      <c r="AZ560" s="63"/>
    </row>
    <row r="561" spans="1:58" ht="35.1" customHeight="1">
      <c r="A561" s="193">
        <v>87</v>
      </c>
      <c r="B561" s="56" t="s">
        <v>2418</v>
      </c>
      <c r="C561" s="78" t="s">
        <v>38</v>
      </c>
      <c r="D561" s="194">
        <f t="shared" ref="D561:D570" si="30">F561+E561</f>
        <v>0.09</v>
      </c>
      <c r="E561" s="194"/>
      <c r="F561" s="194">
        <f t="shared" ref="F561:F570" si="31">SUM(G561:K561,P561:AS561)</f>
        <v>0.09</v>
      </c>
      <c r="G561" s="194"/>
      <c r="H561" s="194"/>
      <c r="I561" s="194"/>
      <c r="J561" s="194"/>
      <c r="K561" s="194">
        <v>0.09</v>
      </c>
      <c r="L561" s="194"/>
      <c r="M561" s="194">
        <v>0.09</v>
      </c>
      <c r="N561" s="194"/>
      <c r="O561" s="194"/>
      <c r="P561" s="194"/>
      <c r="Q561" s="194"/>
      <c r="R561" s="194"/>
      <c r="S561" s="194"/>
      <c r="T561" s="194"/>
      <c r="U561" s="194"/>
      <c r="V561" s="194"/>
      <c r="W561" s="194"/>
      <c r="X561" s="194"/>
      <c r="Y561" s="194"/>
      <c r="Z561" s="194"/>
      <c r="AA561" s="194"/>
      <c r="AB561" s="194"/>
      <c r="AC561" s="194"/>
      <c r="AD561" s="194"/>
      <c r="AE561" s="194"/>
      <c r="AF561" s="194"/>
      <c r="AG561" s="194"/>
      <c r="AH561" s="194"/>
      <c r="AI561" s="194"/>
      <c r="AJ561" s="194"/>
      <c r="AK561" s="194"/>
      <c r="AL561" s="194"/>
      <c r="AM561" s="194"/>
      <c r="AN561" s="194"/>
      <c r="AO561" s="194"/>
      <c r="AP561" s="194"/>
      <c r="AQ561" s="194"/>
      <c r="AR561" s="194"/>
      <c r="AS561" s="194"/>
      <c r="AT561" s="34" t="s">
        <v>221</v>
      </c>
      <c r="AU561" s="34"/>
      <c r="AV561" s="34"/>
      <c r="AW561" s="34"/>
      <c r="AX561" s="39" t="s">
        <v>1920</v>
      </c>
      <c r="AY561" s="34" t="s">
        <v>2419</v>
      </c>
      <c r="AZ561" s="39" t="s">
        <v>2420</v>
      </c>
      <c r="BB561" s="41"/>
      <c r="BC561" s="41"/>
      <c r="BE561" s="15">
        <v>1</v>
      </c>
    </row>
    <row r="562" spans="1:58" ht="47.25">
      <c r="A562" s="193">
        <v>88</v>
      </c>
      <c r="B562" s="33" t="s">
        <v>2421</v>
      </c>
      <c r="C562" s="78" t="s">
        <v>38</v>
      </c>
      <c r="D562" s="103">
        <f t="shared" si="30"/>
        <v>0.48</v>
      </c>
      <c r="E562" s="34"/>
      <c r="F562" s="194">
        <f t="shared" si="31"/>
        <v>0.48</v>
      </c>
      <c r="G562" s="34"/>
      <c r="H562" s="34"/>
      <c r="I562" s="34">
        <v>0.48</v>
      </c>
      <c r="J562" s="34"/>
      <c r="K562" s="194"/>
      <c r="L562" s="194"/>
      <c r="M562" s="34"/>
      <c r="N562" s="194"/>
      <c r="O562" s="194"/>
      <c r="P562" s="34"/>
      <c r="Q562" s="194"/>
      <c r="R562" s="194"/>
      <c r="S562" s="194"/>
      <c r="T562" s="194"/>
      <c r="U562" s="194"/>
      <c r="V562" s="194"/>
      <c r="W562" s="194"/>
      <c r="X562" s="194"/>
      <c r="Y562" s="194"/>
      <c r="Z562" s="194"/>
      <c r="AA562" s="194"/>
      <c r="AB562" s="194"/>
      <c r="AC562" s="194"/>
      <c r="AD562" s="194"/>
      <c r="AE562" s="194"/>
      <c r="AF562" s="194"/>
      <c r="AG562" s="194"/>
      <c r="AH562" s="194"/>
      <c r="AI562" s="34"/>
      <c r="AJ562" s="194"/>
      <c r="AK562" s="194"/>
      <c r="AL562" s="194"/>
      <c r="AM562" s="194"/>
      <c r="AN562" s="194"/>
      <c r="AO562" s="194"/>
      <c r="AP562" s="194"/>
      <c r="AQ562" s="194"/>
      <c r="AR562" s="34"/>
      <c r="AS562" s="34"/>
      <c r="AT562" s="34" t="s">
        <v>225</v>
      </c>
      <c r="AU562" s="34" t="s">
        <v>939</v>
      </c>
      <c r="AV562" s="34"/>
      <c r="AW562" s="34" t="s">
        <v>2018</v>
      </c>
      <c r="AX562" s="39" t="s">
        <v>1920</v>
      </c>
      <c r="AY562" s="34" t="s">
        <v>1917</v>
      </c>
      <c r="AZ562" s="39" t="s">
        <v>2422</v>
      </c>
      <c r="BB562" s="41"/>
      <c r="BC562" s="41"/>
      <c r="BF562" s="15">
        <v>1</v>
      </c>
    </row>
    <row r="563" spans="1:58" s="24" customFormat="1" ht="31.5">
      <c r="A563" s="193">
        <v>89</v>
      </c>
      <c r="B563" s="56" t="s">
        <v>2423</v>
      </c>
      <c r="C563" s="78" t="s">
        <v>38</v>
      </c>
      <c r="D563" s="194">
        <f t="shared" si="30"/>
        <v>0.22</v>
      </c>
      <c r="E563" s="194"/>
      <c r="F563" s="194">
        <f t="shared" si="31"/>
        <v>0.22</v>
      </c>
      <c r="G563" s="194"/>
      <c r="H563" s="194"/>
      <c r="I563" s="194"/>
      <c r="J563" s="194">
        <v>0.11</v>
      </c>
      <c r="K563" s="194"/>
      <c r="L563" s="194"/>
      <c r="M563" s="194"/>
      <c r="N563" s="194"/>
      <c r="O563" s="194"/>
      <c r="P563" s="194"/>
      <c r="Q563" s="194"/>
      <c r="R563" s="194"/>
      <c r="S563" s="194"/>
      <c r="T563" s="194"/>
      <c r="U563" s="194"/>
      <c r="V563" s="194"/>
      <c r="W563" s="194"/>
      <c r="X563" s="194"/>
      <c r="Y563" s="194"/>
      <c r="Z563" s="194"/>
      <c r="AA563" s="194"/>
      <c r="AB563" s="194"/>
      <c r="AC563" s="194"/>
      <c r="AD563" s="194"/>
      <c r="AE563" s="194"/>
      <c r="AF563" s="194"/>
      <c r="AG563" s="194">
        <v>0.11</v>
      </c>
      <c r="AH563" s="194"/>
      <c r="AI563" s="194"/>
      <c r="AJ563" s="194"/>
      <c r="AK563" s="194"/>
      <c r="AL563" s="194"/>
      <c r="AM563" s="194"/>
      <c r="AN563" s="194"/>
      <c r="AO563" s="194"/>
      <c r="AP563" s="194"/>
      <c r="AQ563" s="194"/>
      <c r="AR563" s="194"/>
      <c r="AS563" s="194"/>
      <c r="AT563" s="34" t="s">
        <v>487</v>
      </c>
      <c r="AU563" s="34" t="s">
        <v>945</v>
      </c>
      <c r="AV563" s="34"/>
      <c r="AW563" s="34"/>
      <c r="AX563" s="39" t="s">
        <v>1920</v>
      </c>
      <c r="AY563" s="34" t="s">
        <v>1923</v>
      </c>
      <c r="AZ563" s="39" t="s">
        <v>2424</v>
      </c>
      <c r="BB563" s="41"/>
      <c r="BD563" s="135"/>
      <c r="BE563" s="24">
        <v>1</v>
      </c>
    </row>
    <row r="564" spans="1:58" ht="18.600000000000001" customHeight="1">
      <c r="A564" s="193">
        <v>90</v>
      </c>
      <c r="B564" s="56" t="s">
        <v>947</v>
      </c>
      <c r="C564" s="34" t="s">
        <v>38</v>
      </c>
      <c r="D564" s="194">
        <f>F564+E564</f>
        <v>0.1</v>
      </c>
      <c r="E564" s="194">
        <v>7.0000000000000007E-2</v>
      </c>
      <c r="F564" s="194">
        <f t="shared" si="31"/>
        <v>0.03</v>
      </c>
      <c r="G564" s="194"/>
      <c r="H564" s="194"/>
      <c r="I564" s="194"/>
      <c r="J564" s="194">
        <v>0.03</v>
      </c>
      <c r="K564" s="194"/>
      <c r="L564" s="194"/>
      <c r="M564" s="194"/>
      <c r="N564" s="194"/>
      <c r="O564" s="194"/>
      <c r="P564" s="194"/>
      <c r="Q564" s="194"/>
      <c r="R564" s="194"/>
      <c r="S564" s="194"/>
      <c r="T564" s="194"/>
      <c r="U564" s="194"/>
      <c r="V564" s="194"/>
      <c r="W564" s="194"/>
      <c r="X564" s="194"/>
      <c r="Y564" s="194"/>
      <c r="Z564" s="194"/>
      <c r="AA564" s="194"/>
      <c r="AB564" s="194"/>
      <c r="AC564" s="194"/>
      <c r="AD564" s="194"/>
      <c r="AE564" s="194"/>
      <c r="AF564" s="194"/>
      <c r="AG564" s="194"/>
      <c r="AH564" s="194"/>
      <c r="AI564" s="194"/>
      <c r="AJ564" s="194"/>
      <c r="AK564" s="194"/>
      <c r="AL564" s="194"/>
      <c r="AM564" s="194"/>
      <c r="AN564" s="194"/>
      <c r="AO564" s="194"/>
      <c r="AP564" s="194"/>
      <c r="AQ564" s="194"/>
      <c r="AR564" s="194"/>
      <c r="AS564" s="194"/>
      <c r="AT564" s="34" t="s">
        <v>231</v>
      </c>
      <c r="AU564" s="34" t="s">
        <v>387</v>
      </c>
      <c r="AV564" s="34"/>
      <c r="AW564" s="34"/>
      <c r="AX564" s="39" t="s">
        <v>1920</v>
      </c>
      <c r="AY564" s="34" t="s">
        <v>1923</v>
      </c>
      <c r="AZ564" s="39" t="s">
        <v>1924</v>
      </c>
      <c r="BB564" s="41"/>
      <c r="BE564" s="24">
        <v>1</v>
      </c>
    </row>
    <row r="565" spans="1:58" ht="18.600000000000001" customHeight="1">
      <c r="A565" s="193">
        <v>91</v>
      </c>
      <c r="B565" s="56" t="s">
        <v>2425</v>
      </c>
      <c r="C565" s="34" t="s">
        <v>38</v>
      </c>
      <c r="D565" s="194">
        <f t="shared" si="30"/>
        <v>0.2</v>
      </c>
      <c r="E565" s="194"/>
      <c r="F565" s="194">
        <f t="shared" si="31"/>
        <v>0.2</v>
      </c>
      <c r="G565" s="194"/>
      <c r="H565" s="194"/>
      <c r="I565" s="194"/>
      <c r="J565" s="194"/>
      <c r="K565" s="194">
        <v>0.2</v>
      </c>
      <c r="L565" s="194"/>
      <c r="M565" s="194">
        <v>0.2</v>
      </c>
      <c r="N565" s="194"/>
      <c r="O565" s="194"/>
      <c r="P565" s="194"/>
      <c r="Q565" s="194"/>
      <c r="R565" s="194"/>
      <c r="S565" s="194"/>
      <c r="T565" s="194"/>
      <c r="U565" s="194"/>
      <c r="V565" s="194"/>
      <c r="W565" s="194"/>
      <c r="X565" s="194"/>
      <c r="Y565" s="194"/>
      <c r="Z565" s="194"/>
      <c r="AA565" s="194"/>
      <c r="AB565" s="194"/>
      <c r="AC565" s="194"/>
      <c r="AD565" s="194"/>
      <c r="AE565" s="194"/>
      <c r="AF565" s="194"/>
      <c r="AG565" s="194"/>
      <c r="AH565" s="194"/>
      <c r="AI565" s="194"/>
      <c r="AJ565" s="194"/>
      <c r="AK565" s="194"/>
      <c r="AL565" s="194"/>
      <c r="AM565" s="194"/>
      <c r="AN565" s="194"/>
      <c r="AO565" s="194"/>
      <c r="AP565" s="194"/>
      <c r="AQ565" s="194"/>
      <c r="AR565" s="194"/>
      <c r="AS565" s="194"/>
      <c r="AT565" s="34" t="s">
        <v>232</v>
      </c>
      <c r="AU565" s="34" t="s">
        <v>305</v>
      </c>
      <c r="AV565" s="34"/>
      <c r="AW565" s="34"/>
      <c r="AX565" s="239">
        <v>2021</v>
      </c>
      <c r="AY565" s="34" t="s">
        <v>1923</v>
      </c>
      <c r="AZ565" s="239" t="s">
        <v>1924</v>
      </c>
      <c r="BB565" s="41"/>
      <c r="BE565" s="15">
        <v>1</v>
      </c>
    </row>
    <row r="566" spans="1:58" ht="18.600000000000001" customHeight="1">
      <c r="A566" s="193">
        <v>92</v>
      </c>
      <c r="B566" s="136" t="s">
        <v>952</v>
      </c>
      <c r="C566" s="78" t="s">
        <v>38</v>
      </c>
      <c r="D566" s="194">
        <f>F566+E566</f>
        <v>0.41</v>
      </c>
      <c r="E566" s="194"/>
      <c r="F566" s="194">
        <f t="shared" si="31"/>
        <v>0.41</v>
      </c>
      <c r="G566" s="194"/>
      <c r="H566" s="194"/>
      <c r="I566" s="194"/>
      <c r="J566" s="194"/>
      <c r="K566" s="194">
        <v>0.41</v>
      </c>
      <c r="L566" s="194"/>
      <c r="M566" s="194">
        <v>0.41</v>
      </c>
      <c r="N566" s="194"/>
      <c r="O566" s="194"/>
      <c r="P566" s="194"/>
      <c r="Q566" s="194"/>
      <c r="R566" s="194"/>
      <c r="S566" s="194"/>
      <c r="T566" s="194"/>
      <c r="U566" s="194"/>
      <c r="V566" s="194"/>
      <c r="W566" s="194"/>
      <c r="X566" s="194"/>
      <c r="Y566" s="194"/>
      <c r="Z566" s="194"/>
      <c r="AA566" s="194"/>
      <c r="AB566" s="194"/>
      <c r="AC566" s="194"/>
      <c r="AD566" s="194"/>
      <c r="AE566" s="194"/>
      <c r="AF566" s="194"/>
      <c r="AG566" s="194"/>
      <c r="AH566" s="194"/>
      <c r="AI566" s="194"/>
      <c r="AJ566" s="194"/>
      <c r="AK566" s="194"/>
      <c r="AL566" s="194"/>
      <c r="AM566" s="194"/>
      <c r="AN566" s="194"/>
      <c r="AO566" s="194"/>
      <c r="AP566" s="194"/>
      <c r="AQ566" s="194"/>
      <c r="AR566" s="194"/>
      <c r="AS566" s="194"/>
      <c r="AT566" s="34" t="s">
        <v>233</v>
      </c>
      <c r="AU566" s="34" t="s">
        <v>954</v>
      </c>
      <c r="AV566" s="34"/>
      <c r="AW566" s="34"/>
      <c r="AX566" s="63">
        <v>2021</v>
      </c>
      <c r="AY566" s="34" t="s">
        <v>1917</v>
      </c>
      <c r="AZ566" s="63" t="s">
        <v>1926</v>
      </c>
      <c r="BB566" s="41"/>
      <c r="BC566" s="41"/>
      <c r="BF566" s="15">
        <v>1</v>
      </c>
    </row>
    <row r="567" spans="1:58" ht="18.600000000000001" customHeight="1">
      <c r="A567" s="193">
        <v>93</v>
      </c>
      <c r="B567" s="136" t="s">
        <v>955</v>
      </c>
      <c r="C567" s="78" t="s">
        <v>38</v>
      </c>
      <c r="D567" s="194">
        <f>F567+E567</f>
        <v>0.24000000000000002</v>
      </c>
      <c r="E567" s="194">
        <v>0.14000000000000001</v>
      </c>
      <c r="F567" s="194">
        <f t="shared" si="31"/>
        <v>0.1</v>
      </c>
      <c r="G567" s="194"/>
      <c r="H567" s="194"/>
      <c r="I567" s="194"/>
      <c r="J567" s="194"/>
      <c r="K567" s="194">
        <v>0.1</v>
      </c>
      <c r="L567" s="194"/>
      <c r="M567" s="194">
        <v>0.1</v>
      </c>
      <c r="N567" s="194"/>
      <c r="O567" s="194"/>
      <c r="P567" s="194"/>
      <c r="Q567" s="194"/>
      <c r="R567" s="194"/>
      <c r="S567" s="194"/>
      <c r="T567" s="194"/>
      <c r="U567" s="194"/>
      <c r="V567" s="194"/>
      <c r="W567" s="194"/>
      <c r="X567" s="194"/>
      <c r="Y567" s="194"/>
      <c r="Z567" s="194"/>
      <c r="AA567" s="194"/>
      <c r="AB567" s="194"/>
      <c r="AC567" s="194"/>
      <c r="AD567" s="194"/>
      <c r="AE567" s="194"/>
      <c r="AF567" s="194"/>
      <c r="AG567" s="194"/>
      <c r="AH567" s="194"/>
      <c r="AI567" s="194"/>
      <c r="AJ567" s="194"/>
      <c r="AK567" s="194"/>
      <c r="AL567" s="194"/>
      <c r="AM567" s="194"/>
      <c r="AN567" s="194"/>
      <c r="AO567" s="194"/>
      <c r="AP567" s="194"/>
      <c r="AQ567" s="194"/>
      <c r="AR567" s="194"/>
      <c r="AS567" s="194"/>
      <c r="AT567" s="34" t="s">
        <v>233</v>
      </c>
      <c r="AU567" s="34" t="s">
        <v>2426</v>
      </c>
      <c r="AV567" s="34"/>
      <c r="AW567" s="34"/>
      <c r="AX567" s="39" t="s">
        <v>1920</v>
      </c>
      <c r="AY567" s="34" t="s">
        <v>1917</v>
      </c>
      <c r="AZ567" s="39" t="s">
        <v>1926</v>
      </c>
      <c r="BB567" s="41"/>
      <c r="BC567" s="41"/>
      <c r="BF567" s="15">
        <v>1</v>
      </c>
    </row>
    <row r="568" spans="1:58" ht="34.35" customHeight="1">
      <c r="A568" s="193">
        <v>94</v>
      </c>
      <c r="B568" s="33" t="s">
        <v>957</v>
      </c>
      <c r="C568" s="78" t="s">
        <v>38</v>
      </c>
      <c r="D568" s="103">
        <f t="shared" si="30"/>
        <v>0.3</v>
      </c>
      <c r="E568" s="34">
        <v>0.15</v>
      </c>
      <c r="F568" s="194">
        <f t="shared" si="31"/>
        <v>0.15</v>
      </c>
      <c r="G568" s="34"/>
      <c r="H568" s="34"/>
      <c r="I568" s="34"/>
      <c r="J568" s="34"/>
      <c r="K568" s="194">
        <v>0.15</v>
      </c>
      <c r="L568" s="194"/>
      <c r="M568" s="194">
        <v>0.15</v>
      </c>
      <c r="N568" s="159"/>
      <c r="O568" s="194"/>
      <c r="P568" s="34"/>
      <c r="Q568" s="194"/>
      <c r="R568" s="194"/>
      <c r="S568" s="194"/>
      <c r="T568" s="194"/>
      <c r="U568" s="194"/>
      <c r="V568" s="194"/>
      <c r="W568" s="194"/>
      <c r="X568" s="194"/>
      <c r="Y568" s="194"/>
      <c r="Z568" s="194"/>
      <c r="AA568" s="194"/>
      <c r="AB568" s="194"/>
      <c r="AC568" s="194"/>
      <c r="AD568" s="194"/>
      <c r="AE568" s="194"/>
      <c r="AF568" s="194"/>
      <c r="AG568" s="194"/>
      <c r="AH568" s="194"/>
      <c r="AI568" s="34"/>
      <c r="AJ568" s="194"/>
      <c r="AK568" s="194"/>
      <c r="AL568" s="194"/>
      <c r="AM568" s="194"/>
      <c r="AN568" s="194"/>
      <c r="AO568" s="194"/>
      <c r="AP568" s="194"/>
      <c r="AQ568" s="194"/>
      <c r="AR568" s="34"/>
      <c r="AS568" s="34"/>
      <c r="AT568" s="34" t="s">
        <v>234</v>
      </c>
      <c r="AU568" s="34" t="s">
        <v>387</v>
      </c>
      <c r="AV568" s="34"/>
      <c r="AW568" s="34" t="s">
        <v>2427</v>
      </c>
      <c r="AX568" s="39" t="s">
        <v>1920</v>
      </c>
      <c r="AY568" s="34" t="s">
        <v>1923</v>
      </c>
      <c r="AZ568" s="39" t="s">
        <v>2428</v>
      </c>
      <c r="BB568" s="41"/>
      <c r="BC568" s="41"/>
      <c r="BE568" s="15">
        <v>1</v>
      </c>
    </row>
    <row r="569" spans="1:58" ht="35.450000000000003" customHeight="1">
      <c r="A569" s="193">
        <v>95</v>
      </c>
      <c r="B569" s="33" t="s">
        <v>958</v>
      </c>
      <c r="C569" s="78" t="s">
        <v>38</v>
      </c>
      <c r="D569" s="103">
        <f t="shared" si="30"/>
        <v>0.3</v>
      </c>
      <c r="E569" s="34">
        <v>0.19</v>
      </c>
      <c r="F569" s="194">
        <f t="shared" si="31"/>
        <v>0.11</v>
      </c>
      <c r="G569" s="34"/>
      <c r="H569" s="34"/>
      <c r="I569" s="34">
        <v>0.11</v>
      </c>
      <c r="J569" s="34"/>
      <c r="K569" s="194"/>
      <c r="L569" s="194"/>
      <c r="M569" s="34"/>
      <c r="N569" s="194"/>
      <c r="O569" s="194"/>
      <c r="P569" s="34"/>
      <c r="Q569" s="194"/>
      <c r="R569" s="194"/>
      <c r="S569" s="194"/>
      <c r="T569" s="194"/>
      <c r="U569" s="194"/>
      <c r="V569" s="194"/>
      <c r="W569" s="194"/>
      <c r="X569" s="194"/>
      <c r="Y569" s="194"/>
      <c r="Z569" s="194"/>
      <c r="AA569" s="194"/>
      <c r="AB569" s="194"/>
      <c r="AC569" s="194"/>
      <c r="AD569" s="194"/>
      <c r="AE569" s="194"/>
      <c r="AF569" s="194"/>
      <c r="AG569" s="194"/>
      <c r="AH569" s="194"/>
      <c r="AI569" s="34"/>
      <c r="AJ569" s="194"/>
      <c r="AK569" s="194"/>
      <c r="AL569" s="194"/>
      <c r="AM569" s="194"/>
      <c r="AN569" s="194"/>
      <c r="AO569" s="194"/>
      <c r="AP569" s="194"/>
      <c r="AQ569" s="194"/>
      <c r="AR569" s="34"/>
      <c r="AS569" s="34"/>
      <c r="AT569" s="34" t="s">
        <v>429</v>
      </c>
      <c r="AU569" s="34" t="s">
        <v>959</v>
      </c>
      <c r="AV569" s="34"/>
      <c r="AW569" s="34" t="s">
        <v>1995</v>
      </c>
      <c r="AX569" s="39" t="s">
        <v>1920</v>
      </c>
      <c r="AY569" s="34" t="s">
        <v>1923</v>
      </c>
      <c r="AZ569" s="39" t="s">
        <v>2429</v>
      </c>
      <c r="BB569" s="41"/>
      <c r="BC569" s="41"/>
      <c r="BE569" s="15">
        <v>1</v>
      </c>
    </row>
    <row r="570" spans="1:58" ht="35.1" customHeight="1">
      <c r="A570" s="193">
        <v>96</v>
      </c>
      <c r="B570" s="88" t="s">
        <v>961</v>
      </c>
      <c r="C570" s="102" t="s">
        <v>38</v>
      </c>
      <c r="D570" s="194">
        <f t="shared" si="30"/>
        <v>0.19</v>
      </c>
      <c r="E570" s="194">
        <v>0.08</v>
      </c>
      <c r="F570" s="194">
        <f t="shared" si="31"/>
        <v>0.11</v>
      </c>
      <c r="G570" s="194"/>
      <c r="H570" s="194"/>
      <c r="I570" s="194"/>
      <c r="J570" s="194">
        <v>0.11</v>
      </c>
      <c r="K570" s="194"/>
      <c r="L570" s="194"/>
      <c r="M570" s="194"/>
      <c r="N570" s="194"/>
      <c r="O570" s="194"/>
      <c r="P570" s="194"/>
      <c r="Q570" s="194"/>
      <c r="R570" s="194"/>
      <c r="S570" s="194"/>
      <c r="T570" s="194"/>
      <c r="U570" s="194"/>
      <c r="V570" s="194"/>
      <c r="W570" s="194"/>
      <c r="X570" s="194"/>
      <c r="Y570" s="194"/>
      <c r="Z570" s="194"/>
      <c r="AA570" s="194"/>
      <c r="AB570" s="194"/>
      <c r="AC570" s="194"/>
      <c r="AD570" s="194"/>
      <c r="AE570" s="194"/>
      <c r="AF570" s="194"/>
      <c r="AG570" s="194"/>
      <c r="AH570" s="194"/>
      <c r="AI570" s="194"/>
      <c r="AJ570" s="194"/>
      <c r="AK570" s="194"/>
      <c r="AL570" s="194"/>
      <c r="AM570" s="194"/>
      <c r="AN570" s="194"/>
      <c r="AO570" s="194"/>
      <c r="AP570" s="194"/>
      <c r="AQ570" s="194"/>
      <c r="AR570" s="194"/>
      <c r="AS570" s="194"/>
      <c r="AT570" s="34" t="s">
        <v>238</v>
      </c>
      <c r="AU570" s="34" t="s">
        <v>804</v>
      </c>
      <c r="AV570" s="140"/>
      <c r="AW570" s="140"/>
      <c r="AX570" s="39" t="s">
        <v>1920</v>
      </c>
      <c r="AY570" s="140" t="s">
        <v>1917</v>
      </c>
      <c r="AZ570" s="39" t="s">
        <v>2430</v>
      </c>
      <c r="BA570" s="15" t="s">
        <v>962</v>
      </c>
      <c r="BB570" s="41"/>
      <c r="BF570" s="15">
        <v>1</v>
      </c>
    </row>
    <row r="571" spans="1:58" s="24" customFormat="1" ht="31.5">
      <c r="A571" s="137" t="s">
        <v>1046</v>
      </c>
      <c r="B571" s="25" t="s">
        <v>243</v>
      </c>
      <c r="C571" s="26" t="s">
        <v>40</v>
      </c>
      <c r="D571" s="192">
        <f>E571+F571</f>
        <v>57.640000000000015</v>
      </c>
      <c r="E571" s="192">
        <f>SUM(E572:E573)</f>
        <v>7.74</v>
      </c>
      <c r="F571" s="192">
        <f>SUM(G571:K571,O571:AS571)</f>
        <v>49.900000000000013</v>
      </c>
      <c r="G571" s="192">
        <f>SUM(G572:G573)</f>
        <v>3.0000000000000004</v>
      </c>
      <c r="H571" s="192">
        <f t="shared" ref="H571:AS571" si="32">SUM(H572:H573)</f>
        <v>0.35</v>
      </c>
      <c r="I571" s="192">
        <f t="shared" si="32"/>
        <v>5.0500000000000007</v>
      </c>
      <c r="J571" s="192">
        <f t="shared" si="32"/>
        <v>5.0499999999999989</v>
      </c>
      <c r="K571" s="192">
        <f t="shared" si="32"/>
        <v>36.45000000000001</v>
      </c>
      <c r="L571" s="192">
        <f t="shared" si="32"/>
        <v>0</v>
      </c>
      <c r="M571" s="192">
        <f t="shared" si="32"/>
        <v>36.45000000000001</v>
      </c>
      <c r="N571" s="192">
        <f t="shared" si="32"/>
        <v>0</v>
      </c>
      <c r="O571" s="192">
        <f t="shared" si="32"/>
        <v>0</v>
      </c>
      <c r="P571" s="192">
        <f t="shared" si="32"/>
        <v>0</v>
      </c>
      <c r="Q571" s="192">
        <f t="shared" si="32"/>
        <v>0</v>
      </c>
      <c r="R571" s="192">
        <f t="shared" si="32"/>
        <v>0</v>
      </c>
      <c r="S571" s="192">
        <f t="shared" si="32"/>
        <v>0</v>
      </c>
      <c r="T571" s="192">
        <f t="shared" si="32"/>
        <v>0</v>
      </c>
      <c r="U571" s="192">
        <f t="shared" si="32"/>
        <v>0</v>
      </c>
      <c r="V571" s="192">
        <f t="shared" si="32"/>
        <v>0</v>
      </c>
      <c r="W571" s="192">
        <f t="shared" si="32"/>
        <v>0</v>
      </c>
      <c r="X571" s="192">
        <f t="shared" si="32"/>
        <v>0</v>
      </c>
      <c r="Y571" s="192">
        <f t="shared" si="32"/>
        <v>0</v>
      </c>
      <c r="Z571" s="192">
        <f t="shared" si="32"/>
        <v>0</v>
      </c>
      <c r="AA571" s="192">
        <f t="shared" si="32"/>
        <v>0</v>
      </c>
      <c r="AB571" s="192">
        <f t="shared" si="32"/>
        <v>0</v>
      </c>
      <c r="AC571" s="192">
        <f t="shared" si="32"/>
        <v>0</v>
      </c>
      <c r="AD571" s="192">
        <f t="shared" si="32"/>
        <v>0</v>
      </c>
      <c r="AE571" s="192">
        <f t="shared" si="32"/>
        <v>0</v>
      </c>
      <c r="AF571" s="192">
        <f t="shared" si="32"/>
        <v>0</v>
      </c>
      <c r="AG571" s="192">
        <f t="shared" si="32"/>
        <v>0</v>
      </c>
      <c r="AH571" s="192">
        <f t="shared" si="32"/>
        <v>0</v>
      </c>
      <c r="AI571" s="192">
        <f t="shared" si="32"/>
        <v>0</v>
      </c>
      <c r="AJ571" s="192">
        <f t="shared" si="32"/>
        <v>0</v>
      </c>
      <c r="AK571" s="192">
        <f t="shared" si="32"/>
        <v>0</v>
      </c>
      <c r="AL571" s="192">
        <f t="shared" si="32"/>
        <v>0</v>
      </c>
      <c r="AM571" s="192">
        <f t="shared" si="32"/>
        <v>0</v>
      </c>
      <c r="AN571" s="192">
        <f t="shared" si="32"/>
        <v>0</v>
      </c>
      <c r="AO571" s="192">
        <f t="shared" si="32"/>
        <v>0</v>
      </c>
      <c r="AP571" s="192">
        <f t="shared" si="32"/>
        <v>0</v>
      </c>
      <c r="AQ571" s="192">
        <f t="shared" si="32"/>
        <v>0</v>
      </c>
      <c r="AR571" s="192">
        <f t="shared" si="32"/>
        <v>0</v>
      </c>
      <c r="AS571" s="192">
        <f t="shared" si="32"/>
        <v>0</v>
      </c>
      <c r="AT571" s="29"/>
      <c r="AU571" s="29"/>
      <c r="AV571" s="29"/>
      <c r="AW571" s="225"/>
      <c r="AX571" s="30"/>
      <c r="AY571" s="225"/>
      <c r="AZ571" s="30"/>
      <c r="BB571" s="59"/>
    </row>
    <row r="572" spans="1:58" ht="63" customHeight="1">
      <c r="A572" s="193">
        <v>97</v>
      </c>
      <c r="B572" s="33" t="s">
        <v>2431</v>
      </c>
      <c r="C572" s="78" t="s">
        <v>40</v>
      </c>
      <c r="D572" s="194">
        <f>E572+F572</f>
        <v>1.3</v>
      </c>
      <c r="E572" s="194"/>
      <c r="F572" s="103">
        <f>SUM(G572:K572,O572:AR572)</f>
        <v>1.3</v>
      </c>
      <c r="G572" s="194">
        <v>0.18</v>
      </c>
      <c r="H572" s="194"/>
      <c r="I572" s="194"/>
      <c r="J572" s="194">
        <v>0.1</v>
      </c>
      <c r="K572" s="194">
        <v>1.02</v>
      </c>
      <c r="L572" s="194"/>
      <c r="M572" s="194">
        <v>1.02</v>
      </c>
      <c r="N572" s="194"/>
      <c r="O572" s="194"/>
      <c r="P572" s="194"/>
      <c r="Q572" s="194"/>
      <c r="R572" s="194"/>
      <c r="S572" s="194"/>
      <c r="T572" s="194"/>
      <c r="U572" s="194"/>
      <c r="V572" s="194"/>
      <c r="W572" s="194"/>
      <c r="X572" s="194"/>
      <c r="Y572" s="194"/>
      <c r="Z572" s="194"/>
      <c r="AA572" s="194"/>
      <c r="AB572" s="194"/>
      <c r="AC572" s="194"/>
      <c r="AD572" s="194"/>
      <c r="AE572" s="194"/>
      <c r="AF572" s="194"/>
      <c r="AG572" s="194"/>
      <c r="AH572" s="194"/>
      <c r="AI572" s="194"/>
      <c r="AJ572" s="194"/>
      <c r="AK572" s="194"/>
      <c r="AL572" s="194"/>
      <c r="AM572" s="194"/>
      <c r="AN572" s="194"/>
      <c r="AO572" s="194"/>
      <c r="AP572" s="194"/>
      <c r="AQ572" s="194"/>
      <c r="AR572" s="194"/>
      <c r="AS572" s="194"/>
      <c r="AT572" s="34" t="s">
        <v>233</v>
      </c>
      <c r="AU572" s="34" t="s">
        <v>2432</v>
      </c>
      <c r="AV572" s="34"/>
      <c r="AW572" s="34"/>
      <c r="AX572" s="63">
        <v>2021</v>
      </c>
      <c r="AY572" s="34" t="s">
        <v>1917</v>
      </c>
      <c r="AZ572" s="63" t="s">
        <v>1926</v>
      </c>
      <c r="BB572" s="41"/>
      <c r="BC572" s="41"/>
      <c r="BF572" s="15">
        <v>1</v>
      </c>
    </row>
    <row r="573" spans="1:58" ht="20.100000000000001" customHeight="1">
      <c r="A573" s="138">
        <v>98</v>
      </c>
      <c r="B573" s="56" t="s">
        <v>2433</v>
      </c>
      <c r="C573" s="78" t="s">
        <v>40</v>
      </c>
      <c r="D573" s="194">
        <f>E573+F573</f>
        <v>56.340000000000011</v>
      </c>
      <c r="E573" s="194">
        <v>7.74</v>
      </c>
      <c r="F573" s="103">
        <f>SUM(G573:K573,O573:AR573)</f>
        <v>48.600000000000009</v>
      </c>
      <c r="G573" s="103">
        <v>2.8200000000000003</v>
      </c>
      <c r="H573" s="103">
        <v>0.35</v>
      </c>
      <c r="I573" s="103">
        <v>5.0500000000000007</v>
      </c>
      <c r="J573" s="103">
        <v>4.9499999999999993</v>
      </c>
      <c r="K573" s="103">
        <v>35.430000000000007</v>
      </c>
      <c r="L573" s="103">
        <v>0</v>
      </c>
      <c r="M573" s="103">
        <v>35.430000000000007</v>
      </c>
      <c r="N573" s="103">
        <v>0</v>
      </c>
      <c r="O573" s="103">
        <v>0</v>
      </c>
      <c r="P573" s="103">
        <v>0</v>
      </c>
      <c r="Q573" s="103">
        <v>0</v>
      </c>
      <c r="R573" s="103">
        <v>0</v>
      </c>
      <c r="S573" s="103">
        <v>0</v>
      </c>
      <c r="T573" s="103">
        <v>0</v>
      </c>
      <c r="U573" s="103">
        <v>0</v>
      </c>
      <c r="V573" s="103">
        <v>0</v>
      </c>
      <c r="W573" s="103">
        <v>0</v>
      </c>
      <c r="X573" s="103">
        <v>0</v>
      </c>
      <c r="Y573" s="103">
        <v>0</v>
      </c>
      <c r="Z573" s="103">
        <v>0</v>
      </c>
      <c r="AA573" s="103">
        <v>0</v>
      </c>
      <c r="AB573" s="103">
        <v>0</v>
      </c>
      <c r="AC573" s="103">
        <v>0</v>
      </c>
      <c r="AD573" s="103">
        <v>0</v>
      </c>
      <c r="AE573" s="103">
        <v>0</v>
      </c>
      <c r="AF573" s="103">
        <v>0</v>
      </c>
      <c r="AG573" s="103">
        <v>0</v>
      </c>
      <c r="AH573" s="103">
        <v>0</v>
      </c>
      <c r="AI573" s="103">
        <v>0</v>
      </c>
      <c r="AJ573" s="103">
        <v>0</v>
      </c>
      <c r="AK573" s="103">
        <v>0</v>
      </c>
      <c r="AL573" s="103">
        <v>0</v>
      </c>
      <c r="AM573" s="103">
        <v>0</v>
      </c>
      <c r="AN573" s="103">
        <v>0</v>
      </c>
      <c r="AO573" s="103">
        <v>0</v>
      </c>
      <c r="AP573" s="103">
        <v>0</v>
      </c>
      <c r="AQ573" s="103">
        <v>0</v>
      </c>
      <c r="AR573" s="103">
        <v>0</v>
      </c>
      <c r="AS573" s="103">
        <v>0</v>
      </c>
      <c r="AT573" s="34" t="s">
        <v>860</v>
      </c>
      <c r="AU573" s="34" t="s">
        <v>615</v>
      </c>
      <c r="AV573" s="34"/>
      <c r="AW573" s="140"/>
      <c r="AX573" s="63" t="s">
        <v>1970</v>
      </c>
      <c r="AY573" s="140" t="s">
        <v>1917</v>
      </c>
      <c r="AZ573" s="63" t="s">
        <v>1924</v>
      </c>
      <c r="BB573" s="41"/>
      <c r="BF573" s="15">
        <v>1</v>
      </c>
    </row>
    <row r="574" spans="1:58" ht="31.5" hidden="1" customHeight="1">
      <c r="A574" s="138"/>
      <c r="B574" s="56" t="s">
        <v>967</v>
      </c>
      <c r="C574" s="78"/>
      <c r="D574" s="194"/>
      <c r="E574" s="194"/>
      <c r="F574" s="103">
        <v>2</v>
      </c>
      <c r="G574" s="103"/>
      <c r="H574" s="103"/>
      <c r="I574" s="103"/>
      <c r="J574" s="103"/>
      <c r="K574" s="103"/>
      <c r="L574" s="103"/>
      <c r="M574" s="103"/>
      <c r="N574" s="103"/>
      <c r="O574" s="103"/>
      <c r="P574" s="103"/>
      <c r="Q574" s="103"/>
      <c r="R574" s="103"/>
      <c r="S574" s="103"/>
      <c r="T574" s="103"/>
      <c r="U574" s="103"/>
      <c r="V574" s="103"/>
      <c r="W574" s="103"/>
      <c r="X574" s="103"/>
      <c r="Y574" s="103"/>
      <c r="Z574" s="103"/>
      <c r="AA574" s="103"/>
      <c r="AB574" s="103"/>
      <c r="AC574" s="103"/>
      <c r="AD574" s="103"/>
      <c r="AE574" s="103"/>
      <c r="AF574" s="103"/>
      <c r="AG574" s="103"/>
      <c r="AH574" s="103"/>
      <c r="AI574" s="103"/>
      <c r="AJ574" s="103"/>
      <c r="AK574" s="103"/>
      <c r="AL574" s="103"/>
      <c r="AM574" s="103"/>
      <c r="AN574" s="103"/>
      <c r="AO574" s="103"/>
      <c r="AP574" s="103"/>
      <c r="AQ574" s="103"/>
      <c r="AR574" s="103"/>
      <c r="AS574" s="103"/>
      <c r="AT574" s="34" t="s">
        <v>289</v>
      </c>
      <c r="AU574" s="34" t="s">
        <v>467</v>
      </c>
      <c r="AV574" s="34"/>
      <c r="AW574" s="140"/>
      <c r="AX574" s="63"/>
      <c r="AY574" s="140" t="s">
        <v>1917</v>
      </c>
      <c r="AZ574" s="63" t="s">
        <v>2434</v>
      </c>
      <c r="BB574" s="41"/>
    </row>
    <row r="575" spans="1:58" ht="15.75" hidden="1" customHeight="1">
      <c r="A575" s="138"/>
      <c r="B575" s="60" t="s">
        <v>2435</v>
      </c>
      <c r="C575" s="78"/>
      <c r="D575" s="194"/>
      <c r="E575" s="194"/>
      <c r="F575" s="231">
        <v>0.25</v>
      </c>
      <c r="G575" s="103"/>
      <c r="H575" s="103"/>
      <c r="I575" s="103"/>
      <c r="J575" s="103"/>
      <c r="K575" s="103"/>
      <c r="L575" s="103"/>
      <c r="M575" s="103"/>
      <c r="N575" s="103"/>
      <c r="O575" s="103"/>
      <c r="P575" s="103"/>
      <c r="Q575" s="103"/>
      <c r="R575" s="103"/>
      <c r="S575" s="103"/>
      <c r="T575" s="103"/>
      <c r="U575" s="103"/>
      <c r="V575" s="103"/>
      <c r="W575" s="103"/>
      <c r="X575" s="103"/>
      <c r="Y575" s="103"/>
      <c r="Z575" s="103"/>
      <c r="AA575" s="103"/>
      <c r="AB575" s="103"/>
      <c r="AC575" s="103"/>
      <c r="AD575" s="103"/>
      <c r="AE575" s="103"/>
      <c r="AF575" s="103"/>
      <c r="AG575" s="103"/>
      <c r="AH575" s="103"/>
      <c r="AI575" s="103"/>
      <c r="AJ575" s="103"/>
      <c r="AK575" s="103"/>
      <c r="AL575" s="103"/>
      <c r="AM575" s="103"/>
      <c r="AN575" s="103"/>
      <c r="AO575" s="103"/>
      <c r="AP575" s="103"/>
      <c r="AQ575" s="103"/>
      <c r="AR575" s="103"/>
      <c r="AS575" s="103"/>
      <c r="AT575" s="34" t="s">
        <v>221</v>
      </c>
      <c r="AU575" s="34" t="s">
        <v>328</v>
      </c>
      <c r="AV575" s="34"/>
      <c r="AW575" s="140"/>
      <c r="AX575" s="63"/>
      <c r="AY575" s="140" t="s">
        <v>1923</v>
      </c>
      <c r="AZ575" s="63" t="s">
        <v>1924</v>
      </c>
      <c r="BB575" s="41"/>
    </row>
    <row r="576" spans="1:58" ht="15.75" hidden="1" customHeight="1">
      <c r="A576" s="138"/>
      <c r="B576" s="60" t="s">
        <v>2436</v>
      </c>
      <c r="C576" s="78"/>
      <c r="D576" s="194"/>
      <c r="E576" s="194"/>
      <c r="F576" s="231">
        <v>0.16</v>
      </c>
      <c r="G576" s="103"/>
      <c r="H576" s="103"/>
      <c r="I576" s="103"/>
      <c r="J576" s="103"/>
      <c r="K576" s="103"/>
      <c r="L576" s="103"/>
      <c r="M576" s="103"/>
      <c r="N576" s="103"/>
      <c r="O576" s="103"/>
      <c r="P576" s="103"/>
      <c r="Q576" s="103"/>
      <c r="R576" s="103"/>
      <c r="S576" s="103"/>
      <c r="T576" s="103"/>
      <c r="U576" s="103"/>
      <c r="V576" s="103"/>
      <c r="W576" s="103"/>
      <c r="X576" s="103"/>
      <c r="Y576" s="103"/>
      <c r="Z576" s="103"/>
      <c r="AA576" s="103"/>
      <c r="AB576" s="103"/>
      <c r="AC576" s="103"/>
      <c r="AD576" s="103"/>
      <c r="AE576" s="103"/>
      <c r="AF576" s="103"/>
      <c r="AG576" s="103"/>
      <c r="AH576" s="103"/>
      <c r="AI576" s="103"/>
      <c r="AJ576" s="103"/>
      <c r="AK576" s="103"/>
      <c r="AL576" s="103"/>
      <c r="AM576" s="103"/>
      <c r="AN576" s="103"/>
      <c r="AO576" s="103"/>
      <c r="AP576" s="103"/>
      <c r="AQ576" s="103"/>
      <c r="AR576" s="103"/>
      <c r="AS576" s="103"/>
      <c r="AT576" s="34" t="s">
        <v>221</v>
      </c>
      <c r="AU576" s="34" t="s">
        <v>451</v>
      </c>
      <c r="AV576" s="34"/>
      <c r="AW576" s="140"/>
      <c r="AX576" s="63"/>
      <c r="AY576" s="140" t="s">
        <v>1923</v>
      </c>
      <c r="AZ576" s="63" t="s">
        <v>1924</v>
      </c>
      <c r="BB576" s="41"/>
    </row>
    <row r="577" spans="1:58" ht="15.75" hidden="1" customHeight="1">
      <c r="A577" s="138"/>
      <c r="B577" s="60" t="s">
        <v>2437</v>
      </c>
      <c r="C577" s="78"/>
      <c r="D577" s="194"/>
      <c r="E577" s="194"/>
      <c r="F577" s="231">
        <v>0.25</v>
      </c>
      <c r="G577" s="103"/>
      <c r="H577" s="103"/>
      <c r="I577" s="103"/>
      <c r="J577" s="103"/>
      <c r="K577" s="103"/>
      <c r="L577" s="103"/>
      <c r="M577" s="103"/>
      <c r="N577" s="103"/>
      <c r="O577" s="103"/>
      <c r="P577" s="103"/>
      <c r="Q577" s="103"/>
      <c r="R577" s="103"/>
      <c r="S577" s="103"/>
      <c r="T577" s="103"/>
      <c r="U577" s="103"/>
      <c r="V577" s="103"/>
      <c r="W577" s="103"/>
      <c r="X577" s="103"/>
      <c r="Y577" s="103"/>
      <c r="Z577" s="103"/>
      <c r="AA577" s="103"/>
      <c r="AB577" s="103"/>
      <c r="AC577" s="103"/>
      <c r="AD577" s="103"/>
      <c r="AE577" s="103"/>
      <c r="AF577" s="103"/>
      <c r="AG577" s="103"/>
      <c r="AH577" s="103"/>
      <c r="AI577" s="103"/>
      <c r="AJ577" s="103"/>
      <c r="AK577" s="103"/>
      <c r="AL577" s="103"/>
      <c r="AM577" s="103"/>
      <c r="AN577" s="103"/>
      <c r="AO577" s="103"/>
      <c r="AP577" s="103"/>
      <c r="AQ577" s="103"/>
      <c r="AR577" s="103"/>
      <c r="AS577" s="103"/>
      <c r="AT577" s="34" t="s">
        <v>221</v>
      </c>
      <c r="AU577" s="34" t="s">
        <v>387</v>
      </c>
      <c r="AV577" s="34"/>
      <c r="AW577" s="140"/>
      <c r="AX577" s="63"/>
      <c r="AY577" s="140" t="s">
        <v>1923</v>
      </c>
      <c r="AZ577" s="63" t="s">
        <v>1924</v>
      </c>
      <c r="BB577" s="41"/>
    </row>
    <row r="578" spans="1:58" ht="15.75" hidden="1" customHeight="1">
      <c r="A578" s="138"/>
      <c r="B578" s="60" t="s">
        <v>2438</v>
      </c>
      <c r="C578" s="78"/>
      <c r="D578" s="194"/>
      <c r="E578" s="194"/>
      <c r="F578" s="231">
        <v>0.1</v>
      </c>
      <c r="G578" s="103"/>
      <c r="H578" s="103"/>
      <c r="I578" s="103"/>
      <c r="J578" s="103"/>
      <c r="K578" s="103"/>
      <c r="L578" s="103"/>
      <c r="M578" s="103"/>
      <c r="N578" s="103"/>
      <c r="O578" s="103"/>
      <c r="P578" s="103"/>
      <c r="Q578" s="103"/>
      <c r="R578" s="103"/>
      <c r="S578" s="103"/>
      <c r="T578" s="103"/>
      <c r="U578" s="103"/>
      <c r="V578" s="103"/>
      <c r="W578" s="103"/>
      <c r="X578" s="103"/>
      <c r="Y578" s="103"/>
      <c r="Z578" s="103"/>
      <c r="AA578" s="103"/>
      <c r="AB578" s="103"/>
      <c r="AC578" s="103"/>
      <c r="AD578" s="103"/>
      <c r="AE578" s="103"/>
      <c r="AF578" s="103"/>
      <c r="AG578" s="103"/>
      <c r="AH578" s="103"/>
      <c r="AI578" s="103"/>
      <c r="AJ578" s="103"/>
      <c r="AK578" s="103"/>
      <c r="AL578" s="103"/>
      <c r="AM578" s="103"/>
      <c r="AN578" s="103"/>
      <c r="AO578" s="103"/>
      <c r="AP578" s="103"/>
      <c r="AQ578" s="103"/>
      <c r="AR578" s="103"/>
      <c r="AS578" s="103"/>
      <c r="AT578" s="34" t="s">
        <v>221</v>
      </c>
      <c r="AU578" s="34" t="s">
        <v>308</v>
      </c>
      <c r="AV578" s="34"/>
      <c r="AW578" s="140"/>
      <c r="AX578" s="63"/>
      <c r="AY578" s="140" t="s">
        <v>1923</v>
      </c>
      <c r="AZ578" s="63" t="s">
        <v>1924</v>
      </c>
      <c r="BB578" s="41"/>
    </row>
    <row r="579" spans="1:58" ht="15.75" hidden="1" customHeight="1">
      <c r="A579" s="138"/>
      <c r="B579" s="60" t="s">
        <v>2439</v>
      </c>
      <c r="C579" s="78"/>
      <c r="D579" s="194"/>
      <c r="E579" s="194"/>
      <c r="F579" s="103">
        <v>0.3</v>
      </c>
      <c r="G579" s="103"/>
      <c r="H579" s="103"/>
      <c r="I579" s="103"/>
      <c r="J579" s="103"/>
      <c r="K579" s="103"/>
      <c r="L579" s="103"/>
      <c r="M579" s="103"/>
      <c r="N579" s="103"/>
      <c r="O579" s="103"/>
      <c r="P579" s="103"/>
      <c r="Q579" s="103"/>
      <c r="R579" s="103"/>
      <c r="S579" s="103"/>
      <c r="T579" s="103"/>
      <c r="U579" s="103"/>
      <c r="V579" s="103"/>
      <c r="W579" s="103"/>
      <c r="X579" s="103"/>
      <c r="Y579" s="103"/>
      <c r="Z579" s="103"/>
      <c r="AA579" s="103"/>
      <c r="AB579" s="103"/>
      <c r="AC579" s="103"/>
      <c r="AD579" s="103"/>
      <c r="AE579" s="103"/>
      <c r="AF579" s="103"/>
      <c r="AG579" s="103"/>
      <c r="AH579" s="103"/>
      <c r="AI579" s="103"/>
      <c r="AJ579" s="103"/>
      <c r="AK579" s="103"/>
      <c r="AL579" s="103"/>
      <c r="AM579" s="103"/>
      <c r="AN579" s="103"/>
      <c r="AO579" s="103"/>
      <c r="AP579" s="103"/>
      <c r="AQ579" s="103"/>
      <c r="AR579" s="103"/>
      <c r="AS579" s="103"/>
      <c r="AT579" s="34" t="s">
        <v>222</v>
      </c>
      <c r="AU579" s="34" t="s">
        <v>471</v>
      </c>
      <c r="AV579" s="34"/>
      <c r="AW579" s="140"/>
      <c r="AX579" s="63"/>
      <c r="AY579" s="34" t="s">
        <v>1923</v>
      </c>
      <c r="AZ579" s="39" t="s">
        <v>1924</v>
      </c>
      <c r="BA579" s="218" t="s">
        <v>2311</v>
      </c>
      <c r="BB579" s="41"/>
    </row>
    <row r="580" spans="1:58" ht="15.75" hidden="1" customHeight="1">
      <c r="A580" s="138"/>
      <c r="B580" s="60" t="s">
        <v>2440</v>
      </c>
      <c r="C580" s="78"/>
      <c r="D580" s="194"/>
      <c r="E580" s="194"/>
      <c r="F580" s="103">
        <v>0.2</v>
      </c>
      <c r="G580" s="103"/>
      <c r="H580" s="103"/>
      <c r="I580" s="103"/>
      <c r="J580" s="103"/>
      <c r="K580" s="103"/>
      <c r="L580" s="103"/>
      <c r="M580" s="103"/>
      <c r="N580" s="103"/>
      <c r="O580" s="103"/>
      <c r="P580" s="103"/>
      <c r="Q580" s="103"/>
      <c r="R580" s="103"/>
      <c r="S580" s="103"/>
      <c r="T580" s="103"/>
      <c r="U580" s="103"/>
      <c r="V580" s="103"/>
      <c r="W580" s="103"/>
      <c r="X580" s="103"/>
      <c r="Y580" s="103"/>
      <c r="Z580" s="103"/>
      <c r="AA580" s="103"/>
      <c r="AB580" s="103"/>
      <c r="AC580" s="103"/>
      <c r="AD580" s="103"/>
      <c r="AE580" s="103"/>
      <c r="AF580" s="103"/>
      <c r="AG580" s="103"/>
      <c r="AH580" s="103"/>
      <c r="AI580" s="103"/>
      <c r="AJ580" s="103"/>
      <c r="AK580" s="103"/>
      <c r="AL580" s="103"/>
      <c r="AM580" s="103"/>
      <c r="AN580" s="103"/>
      <c r="AO580" s="103"/>
      <c r="AP580" s="103"/>
      <c r="AQ580" s="103"/>
      <c r="AR580" s="103"/>
      <c r="AS580" s="103"/>
      <c r="AT580" s="34" t="s">
        <v>222</v>
      </c>
      <c r="AU580" s="34" t="s">
        <v>425</v>
      </c>
      <c r="AV580" s="34"/>
      <c r="AW580" s="140"/>
      <c r="AX580" s="63"/>
      <c r="AY580" s="34" t="s">
        <v>1923</v>
      </c>
      <c r="AZ580" s="39" t="s">
        <v>1924</v>
      </c>
      <c r="BA580" s="218" t="s">
        <v>2441</v>
      </c>
      <c r="BB580" s="41"/>
    </row>
    <row r="581" spans="1:58" ht="15.75" hidden="1" customHeight="1">
      <c r="A581" s="138"/>
      <c r="B581" s="60" t="s">
        <v>2442</v>
      </c>
      <c r="C581" s="78"/>
      <c r="D581" s="194"/>
      <c r="E581" s="194"/>
      <c r="F581" s="103">
        <v>0.2</v>
      </c>
      <c r="G581" s="103"/>
      <c r="H581" s="103"/>
      <c r="I581" s="103"/>
      <c r="J581" s="103"/>
      <c r="K581" s="103"/>
      <c r="L581" s="103"/>
      <c r="M581" s="103"/>
      <c r="N581" s="103"/>
      <c r="O581" s="103"/>
      <c r="P581" s="103"/>
      <c r="Q581" s="103"/>
      <c r="R581" s="103"/>
      <c r="S581" s="103"/>
      <c r="T581" s="103"/>
      <c r="U581" s="103"/>
      <c r="V581" s="103"/>
      <c r="W581" s="103"/>
      <c r="X581" s="103"/>
      <c r="Y581" s="103"/>
      <c r="Z581" s="103"/>
      <c r="AA581" s="103"/>
      <c r="AB581" s="103"/>
      <c r="AC581" s="103"/>
      <c r="AD581" s="103"/>
      <c r="AE581" s="103"/>
      <c r="AF581" s="103"/>
      <c r="AG581" s="103"/>
      <c r="AH581" s="103"/>
      <c r="AI581" s="103"/>
      <c r="AJ581" s="103"/>
      <c r="AK581" s="103"/>
      <c r="AL581" s="103"/>
      <c r="AM581" s="103"/>
      <c r="AN581" s="103"/>
      <c r="AO581" s="103"/>
      <c r="AP581" s="103"/>
      <c r="AQ581" s="103"/>
      <c r="AR581" s="103"/>
      <c r="AS581" s="103"/>
      <c r="AT581" s="34" t="s">
        <v>222</v>
      </c>
      <c r="AU581" s="34" t="s">
        <v>417</v>
      </c>
      <c r="AV581" s="34"/>
      <c r="AW581" s="140"/>
      <c r="AX581" s="63"/>
      <c r="AY581" s="34" t="s">
        <v>1923</v>
      </c>
      <c r="AZ581" s="39" t="s">
        <v>1924</v>
      </c>
      <c r="BA581" s="218" t="s">
        <v>2443</v>
      </c>
      <c r="BB581" s="41"/>
    </row>
    <row r="582" spans="1:58" ht="15.75" hidden="1" customHeight="1">
      <c r="A582" s="138"/>
      <c r="B582" s="60" t="s">
        <v>2444</v>
      </c>
      <c r="C582" s="78"/>
      <c r="D582" s="194"/>
      <c r="E582" s="194"/>
      <c r="F582" s="103">
        <v>0.1</v>
      </c>
      <c r="G582" s="103"/>
      <c r="H582" s="103"/>
      <c r="I582" s="103"/>
      <c r="J582" s="103"/>
      <c r="K582" s="103"/>
      <c r="L582" s="103"/>
      <c r="M582" s="103"/>
      <c r="N582" s="103"/>
      <c r="O582" s="103"/>
      <c r="P582" s="103"/>
      <c r="Q582" s="103"/>
      <c r="R582" s="103"/>
      <c r="S582" s="103"/>
      <c r="T582" s="103"/>
      <c r="U582" s="103"/>
      <c r="V582" s="103"/>
      <c r="W582" s="103"/>
      <c r="X582" s="103"/>
      <c r="Y582" s="103"/>
      <c r="Z582" s="103"/>
      <c r="AA582" s="103"/>
      <c r="AB582" s="103"/>
      <c r="AC582" s="103"/>
      <c r="AD582" s="103"/>
      <c r="AE582" s="103"/>
      <c r="AF582" s="103"/>
      <c r="AG582" s="103"/>
      <c r="AH582" s="103"/>
      <c r="AI582" s="103"/>
      <c r="AJ582" s="103"/>
      <c r="AK582" s="103"/>
      <c r="AL582" s="103"/>
      <c r="AM582" s="103"/>
      <c r="AN582" s="103"/>
      <c r="AO582" s="103"/>
      <c r="AP582" s="103"/>
      <c r="AQ582" s="103"/>
      <c r="AR582" s="103"/>
      <c r="AS582" s="103"/>
      <c r="AT582" s="34" t="s">
        <v>222</v>
      </c>
      <c r="AU582" s="34" t="s">
        <v>451</v>
      </c>
      <c r="AV582" s="34"/>
      <c r="AW582" s="140"/>
      <c r="AX582" s="63"/>
      <c r="AY582" s="34" t="s">
        <v>1923</v>
      </c>
      <c r="AZ582" s="39" t="s">
        <v>1924</v>
      </c>
      <c r="BA582" s="218" t="s">
        <v>326</v>
      </c>
      <c r="BB582" s="41"/>
    </row>
    <row r="583" spans="1:58" ht="31.5" hidden="1" customHeight="1">
      <c r="A583" s="138"/>
      <c r="B583" s="60" t="s">
        <v>2445</v>
      </c>
      <c r="C583" s="78"/>
      <c r="D583" s="194"/>
      <c r="E583" s="194"/>
      <c r="F583" s="103">
        <v>0.15</v>
      </c>
      <c r="G583" s="103"/>
      <c r="H583" s="103"/>
      <c r="I583" s="103"/>
      <c r="J583" s="103"/>
      <c r="K583" s="103"/>
      <c r="L583" s="103"/>
      <c r="M583" s="103"/>
      <c r="N583" s="103"/>
      <c r="O583" s="103"/>
      <c r="P583" s="103"/>
      <c r="Q583" s="103"/>
      <c r="R583" s="103"/>
      <c r="S583" s="103"/>
      <c r="T583" s="103"/>
      <c r="U583" s="103"/>
      <c r="V583" s="103"/>
      <c r="W583" s="103"/>
      <c r="X583" s="103"/>
      <c r="Y583" s="103"/>
      <c r="Z583" s="103"/>
      <c r="AA583" s="103"/>
      <c r="AB583" s="103"/>
      <c r="AC583" s="103"/>
      <c r="AD583" s="103"/>
      <c r="AE583" s="103"/>
      <c r="AF583" s="103"/>
      <c r="AG583" s="103"/>
      <c r="AH583" s="103"/>
      <c r="AI583" s="103"/>
      <c r="AJ583" s="103"/>
      <c r="AK583" s="103"/>
      <c r="AL583" s="103"/>
      <c r="AM583" s="103"/>
      <c r="AN583" s="103"/>
      <c r="AO583" s="103"/>
      <c r="AP583" s="103"/>
      <c r="AQ583" s="103"/>
      <c r="AR583" s="103"/>
      <c r="AS583" s="103"/>
      <c r="AT583" s="34" t="s">
        <v>222</v>
      </c>
      <c r="AU583" s="34" t="s">
        <v>328</v>
      </c>
      <c r="AV583" s="34"/>
      <c r="AW583" s="140"/>
      <c r="AX583" s="63"/>
      <c r="AY583" s="34" t="s">
        <v>1923</v>
      </c>
      <c r="AZ583" s="39" t="s">
        <v>1924</v>
      </c>
      <c r="BA583" s="218" t="s">
        <v>2446</v>
      </c>
      <c r="BB583" s="41"/>
    </row>
    <row r="584" spans="1:58" ht="15.75" hidden="1" customHeight="1">
      <c r="A584" s="138"/>
      <c r="B584" s="60" t="s">
        <v>2447</v>
      </c>
      <c r="C584" s="78"/>
      <c r="D584" s="194"/>
      <c r="E584" s="194"/>
      <c r="F584" s="103">
        <v>0.2</v>
      </c>
      <c r="G584" s="103"/>
      <c r="H584" s="103"/>
      <c r="I584" s="103"/>
      <c r="J584" s="103"/>
      <c r="K584" s="103"/>
      <c r="L584" s="103"/>
      <c r="M584" s="103"/>
      <c r="N584" s="103"/>
      <c r="O584" s="103"/>
      <c r="P584" s="103"/>
      <c r="Q584" s="103"/>
      <c r="R584" s="103"/>
      <c r="S584" s="103"/>
      <c r="T584" s="103"/>
      <c r="U584" s="103"/>
      <c r="V584" s="103"/>
      <c r="W584" s="103"/>
      <c r="X584" s="103"/>
      <c r="Y584" s="103"/>
      <c r="Z584" s="103"/>
      <c r="AA584" s="103"/>
      <c r="AB584" s="103"/>
      <c r="AC584" s="103"/>
      <c r="AD584" s="103"/>
      <c r="AE584" s="103"/>
      <c r="AF584" s="103"/>
      <c r="AG584" s="103"/>
      <c r="AH584" s="103"/>
      <c r="AI584" s="103"/>
      <c r="AJ584" s="103"/>
      <c r="AK584" s="103"/>
      <c r="AL584" s="103"/>
      <c r="AM584" s="103"/>
      <c r="AN584" s="103"/>
      <c r="AO584" s="103"/>
      <c r="AP584" s="103"/>
      <c r="AQ584" s="103"/>
      <c r="AR584" s="103"/>
      <c r="AS584" s="103"/>
      <c r="AT584" s="34" t="s">
        <v>222</v>
      </c>
      <c r="AU584" s="34" t="s">
        <v>305</v>
      </c>
      <c r="AV584" s="34"/>
      <c r="AW584" s="140"/>
      <c r="AX584" s="63"/>
      <c r="AY584" s="34" t="s">
        <v>1923</v>
      </c>
      <c r="AZ584" s="39" t="s">
        <v>1924</v>
      </c>
      <c r="BA584" s="218" t="s">
        <v>2448</v>
      </c>
      <c r="BB584" s="41"/>
    </row>
    <row r="585" spans="1:58" ht="15.75" hidden="1" customHeight="1">
      <c r="A585" s="138"/>
      <c r="B585" s="60" t="s">
        <v>2449</v>
      </c>
      <c r="C585" s="78"/>
      <c r="D585" s="194"/>
      <c r="E585" s="194"/>
      <c r="F585" s="103">
        <v>0.1</v>
      </c>
      <c r="G585" s="103"/>
      <c r="H585" s="103"/>
      <c r="I585" s="103"/>
      <c r="J585" s="103"/>
      <c r="K585" s="103"/>
      <c r="L585" s="103"/>
      <c r="M585" s="103"/>
      <c r="N585" s="103"/>
      <c r="O585" s="103"/>
      <c r="P585" s="103"/>
      <c r="Q585" s="103"/>
      <c r="R585" s="103"/>
      <c r="S585" s="103"/>
      <c r="T585" s="103"/>
      <c r="U585" s="103"/>
      <c r="V585" s="103"/>
      <c r="W585" s="103"/>
      <c r="X585" s="103"/>
      <c r="Y585" s="103"/>
      <c r="Z585" s="103"/>
      <c r="AA585" s="103"/>
      <c r="AB585" s="103"/>
      <c r="AC585" s="103"/>
      <c r="AD585" s="103"/>
      <c r="AE585" s="103"/>
      <c r="AF585" s="103"/>
      <c r="AG585" s="103"/>
      <c r="AH585" s="103"/>
      <c r="AI585" s="103"/>
      <c r="AJ585" s="103"/>
      <c r="AK585" s="103"/>
      <c r="AL585" s="103"/>
      <c r="AM585" s="103"/>
      <c r="AN585" s="103"/>
      <c r="AO585" s="103"/>
      <c r="AP585" s="103"/>
      <c r="AQ585" s="103"/>
      <c r="AR585" s="103"/>
      <c r="AS585" s="103"/>
      <c r="AT585" s="34" t="s">
        <v>222</v>
      </c>
      <c r="AU585" s="34" t="s">
        <v>308</v>
      </c>
      <c r="AV585" s="34"/>
      <c r="AW585" s="140"/>
      <c r="AX585" s="63"/>
      <c r="AY585" s="34" t="s">
        <v>1923</v>
      </c>
      <c r="AZ585" s="39" t="s">
        <v>1924</v>
      </c>
      <c r="BA585" s="218" t="s">
        <v>2450</v>
      </c>
      <c r="BB585" s="41"/>
    </row>
    <row r="586" spans="1:58" ht="15.75" hidden="1" customHeight="1">
      <c r="A586" s="138"/>
      <c r="B586" s="60" t="s">
        <v>2451</v>
      </c>
      <c r="C586" s="78"/>
      <c r="D586" s="194"/>
      <c r="E586" s="194"/>
      <c r="F586" s="103">
        <v>0.9</v>
      </c>
      <c r="G586" s="103"/>
      <c r="H586" s="103"/>
      <c r="I586" s="103"/>
      <c r="J586" s="103"/>
      <c r="K586" s="103"/>
      <c r="L586" s="103"/>
      <c r="M586" s="103"/>
      <c r="N586" s="103"/>
      <c r="O586" s="103"/>
      <c r="P586" s="103"/>
      <c r="Q586" s="103"/>
      <c r="R586" s="103"/>
      <c r="S586" s="103"/>
      <c r="T586" s="103"/>
      <c r="U586" s="103"/>
      <c r="V586" s="103"/>
      <c r="W586" s="103"/>
      <c r="X586" s="103"/>
      <c r="Y586" s="103"/>
      <c r="Z586" s="103"/>
      <c r="AA586" s="103"/>
      <c r="AB586" s="103"/>
      <c r="AC586" s="103"/>
      <c r="AD586" s="103"/>
      <c r="AE586" s="103"/>
      <c r="AF586" s="103"/>
      <c r="AG586" s="103"/>
      <c r="AH586" s="103"/>
      <c r="AI586" s="103"/>
      <c r="AJ586" s="103"/>
      <c r="AK586" s="103"/>
      <c r="AL586" s="103"/>
      <c r="AM586" s="103"/>
      <c r="AN586" s="103"/>
      <c r="AO586" s="103"/>
      <c r="AP586" s="103"/>
      <c r="AQ586" s="103"/>
      <c r="AR586" s="103"/>
      <c r="AS586" s="103"/>
      <c r="AT586" s="34" t="s">
        <v>222</v>
      </c>
      <c r="AU586" s="34" t="s">
        <v>410</v>
      </c>
      <c r="AV586" s="34"/>
      <c r="AW586" s="140"/>
      <c r="AX586" s="63"/>
      <c r="AY586" s="34" t="s">
        <v>1923</v>
      </c>
      <c r="AZ586" s="39" t="s">
        <v>1924</v>
      </c>
      <c r="BA586" s="218" t="s">
        <v>2452</v>
      </c>
      <c r="BB586" s="41"/>
    </row>
    <row r="587" spans="1:58" s="61" customFormat="1" ht="31.5" hidden="1" customHeight="1">
      <c r="A587" s="220" t="s">
        <v>193</v>
      </c>
      <c r="B587" s="60" t="s">
        <v>2453</v>
      </c>
      <c r="C587" s="78" t="s">
        <v>40</v>
      </c>
      <c r="D587" s="194">
        <v>2.5499999999999998</v>
      </c>
      <c r="E587" s="194"/>
      <c r="F587" s="103">
        <v>2.5499999999999998</v>
      </c>
      <c r="G587" s="103"/>
      <c r="H587" s="103"/>
      <c r="I587" s="103"/>
      <c r="J587" s="103">
        <v>1.9</v>
      </c>
      <c r="K587" s="103"/>
      <c r="L587" s="103"/>
      <c r="M587" s="103">
        <v>0.65</v>
      </c>
      <c r="N587" s="103"/>
      <c r="O587" s="103"/>
      <c r="P587" s="103"/>
      <c r="Q587" s="103"/>
      <c r="R587" s="103"/>
      <c r="S587" s="103"/>
      <c r="T587" s="103"/>
      <c r="U587" s="103"/>
      <c r="V587" s="103"/>
      <c r="W587" s="103"/>
      <c r="X587" s="103"/>
      <c r="Y587" s="103"/>
      <c r="Z587" s="103"/>
      <c r="AA587" s="103"/>
      <c r="AB587" s="103"/>
      <c r="AC587" s="103"/>
      <c r="AD587" s="103"/>
      <c r="AE587" s="103"/>
      <c r="AF587" s="103"/>
      <c r="AG587" s="103"/>
      <c r="AH587" s="103"/>
      <c r="AI587" s="103"/>
      <c r="AJ587" s="103"/>
      <c r="AK587" s="103"/>
      <c r="AL587" s="103"/>
      <c r="AM587" s="103"/>
      <c r="AN587" s="103"/>
      <c r="AO587" s="103"/>
      <c r="AP587" s="103"/>
      <c r="AQ587" s="103"/>
      <c r="AR587" s="103"/>
      <c r="AS587" s="103"/>
      <c r="AT587" s="34" t="s">
        <v>223</v>
      </c>
      <c r="AU587" s="34"/>
      <c r="AV587" s="34"/>
      <c r="AW587" s="140"/>
      <c r="AX587" s="63"/>
      <c r="AY587" s="140" t="s">
        <v>1923</v>
      </c>
      <c r="AZ587" s="63" t="s">
        <v>2454</v>
      </c>
      <c r="BA587" s="65"/>
      <c r="BB587" s="202"/>
      <c r="BF587" s="15"/>
    </row>
    <row r="588" spans="1:58" s="61" customFormat="1" ht="15.75" hidden="1" customHeight="1">
      <c r="A588" s="220" t="s">
        <v>193</v>
      </c>
      <c r="B588" s="60" t="s">
        <v>2455</v>
      </c>
      <c r="C588" s="78" t="s">
        <v>40</v>
      </c>
      <c r="D588" s="103">
        <v>1.4</v>
      </c>
      <c r="E588" s="194"/>
      <c r="F588" s="103">
        <v>1.4</v>
      </c>
      <c r="G588" s="103"/>
      <c r="H588" s="103"/>
      <c r="I588" s="103"/>
      <c r="J588" s="103"/>
      <c r="K588" s="103"/>
      <c r="L588" s="103"/>
      <c r="M588" s="103">
        <v>1.4</v>
      </c>
      <c r="N588" s="103"/>
      <c r="O588" s="103"/>
      <c r="P588" s="103"/>
      <c r="Q588" s="103"/>
      <c r="R588" s="103"/>
      <c r="S588" s="103"/>
      <c r="T588" s="103"/>
      <c r="U588" s="103"/>
      <c r="V588" s="103"/>
      <c r="W588" s="103"/>
      <c r="X588" s="103"/>
      <c r="Y588" s="103"/>
      <c r="Z588" s="103"/>
      <c r="AA588" s="103"/>
      <c r="AB588" s="103"/>
      <c r="AC588" s="103"/>
      <c r="AD588" s="103"/>
      <c r="AE588" s="103"/>
      <c r="AF588" s="103"/>
      <c r="AG588" s="103"/>
      <c r="AH588" s="103"/>
      <c r="AI588" s="103"/>
      <c r="AJ588" s="103"/>
      <c r="AK588" s="103"/>
      <c r="AL588" s="103"/>
      <c r="AM588" s="103"/>
      <c r="AN588" s="103"/>
      <c r="AO588" s="103"/>
      <c r="AP588" s="103"/>
      <c r="AQ588" s="103"/>
      <c r="AR588" s="103"/>
      <c r="AS588" s="103"/>
      <c r="AT588" s="34" t="s">
        <v>223</v>
      </c>
      <c r="AU588" s="34"/>
      <c r="AV588" s="34"/>
      <c r="AW588" s="140"/>
      <c r="AX588" s="63"/>
      <c r="AY588" s="140" t="s">
        <v>1923</v>
      </c>
      <c r="AZ588" s="63" t="s">
        <v>1924</v>
      </c>
      <c r="BA588" s="65"/>
      <c r="BB588" s="202"/>
      <c r="BF588" s="15"/>
    </row>
    <row r="589" spans="1:58" ht="15.75" hidden="1" customHeight="1">
      <c r="A589" s="240" t="s">
        <v>193</v>
      </c>
      <c r="B589" s="60" t="s">
        <v>2456</v>
      </c>
      <c r="C589" s="78" t="s">
        <v>40</v>
      </c>
      <c r="D589" s="231">
        <v>2.1</v>
      </c>
      <c r="E589" s="194"/>
      <c r="F589" s="231">
        <v>2.1</v>
      </c>
      <c r="G589" s="103"/>
      <c r="H589" s="103"/>
      <c r="I589" s="103"/>
      <c r="J589" s="103"/>
      <c r="K589" s="103"/>
      <c r="L589" s="103"/>
      <c r="M589" s="103"/>
      <c r="N589" s="103"/>
      <c r="O589" s="103"/>
      <c r="P589" s="103"/>
      <c r="Q589" s="103"/>
      <c r="R589" s="103"/>
      <c r="S589" s="103"/>
      <c r="T589" s="103"/>
      <c r="U589" s="103"/>
      <c r="V589" s="103"/>
      <c r="W589" s="103"/>
      <c r="X589" s="103"/>
      <c r="Y589" s="103"/>
      <c r="Z589" s="103"/>
      <c r="AA589" s="103"/>
      <c r="AB589" s="103"/>
      <c r="AC589" s="103"/>
      <c r="AD589" s="103"/>
      <c r="AE589" s="103"/>
      <c r="AF589" s="103"/>
      <c r="AG589" s="103"/>
      <c r="AH589" s="103"/>
      <c r="AI589" s="103"/>
      <c r="AJ589" s="103"/>
      <c r="AK589" s="103"/>
      <c r="AL589" s="103"/>
      <c r="AM589" s="103"/>
      <c r="AN589" s="103"/>
      <c r="AO589" s="103"/>
      <c r="AP589" s="103"/>
      <c r="AQ589" s="103"/>
      <c r="AR589" s="103"/>
      <c r="AS589" s="103"/>
      <c r="AT589" s="34" t="s">
        <v>224</v>
      </c>
      <c r="AU589" s="34" t="s">
        <v>308</v>
      </c>
      <c r="AV589" s="34"/>
      <c r="AW589" s="140"/>
      <c r="AX589" s="63"/>
      <c r="AY589" s="34" t="s">
        <v>1923</v>
      </c>
      <c r="AZ589" s="39" t="s">
        <v>1924</v>
      </c>
      <c r="BB589" s="41"/>
    </row>
    <row r="590" spans="1:58" s="24" customFormat="1" ht="15.75" hidden="1" customHeight="1">
      <c r="A590" s="220"/>
      <c r="B590" s="56" t="s">
        <v>2457</v>
      </c>
      <c r="C590" s="26"/>
      <c r="D590" s="192"/>
      <c r="E590" s="192"/>
      <c r="F590" s="235">
        <v>0.35</v>
      </c>
      <c r="G590" s="192"/>
      <c r="H590" s="192"/>
      <c r="I590" s="192"/>
      <c r="J590" s="192"/>
      <c r="K590" s="192"/>
      <c r="L590" s="192"/>
      <c r="M590" s="192"/>
      <c r="N590" s="192"/>
      <c r="O590" s="192"/>
      <c r="P590" s="192"/>
      <c r="Q590" s="192"/>
      <c r="R590" s="192"/>
      <c r="S590" s="192"/>
      <c r="T590" s="192"/>
      <c r="U590" s="192"/>
      <c r="V590" s="192"/>
      <c r="W590" s="192"/>
      <c r="X590" s="192"/>
      <c r="Y590" s="192"/>
      <c r="Z590" s="192"/>
      <c r="AA590" s="192"/>
      <c r="AB590" s="192"/>
      <c r="AC590" s="192"/>
      <c r="AD590" s="192"/>
      <c r="AE590" s="192"/>
      <c r="AF590" s="192"/>
      <c r="AG590" s="192"/>
      <c r="AH590" s="192"/>
      <c r="AI590" s="192"/>
      <c r="AJ590" s="192"/>
      <c r="AK590" s="192"/>
      <c r="AL590" s="192"/>
      <c r="AM590" s="192"/>
      <c r="AN590" s="192"/>
      <c r="AO590" s="192"/>
      <c r="AP590" s="192"/>
      <c r="AQ590" s="192"/>
      <c r="AR590" s="192"/>
      <c r="AS590" s="192"/>
      <c r="AT590" s="34" t="s">
        <v>225</v>
      </c>
      <c r="AU590" s="34" t="s">
        <v>981</v>
      </c>
      <c r="AV590" s="29"/>
      <c r="AW590" s="225"/>
      <c r="AX590" s="30"/>
      <c r="AY590" s="38" t="s">
        <v>1923</v>
      </c>
      <c r="AZ590" s="63" t="s">
        <v>1924</v>
      </c>
      <c r="BB590" s="59"/>
      <c r="BF590" s="15"/>
    </row>
    <row r="591" spans="1:58" ht="31.5" hidden="1" customHeight="1">
      <c r="A591" s="138"/>
      <c r="B591" s="56" t="s">
        <v>2458</v>
      </c>
      <c r="C591" s="78"/>
      <c r="D591" s="194"/>
      <c r="E591" s="194"/>
      <c r="F591" s="103">
        <v>0.2</v>
      </c>
      <c r="G591" s="103"/>
      <c r="H591" s="103"/>
      <c r="I591" s="103"/>
      <c r="J591" s="103"/>
      <c r="K591" s="103"/>
      <c r="L591" s="103"/>
      <c r="M591" s="103"/>
      <c r="N591" s="103"/>
      <c r="O591" s="103"/>
      <c r="P591" s="103"/>
      <c r="Q591" s="103"/>
      <c r="R591" s="103"/>
      <c r="S591" s="103"/>
      <c r="T591" s="103"/>
      <c r="U591" s="103"/>
      <c r="V591" s="103"/>
      <c r="W591" s="103"/>
      <c r="X591" s="103"/>
      <c r="Y591" s="103"/>
      <c r="Z591" s="103"/>
      <c r="AA591" s="103"/>
      <c r="AB591" s="103"/>
      <c r="AC591" s="103"/>
      <c r="AD591" s="103"/>
      <c r="AE591" s="103"/>
      <c r="AF591" s="103"/>
      <c r="AG591" s="103"/>
      <c r="AH591" s="103"/>
      <c r="AI591" s="103"/>
      <c r="AJ591" s="103"/>
      <c r="AK591" s="103"/>
      <c r="AL591" s="103"/>
      <c r="AM591" s="103"/>
      <c r="AN591" s="103"/>
      <c r="AO591" s="103"/>
      <c r="AP591" s="103"/>
      <c r="AQ591" s="103"/>
      <c r="AR591" s="103"/>
      <c r="AS591" s="103"/>
      <c r="AT591" s="34" t="s">
        <v>2403</v>
      </c>
      <c r="AU591" s="34" t="s">
        <v>392</v>
      </c>
      <c r="AV591" s="34"/>
      <c r="AW591" s="140"/>
      <c r="AX591" s="63"/>
      <c r="AY591" s="140" t="s">
        <v>1923</v>
      </c>
      <c r="AZ591" s="63" t="s">
        <v>1924</v>
      </c>
      <c r="BA591" s="64"/>
      <c r="BB591" s="15" t="s">
        <v>188</v>
      </c>
      <c r="BC591" s="41"/>
    </row>
    <row r="592" spans="1:58" ht="15.75" hidden="1" customHeight="1">
      <c r="A592" s="138"/>
      <c r="B592" s="56" t="s">
        <v>2459</v>
      </c>
      <c r="C592" s="78"/>
      <c r="D592" s="194"/>
      <c r="E592" s="194"/>
      <c r="F592" s="103">
        <v>1</v>
      </c>
      <c r="G592" s="103"/>
      <c r="H592" s="103"/>
      <c r="I592" s="103"/>
      <c r="J592" s="103"/>
      <c r="K592" s="103"/>
      <c r="L592" s="103"/>
      <c r="M592" s="103"/>
      <c r="N592" s="103"/>
      <c r="O592" s="103"/>
      <c r="P592" s="103"/>
      <c r="Q592" s="103"/>
      <c r="R592" s="103"/>
      <c r="S592" s="103"/>
      <c r="T592" s="103"/>
      <c r="U592" s="103"/>
      <c r="V592" s="103"/>
      <c r="W592" s="103"/>
      <c r="X592" s="103"/>
      <c r="Y592" s="103"/>
      <c r="Z592" s="103"/>
      <c r="AA592" s="103"/>
      <c r="AB592" s="103"/>
      <c r="AC592" s="103"/>
      <c r="AD592" s="103"/>
      <c r="AE592" s="103"/>
      <c r="AF592" s="103"/>
      <c r="AG592" s="103"/>
      <c r="AH592" s="103"/>
      <c r="AI592" s="103"/>
      <c r="AJ592" s="103"/>
      <c r="AK592" s="103"/>
      <c r="AL592" s="103"/>
      <c r="AM592" s="103"/>
      <c r="AN592" s="103"/>
      <c r="AO592" s="103"/>
      <c r="AP592" s="103"/>
      <c r="AQ592" s="103"/>
      <c r="AR592" s="103"/>
      <c r="AS592" s="103"/>
      <c r="AT592" s="34" t="s">
        <v>2403</v>
      </c>
      <c r="AU592" s="34" t="s">
        <v>2460</v>
      </c>
      <c r="AV592" s="34"/>
      <c r="AW592" s="140"/>
      <c r="AX592" s="63"/>
      <c r="AY592" s="140" t="s">
        <v>1923</v>
      </c>
      <c r="AZ592" s="63" t="s">
        <v>1924</v>
      </c>
      <c r="BA592" s="64"/>
      <c r="BB592" s="15" t="s">
        <v>7</v>
      </c>
      <c r="BC592" s="41"/>
    </row>
    <row r="593" spans="1:55" ht="15.75" hidden="1" customHeight="1">
      <c r="A593" s="138"/>
      <c r="B593" s="56" t="s">
        <v>2461</v>
      </c>
      <c r="C593" s="78"/>
      <c r="D593" s="194"/>
      <c r="E593" s="194"/>
      <c r="F593" s="103">
        <v>0.3</v>
      </c>
      <c r="G593" s="103"/>
      <c r="H593" s="103"/>
      <c r="I593" s="103"/>
      <c r="J593" s="103"/>
      <c r="K593" s="103"/>
      <c r="L593" s="103"/>
      <c r="M593" s="103"/>
      <c r="N593" s="103"/>
      <c r="O593" s="103"/>
      <c r="P593" s="103"/>
      <c r="Q593" s="103"/>
      <c r="R593" s="103"/>
      <c r="S593" s="103"/>
      <c r="T593" s="103"/>
      <c r="U593" s="103"/>
      <c r="V593" s="103"/>
      <c r="W593" s="103"/>
      <c r="X593" s="103"/>
      <c r="Y593" s="103"/>
      <c r="Z593" s="103"/>
      <c r="AA593" s="103"/>
      <c r="AB593" s="103"/>
      <c r="AC593" s="103"/>
      <c r="AD593" s="103"/>
      <c r="AE593" s="103"/>
      <c r="AF593" s="103"/>
      <c r="AG593" s="103"/>
      <c r="AH593" s="103"/>
      <c r="AI593" s="103"/>
      <c r="AJ593" s="103"/>
      <c r="AK593" s="103"/>
      <c r="AL593" s="103"/>
      <c r="AM593" s="103"/>
      <c r="AN593" s="103"/>
      <c r="AO593" s="103"/>
      <c r="AP593" s="103"/>
      <c r="AQ593" s="103"/>
      <c r="AR593" s="103"/>
      <c r="AS593" s="103"/>
      <c r="AT593" s="34" t="s">
        <v>2403</v>
      </c>
      <c r="AU593" s="34" t="s">
        <v>988</v>
      </c>
      <c r="AV593" s="34"/>
      <c r="AW593" s="140"/>
      <c r="AX593" s="63"/>
      <c r="AY593" s="140" t="s">
        <v>1923</v>
      </c>
      <c r="AZ593" s="63" t="s">
        <v>1924</v>
      </c>
      <c r="BA593" s="64"/>
      <c r="BB593" s="15" t="s">
        <v>12</v>
      </c>
      <c r="BC593" s="41"/>
    </row>
    <row r="594" spans="1:55" ht="15.75" hidden="1" customHeight="1">
      <c r="A594" s="138"/>
      <c r="B594" s="56" t="s">
        <v>2462</v>
      </c>
      <c r="C594" s="78"/>
      <c r="D594" s="194"/>
      <c r="E594" s="194"/>
      <c r="F594" s="103">
        <v>1</v>
      </c>
      <c r="G594" s="103"/>
      <c r="H594" s="103"/>
      <c r="I594" s="103"/>
      <c r="J594" s="103"/>
      <c r="K594" s="103"/>
      <c r="L594" s="103"/>
      <c r="M594" s="103"/>
      <c r="N594" s="103"/>
      <c r="O594" s="103"/>
      <c r="P594" s="103"/>
      <c r="Q594" s="103"/>
      <c r="R594" s="103"/>
      <c r="S594" s="103"/>
      <c r="T594" s="103"/>
      <c r="U594" s="103"/>
      <c r="V594" s="103"/>
      <c r="W594" s="103"/>
      <c r="X594" s="103"/>
      <c r="Y594" s="103"/>
      <c r="Z594" s="103"/>
      <c r="AA594" s="103"/>
      <c r="AB594" s="103"/>
      <c r="AC594" s="103"/>
      <c r="AD594" s="103"/>
      <c r="AE594" s="103"/>
      <c r="AF594" s="103"/>
      <c r="AG594" s="103"/>
      <c r="AH594" s="103"/>
      <c r="AI594" s="103"/>
      <c r="AJ594" s="103"/>
      <c r="AK594" s="103"/>
      <c r="AL594" s="103"/>
      <c r="AM594" s="103"/>
      <c r="AN594" s="103"/>
      <c r="AO594" s="103"/>
      <c r="AP594" s="103"/>
      <c r="AQ594" s="103"/>
      <c r="AR594" s="103"/>
      <c r="AS594" s="103"/>
      <c r="AT594" s="34" t="s">
        <v>2403</v>
      </c>
      <c r="AU594" s="34" t="s">
        <v>295</v>
      </c>
      <c r="AV594" s="34"/>
      <c r="AW594" s="140"/>
      <c r="AX594" s="63"/>
      <c r="AY594" s="140" t="s">
        <v>1923</v>
      </c>
      <c r="AZ594" s="63" t="s">
        <v>2044</v>
      </c>
      <c r="BA594" s="64"/>
      <c r="BB594" s="15" t="s">
        <v>188</v>
      </c>
      <c r="BC594" s="41"/>
    </row>
    <row r="595" spans="1:55" ht="31.5" hidden="1" customHeight="1">
      <c r="A595" s="138"/>
      <c r="B595" s="56" t="s">
        <v>2463</v>
      </c>
      <c r="C595" s="78"/>
      <c r="D595" s="194"/>
      <c r="E595" s="194"/>
      <c r="F595" s="103">
        <v>0.6</v>
      </c>
      <c r="G595" s="103"/>
      <c r="H595" s="103"/>
      <c r="I595" s="103"/>
      <c r="J595" s="103"/>
      <c r="K595" s="103"/>
      <c r="L595" s="103"/>
      <c r="M595" s="103"/>
      <c r="N595" s="103"/>
      <c r="O595" s="103"/>
      <c r="P595" s="103"/>
      <c r="Q595" s="103"/>
      <c r="R595" s="103"/>
      <c r="S595" s="103"/>
      <c r="T595" s="103"/>
      <c r="U595" s="103"/>
      <c r="V595" s="103"/>
      <c r="W595" s="103"/>
      <c r="X595" s="103"/>
      <c r="Y595" s="103"/>
      <c r="Z595" s="103"/>
      <c r="AA595" s="103"/>
      <c r="AB595" s="103"/>
      <c r="AC595" s="103"/>
      <c r="AD595" s="103"/>
      <c r="AE595" s="103"/>
      <c r="AF595" s="103"/>
      <c r="AG595" s="103"/>
      <c r="AH595" s="103"/>
      <c r="AI595" s="103"/>
      <c r="AJ595" s="103"/>
      <c r="AK595" s="103"/>
      <c r="AL595" s="103"/>
      <c r="AM595" s="103"/>
      <c r="AN595" s="103"/>
      <c r="AO595" s="103"/>
      <c r="AP595" s="103"/>
      <c r="AQ595" s="103"/>
      <c r="AR595" s="103"/>
      <c r="AS595" s="103"/>
      <c r="AT595" s="34" t="s">
        <v>2403</v>
      </c>
      <c r="AU595" s="34" t="s">
        <v>988</v>
      </c>
      <c r="AV595" s="34"/>
      <c r="AW595" s="140"/>
      <c r="AX595" s="63"/>
      <c r="AY595" s="140" t="s">
        <v>1923</v>
      </c>
      <c r="AZ595" s="63" t="s">
        <v>2464</v>
      </c>
      <c r="BA595" s="64"/>
      <c r="BB595" s="15" t="s">
        <v>12</v>
      </c>
      <c r="BC595" s="41"/>
    </row>
    <row r="596" spans="1:55" ht="15.75" hidden="1" customHeight="1">
      <c r="A596" s="138"/>
      <c r="B596" s="60" t="s">
        <v>2465</v>
      </c>
      <c r="C596" s="78" t="s">
        <v>40</v>
      </c>
      <c r="D596" s="227">
        <v>2</v>
      </c>
      <c r="E596" s="227"/>
      <c r="F596" s="222">
        <v>0.2</v>
      </c>
      <c r="G596" s="103"/>
      <c r="H596" s="103"/>
      <c r="I596" s="103"/>
      <c r="J596" s="103"/>
      <c r="K596" s="103"/>
      <c r="L596" s="103"/>
      <c r="M596" s="103"/>
      <c r="N596" s="103"/>
      <c r="O596" s="103"/>
      <c r="P596" s="103"/>
      <c r="Q596" s="103"/>
      <c r="R596" s="103"/>
      <c r="S596" s="103"/>
      <c r="T596" s="103"/>
      <c r="U596" s="103"/>
      <c r="V596" s="103"/>
      <c r="W596" s="103"/>
      <c r="X596" s="103"/>
      <c r="Y596" s="103"/>
      <c r="Z596" s="103"/>
      <c r="AA596" s="103"/>
      <c r="AB596" s="103"/>
      <c r="AC596" s="103"/>
      <c r="AD596" s="103"/>
      <c r="AE596" s="103"/>
      <c r="AF596" s="103"/>
      <c r="AG596" s="103"/>
      <c r="AH596" s="103"/>
      <c r="AI596" s="103"/>
      <c r="AJ596" s="103"/>
      <c r="AK596" s="103"/>
      <c r="AL596" s="103"/>
      <c r="AM596" s="103"/>
      <c r="AN596" s="103"/>
      <c r="AO596" s="103"/>
      <c r="AP596" s="103"/>
      <c r="AQ596" s="103"/>
      <c r="AR596" s="103"/>
      <c r="AS596" s="103"/>
      <c r="AT596" s="34" t="s">
        <v>229</v>
      </c>
      <c r="AU596" s="34"/>
      <c r="AV596" s="34"/>
      <c r="AW596" s="140"/>
      <c r="AX596" s="63"/>
      <c r="AY596" s="34" t="s">
        <v>1923</v>
      </c>
      <c r="AZ596" s="39" t="s">
        <v>1926</v>
      </c>
      <c r="BB596" s="41"/>
    </row>
    <row r="597" spans="1:55" ht="15.75" hidden="1" customHeight="1">
      <c r="A597" s="138"/>
      <c r="B597" s="223" t="s">
        <v>2466</v>
      </c>
      <c r="C597" s="78" t="s">
        <v>40</v>
      </c>
      <c r="D597" s="227">
        <v>0.4</v>
      </c>
      <c r="E597" s="227"/>
      <c r="F597" s="222">
        <v>0.4</v>
      </c>
      <c r="G597" s="103"/>
      <c r="H597" s="103"/>
      <c r="I597" s="103"/>
      <c r="J597" s="103"/>
      <c r="K597" s="103"/>
      <c r="L597" s="103"/>
      <c r="M597" s="103"/>
      <c r="N597" s="103"/>
      <c r="O597" s="103"/>
      <c r="P597" s="103"/>
      <c r="Q597" s="103"/>
      <c r="R597" s="103"/>
      <c r="S597" s="103"/>
      <c r="T597" s="103"/>
      <c r="U597" s="103"/>
      <c r="V597" s="103"/>
      <c r="W597" s="103"/>
      <c r="X597" s="103"/>
      <c r="Y597" s="103"/>
      <c r="Z597" s="103"/>
      <c r="AA597" s="103"/>
      <c r="AB597" s="103"/>
      <c r="AC597" s="103"/>
      <c r="AD597" s="103"/>
      <c r="AE597" s="103"/>
      <c r="AF597" s="103"/>
      <c r="AG597" s="103"/>
      <c r="AH597" s="103"/>
      <c r="AI597" s="103"/>
      <c r="AJ597" s="103"/>
      <c r="AK597" s="103"/>
      <c r="AL597" s="103"/>
      <c r="AM597" s="103"/>
      <c r="AN597" s="103"/>
      <c r="AO597" s="103"/>
      <c r="AP597" s="103"/>
      <c r="AQ597" s="103"/>
      <c r="AR597" s="103"/>
      <c r="AS597" s="103"/>
      <c r="AT597" s="34" t="s">
        <v>229</v>
      </c>
      <c r="AU597" s="34"/>
      <c r="AV597" s="34"/>
      <c r="AW597" s="140"/>
      <c r="AX597" s="63"/>
      <c r="AY597" s="34" t="s">
        <v>1923</v>
      </c>
      <c r="AZ597" s="39" t="s">
        <v>1926</v>
      </c>
      <c r="BB597" s="41"/>
    </row>
    <row r="598" spans="1:55" ht="15.75" hidden="1" customHeight="1">
      <c r="A598" s="138"/>
      <c r="B598" s="56" t="s">
        <v>2467</v>
      </c>
      <c r="C598" s="78"/>
      <c r="D598" s="194"/>
      <c r="E598" s="194"/>
      <c r="F598" s="103">
        <v>2</v>
      </c>
      <c r="G598" s="103"/>
      <c r="H598" s="103"/>
      <c r="I598" s="103"/>
      <c r="J598" s="103"/>
      <c r="K598" s="103"/>
      <c r="L598" s="103"/>
      <c r="M598" s="103"/>
      <c r="N598" s="103"/>
      <c r="O598" s="103"/>
      <c r="P598" s="103"/>
      <c r="Q598" s="103"/>
      <c r="R598" s="103"/>
      <c r="S598" s="103"/>
      <c r="T598" s="103"/>
      <c r="U598" s="103"/>
      <c r="V598" s="103"/>
      <c r="W598" s="103"/>
      <c r="X598" s="103"/>
      <c r="Y598" s="103"/>
      <c r="Z598" s="103"/>
      <c r="AA598" s="103"/>
      <c r="AB598" s="103"/>
      <c r="AC598" s="103"/>
      <c r="AD598" s="103"/>
      <c r="AE598" s="103"/>
      <c r="AF598" s="103"/>
      <c r="AG598" s="103"/>
      <c r="AH598" s="103"/>
      <c r="AI598" s="103"/>
      <c r="AJ598" s="103"/>
      <c r="AK598" s="103"/>
      <c r="AL598" s="103"/>
      <c r="AM598" s="103"/>
      <c r="AN598" s="103"/>
      <c r="AO598" s="103"/>
      <c r="AP598" s="103"/>
      <c r="AQ598" s="103"/>
      <c r="AR598" s="103"/>
      <c r="AS598" s="103"/>
      <c r="AT598" s="34" t="s">
        <v>230</v>
      </c>
      <c r="AU598" s="34"/>
      <c r="AV598" s="34"/>
      <c r="AW598" s="140"/>
      <c r="AX598" s="63"/>
      <c r="AY598" s="34" t="s">
        <v>1923</v>
      </c>
      <c r="AZ598" s="63" t="s">
        <v>1924</v>
      </c>
      <c r="BA598" s="15" t="s">
        <v>999</v>
      </c>
      <c r="BB598" s="41"/>
    </row>
    <row r="599" spans="1:55" ht="15.75" hidden="1" customHeight="1">
      <c r="A599" s="138"/>
      <c r="B599" s="56" t="s">
        <v>2468</v>
      </c>
      <c r="C599" s="78"/>
      <c r="D599" s="194"/>
      <c r="E599" s="194"/>
      <c r="F599" s="103">
        <v>2</v>
      </c>
      <c r="G599" s="103"/>
      <c r="H599" s="103"/>
      <c r="I599" s="103"/>
      <c r="J599" s="103"/>
      <c r="K599" s="103"/>
      <c r="L599" s="103"/>
      <c r="M599" s="103"/>
      <c r="N599" s="103"/>
      <c r="O599" s="103"/>
      <c r="P599" s="103"/>
      <c r="Q599" s="103"/>
      <c r="R599" s="103"/>
      <c r="S599" s="103"/>
      <c r="T599" s="103"/>
      <c r="U599" s="103"/>
      <c r="V599" s="103"/>
      <c r="W599" s="103"/>
      <c r="X599" s="103"/>
      <c r="Y599" s="103"/>
      <c r="Z599" s="103"/>
      <c r="AA599" s="103"/>
      <c r="AB599" s="103"/>
      <c r="AC599" s="103"/>
      <c r="AD599" s="103"/>
      <c r="AE599" s="103"/>
      <c r="AF599" s="103"/>
      <c r="AG599" s="103"/>
      <c r="AH599" s="103"/>
      <c r="AI599" s="103"/>
      <c r="AJ599" s="103"/>
      <c r="AK599" s="103"/>
      <c r="AL599" s="103"/>
      <c r="AM599" s="103"/>
      <c r="AN599" s="103"/>
      <c r="AO599" s="103"/>
      <c r="AP599" s="103"/>
      <c r="AQ599" s="103"/>
      <c r="AR599" s="103"/>
      <c r="AS599" s="103"/>
      <c r="AT599" s="34" t="s">
        <v>231</v>
      </c>
      <c r="AU599" s="34" t="s">
        <v>387</v>
      </c>
      <c r="AV599" s="34"/>
      <c r="AW599" s="140"/>
      <c r="AX599" s="63"/>
      <c r="AY599" s="140" t="s">
        <v>1923</v>
      </c>
      <c r="AZ599" s="39" t="s">
        <v>1924</v>
      </c>
      <c r="BB599" s="41"/>
    </row>
    <row r="600" spans="1:55" ht="15.75" hidden="1" customHeight="1">
      <c r="A600" s="138"/>
      <c r="B600" s="56" t="s">
        <v>2469</v>
      </c>
      <c r="C600" s="78"/>
      <c r="D600" s="194"/>
      <c r="E600" s="194"/>
      <c r="F600" s="103">
        <v>3.1</v>
      </c>
      <c r="G600" s="103"/>
      <c r="H600" s="103"/>
      <c r="I600" s="103"/>
      <c r="J600" s="103"/>
      <c r="K600" s="103"/>
      <c r="L600" s="103"/>
      <c r="M600" s="103"/>
      <c r="N600" s="103"/>
      <c r="O600" s="103"/>
      <c r="P600" s="103"/>
      <c r="Q600" s="103"/>
      <c r="R600" s="103"/>
      <c r="S600" s="103"/>
      <c r="T600" s="103"/>
      <c r="U600" s="103"/>
      <c r="V600" s="103"/>
      <c r="W600" s="103"/>
      <c r="X600" s="103"/>
      <c r="Y600" s="103"/>
      <c r="Z600" s="103"/>
      <c r="AA600" s="103"/>
      <c r="AB600" s="103"/>
      <c r="AC600" s="103"/>
      <c r="AD600" s="103"/>
      <c r="AE600" s="103"/>
      <c r="AF600" s="103"/>
      <c r="AG600" s="103"/>
      <c r="AH600" s="103"/>
      <c r="AI600" s="103"/>
      <c r="AJ600" s="103"/>
      <c r="AK600" s="103"/>
      <c r="AL600" s="103"/>
      <c r="AM600" s="103"/>
      <c r="AN600" s="103"/>
      <c r="AO600" s="103"/>
      <c r="AP600" s="103"/>
      <c r="AQ600" s="103"/>
      <c r="AR600" s="103"/>
      <c r="AS600" s="103"/>
      <c r="AT600" s="34" t="s">
        <v>232</v>
      </c>
      <c r="AU600" s="34" t="s">
        <v>387</v>
      </c>
      <c r="AV600" s="34"/>
      <c r="AW600" s="140"/>
      <c r="AX600" s="63"/>
      <c r="AY600" s="140" t="s">
        <v>1923</v>
      </c>
      <c r="AZ600" s="63" t="s">
        <v>1924</v>
      </c>
      <c r="BB600" s="41"/>
    </row>
    <row r="601" spans="1:55" ht="15.75" hidden="1" customHeight="1">
      <c r="A601" s="138"/>
      <c r="B601" s="56" t="s">
        <v>2470</v>
      </c>
      <c r="C601" s="78"/>
      <c r="D601" s="194"/>
      <c r="E601" s="194"/>
      <c r="F601" s="103">
        <v>1.78</v>
      </c>
      <c r="G601" s="103"/>
      <c r="H601" s="103"/>
      <c r="I601" s="103"/>
      <c r="J601" s="103"/>
      <c r="K601" s="103"/>
      <c r="L601" s="103"/>
      <c r="M601" s="103"/>
      <c r="N601" s="103"/>
      <c r="O601" s="103"/>
      <c r="P601" s="103"/>
      <c r="Q601" s="103"/>
      <c r="R601" s="103"/>
      <c r="S601" s="103"/>
      <c r="T601" s="103"/>
      <c r="U601" s="103"/>
      <c r="V601" s="103"/>
      <c r="W601" s="103"/>
      <c r="X601" s="103"/>
      <c r="Y601" s="103"/>
      <c r="Z601" s="103"/>
      <c r="AA601" s="103"/>
      <c r="AB601" s="103"/>
      <c r="AC601" s="103"/>
      <c r="AD601" s="103"/>
      <c r="AE601" s="103"/>
      <c r="AF601" s="103"/>
      <c r="AG601" s="103"/>
      <c r="AH601" s="103"/>
      <c r="AI601" s="103"/>
      <c r="AJ601" s="103"/>
      <c r="AK601" s="103"/>
      <c r="AL601" s="103"/>
      <c r="AM601" s="103"/>
      <c r="AN601" s="103"/>
      <c r="AO601" s="103"/>
      <c r="AP601" s="103"/>
      <c r="AQ601" s="103"/>
      <c r="AR601" s="103"/>
      <c r="AS601" s="103"/>
      <c r="AT601" s="34" t="s">
        <v>233</v>
      </c>
      <c r="AU601" s="34"/>
      <c r="AV601" s="34"/>
      <c r="AW601" s="140"/>
      <c r="AX601" s="63"/>
      <c r="AY601" s="34" t="s">
        <v>1923</v>
      </c>
      <c r="AZ601" s="39" t="s">
        <v>1926</v>
      </c>
      <c r="BB601" s="41"/>
    </row>
    <row r="602" spans="1:55" ht="15.75" hidden="1" customHeight="1">
      <c r="A602" s="138"/>
      <c r="B602" s="56" t="s">
        <v>2471</v>
      </c>
      <c r="C602" s="78"/>
      <c r="D602" s="194"/>
      <c r="E602" s="194"/>
      <c r="F602" s="103">
        <v>1.2</v>
      </c>
      <c r="G602" s="103"/>
      <c r="H602" s="103"/>
      <c r="I602" s="103"/>
      <c r="J602" s="103"/>
      <c r="K602" s="103"/>
      <c r="L602" s="103"/>
      <c r="M602" s="103"/>
      <c r="N602" s="103"/>
      <c r="O602" s="103"/>
      <c r="P602" s="103"/>
      <c r="Q602" s="103"/>
      <c r="R602" s="103"/>
      <c r="S602" s="103"/>
      <c r="T602" s="103"/>
      <c r="U602" s="103"/>
      <c r="V602" s="103"/>
      <c r="W602" s="103"/>
      <c r="X602" s="103"/>
      <c r="Y602" s="103"/>
      <c r="Z602" s="103"/>
      <c r="AA602" s="103"/>
      <c r="AB602" s="103"/>
      <c r="AC602" s="103"/>
      <c r="AD602" s="103"/>
      <c r="AE602" s="103"/>
      <c r="AF602" s="103"/>
      <c r="AG602" s="103"/>
      <c r="AH602" s="103"/>
      <c r="AI602" s="103"/>
      <c r="AJ602" s="103"/>
      <c r="AK602" s="103"/>
      <c r="AL602" s="103"/>
      <c r="AM602" s="103"/>
      <c r="AN602" s="103"/>
      <c r="AO602" s="103"/>
      <c r="AP602" s="103"/>
      <c r="AQ602" s="103"/>
      <c r="AR602" s="103"/>
      <c r="AS602" s="103"/>
      <c r="AT602" s="34" t="s">
        <v>233</v>
      </c>
      <c r="AU602" s="34"/>
      <c r="AV602" s="34"/>
      <c r="AW602" s="140"/>
      <c r="AX602" s="63"/>
      <c r="AY602" s="34" t="s">
        <v>1923</v>
      </c>
      <c r="AZ602" s="39" t="s">
        <v>1926</v>
      </c>
      <c r="BB602" s="41"/>
    </row>
    <row r="603" spans="1:55" ht="15.75" hidden="1" customHeight="1">
      <c r="A603" s="138"/>
      <c r="B603" s="56" t="s">
        <v>2472</v>
      </c>
      <c r="C603" s="78"/>
      <c r="D603" s="194"/>
      <c r="E603" s="194"/>
      <c r="F603" s="103">
        <v>1.5</v>
      </c>
      <c r="G603" s="103"/>
      <c r="H603" s="103"/>
      <c r="I603" s="103"/>
      <c r="J603" s="103"/>
      <c r="K603" s="103"/>
      <c r="L603" s="103"/>
      <c r="M603" s="103"/>
      <c r="N603" s="103"/>
      <c r="O603" s="103"/>
      <c r="P603" s="103"/>
      <c r="Q603" s="103"/>
      <c r="R603" s="103"/>
      <c r="S603" s="103"/>
      <c r="T603" s="103"/>
      <c r="U603" s="103"/>
      <c r="V603" s="103"/>
      <c r="W603" s="103"/>
      <c r="X603" s="103"/>
      <c r="Y603" s="103"/>
      <c r="Z603" s="103"/>
      <c r="AA603" s="103"/>
      <c r="AB603" s="103"/>
      <c r="AC603" s="103"/>
      <c r="AD603" s="103"/>
      <c r="AE603" s="103"/>
      <c r="AF603" s="103"/>
      <c r="AG603" s="103"/>
      <c r="AH603" s="103"/>
      <c r="AI603" s="103"/>
      <c r="AJ603" s="103"/>
      <c r="AK603" s="103"/>
      <c r="AL603" s="103"/>
      <c r="AM603" s="103"/>
      <c r="AN603" s="103"/>
      <c r="AO603" s="103"/>
      <c r="AP603" s="103"/>
      <c r="AQ603" s="103"/>
      <c r="AR603" s="103"/>
      <c r="AS603" s="103"/>
      <c r="AT603" s="34" t="s">
        <v>233</v>
      </c>
      <c r="AU603" s="34"/>
      <c r="AV603" s="34"/>
      <c r="AW603" s="140"/>
      <c r="AX603" s="63"/>
      <c r="AY603" s="34" t="s">
        <v>1923</v>
      </c>
      <c r="AZ603" s="39" t="s">
        <v>1926</v>
      </c>
      <c r="BB603" s="41"/>
    </row>
    <row r="604" spans="1:55" ht="15.75" hidden="1" customHeight="1">
      <c r="A604" s="138"/>
      <c r="B604" s="56" t="s">
        <v>2473</v>
      </c>
      <c r="C604" s="78"/>
      <c r="D604" s="194"/>
      <c r="E604" s="194"/>
      <c r="F604" s="103">
        <v>1.5</v>
      </c>
      <c r="G604" s="103"/>
      <c r="H604" s="103"/>
      <c r="I604" s="103"/>
      <c r="J604" s="103"/>
      <c r="K604" s="103"/>
      <c r="L604" s="103"/>
      <c r="M604" s="103"/>
      <c r="N604" s="103"/>
      <c r="O604" s="103"/>
      <c r="P604" s="103"/>
      <c r="Q604" s="103"/>
      <c r="R604" s="103"/>
      <c r="S604" s="103"/>
      <c r="T604" s="103"/>
      <c r="U604" s="103"/>
      <c r="V604" s="103"/>
      <c r="W604" s="103"/>
      <c r="X604" s="103"/>
      <c r="Y604" s="103"/>
      <c r="Z604" s="103"/>
      <c r="AA604" s="103"/>
      <c r="AB604" s="103"/>
      <c r="AC604" s="103"/>
      <c r="AD604" s="103"/>
      <c r="AE604" s="103"/>
      <c r="AF604" s="103"/>
      <c r="AG604" s="103"/>
      <c r="AH604" s="103"/>
      <c r="AI604" s="103"/>
      <c r="AJ604" s="103"/>
      <c r="AK604" s="103"/>
      <c r="AL604" s="103"/>
      <c r="AM604" s="103"/>
      <c r="AN604" s="103"/>
      <c r="AO604" s="103"/>
      <c r="AP604" s="103"/>
      <c r="AQ604" s="103"/>
      <c r="AR604" s="103"/>
      <c r="AS604" s="103"/>
      <c r="AT604" s="34" t="s">
        <v>233</v>
      </c>
      <c r="AU604" s="34"/>
      <c r="AV604" s="34"/>
      <c r="AW604" s="140"/>
      <c r="AX604" s="63"/>
      <c r="AY604" s="34" t="s">
        <v>1923</v>
      </c>
      <c r="AZ604" s="39" t="s">
        <v>1926</v>
      </c>
      <c r="BB604" s="41"/>
    </row>
    <row r="605" spans="1:55" ht="15.75" hidden="1" customHeight="1">
      <c r="A605" s="138"/>
      <c r="B605" s="56" t="s">
        <v>2474</v>
      </c>
      <c r="C605" s="78"/>
      <c r="D605" s="194"/>
      <c r="E605" s="194"/>
      <c r="F605" s="103">
        <v>0.5</v>
      </c>
      <c r="G605" s="103"/>
      <c r="H605" s="103"/>
      <c r="I605" s="103"/>
      <c r="J605" s="103"/>
      <c r="K605" s="103"/>
      <c r="L605" s="103"/>
      <c r="M605" s="103"/>
      <c r="N605" s="103"/>
      <c r="O605" s="103"/>
      <c r="P605" s="103"/>
      <c r="Q605" s="103"/>
      <c r="R605" s="103"/>
      <c r="S605" s="103"/>
      <c r="T605" s="103"/>
      <c r="U605" s="103"/>
      <c r="V605" s="103"/>
      <c r="W605" s="103"/>
      <c r="X605" s="103"/>
      <c r="Y605" s="103"/>
      <c r="Z605" s="103"/>
      <c r="AA605" s="103"/>
      <c r="AB605" s="103"/>
      <c r="AC605" s="103"/>
      <c r="AD605" s="103"/>
      <c r="AE605" s="103"/>
      <c r="AF605" s="103"/>
      <c r="AG605" s="103"/>
      <c r="AH605" s="103"/>
      <c r="AI605" s="103"/>
      <c r="AJ605" s="103"/>
      <c r="AK605" s="103"/>
      <c r="AL605" s="103"/>
      <c r="AM605" s="103"/>
      <c r="AN605" s="103"/>
      <c r="AO605" s="103"/>
      <c r="AP605" s="103"/>
      <c r="AQ605" s="103"/>
      <c r="AR605" s="103"/>
      <c r="AS605" s="103"/>
      <c r="AT605" s="34" t="s">
        <v>233</v>
      </c>
      <c r="AU605" s="34"/>
      <c r="AV605" s="34"/>
      <c r="AW605" s="140"/>
      <c r="AX605" s="63"/>
      <c r="AY605" s="34" t="s">
        <v>1923</v>
      </c>
      <c r="AZ605" s="39" t="s">
        <v>1926</v>
      </c>
      <c r="BB605" s="41"/>
    </row>
    <row r="606" spans="1:55" ht="15.75" hidden="1" customHeight="1">
      <c r="A606" s="138"/>
      <c r="B606" s="56" t="s">
        <v>2475</v>
      </c>
      <c r="C606" s="78"/>
      <c r="D606" s="194"/>
      <c r="E606" s="194"/>
      <c r="F606" s="103">
        <v>0.5</v>
      </c>
      <c r="G606" s="103"/>
      <c r="H606" s="103"/>
      <c r="I606" s="103"/>
      <c r="J606" s="103"/>
      <c r="K606" s="103"/>
      <c r="L606" s="103"/>
      <c r="M606" s="103"/>
      <c r="N606" s="103"/>
      <c r="O606" s="103"/>
      <c r="P606" s="103"/>
      <c r="Q606" s="103"/>
      <c r="R606" s="103"/>
      <c r="S606" s="103"/>
      <c r="T606" s="103"/>
      <c r="U606" s="103"/>
      <c r="V606" s="103"/>
      <c r="W606" s="103"/>
      <c r="X606" s="103"/>
      <c r="Y606" s="103"/>
      <c r="Z606" s="103"/>
      <c r="AA606" s="103"/>
      <c r="AB606" s="103"/>
      <c r="AC606" s="103"/>
      <c r="AD606" s="103"/>
      <c r="AE606" s="103"/>
      <c r="AF606" s="103"/>
      <c r="AG606" s="103"/>
      <c r="AH606" s="103"/>
      <c r="AI606" s="103"/>
      <c r="AJ606" s="103"/>
      <c r="AK606" s="103"/>
      <c r="AL606" s="103"/>
      <c r="AM606" s="103"/>
      <c r="AN606" s="103"/>
      <c r="AO606" s="103"/>
      <c r="AP606" s="103"/>
      <c r="AQ606" s="103"/>
      <c r="AR606" s="103"/>
      <c r="AS606" s="103"/>
      <c r="AT606" s="34" t="s">
        <v>233</v>
      </c>
      <c r="AU606" s="34"/>
      <c r="AV606" s="34"/>
      <c r="AW606" s="140"/>
      <c r="AX606" s="63"/>
      <c r="AY606" s="34" t="s">
        <v>1923</v>
      </c>
      <c r="AZ606" s="39" t="s">
        <v>1926</v>
      </c>
      <c r="BB606" s="41"/>
    </row>
    <row r="607" spans="1:55" ht="15.75" hidden="1" customHeight="1">
      <c r="A607" s="138"/>
      <c r="B607" s="56" t="s">
        <v>2476</v>
      </c>
      <c r="C607" s="78"/>
      <c r="D607" s="194"/>
      <c r="E607" s="194"/>
      <c r="F607" s="103">
        <v>1</v>
      </c>
      <c r="G607" s="103"/>
      <c r="H607" s="103"/>
      <c r="I607" s="103"/>
      <c r="J607" s="103"/>
      <c r="K607" s="103"/>
      <c r="L607" s="103"/>
      <c r="M607" s="103"/>
      <c r="N607" s="103"/>
      <c r="O607" s="103"/>
      <c r="P607" s="103"/>
      <c r="Q607" s="103"/>
      <c r="R607" s="103"/>
      <c r="S607" s="103"/>
      <c r="T607" s="103"/>
      <c r="U607" s="103"/>
      <c r="V607" s="103"/>
      <c r="W607" s="103"/>
      <c r="X607" s="103"/>
      <c r="Y607" s="103"/>
      <c r="Z607" s="103"/>
      <c r="AA607" s="103"/>
      <c r="AB607" s="103"/>
      <c r="AC607" s="103"/>
      <c r="AD607" s="103"/>
      <c r="AE607" s="103"/>
      <c r="AF607" s="103"/>
      <c r="AG607" s="103"/>
      <c r="AH607" s="103"/>
      <c r="AI607" s="103"/>
      <c r="AJ607" s="103"/>
      <c r="AK607" s="103"/>
      <c r="AL607" s="103"/>
      <c r="AM607" s="103"/>
      <c r="AN607" s="103"/>
      <c r="AO607" s="103"/>
      <c r="AP607" s="103"/>
      <c r="AQ607" s="103"/>
      <c r="AR607" s="103"/>
      <c r="AS607" s="103"/>
      <c r="AT607" s="34" t="s">
        <v>233</v>
      </c>
      <c r="AU607" s="34"/>
      <c r="AV607" s="34"/>
      <c r="AW607" s="140"/>
      <c r="AX607" s="63"/>
      <c r="AY607" s="34" t="s">
        <v>1923</v>
      </c>
      <c r="AZ607" s="39" t="s">
        <v>1926</v>
      </c>
      <c r="BB607" s="41"/>
    </row>
    <row r="608" spans="1:55" ht="15.75" hidden="1" customHeight="1">
      <c r="A608" s="138"/>
      <c r="B608" s="56" t="s">
        <v>2477</v>
      </c>
      <c r="C608" s="78"/>
      <c r="D608" s="194"/>
      <c r="E608" s="194"/>
      <c r="F608" s="103">
        <v>0.6</v>
      </c>
      <c r="G608" s="103"/>
      <c r="H608" s="103"/>
      <c r="I608" s="103"/>
      <c r="J608" s="103"/>
      <c r="K608" s="103"/>
      <c r="L608" s="103"/>
      <c r="M608" s="103"/>
      <c r="N608" s="103"/>
      <c r="O608" s="103"/>
      <c r="P608" s="103"/>
      <c r="Q608" s="103"/>
      <c r="R608" s="103"/>
      <c r="S608" s="103"/>
      <c r="T608" s="103"/>
      <c r="U608" s="103"/>
      <c r="V608" s="103"/>
      <c r="W608" s="103"/>
      <c r="X608" s="103"/>
      <c r="Y608" s="103"/>
      <c r="Z608" s="103"/>
      <c r="AA608" s="103"/>
      <c r="AB608" s="103"/>
      <c r="AC608" s="103"/>
      <c r="AD608" s="103"/>
      <c r="AE608" s="103"/>
      <c r="AF608" s="103"/>
      <c r="AG608" s="103"/>
      <c r="AH608" s="103"/>
      <c r="AI608" s="103"/>
      <c r="AJ608" s="103"/>
      <c r="AK608" s="103"/>
      <c r="AL608" s="103"/>
      <c r="AM608" s="103"/>
      <c r="AN608" s="103"/>
      <c r="AO608" s="103"/>
      <c r="AP608" s="103"/>
      <c r="AQ608" s="103"/>
      <c r="AR608" s="103"/>
      <c r="AS608" s="103"/>
      <c r="AT608" s="34" t="s">
        <v>429</v>
      </c>
      <c r="AU608" s="34" t="s">
        <v>430</v>
      </c>
      <c r="AV608" s="34"/>
      <c r="AW608" s="140"/>
      <c r="AX608" s="63"/>
      <c r="AY608" s="140" t="s">
        <v>1923</v>
      </c>
      <c r="AZ608" s="63" t="s">
        <v>1924</v>
      </c>
      <c r="BB608" s="41"/>
    </row>
    <row r="609" spans="1:56" ht="15.75" hidden="1" customHeight="1">
      <c r="A609" s="138"/>
      <c r="B609" s="56" t="s">
        <v>2439</v>
      </c>
      <c r="C609" s="78"/>
      <c r="D609" s="194"/>
      <c r="E609" s="194"/>
      <c r="F609" s="103">
        <v>0.16</v>
      </c>
      <c r="G609" s="103"/>
      <c r="H609" s="103"/>
      <c r="I609" s="103"/>
      <c r="J609" s="103"/>
      <c r="K609" s="103"/>
      <c r="L609" s="103"/>
      <c r="M609" s="103"/>
      <c r="N609" s="103"/>
      <c r="O609" s="103"/>
      <c r="P609" s="103"/>
      <c r="Q609" s="103"/>
      <c r="R609" s="103"/>
      <c r="S609" s="103"/>
      <c r="T609" s="103"/>
      <c r="U609" s="103"/>
      <c r="V609" s="103"/>
      <c r="W609" s="103"/>
      <c r="X609" s="103"/>
      <c r="Y609" s="103"/>
      <c r="Z609" s="103"/>
      <c r="AA609" s="103"/>
      <c r="AB609" s="103"/>
      <c r="AC609" s="103"/>
      <c r="AD609" s="103"/>
      <c r="AE609" s="103"/>
      <c r="AF609" s="103"/>
      <c r="AG609" s="103"/>
      <c r="AH609" s="103"/>
      <c r="AI609" s="103"/>
      <c r="AJ609" s="103"/>
      <c r="AK609" s="103"/>
      <c r="AL609" s="103"/>
      <c r="AM609" s="103"/>
      <c r="AN609" s="103"/>
      <c r="AO609" s="103"/>
      <c r="AP609" s="103"/>
      <c r="AQ609" s="103"/>
      <c r="AR609" s="103"/>
      <c r="AS609" s="103"/>
      <c r="AT609" s="34" t="s">
        <v>237</v>
      </c>
      <c r="AU609" s="34"/>
      <c r="AV609" s="34"/>
      <c r="AW609" s="140"/>
      <c r="AX609" s="63"/>
      <c r="AY609" s="34" t="s">
        <v>1923</v>
      </c>
      <c r="AZ609" s="63" t="s">
        <v>1924</v>
      </c>
      <c r="BA609" s="234"/>
      <c r="BB609" s="41"/>
    </row>
    <row r="610" spans="1:56" ht="15.75" hidden="1" customHeight="1">
      <c r="A610" s="138"/>
      <c r="B610" s="56" t="s">
        <v>2478</v>
      </c>
      <c r="C610" s="78"/>
      <c r="D610" s="194"/>
      <c r="E610" s="194"/>
      <c r="F610" s="103">
        <v>0.4</v>
      </c>
      <c r="G610" s="103"/>
      <c r="H610" s="103"/>
      <c r="I610" s="103"/>
      <c r="J610" s="103"/>
      <c r="K610" s="103"/>
      <c r="L610" s="103"/>
      <c r="M610" s="103"/>
      <c r="N610" s="103"/>
      <c r="O610" s="103"/>
      <c r="P610" s="103"/>
      <c r="Q610" s="103"/>
      <c r="R610" s="103"/>
      <c r="S610" s="103"/>
      <c r="T610" s="103"/>
      <c r="U610" s="103"/>
      <c r="V610" s="103"/>
      <c r="W610" s="103"/>
      <c r="X610" s="103"/>
      <c r="Y610" s="103"/>
      <c r="Z610" s="103"/>
      <c r="AA610" s="103"/>
      <c r="AB610" s="103"/>
      <c r="AC610" s="103"/>
      <c r="AD610" s="103"/>
      <c r="AE610" s="103"/>
      <c r="AF610" s="103"/>
      <c r="AG610" s="103"/>
      <c r="AH610" s="103"/>
      <c r="AI610" s="103"/>
      <c r="AJ610" s="103"/>
      <c r="AK610" s="103"/>
      <c r="AL610" s="103"/>
      <c r="AM610" s="103"/>
      <c r="AN610" s="103"/>
      <c r="AO610" s="103"/>
      <c r="AP610" s="103"/>
      <c r="AQ610" s="103"/>
      <c r="AR610" s="103"/>
      <c r="AS610" s="103"/>
      <c r="AT610" s="34" t="s">
        <v>237</v>
      </c>
      <c r="AU610" s="34"/>
      <c r="AV610" s="34"/>
      <c r="AW610" s="140"/>
      <c r="AX610" s="63"/>
      <c r="AY610" s="34" t="s">
        <v>1923</v>
      </c>
      <c r="AZ610" s="63" t="s">
        <v>1924</v>
      </c>
      <c r="BA610" s="234"/>
      <c r="BB610" s="41"/>
    </row>
    <row r="611" spans="1:56" ht="15.75" hidden="1" customHeight="1">
      <c r="A611" s="138"/>
      <c r="B611" s="56" t="s">
        <v>2479</v>
      </c>
      <c r="C611" s="78"/>
      <c r="D611" s="194"/>
      <c r="E611" s="194"/>
      <c r="F611" s="103">
        <v>0.81</v>
      </c>
      <c r="G611" s="103"/>
      <c r="H611" s="103"/>
      <c r="I611" s="103"/>
      <c r="J611" s="103"/>
      <c r="K611" s="103"/>
      <c r="L611" s="103"/>
      <c r="M611" s="103"/>
      <c r="N611" s="103"/>
      <c r="O611" s="103"/>
      <c r="P611" s="103"/>
      <c r="Q611" s="103"/>
      <c r="R611" s="103"/>
      <c r="S611" s="103"/>
      <c r="T611" s="103"/>
      <c r="U611" s="103"/>
      <c r="V611" s="103"/>
      <c r="W611" s="103"/>
      <c r="X611" s="103"/>
      <c r="Y611" s="103"/>
      <c r="Z611" s="103"/>
      <c r="AA611" s="103"/>
      <c r="AB611" s="103"/>
      <c r="AC611" s="103"/>
      <c r="AD611" s="103"/>
      <c r="AE611" s="103"/>
      <c r="AF611" s="103"/>
      <c r="AG611" s="103"/>
      <c r="AH611" s="103"/>
      <c r="AI611" s="103"/>
      <c r="AJ611" s="103"/>
      <c r="AK611" s="103"/>
      <c r="AL611" s="103"/>
      <c r="AM611" s="103"/>
      <c r="AN611" s="103"/>
      <c r="AO611" s="103"/>
      <c r="AP611" s="103"/>
      <c r="AQ611" s="103"/>
      <c r="AR611" s="103"/>
      <c r="AS611" s="103"/>
      <c r="AT611" s="34" t="s">
        <v>237</v>
      </c>
      <c r="AU611" s="63" t="s">
        <v>387</v>
      </c>
      <c r="AV611" s="34"/>
      <c r="AW611" s="140"/>
      <c r="AX611" s="63"/>
      <c r="AY611" s="34" t="s">
        <v>1923</v>
      </c>
      <c r="AZ611" s="63" t="s">
        <v>1924</v>
      </c>
      <c r="BA611" s="234" t="s">
        <v>387</v>
      </c>
      <c r="BB611" s="41"/>
    </row>
    <row r="612" spans="1:56" ht="15.75" hidden="1" customHeight="1">
      <c r="A612" s="138"/>
      <c r="B612" s="56" t="s">
        <v>2480</v>
      </c>
      <c r="C612" s="78"/>
      <c r="D612" s="194"/>
      <c r="E612" s="194"/>
      <c r="F612" s="103">
        <v>0.6</v>
      </c>
      <c r="G612" s="103"/>
      <c r="H612" s="103"/>
      <c r="I612" s="103"/>
      <c r="J612" s="103"/>
      <c r="K612" s="103"/>
      <c r="L612" s="103"/>
      <c r="M612" s="103"/>
      <c r="N612" s="103"/>
      <c r="O612" s="103"/>
      <c r="P612" s="103"/>
      <c r="Q612" s="103"/>
      <c r="R612" s="103"/>
      <c r="S612" s="103"/>
      <c r="T612" s="103"/>
      <c r="U612" s="103"/>
      <c r="V612" s="103"/>
      <c r="W612" s="103"/>
      <c r="X612" s="103"/>
      <c r="Y612" s="103"/>
      <c r="Z612" s="103"/>
      <c r="AA612" s="103"/>
      <c r="AB612" s="103"/>
      <c r="AC612" s="103"/>
      <c r="AD612" s="103"/>
      <c r="AE612" s="103"/>
      <c r="AF612" s="103"/>
      <c r="AG612" s="103"/>
      <c r="AH612" s="103"/>
      <c r="AI612" s="103"/>
      <c r="AJ612" s="103"/>
      <c r="AK612" s="103"/>
      <c r="AL612" s="103"/>
      <c r="AM612" s="103"/>
      <c r="AN612" s="103"/>
      <c r="AO612" s="103"/>
      <c r="AP612" s="103"/>
      <c r="AQ612" s="103"/>
      <c r="AR612" s="103"/>
      <c r="AS612" s="103"/>
      <c r="AT612" s="34" t="s">
        <v>237</v>
      </c>
      <c r="AU612" s="34"/>
      <c r="AV612" s="34"/>
      <c r="AW612" s="140"/>
      <c r="AX612" s="63"/>
      <c r="AY612" s="34" t="s">
        <v>1923</v>
      </c>
      <c r="AZ612" s="63" t="s">
        <v>1924</v>
      </c>
      <c r="BA612" s="234"/>
      <c r="BB612" s="41"/>
    </row>
    <row r="613" spans="1:56" ht="15.75" hidden="1" customHeight="1">
      <c r="A613" s="138"/>
      <c r="B613" s="56" t="s">
        <v>2481</v>
      </c>
      <c r="C613" s="78"/>
      <c r="D613" s="194"/>
      <c r="E613" s="194"/>
      <c r="F613" s="103">
        <v>0.3</v>
      </c>
      <c r="G613" s="103"/>
      <c r="H613" s="103"/>
      <c r="I613" s="103"/>
      <c r="J613" s="103"/>
      <c r="K613" s="103"/>
      <c r="L613" s="103"/>
      <c r="M613" s="103"/>
      <c r="N613" s="103"/>
      <c r="O613" s="103"/>
      <c r="P613" s="103"/>
      <c r="Q613" s="103"/>
      <c r="R613" s="103"/>
      <c r="S613" s="103"/>
      <c r="T613" s="103"/>
      <c r="U613" s="103"/>
      <c r="V613" s="103"/>
      <c r="W613" s="103"/>
      <c r="X613" s="103"/>
      <c r="Y613" s="103"/>
      <c r="Z613" s="103"/>
      <c r="AA613" s="103"/>
      <c r="AB613" s="103"/>
      <c r="AC613" s="103"/>
      <c r="AD613" s="103"/>
      <c r="AE613" s="103"/>
      <c r="AF613" s="103"/>
      <c r="AG613" s="103"/>
      <c r="AH613" s="103"/>
      <c r="AI613" s="103"/>
      <c r="AJ613" s="103"/>
      <c r="AK613" s="103"/>
      <c r="AL613" s="103"/>
      <c r="AM613" s="103"/>
      <c r="AN613" s="103"/>
      <c r="AO613" s="103"/>
      <c r="AP613" s="103"/>
      <c r="AQ613" s="103"/>
      <c r="AR613" s="103"/>
      <c r="AS613" s="103"/>
      <c r="AT613" s="34" t="s">
        <v>237</v>
      </c>
      <c r="AU613" s="34"/>
      <c r="AV613" s="34"/>
      <c r="AW613" s="140"/>
      <c r="AX613" s="63"/>
      <c r="AY613" s="34" t="s">
        <v>1923</v>
      </c>
      <c r="AZ613" s="63" t="s">
        <v>2014</v>
      </c>
      <c r="BA613" s="234"/>
      <c r="BB613" s="41"/>
    </row>
    <row r="614" spans="1:56" ht="15.75" hidden="1" customHeight="1">
      <c r="A614" s="220"/>
      <c r="B614" s="60" t="s">
        <v>2482</v>
      </c>
      <c r="C614" s="78" t="s">
        <v>40</v>
      </c>
      <c r="D614" s="194">
        <v>6.19</v>
      </c>
      <c r="E614" s="194"/>
      <c r="F614" s="103">
        <v>6.19</v>
      </c>
      <c r="G614" s="103"/>
      <c r="H614" s="103"/>
      <c r="I614" s="103"/>
      <c r="J614" s="103"/>
      <c r="K614" s="103"/>
      <c r="L614" s="103"/>
      <c r="M614" s="103">
        <v>6.19</v>
      </c>
      <c r="N614" s="103"/>
      <c r="O614" s="103"/>
      <c r="P614" s="103"/>
      <c r="Q614" s="103"/>
      <c r="R614" s="103"/>
      <c r="S614" s="103"/>
      <c r="T614" s="103"/>
      <c r="U614" s="103"/>
      <c r="V614" s="103"/>
      <c r="W614" s="103"/>
      <c r="X614" s="103"/>
      <c r="Y614" s="103"/>
      <c r="Z614" s="103"/>
      <c r="AA614" s="103"/>
      <c r="AB614" s="103"/>
      <c r="AC614" s="103"/>
      <c r="AD614" s="103"/>
      <c r="AE614" s="103"/>
      <c r="AF614" s="103"/>
      <c r="AG614" s="103"/>
      <c r="AH614" s="103"/>
      <c r="AI614" s="103"/>
      <c r="AJ614" s="103"/>
      <c r="AK614" s="103"/>
      <c r="AL614" s="103"/>
      <c r="AM614" s="103"/>
      <c r="AN614" s="103"/>
      <c r="AO614" s="103"/>
      <c r="AP614" s="103"/>
      <c r="AQ614" s="103"/>
      <c r="AR614" s="103"/>
      <c r="AS614" s="103"/>
      <c r="AT614" s="38" t="s">
        <v>238</v>
      </c>
      <c r="AU614" s="34"/>
      <c r="AV614" s="34"/>
      <c r="AW614" s="140"/>
      <c r="AX614" s="63"/>
      <c r="AY614" s="140" t="s">
        <v>1923</v>
      </c>
      <c r="AZ614" s="63" t="s">
        <v>2483</v>
      </c>
      <c r="BA614" s="65"/>
      <c r="BB614" s="41"/>
    </row>
    <row r="615" spans="1:56" ht="15.75" hidden="1" customHeight="1">
      <c r="A615" s="138"/>
      <c r="B615" s="56" t="s">
        <v>2484</v>
      </c>
      <c r="C615" s="78"/>
      <c r="D615" s="194"/>
      <c r="E615" s="194"/>
      <c r="F615" s="103">
        <v>1.27</v>
      </c>
      <c r="G615" s="103"/>
      <c r="H615" s="103"/>
      <c r="I615" s="103"/>
      <c r="J615" s="103"/>
      <c r="K615" s="103"/>
      <c r="L615" s="103"/>
      <c r="M615" s="103"/>
      <c r="N615" s="103"/>
      <c r="O615" s="103"/>
      <c r="P615" s="103"/>
      <c r="Q615" s="103"/>
      <c r="R615" s="103"/>
      <c r="S615" s="103"/>
      <c r="T615" s="103"/>
      <c r="U615" s="103"/>
      <c r="V615" s="103"/>
      <c r="W615" s="103"/>
      <c r="X615" s="103"/>
      <c r="Y615" s="103"/>
      <c r="Z615" s="103"/>
      <c r="AA615" s="103"/>
      <c r="AB615" s="103"/>
      <c r="AC615" s="103"/>
      <c r="AD615" s="103"/>
      <c r="AE615" s="103"/>
      <c r="AF615" s="103"/>
      <c r="AG615" s="103"/>
      <c r="AH615" s="103"/>
      <c r="AI615" s="103"/>
      <c r="AJ615" s="103"/>
      <c r="AK615" s="103"/>
      <c r="AL615" s="103"/>
      <c r="AM615" s="103"/>
      <c r="AN615" s="103"/>
      <c r="AO615" s="103"/>
      <c r="AP615" s="103"/>
      <c r="AQ615" s="103"/>
      <c r="AR615" s="103"/>
      <c r="AS615" s="103"/>
      <c r="AT615" s="34" t="s">
        <v>239</v>
      </c>
      <c r="AU615" s="34" t="s">
        <v>417</v>
      </c>
      <c r="AV615" s="34"/>
      <c r="AW615" s="140"/>
      <c r="AX615" s="63"/>
      <c r="AY615" s="38" t="s">
        <v>1923</v>
      </c>
      <c r="AZ615" s="39" t="s">
        <v>1924</v>
      </c>
      <c r="BB615" s="41"/>
    </row>
    <row r="616" spans="1:56" ht="15.75" hidden="1" customHeight="1">
      <c r="A616" s="138"/>
      <c r="B616" s="56" t="s">
        <v>2485</v>
      </c>
      <c r="C616" s="78"/>
      <c r="D616" s="194"/>
      <c r="E616" s="194"/>
      <c r="F616" s="103">
        <v>2.2999999999999998</v>
      </c>
      <c r="G616" s="103"/>
      <c r="H616" s="103"/>
      <c r="I616" s="103"/>
      <c r="J616" s="103"/>
      <c r="K616" s="103"/>
      <c r="L616" s="103"/>
      <c r="M616" s="103"/>
      <c r="N616" s="103"/>
      <c r="O616" s="103"/>
      <c r="P616" s="103"/>
      <c r="Q616" s="103"/>
      <c r="R616" s="103"/>
      <c r="S616" s="103"/>
      <c r="T616" s="103"/>
      <c r="U616" s="103"/>
      <c r="V616" s="103"/>
      <c r="W616" s="103"/>
      <c r="X616" s="103"/>
      <c r="Y616" s="103"/>
      <c r="Z616" s="103"/>
      <c r="AA616" s="103"/>
      <c r="AB616" s="103"/>
      <c r="AC616" s="103"/>
      <c r="AD616" s="103"/>
      <c r="AE616" s="103"/>
      <c r="AF616" s="103"/>
      <c r="AG616" s="103"/>
      <c r="AH616" s="103"/>
      <c r="AI616" s="103"/>
      <c r="AJ616" s="103"/>
      <c r="AK616" s="103"/>
      <c r="AL616" s="103"/>
      <c r="AM616" s="103"/>
      <c r="AN616" s="103"/>
      <c r="AO616" s="103"/>
      <c r="AP616" s="103"/>
      <c r="AQ616" s="103"/>
      <c r="AR616" s="103"/>
      <c r="AS616" s="103"/>
      <c r="AT616" s="34" t="s">
        <v>239</v>
      </c>
      <c r="AU616" s="34" t="s">
        <v>1040</v>
      </c>
      <c r="AV616" s="34"/>
      <c r="AW616" s="140"/>
      <c r="AX616" s="63"/>
      <c r="AY616" s="38" t="s">
        <v>1923</v>
      </c>
      <c r="AZ616" s="39" t="s">
        <v>1924</v>
      </c>
      <c r="BB616" s="41"/>
    </row>
    <row r="617" spans="1:56" ht="15.75" hidden="1" customHeight="1">
      <c r="A617" s="138"/>
      <c r="B617" s="56" t="s">
        <v>2486</v>
      </c>
      <c r="C617" s="78"/>
      <c r="D617" s="194"/>
      <c r="E617" s="194"/>
      <c r="F617" s="103">
        <v>0.45</v>
      </c>
      <c r="G617" s="103"/>
      <c r="H617" s="103"/>
      <c r="I617" s="103"/>
      <c r="J617" s="103"/>
      <c r="K617" s="103"/>
      <c r="L617" s="103"/>
      <c r="M617" s="103"/>
      <c r="N617" s="103"/>
      <c r="O617" s="103"/>
      <c r="P617" s="103"/>
      <c r="Q617" s="103"/>
      <c r="R617" s="103"/>
      <c r="S617" s="103"/>
      <c r="T617" s="103"/>
      <c r="U617" s="103"/>
      <c r="V617" s="103"/>
      <c r="W617" s="103"/>
      <c r="X617" s="103"/>
      <c r="Y617" s="103"/>
      <c r="Z617" s="103"/>
      <c r="AA617" s="103"/>
      <c r="AB617" s="103"/>
      <c r="AC617" s="103"/>
      <c r="AD617" s="103"/>
      <c r="AE617" s="103"/>
      <c r="AF617" s="103"/>
      <c r="AG617" s="103"/>
      <c r="AH617" s="103"/>
      <c r="AI617" s="103"/>
      <c r="AJ617" s="103"/>
      <c r="AK617" s="103"/>
      <c r="AL617" s="103"/>
      <c r="AM617" s="103"/>
      <c r="AN617" s="103"/>
      <c r="AO617" s="103"/>
      <c r="AP617" s="103"/>
      <c r="AQ617" s="103"/>
      <c r="AR617" s="103"/>
      <c r="AS617" s="103"/>
      <c r="AT617" s="47" t="s">
        <v>240</v>
      </c>
      <c r="AU617" s="34" t="s">
        <v>305</v>
      </c>
      <c r="AV617" s="34"/>
      <c r="AW617" s="140"/>
      <c r="AX617" s="63"/>
      <c r="AY617" s="34" t="s">
        <v>1923</v>
      </c>
      <c r="AZ617" s="63" t="s">
        <v>1924</v>
      </c>
      <c r="BB617" s="41"/>
    </row>
    <row r="618" spans="1:56" ht="15.75" hidden="1" customHeight="1">
      <c r="A618" s="138"/>
      <c r="B618" s="56" t="s">
        <v>2487</v>
      </c>
      <c r="C618" s="78"/>
      <c r="D618" s="194"/>
      <c r="E618" s="194"/>
      <c r="F618" s="103">
        <v>1</v>
      </c>
      <c r="G618" s="103"/>
      <c r="H618" s="103"/>
      <c r="I618" s="103"/>
      <c r="J618" s="103"/>
      <c r="K618" s="103"/>
      <c r="L618" s="103"/>
      <c r="M618" s="103"/>
      <c r="N618" s="103"/>
      <c r="O618" s="103"/>
      <c r="P618" s="103"/>
      <c r="Q618" s="103"/>
      <c r="R618" s="103"/>
      <c r="S618" s="103"/>
      <c r="T618" s="103"/>
      <c r="U618" s="103"/>
      <c r="V618" s="103"/>
      <c r="W618" s="103"/>
      <c r="X618" s="103"/>
      <c r="Y618" s="103"/>
      <c r="Z618" s="103"/>
      <c r="AA618" s="103"/>
      <c r="AB618" s="103"/>
      <c r="AC618" s="103"/>
      <c r="AD618" s="103"/>
      <c r="AE618" s="103"/>
      <c r="AF618" s="103"/>
      <c r="AG618" s="103"/>
      <c r="AH618" s="103"/>
      <c r="AI618" s="103"/>
      <c r="AJ618" s="103"/>
      <c r="AK618" s="103"/>
      <c r="AL618" s="103"/>
      <c r="AM618" s="103"/>
      <c r="AN618" s="103"/>
      <c r="AO618" s="103"/>
      <c r="AP618" s="103"/>
      <c r="AQ618" s="103"/>
      <c r="AR618" s="103"/>
      <c r="AS618" s="103"/>
      <c r="AT618" s="47" t="s">
        <v>240</v>
      </c>
      <c r="AU618" s="34" t="s">
        <v>387</v>
      </c>
      <c r="AV618" s="34"/>
      <c r="AW618" s="140"/>
      <c r="AX618" s="63"/>
      <c r="AY618" s="34" t="s">
        <v>1923</v>
      </c>
      <c r="AZ618" s="63" t="s">
        <v>1924</v>
      </c>
      <c r="BB618" s="41"/>
    </row>
    <row r="619" spans="1:56" ht="15.75" hidden="1" customHeight="1">
      <c r="A619" s="138"/>
      <c r="B619" s="56" t="s">
        <v>2488</v>
      </c>
      <c r="C619" s="78"/>
      <c r="D619" s="194"/>
      <c r="E619" s="194"/>
      <c r="F619" s="103">
        <v>1</v>
      </c>
      <c r="G619" s="103"/>
      <c r="H619" s="103"/>
      <c r="I619" s="103"/>
      <c r="J619" s="103"/>
      <c r="K619" s="103"/>
      <c r="L619" s="103"/>
      <c r="M619" s="103"/>
      <c r="N619" s="103"/>
      <c r="O619" s="103"/>
      <c r="P619" s="103"/>
      <c r="Q619" s="103"/>
      <c r="R619" s="103"/>
      <c r="S619" s="103"/>
      <c r="T619" s="103"/>
      <c r="U619" s="103"/>
      <c r="V619" s="103"/>
      <c r="W619" s="103"/>
      <c r="X619" s="103"/>
      <c r="Y619" s="103"/>
      <c r="Z619" s="103"/>
      <c r="AA619" s="103"/>
      <c r="AB619" s="103"/>
      <c r="AC619" s="103"/>
      <c r="AD619" s="103"/>
      <c r="AE619" s="103"/>
      <c r="AF619" s="103"/>
      <c r="AG619" s="103"/>
      <c r="AH619" s="103"/>
      <c r="AI619" s="103"/>
      <c r="AJ619" s="103"/>
      <c r="AK619" s="103"/>
      <c r="AL619" s="103"/>
      <c r="AM619" s="103"/>
      <c r="AN619" s="103"/>
      <c r="AO619" s="103"/>
      <c r="AP619" s="103"/>
      <c r="AQ619" s="103"/>
      <c r="AR619" s="103"/>
      <c r="AS619" s="103"/>
      <c r="AT619" s="47" t="s">
        <v>240</v>
      </c>
      <c r="AU619" s="34" t="s">
        <v>389</v>
      </c>
      <c r="AV619" s="34"/>
      <c r="AW619" s="140"/>
      <c r="AX619" s="63"/>
      <c r="AY619" s="34" t="s">
        <v>1923</v>
      </c>
      <c r="AZ619" s="63" t="s">
        <v>1924</v>
      </c>
      <c r="BA619" s="15" t="s">
        <v>188</v>
      </c>
      <c r="BB619" s="41"/>
    </row>
    <row r="620" spans="1:56" ht="15.75" hidden="1" customHeight="1">
      <c r="A620" s="138"/>
      <c r="B620" s="56" t="s">
        <v>2489</v>
      </c>
      <c r="C620" s="78"/>
      <c r="D620" s="194"/>
      <c r="E620" s="194"/>
      <c r="F620" s="103">
        <v>0.5</v>
      </c>
      <c r="G620" s="103"/>
      <c r="H620" s="103"/>
      <c r="I620" s="103"/>
      <c r="J620" s="103"/>
      <c r="K620" s="103"/>
      <c r="L620" s="103"/>
      <c r="M620" s="103"/>
      <c r="N620" s="103"/>
      <c r="O620" s="103"/>
      <c r="P620" s="103"/>
      <c r="Q620" s="103"/>
      <c r="R620" s="103"/>
      <c r="S620" s="103"/>
      <c r="T620" s="103"/>
      <c r="U620" s="103"/>
      <c r="V620" s="103"/>
      <c r="W620" s="103"/>
      <c r="X620" s="103"/>
      <c r="Y620" s="103"/>
      <c r="Z620" s="103"/>
      <c r="AA620" s="103"/>
      <c r="AB620" s="103"/>
      <c r="AC620" s="103"/>
      <c r="AD620" s="103"/>
      <c r="AE620" s="103"/>
      <c r="AF620" s="103"/>
      <c r="AG620" s="103"/>
      <c r="AH620" s="103"/>
      <c r="AI620" s="103"/>
      <c r="AJ620" s="103"/>
      <c r="AK620" s="103"/>
      <c r="AL620" s="103"/>
      <c r="AM620" s="103"/>
      <c r="AN620" s="103"/>
      <c r="AO620" s="103"/>
      <c r="AP620" s="103"/>
      <c r="AQ620" s="103"/>
      <c r="AR620" s="103"/>
      <c r="AS620" s="103"/>
      <c r="AT620" s="47" t="s">
        <v>240</v>
      </c>
      <c r="AU620" s="34" t="s">
        <v>417</v>
      </c>
      <c r="AV620" s="34"/>
      <c r="AW620" s="140"/>
      <c r="AX620" s="63"/>
      <c r="AY620" s="34" t="s">
        <v>1923</v>
      </c>
      <c r="AZ620" s="63" t="s">
        <v>1924</v>
      </c>
      <c r="BB620" s="41"/>
    </row>
    <row r="621" spans="1:56" ht="15.75" hidden="1" customHeight="1">
      <c r="A621" s="138"/>
      <c r="B621" s="56" t="s">
        <v>2490</v>
      </c>
      <c r="C621" s="78" t="s">
        <v>40</v>
      </c>
      <c r="D621" s="194">
        <v>2</v>
      </c>
      <c r="E621" s="194"/>
      <c r="F621" s="103">
        <v>2</v>
      </c>
      <c r="G621" s="103"/>
      <c r="H621" s="103"/>
      <c r="I621" s="103"/>
      <c r="J621" s="103"/>
      <c r="K621" s="103"/>
      <c r="L621" s="103"/>
      <c r="M621" s="103"/>
      <c r="N621" s="103"/>
      <c r="O621" s="103"/>
      <c r="P621" s="103"/>
      <c r="Q621" s="103"/>
      <c r="R621" s="103"/>
      <c r="S621" s="103"/>
      <c r="T621" s="103"/>
      <c r="U621" s="103"/>
      <c r="V621" s="103"/>
      <c r="W621" s="103"/>
      <c r="X621" s="103"/>
      <c r="Y621" s="103"/>
      <c r="Z621" s="103"/>
      <c r="AA621" s="103"/>
      <c r="AB621" s="103"/>
      <c r="AC621" s="103"/>
      <c r="AD621" s="103"/>
      <c r="AE621" s="103"/>
      <c r="AF621" s="103"/>
      <c r="AG621" s="103"/>
      <c r="AH621" s="103"/>
      <c r="AI621" s="103"/>
      <c r="AJ621" s="103"/>
      <c r="AK621" s="103"/>
      <c r="AL621" s="103"/>
      <c r="AM621" s="103"/>
      <c r="AN621" s="103"/>
      <c r="AO621" s="103"/>
      <c r="AP621" s="103"/>
      <c r="AQ621" s="103"/>
      <c r="AR621" s="103"/>
      <c r="AS621" s="103"/>
      <c r="AT621" s="47" t="s">
        <v>241</v>
      </c>
      <c r="AU621" s="34"/>
      <c r="AV621" s="34"/>
      <c r="AW621" s="140"/>
      <c r="AX621" s="63"/>
      <c r="AY621" s="34" t="s">
        <v>1986</v>
      </c>
      <c r="AZ621" s="63" t="s">
        <v>2491</v>
      </c>
      <c r="BB621" s="41"/>
    </row>
    <row r="622" spans="1:56" s="24" customFormat="1" ht="20.100000000000001" customHeight="1">
      <c r="A622" s="189" t="s">
        <v>1075</v>
      </c>
      <c r="B622" s="25" t="s">
        <v>124</v>
      </c>
      <c r="C622" s="26" t="s">
        <v>54</v>
      </c>
      <c r="D622" s="192">
        <f t="shared" ref="D622:D627" si="33">E622+F622</f>
        <v>9.75</v>
      </c>
      <c r="E622" s="192">
        <f>SUM(E627)</f>
        <v>0.41</v>
      </c>
      <c r="F622" s="192">
        <f>SUM(G622:K622,O622:AS622)</f>
        <v>9.34</v>
      </c>
      <c r="G622" s="192">
        <f t="shared" ref="G622:AS622" si="34">SUM(G623:G627)</f>
        <v>6.43</v>
      </c>
      <c r="H622" s="192">
        <f t="shared" si="34"/>
        <v>0.6</v>
      </c>
      <c r="I622" s="192">
        <f t="shared" si="34"/>
        <v>1.65</v>
      </c>
      <c r="J622" s="192">
        <f t="shared" si="34"/>
        <v>0</v>
      </c>
      <c r="K622" s="192">
        <f t="shared" si="34"/>
        <v>0.28000000000000003</v>
      </c>
      <c r="L622" s="192">
        <f t="shared" si="34"/>
        <v>0</v>
      </c>
      <c r="M622" s="192">
        <f t="shared" si="34"/>
        <v>0.28000000000000003</v>
      </c>
      <c r="N622" s="192">
        <f t="shared" si="34"/>
        <v>0</v>
      </c>
      <c r="O622" s="192">
        <f t="shared" si="34"/>
        <v>0</v>
      </c>
      <c r="P622" s="192">
        <f t="shared" si="34"/>
        <v>0.23</v>
      </c>
      <c r="Q622" s="192">
        <f t="shared" si="34"/>
        <v>0</v>
      </c>
      <c r="R622" s="192">
        <f t="shared" si="34"/>
        <v>0</v>
      </c>
      <c r="S622" s="192">
        <f t="shared" si="34"/>
        <v>0</v>
      </c>
      <c r="T622" s="192">
        <f t="shared" si="34"/>
        <v>0</v>
      </c>
      <c r="U622" s="192">
        <f t="shared" si="34"/>
        <v>0</v>
      </c>
      <c r="V622" s="192">
        <f t="shared" si="34"/>
        <v>0</v>
      </c>
      <c r="W622" s="192">
        <f t="shared" si="34"/>
        <v>0</v>
      </c>
      <c r="X622" s="192">
        <f t="shared" si="34"/>
        <v>0</v>
      </c>
      <c r="Y622" s="192">
        <f t="shared" si="34"/>
        <v>0</v>
      </c>
      <c r="Z622" s="192">
        <f t="shared" si="34"/>
        <v>0</v>
      </c>
      <c r="AA622" s="192">
        <f t="shared" si="34"/>
        <v>0</v>
      </c>
      <c r="AB622" s="192">
        <f t="shared" si="34"/>
        <v>0</v>
      </c>
      <c r="AC622" s="192">
        <f t="shared" si="34"/>
        <v>0</v>
      </c>
      <c r="AD622" s="192">
        <f t="shared" si="34"/>
        <v>0</v>
      </c>
      <c r="AE622" s="192">
        <f t="shared" si="34"/>
        <v>0.15</v>
      </c>
      <c r="AF622" s="192">
        <f t="shared" si="34"/>
        <v>0</v>
      </c>
      <c r="AG622" s="192">
        <f t="shared" si="34"/>
        <v>0</v>
      </c>
      <c r="AH622" s="192">
        <f t="shared" si="34"/>
        <v>0</v>
      </c>
      <c r="AI622" s="192">
        <f t="shared" si="34"/>
        <v>0</v>
      </c>
      <c r="AJ622" s="192">
        <f t="shared" si="34"/>
        <v>0</v>
      </c>
      <c r="AK622" s="192">
        <f t="shared" si="34"/>
        <v>0</v>
      </c>
      <c r="AL622" s="192">
        <f t="shared" si="34"/>
        <v>0</v>
      </c>
      <c r="AM622" s="192">
        <f t="shared" si="34"/>
        <v>0</v>
      </c>
      <c r="AN622" s="192">
        <f t="shared" si="34"/>
        <v>0</v>
      </c>
      <c r="AO622" s="192">
        <f t="shared" si="34"/>
        <v>0</v>
      </c>
      <c r="AP622" s="192">
        <f t="shared" si="34"/>
        <v>0</v>
      </c>
      <c r="AQ622" s="192">
        <f t="shared" si="34"/>
        <v>0</v>
      </c>
      <c r="AR622" s="192">
        <f t="shared" si="34"/>
        <v>0</v>
      </c>
      <c r="AS622" s="192">
        <f t="shared" si="34"/>
        <v>0</v>
      </c>
      <c r="AT622" s="29"/>
      <c r="AU622" s="29"/>
      <c r="AV622" s="29"/>
      <c r="AW622" s="29"/>
      <c r="AX622" s="30"/>
      <c r="AY622" s="29"/>
      <c r="AZ622" s="30"/>
    </row>
    <row r="623" spans="1:56" ht="18" customHeight="1">
      <c r="A623" s="193">
        <v>99</v>
      </c>
      <c r="B623" s="56" t="s">
        <v>2492</v>
      </c>
      <c r="C623" s="78" t="s">
        <v>54</v>
      </c>
      <c r="D623" s="103">
        <f t="shared" si="33"/>
        <v>1.77</v>
      </c>
      <c r="E623" s="103"/>
      <c r="F623" s="103">
        <f>SUM(G623:K623,O623:AR623)</f>
        <v>1.77</v>
      </c>
      <c r="G623" s="103">
        <v>0.84</v>
      </c>
      <c r="H623" s="103"/>
      <c r="I623" s="103">
        <v>0.93</v>
      </c>
      <c r="J623" s="103"/>
      <c r="K623" s="103"/>
      <c r="L623" s="103"/>
      <c r="M623" s="103"/>
      <c r="N623" s="103"/>
      <c r="O623" s="103"/>
      <c r="P623" s="103"/>
      <c r="Q623" s="103"/>
      <c r="R623" s="103"/>
      <c r="S623" s="103"/>
      <c r="T623" s="103"/>
      <c r="U623" s="103"/>
      <c r="V623" s="103"/>
      <c r="W623" s="103"/>
      <c r="X623" s="103"/>
      <c r="Y623" s="103"/>
      <c r="Z623" s="103"/>
      <c r="AA623" s="103"/>
      <c r="AB623" s="103"/>
      <c r="AC623" s="103"/>
      <c r="AD623" s="103"/>
      <c r="AE623" s="103"/>
      <c r="AF623" s="103"/>
      <c r="AG623" s="103"/>
      <c r="AH623" s="103"/>
      <c r="AI623" s="103"/>
      <c r="AJ623" s="103"/>
      <c r="AK623" s="103"/>
      <c r="AL623" s="103"/>
      <c r="AM623" s="103"/>
      <c r="AN623" s="103"/>
      <c r="AO623" s="103"/>
      <c r="AP623" s="103"/>
      <c r="AQ623" s="103"/>
      <c r="AR623" s="103"/>
      <c r="AS623" s="103"/>
      <c r="AT623" s="34" t="s">
        <v>225</v>
      </c>
      <c r="AU623" s="34" t="s">
        <v>939</v>
      </c>
      <c r="AV623" s="34"/>
      <c r="AW623" s="34"/>
      <c r="AX623" s="39" t="s">
        <v>1920</v>
      </c>
      <c r="AY623" s="34" t="s">
        <v>1923</v>
      </c>
      <c r="AZ623" s="39" t="s">
        <v>2493</v>
      </c>
      <c r="BD623" s="24">
        <v>1</v>
      </c>
    </row>
    <row r="624" spans="1:56" ht="18" customHeight="1">
      <c r="A624" s="193">
        <v>100</v>
      </c>
      <c r="B624" s="56" t="s">
        <v>2494</v>
      </c>
      <c r="C624" s="78" t="s">
        <v>54</v>
      </c>
      <c r="D624" s="103">
        <f t="shared" si="33"/>
        <v>0.68</v>
      </c>
      <c r="E624" s="103"/>
      <c r="F624" s="103">
        <f>SUM(G624:K624,O624:AR624)</f>
        <v>0.68</v>
      </c>
      <c r="G624" s="103">
        <v>0.68</v>
      </c>
      <c r="H624" s="103"/>
      <c r="I624" s="103"/>
      <c r="J624" s="103"/>
      <c r="K624" s="103"/>
      <c r="L624" s="103"/>
      <c r="M624" s="103"/>
      <c r="N624" s="103"/>
      <c r="O624" s="103"/>
      <c r="P624" s="103"/>
      <c r="Q624" s="103"/>
      <c r="R624" s="103"/>
      <c r="S624" s="103"/>
      <c r="T624" s="103"/>
      <c r="U624" s="103"/>
      <c r="V624" s="103"/>
      <c r="W624" s="103"/>
      <c r="X624" s="103"/>
      <c r="Y624" s="103"/>
      <c r="Z624" s="103"/>
      <c r="AA624" s="103"/>
      <c r="AB624" s="103"/>
      <c r="AC624" s="103"/>
      <c r="AD624" s="103"/>
      <c r="AE624" s="103"/>
      <c r="AF624" s="103"/>
      <c r="AG624" s="103"/>
      <c r="AH624" s="103"/>
      <c r="AI624" s="103"/>
      <c r="AJ624" s="103"/>
      <c r="AK624" s="103"/>
      <c r="AL624" s="103"/>
      <c r="AM624" s="103"/>
      <c r="AN624" s="103"/>
      <c r="AO624" s="103"/>
      <c r="AP624" s="103"/>
      <c r="AQ624" s="103"/>
      <c r="AR624" s="103"/>
      <c r="AS624" s="103"/>
      <c r="AT624" s="34" t="s">
        <v>239</v>
      </c>
      <c r="AU624" s="34"/>
      <c r="AV624" s="34"/>
      <c r="AW624" s="34" t="s">
        <v>2132</v>
      </c>
      <c r="AX624" s="39" t="s">
        <v>1920</v>
      </c>
      <c r="AY624" s="34" t="s">
        <v>1923</v>
      </c>
      <c r="AZ624" s="39" t="s">
        <v>1931</v>
      </c>
      <c r="BD624" s="24">
        <v>1</v>
      </c>
    </row>
    <row r="625" spans="1:58" ht="18" customHeight="1">
      <c r="A625" s="193">
        <v>101</v>
      </c>
      <c r="B625" s="56" t="s">
        <v>2495</v>
      </c>
      <c r="C625" s="78" t="s">
        <v>54</v>
      </c>
      <c r="D625" s="103">
        <f t="shared" si="33"/>
        <v>0.16</v>
      </c>
      <c r="E625" s="103"/>
      <c r="F625" s="103">
        <f>SUM(G625:K625,O625:AR625)</f>
        <v>0.16</v>
      </c>
      <c r="G625" s="103">
        <v>0.16</v>
      </c>
      <c r="H625" s="103"/>
      <c r="I625" s="103"/>
      <c r="J625" s="103"/>
      <c r="K625" s="103"/>
      <c r="L625" s="103"/>
      <c r="M625" s="103"/>
      <c r="N625" s="103"/>
      <c r="O625" s="103"/>
      <c r="P625" s="103"/>
      <c r="Q625" s="103"/>
      <c r="R625" s="103"/>
      <c r="S625" s="103"/>
      <c r="T625" s="103"/>
      <c r="U625" s="103"/>
      <c r="V625" s="103"/>
      <c r="W625" s="103"/>
      <c r="X625" s="103"/>
      <c r="Y625" s="103"/>
      <c r="Z625" s="103"/>
      <c r="AA625" s="103"/>
      <c r="AB625" s="103"/>
      <c r="AC625" s="103"/>
      <c r="AD625" s="103"/>
      <c r="AE625" s="103"/>
      <c r="AF625" s="103"/>
      <c r="AG625" s="103"/>
      <c r="AH625" s="103"/>
      <c r="AI625" s="103"/>
      <c r="AJ625" s="103"/>
      <c r="AK625" s="103"/>
      <c r="AL625" s="103"/>
      <c r="AM625" s="103"/>
      <c r="AN625" s="103"/>
      <c r="AO625" s="103"/>
      <c r="AP625" s="103"/>
      <c r="AQ625" s="103"/>
      <c r="AR625" s="103"/>
      <c r="AS625" s="103"/>
      <c r="AT625" s="34" t="s">
        <v>240</v>
      </c>
      <c r="AU625" s="34" t="s">
        <v>452</v>
      </c>
      <c r="AV625" s="34"/>
      <c r="AW625" s="34" t="s">
        <v>2082</v>
      </c>
      <c r="AX625" s="39" t="s">
        <v>1920</v>
      </c>
      <c r="AY625" s="34" t="s">
        <v>1923</v>
      </c>
      <c r="AZ625" s="39" t="s">
        <v>1971</v>
      </c>
      <c r="BD625" s="24">
        <v>1</v>
      </c>
    </row>
    <row r="626" spans="1:58" ht="31.5">
      <c r="A626" s="193">
        <v>102</v>
      </c>
      <c r="B626" s="56" t="s">
        <v>2496</v>
      </c>
      <c r="C626" s="78" t="s">
        <v>54</v>
      </c>
      <c r="D626" s="103">
        <f t="shared" si="33"/>
        <v>0.23</v>
      </c>
      <c r="E626" s="103"/>
      <c r="F626" s="103">
        <f>SUM(G626:K626,O626:AR626)</f>
        <v>0.23</v>
      </c>
      <c r="G626" s="103"/>
      <c r="H626" s="103"/>
      <c r="I626" s="103"/>
      <c r="J626" s="103"/>
      <c r="K626" s="103"/>
      <c r="L626" s="103"/>
      <c r="M626" s="103"/>
      <c r="N626" s="103"/>
      <c r="O626" s="103"/>
      <c r="P626" s="103">
        <v>0.23</v>
      </c>
      <c r="Q626" s="103"/>
      <c r="R626" s="103"/>
      <c r="S626" s="103"/>
      <c r="T626" s="103"/>
      <c r="U626" s="103"/>
      <c r="V626" s="103"/>
      <c r="W626" s="103"/>
      <c r="X626" s="103"/>
      <c r="Y626" s="103"/>
      <c r="Z626" s="103"/>
      <c r="AA626" s="103"/>
      <c r="AB626" s="103"/>
      <c r="AC626" s="103"/>
      <c r="AD626" s="103"/>
      <c r="AE626" s="103"/>
      <c r="AF626" s="103"/>
      <c r="AG626" s="103"/>
      <c r="AH626" s="103"/>
      <c r="AI626" s="103"/>
      <c r="AJ626" s="103"/>
      <c r="AK626" s="103"/>
      <c r="AL626" s="103"/>
      <c r="AM626" s="103"/>
      <c r="AN626" s="103"/>
      <c r="AO626" s="103"/>
      <c r="AP626" s="103"/>
      <c r="AQ626" s="103"/>
      <c r="AR626" s="103"/>
      <c r="AS626" s="103"/>
      <c r="AT626" s="34" t="s">
        <v>241</v>
      </c>
      <c r="AU626" s="34" t="s">
        <v>328</v>
      </c>
      <c r="AV626" s="34"/>
      <c r="AW626" s="34"/>
      <c r="AX626" s="39" t="s">
        <v>1920</v>
      </c>
      <c r="AY626" s="34" t="s">
        <v>1923</v>
      </c>
      <c r="AZ626" s="39" t="s">
        <v>2497</v>
      </c>
      <c r="BE626" s="15">
        <v>1</v>
      </c>
    </row>
    <row r="627" spans="1:58" ht="19.350000000000001" customHeight="1">
      <c r="A627" s="193">
        <v>103</v>
      </c>
      <c r="B627" s="56" t="s">
        <v>2498</v>
      </c>
      <c r="C627" s="78" t="s">
        <v>54</v>
      </c>
      <c r="D627" s="103">
        <f t="shared" si="33"/>
        <v>6.91</v>
      </c>
      <c r="E627" s="34">
        <v>0.41</v>
      </c>
      <c r="F627" s="103">
        <f>SUM(G627:K627,O627:AR627)</f>
        <v>6.5</v>
      </c>
      <c r="G627" s="103">
        <f>5.59-SUM(G624:G626)</f>
        <v>4.75</v>
      </c>
      <c r="H627" s="103">
        <v>0.6</v>
      </c>
      <c r="I627" s="103">
        <v>0.72</v>
      </c>
      <c r="J627" s="103">
        <v>0</v>
      </c>
      <c r="K627" s="103">
        <v>0.28000000000000003</v>
      </c>
      <c r="L627" s="103">
        <v>0</v>
      </c>
      <c r="M627" s="103">
        <v>0.28000000000000003</v>
      </c>
      <c r="N627" s="103">
        <v>0</v>
      </c>
      <c r="O627" s="103">
        <v>0</v>
      </c>
      <c r="P627" s="103"/>
      <c r="Q627" s="103">
        <v>0</v>
      </c>
      <c r="R627" s="103">
        <v>0</v>
      </c>
      <c r="S627" s="103">
        <v>0</v>
      </c>
      <c r="T627" s="103">
        <v>0</v>
      </c>
      <c r="U627" s="103">
        <v>0</v>
      </c>
      <c r="V627" s="103">
        <v>0</v>
      </c>
      <c r="W627" s="103">
        <v>0</v>
      </c>
      <c r="X627" s="103">
        <v>0</v>
      </c>
      <c r="Y627" s="103">
        <v>0</v>
      </c>
      <c r="Z627" s="103">
        <v>0</v>
      </c>
      <c r="AA627" s="103">
        <v>0</v>
      </c>
      <c r="AB627" s="103">
        <v>0</v>
      </c>
      <c r="AC627" s="103">
        <v>0</v>
      </c>
      <c r="AD627" s="103">
        <v>0</v>
      </c>
      <c r="AE627" s="103">
        <v>0.15</v>
      </c>
      <c r="AF627" s="103">
        <v>0</v>
      </c>
      <c r="AG627" s="103">
        <v>0</v>
      </c>
      <c r="AH627" s="103">
        <v>0</v>
      </c>
      <c r="AI627" s="103">
        <v>0</v>
      </c>
      <c r="AJ627" s="103">
        <v>0</v>
      </c>
      <c r="AK627" s="103">
        <v>0</v>
      </c>
      <c r="AL627" s="103">
        <v>0</v>
      </c>
      <c r="AM627" s="103">
        <v>0</v>
      </c>
      <c r="AN627" s="103">
        <v>0</v>
      </c>
      <c r="AO627" s="103">
        <v>0</v>
      </c>
      <c r="AP627" s="103">
        <v>0</v>
      </c>
      <c r="AQ627" s="103">
        <v>0</v>
      </c>
      <c r="AR627" s="103">
        <v>0</v>
      </c>
      <c r="AS627" s="103">
        <v>0</v>
      </c>
      <c r="AT627" s="34" t="s">
        <v>860</v>
      </c>
      <c r="AU627" s="34" t="s">
        <v>615</v>
      </c>
      <c r="AV627" s="34"/>
      <c r="AW627" s="34"/>
      <c r="AX627" s="63" t="s">
        <v>1970</v>
      </c>
      <c r="AY627" s="34" t="s">
        <v>1917</v>
      </c>
      <c r="AZ627" s="63" t="s">
        <v>1924</v>
      </c>
      <c r="BF627" s="15">
        <v>1</v>
      </c>
    </row>
    <row r="628" spans="1:58" ht="15.75" hidden="1" customHeight="1">
      <c r="A628" s="193"/>
      <c r="B628" s="56" t="s">
        <v>1047</v>
      </c>
      <c r="C628" s="78"/>
      <c r="D628" s="103"/>
      <c r="E628" s="34"/>
      <c r="F628" s="103">
        <v>0.31</v>
      </c>
      <c r="G628" s="103"/>
      <c r="H628" s="103"/>
      <c r="I628" s="103"/>
      <c r="J628" s="103"/>
      <c r="K628" s="103"/>
      <c r="L628" s="103"/>
      <c r="M628" s="103"/>
      <c r="N628" s="103"/>
      <c r="O628" s="103"/>
      <c r="P628" s="103"/>
      <c r="Q628" s="103"/>
      <c r="R628" s="103"/>
      <c r="S628" s="103"/>
      <c r="T628" s="103"/>
      <c r="U628" s="103"/>
      <c r="V628" s="103"/>
      <c r="W628" s="103"/>
      <c r="X628" s="103"/>
      <c r="Y628" s="103"/>
      <c r="Z628" s="103"/>
      <c r="AA628" s="103"/>
      <c r="AB628" s="103"/>
      <c r="AC628" s="103"/>
      <c r="AD628" s="103"/>
      <c r="AE628" s="103"/>
      <c r="AF628" s="103"/>
      <c r="AG628" s="103"/>
      <c r="AH628" s="103"/>
      <c r="AI628" s="103"/>
      <c r="AJ628" s="103"/>
      <c r="AK628" s="103"/>
      <c r="AL628" s="103"/>
      <c r="AM628" s="103"/>
      <c r="AN628" s="103"/>
      <c r="AO628" s="103"/>
      <c r="AP628" s="103"/>
      <c r="AQ628" s="103"/>
      <c r="AR628" s="103"/>
      <c r="AS628" s="103"/>
      <c r="AT628" s="34" t="s">
        <v>221</v>
      </c>
      <c r="AU628" s="34" t="s">
        <v>308</v>
      </c>
      <c r="AV628" s="34"/>
      <c r="AW628" s="34"/>
      <c r="AX628" s="63"/>
      <c r="AY628" s="34" t="s">
        <v>1923</v>
      </c>
      <c r="AZ628" s="63" t="s">
        <v>1924</v>
      </c>
    </row>
    <row r="629" spans="1:58" ht="15.75" hidden="1" customHeight="1">
      <c r="A629" s="193"/>
      <c r="B629" s="56" t="s">
        <v>2499</v>
      </c>
      <c r="C629" s="78"/>
      <c r="D629" s="103"/>
      <c r="E629" s="34"/>
      <c r="F629" s="103">
        <v>0.6</v>
      </c>
      <c r="G629" s="103"/>
      <c r="H629" s="103"/>
      <c r="I629" s="103"/>
      <c r="J629" s="103"/>
      <c r="K629" s="103"/>
      <c r="L629" s="103"/>
      <c r="M629" s="103"/>
      <c r="N629" s="103"/>
      <c r="O629" s="103"/>
      <c r="P629" s="103"/>
      <c r="Q629" s="103"/>
      <c r="R629" s="103"/>
      <c r="S629" s="103"/>
      <c r="T629" s="103"/>
      <c r="U629" s="103"/>
      <c r="V629" s="103"/>
      <c r="W629" s="103"/>
      <c r="X629" s="103"/>
      <c r="Y629" s="103"/>
      <c r="Z629" s="103"/>
      <c r="AA629" s="103"/>
      <c r="AB629" s="103"/>
      <c r="AC629" s="103"/>
      <c r="AD629" s="103"/>
      <c r="AE629" s="103"/>
      <c r="AF629" s="103"/>
      <c r="AG629" s="103"/>
      <c r="AH629" s="103"/>
      <c r="AI629" s="103"/>
      <c r="AJ629" s="103"/>
      <c r="AK629" s="103"/>
      <c r="AL629" s="103"/>
      <c r="AM629" s="103"/>
      <c r="AN629" s="103"/>
      <c r="AO629" s="103"/>
      <c r="AP629" s="103"/>
      <c r="AQ629" s="103"/>
      <c r="AR629" s="103"/>
      <c r="AS629" s="103"/>
      <c r="AT629" s="34" t="s">
        <v>2403</v>
      </c>
      <c r="AU629" s="34" t="s">
        <v>2460</v>
      </c>
      <c r="AV629" s="34"/>
      <c r="AW629" s="34"/>
      <c r="AX629" s="63"/>
      <c r="AY629" s="140" t="s">
        <v>1923</v>
      </c>
      <c r="AZ629" s="63" t="s">
        <v>1943</v>
      </c>
      <c r="BA629" s="64"/>
      <c r="BB629" s="15" t="s">
        <v>8</v>
      </c>
    </row>
    <row r="630" spans="1:58" ht="15.75" hidden="1" customHeight="1">
      <c r="A630" s="193"/>
      <c r="B630" s="60" t="s">
        <v>2500</v>
      </c>
      <c r="C630" s="78" t="s">
        <v>54</v>
      </c>
      <c r="D630" s="222">
        <v>0.15</v>
      </c>
      <c r="E630" s="238"/>
      <c r="F630" s="222">
        <v>0.15</v>
      </c>
      <c r="G630" s="103"/>
      <c r="H630" s="103"/>
      <c r="I630" s="103"/>
      <c r="J630" s="103"/>
      <c r="K630" s="103"/>
      <c r="L630" s="103"/>
      <c r="M630" s="103"/>
      <c r="N630" s="103"/>
      <c r="O630" s="103"/>
      <c r="P630" s="103"/>
      <c r="Q630" s="103"/>
      <c r="R630" s="103"/>
      <c r="S630" s="103"/>
      <c r="T630" s="103"/>
      <c r="U630" s="103"/>
      <c r="V630" s="103"/>
      <c r="W630" s="103"/>
      <c r="X630" s="103"/>
      <c r="Y630" s="103"/>
      <c r="Z630" s="103"/>
      <c r="AA630" s="103"/>
      <c r="AB630" s="103"/>
      <c r="AC630" s="103"/>
      <c r="AD630" s="103"/>
      <c r="AE630" s="103"/>
      <c r="AF630" s="103"/>
      <c r="AG630" s="103"/>
      <c r="AH630" s="103"/>
      <c r="AI630" s="103"/>
      <c r="AJ630" s="103"/>
      <c r="AK630" s="103"/>
      <c r="AL630" s="103"/>
      <c r="AM630" s="103"/>
      <c r="AN630" s="103"/>
      <c r="AO630" s="103"/>
      <c r="AP630" s="103"/>
      <c r="AQ630" s="103"/>
      <c r="AR630" s="103"/>
      <c r="AS630" s="103"/>
      <c r="AT630" s="34" t="s">
        <v>229</v>
      </c>
      <c r="AU630" s="34"/>
      <c r="AV630" s="34"/>
      <c r="AW630" s="34"/>
      <c r="AX630" s="63"/>
      <c r="AY630" s="34" t="s">
        <v>1986</v>
      </c>
      <c r="AZ630" s="63"/>
    </row>
    <row r="631" spans="1:58" ht="15.75" hidden="1" customHeight="1">
      <c r="A631" s="193"/>
      <c r="B631" s="56" t="s">
        <v>2501</v>
      </c>
      <c r="C631" s="78"/>
      <c r="D631" s="103"/>
      <c r="E631" s="34"/>
      <c r="F631" s="103">
        <v>1.46</v>
      </c>
      <c r="G631" s="103"/>
      <c r="H631" s="103"/>
      <c r="I631" s="103"/>
      <c r="J631" s="103"/>
      <c r="K631" s="103"/>
      <c r="L631" s="103"/>
      <c r="M631" s="103"/>
      <c r="N631" s="103"/>
      <c r="O631" s="103"/>
      <c r="P631" s="103"/>
      <c r="Q631" s="103"/>
      <c r="R631" s="103"/>
      <c r="S631" s="103"/>
      <c r="T631" s="103"/>
      <c r="U631" s="103"/>
      <c r="V631" s="103"/>
      <c r="W631" s="103"/>
      <c r="X631" s="103"/>
      <c r="Y631" s="103"/>
      <c r="Z631" s="103"/>
      <c r="AA631" s="103"/>
      <c r="AB631" s="103"/>
      <c r="AC631" s="103"/>
      <c r="AD631" s="103"/>
      <c r="AE631" s="103"/>
      <c r="AF631" s="103"/>
      <c r="AG631" s="103"/>
      <c r="AH631" s="103"/>
      <c r="AI631" s="103"/>
      <c r="AJ631" s="103"/>
      <c r="AK631" s="103"/>
      <c r="AL631" s="103"/>
      <c r="AM631" s="103"/>
      <c r="AN631" s="103"/>
      <c r="AO631" s="103"/>
      <c r="AP631" s="103"/>
      <c r="AQ631" s="103"/>
      <c r="AR631" s="103"/>
      <c r="AS631" s="103"/>
      <c r="AT631" s="34" t="s">
        <v>230</v>
      </c>
      <c r="AU631" s="34"/>
      <c r="AV631" s="34"/>
      <c r="AW631" s="34"/>
      <c r="AX631" s="63"/>
      <c r="AY631" s="34" t="s">
        <v>1923</v>
      </c>
      <c r="AZ631" s="63" t="s">
        <v>1950</v>
      </c>
    </row>
    <row r="632" spans="1:58" ht="15.75" hidden="1" customHeight="1">
      <c r="A632" s="193"/>
      <c r="B632" s="56" t="s">
        <v>2502</v>
      </c>
      <c r="C632" s="78"/>
      <c r="D632" s="103"/>
      <c r="E632" s="34"/>
      <c r="F632" s="103">
        <v>2</v>
      </c>
      <c r="G632" s="103"/>
      <c r="H632" s="103"/>
      <c r="I632" s="103"/>
      <c r="J632" s="103"/>
      <c r="K632" s="103"/>
      <c r="L632" s="103"/>
      <c r="M632" s="103"/>
      <c r="N632" s="103"/>
      <c r="O632" s="103"/>
      <c r="P632" s="103"/>
      <c r="Q632" s="103"/>
      <c r="R632" s="103"/>
      <c r="S632" s="103"/>
      <c r="T632" s="103"/>
      <c r="U632" s="103"/>
      <c r="V632" s="103"/>
      <c r="W632" s="103"/>
      <c r="X632" s="103"/>
      <c r="Y632" s="103"/>
      <c r="Z632" s="103"/>
      <c r="AA632" s="103"/>
      <c r="AB632" s="103"/>
      <c r="AC632" s="103"/>
      <c r="AD632" s="103"/>
      <c r="AE632" s="103"/>
      <c r="AF632" s="103"/>
      <c r="AG632" s="103"/>
      <c r="AH632" s="103"/>
      <c r="AI632" s="103"/>
      <c r="AJ632" s="103"/>
      <c r="AK632" s="103"/>
      <c r="AL632" s="103"/>
      <c r="AM632" s="103"/>
      <c r="AN632" s="103"/>
      <c r="AO632" s="103"/>
      <c r="AP632" s="103"/>
      <c r="AQ632" s="103"/>
      <c r="AR632" s="103"/>
      <c r="AS632" s="103"/>
      <c r="AT632" s="34" t="s">
        <v>231</v>
      </c>
      <c r="AU632" s="34" t="s">
        <v>305</v>
      </c>
      <c r="AV632" s="34"/>
      <c r="AW632" s="34"/>
      <c r="AX632" s="63"/>
      <c r="AY632" s="34" t="s">
        <v>1923</v>
      </c>
      <c r="AZ632" s="39" t="s">
        <v>1952</v>
      </c>
    </row>
    <row r="633" spans="1:58" ht="15.75" hidden="1" customHeight="1">
      <c r="A633" s="220"/>
      <c r="B633" s="56" t="s">
        <v>2503</v>
      </c>
      <c r="C633" s="78"/>
      <c r="D633" s="103"/>
      <c r="E633" s="34"/>
      <c r="F633" s="103">
        <v>0.2</v>
      </c>
      <c r="G633" s="103"/>
      <c r="H633" s="103"/>
      <c r="I633" s="103"/>
      <c r="J633" s="103"/>
      <c r="K633" s="103"/>
      <c r="L633" s="103"/>
      <c r="M633" s="103"/>
      <c r="N633" s="103"/>
      <c r="O633" s="103"/>
      <c r="P633" s="103"/>
      <c r="Q633" s="103"/>
      <c r="R633" s="103"/>
      <c r="S633" s="103"/>
      <c r="T633" s="103"/>
      <c r="U633" s="103"/>
      <c r="V633" s="103"/>
      <c r="W633" s="103"/>
      <c r="X633" s="103"/>
      <c r="Y633" s="103"/>
      <c r="Z633" s="103"/>
      <c r="AA633" s="103"/>
      <c r="AB633" s="103"/>
      <c r="AC633" s="103"/>
      <c r="AD633" s="103"/>
      <c r="AE633" s="103"/>
      <c r="AF633" s="103"/>
      <c r="AG633" s="103"/>
      <c r="AH633" s="103"/>
      <c r="AI633" s="103"/>
      <c r="AJ633" s="103"/>
      <c r="AK633" s="103"/>
      <c r="AL633" s="103"/>
      <c r="AM633" s="103"/>
      <c r="AN633" s="103"/>
      <c r="AO633" s="103"/>
      <c r="AP633" s="103"/>
      <c r="AQ633" s="103"/>
      <c r="AR633" s="103"/>
      <c r="AS633" s="103"/>
      <c r="AT633" s="34" t="s">
        <v>234</v>
      </c>
      <c r="AU633" s="34" t="s">
        <v>328</v>
      </c>
      <c r="AV633" s="34"/>
      <c r="AW633" s="34"/>
      <c r="AX633" s="63"/>
      <c r="AY633" s="34" t="s">
        <v>1923</v>
      </c>
      <c r="AZ633" s="63" t="s">
        <v>1931</v>
      </c>
      <c r="BA633" s="15" t="s">
        <v>7</v>
      </c>
    </row>
    <row r="634" spans="1:58" ht="31.5" hidden="1" customHeight="1">
      <c r="A634" s="193"/>
      <c r="B634" s="56" t="s">
        <v>2504</v>
      </c>
      <c r="C634" s="78"/>
      <c r="D634" s="103"/>
      <c r="E634" s="34"/>
      <c r="F634" s="103">
        <v>1.5</v>
      </c>
      <c r="G634" s="103"/>
      <c r="H634" s="103"/>
      <c r="I634" s="103"/>
      <c r="J634" s="103"/>
      <c r="K634" s="103"/>
      <c r="L634" s="103"/>
      <c r="M634" s="103"/>
      <c r="N634" s="103"/>
      <c r="O634" s="103"/>
      <c r="P634" s="103"/>
      <c r="Q634" s="103"/>
      <c r="R634" s="103"/>
      <c r="S634" s="103"/>
      <c r="T634" s="103"/>
      <c r="U634" s="103"/>
      <c r="V634" s="103"/>
      <c r="W634" s="103"/>
      <c r="X634" s="103"/>
      <c r="Y634" s="103"/>
      <c r="Z634" s="103"/>
      <c r="AA634" s="103"/>
      <c r="AB634" s="103"/>
      <c r="AC634" s="103"/>
      <c r="AD634" s="103"/>
      <c r="AE634" s="103"/>
      <c r="AF634" s="103"/>
      <c r="AG634" s="103"/>
      <c r="AH634" s="103"/>
      <c r="AI634" s="103"/>
      <c r="AJ634" s="103"/>
      <c r="AK634" s="103"/>
      <c r="AL634" s="103"/>
      <c r="AM634" s="103"/>
      <c r="AN634" s="103"/>
      <c r="AO634" s="103"/>
      <c r="AP634" s="103"/>
      <c r="AQ634" s="103"/>
      <c r="AR634" s="103"/>
      <c r="AS634" s="103"/>
      <c r="AT634" s="34" t="s">
        <v>429</v>
      </c>
      <c r="AU634" s="34" t="s">
        <v>2505</v>
      </c>
      <c r="AV634" s="34"/>
      <c r="AW634" s="34"/>
      <c r="AX634" s="63"/>
      <c r="AY634" s="140" t="s">
        <v>1923</v>
      </c>
      <c r="AZ634" s="63" t="s">
        <v>2506</v>
      </c>
    </row>
    <row r="635" spans="1:58" ht="15.75" hidden="1" customHeight="1">
      <c r="A635" s="193"/>
      <c r="B635" s="56" t="s">
        <v>1065</v>
      </c>
      <c r="C635" s="78"/>
      <c r="D635" s="103"/>
      <c r="E635" s="34"/>
      <c r="F635" s="103">
        <v>0.28000000000000003</v>
      </c>
      <c r="G635" s="103"/>
      <c r="H635" s="103"/>
      <c r="I635" s="103"/>
      <c r="J635" s="103"/>
      <c r="K635" s="103"/>
      <c r="L635" s="103"/>
      <c r="M635" s="103"/>
      <c r="N635" s="103"/>
      <c r="O635" s="103"/>
      <c r="P635" s="103"/>
      <c r="Q635" s="103"/>
      <c r="R635" s="103"/>
      <c r="S635" s="103"/>
      <c r="T635" s="103"/>
      <c r="U635" s="103"/>
      <c r="V635" s="103"/>
      <c r="W635" s="103"/>
      <c r="X635" s="103"/>
      <c r="Y635" s="103"/>
      <c r="Z635" s="103"/>
      <c r="AA635" s="103"/>
      <c r="AB635" s="103"/>
      <c r="AC635" s="103"/>
      <c r="AD635" s="103"/>
      <c r="AE635" s="103"/>
      <c r="AF635" s="103"/>
      <c r="AG635" s="103"/>
      <c r="AH635" s="103"/>
      <c r="AI635" s="103"/>
      <c r="AJ635" s="103"/>
      <c r="AK635" s="103"/>
      <c r="AL635" s="103"/>
      <c r="AM635" s="103"/>
      <c r="AN635" s="103"/>
      <c r="AO635" s="103"/>
      <c r="AP635" s="103"/>
      <c r="AQ635" s="103"/>
      <c r="AR635" s="103"/>
      <c r="AS635" s="103"/>
      <c r="AT635" s="34" t="s">
        <v>237</v>
      </c>
      <c r="AU635" s="34"/>
      <c r="AV635" s="34"/>
      <c r="AW635" s="34"/>
      <c r="AX635" s="63"/>
      <c r="AY635" s="34" t="s">
        <v>1923</v>
      </c>
      <c r="AZ635" s="63" t="s">
        <v>1924</v>
      </c>
      <c r="BA635" s="234" t="s">
        <v>308</v>
      </c>
    </row>
    <row r="636" spans="1:58" s="24" customFormat="1" ht="23.45" customHeight="1">
      <c r="A636" s="189" t="s">
        <v>1250</v>
      </c>
      <c r="B636" s="25" t="s">
        <v>99</v>
      </c>
      <c r="C636" s="26" t="s">
        <v>112</v>
      </c>
      <c r="D636" s="192">
        <f>E636+F636</f>
        <v>13.670999999999999</v>
      </c>
      <c r="E636" s="192">
        <f>SUM(E637)</f>
        <v>1.06</v>
      </c>
      <c r="F636" s="192">
        <f>SUM(G636:K636,O636:AS636)</f>
        <v>12.610999999999999</v>
      </c>
      <c r="G636" s="192">
        <f t="shared" ref="G636:AS636" si="35">SUM(G637:G637)</f>
        <v>2.79</v>
      </c>
      <c r="H636" s="192">
        <f t="shared" si="35"/>
        <v>2.11</v>
      </c>
      <c r="I636" s="192">
        <f t="shared" si="35"/>
        <v>1.6609999999999998</v>
      </c>
      <c r="J636" s="192">
        <f t="shared" si="35"/>
        <v>1.2800000000000002</v>
      </c>
      <c r="K636" s="192">
        <f t="shared" si="35"/>
        <v>1.3399999999999999</v>
      </c>
      <c r="L636" s="192">
        <f t="shared" si="35"/>
        <v>0</v>
      </c>
      <c r="M636" s="192">
        <f t="shared" si="35"/>
        <v>1.3399999999999999</v>
      </c>
      <c r="N636" s="192">
        <f t="shared" si="35"/>
        <v>0</v>
      </c>
      <c r="O636" s="192">
        <f t="shared" si="35"/>
        <v>0</v>
      </c>
      <c r="P636" s="192">
        <f t="shared" si="35"/>
        <v>0.44999999999999996</v>
      </c>
      <c r="Q636" s="192">
        <f t="shared" si="35"/>
        <v>0</v>
      </c>
      <c r="R636" s="192">
        <f t="shared" si="35"/>
        <v>0</v>
      </c>
      <c r="S636" s="192">
        <f t="shared" si="35"/>
        <v>0</v>
      </c>
      <c r="T636" s="192">
        <f t="shared" si="35"/>
        <v>0</v>
      </c>
      <c r="U636" s="192">
        <f t="shared" si="35"/>
        <v>0</v>
      </c>
      <c r="V636" s="192">
        <f t="shared" si="35"/>
        <v>0</v>
      </c>
      <c r="W636" s="192">
        <f t="shared" si="35"/>
        <v>0</v>
      </c>
      <c r="X636" s="192">
        <f t="shared" si="35"/>
        <v>0.16</v>
      </c>
      <c r="Y636" s="192">
        <f t="shared" si="35"/>
        <v>1.29</v>
      </c>
      <c r="Z636" s="192">
        <f t="shared" si="35"/>
        <v>0.03</v>
      </c>
      <c r="AA636" s="192">
        <f t="shared" si="35"/>
        <v>0</v>
      </c>
      <c r="AB636" s="192">
        <f t="shared" si="35"/>
        <v>7.0000000000000007E-2</v>
      </c>
      <c r="AC636" s="192">
        <f t="shared" si="35"/>
        <v>0</v>
      </c>
      <c r="AD636" s="192">
        <f t="shared" si="35"/>
        <v>0</v>
      </c>
      <c r="AE636" s="192">
        <f t="shared" si="35"/>
        <v>0</v>
      </c>
      <c r="AF636" s="192">
        <f t="shared" si="35"/>
        <v>0</v>
      </c>
      <c r="AG636" s="192">
        <f t="shared" si="35"/>
        <v>0</v>
      </c>
      <c r="AH636" s="192">
        <f t="shared" si="35"/>
        <v>0</v>
      </c>
      <c r="AI636" s="192">
        <f t="shared" si="35"/>
        <v>0</v>
      </c>
      <c r="AJ636" s="192">
        <f t="shared" si="35"/>
        <v>0</v>
      </c>
      <c r="AK636" s="192">
        <f t="shared" si="35"/>
        <v>0</v>
      </c>
      <c r="AL636" s="192">
        <f t="shared" si="35"/>
        <v>0</v>
      </c>
      <c r="AM636" s="192">
        <f t="shared" si="35"/>
        <v>0</v>
      </c>
      <c r="AN636" s="192">
        <f t="shared" si="35"/>
        <v>1.23</v>
      </c>
      <c r="AO636" s="192">
        <f t="shared" si="35"/>
        <v>0</v>
      </c>
      <c r="AP636" s="192">
        <f t="shared" si="35"/>
        <v>0</v>
      </c>
      <c r="AQ636" s="192">
        <f t="shared" si="35"/>
        <v>0.2</v>
      </c>
      <c r="AR636" s="192">
        <f t="shared" si="35"/>
        <v>0</v>
      </c>
      <c r="AS636" s="192">
        <f t="shared" si="35"/>
        <v>0</v>
      </c>
      <c r="AT636" s="29"/>
      <c r="AU636" s="29"/>
      <c r="AV636" s="29"/>
      <c r="AW636" s="29"/>
      <c r="AX636" s="30"/>
      <c r="AY636" s="29"/>
      <c r="AZ636" s="30"/>
    </row>
    <row r="637" spans="1:58" ht="22.35" customHeight="1">
      <c r="A637" s="193">
        <v>104</v>
      </c>
      <c r="B637" s="56" t="s">
        <v>99</v>
      </c>
      <c r="C637" s="78" t="s">
        <v>112</v>
      </c>
      <c r="D637" s="194">
        <f>E637+F637</f>
        <v>13.670999999999999</v>
      </c>
      <c r="E637" s="103">
        <v>1.06</v>
      </c>
      <c r="F637" s="194">
        <f>SUM(G637:K637,O637:AR637)</f>
        <v>12.610999999999999</v>
      </c>
      <c r="G637" s="103">
        <v>2.79</v>
      </c>
      <c r="H637" s="103">
        <v>2.11</v>
      </c>
      <c r="I637" s="103">
        <v>1.6609999999999998</v>
      </c>
      <c r="J637" s="103">
        <v>1.2800000000000002</v>
      </c>
      <c r="K637" s="103">
        <v>1.3399999999999999</v>
      </c>
      <c r="L637" s="103">
        <v>0</v>
      </c>
      <c r="M637" s="103">
        <v>1.3399999999999999</v>
      </c>
      <c r="N637" s="103">
        <v>0</v>
      </c>
      <c r="O637" s="103">
        <v>0</v>
      </c>
      <c r="P637" s="103">
        <v>0.44999999999999996</v>
      </c>
      <c r="Q637" s="103">
        <v>0</v>
      </c>
      <c r="R637" s="103">
        <v>0</v>
      </c>
      <c r="S637" s="103">
        <v>0</v>
      </c>
      <c r="T637" s="103">
        <v>0</v>
      </c>
      <c r="U637" s="103">
        <v>0</v>
      </c>
      <c r="V637" s="103">
        <v>0</v>
      </c>
      <c r="W637" s="103">
        <v>0</v>
      </c>
      <c r="X637" s="103">
        <v>0.16</v>
      </c>
      <c r="Y637" s="103">
        <v>1.29</v>
      </c>
      <c r="Z637" s="103">
        <v>0.03</v>
      </c>
      <c r="AA637" s="103">
        <v>0</v>
      </c>
      <c r="AB637" s="103">
        <v>7.0000000000000007E-2</v>
      </c>
      <c r="AC637" s="103">
        <v>0</v>
      </c>
      <c r="AD637" s="103">
        <v>0</v>
      </c>
      <c r="AE637" s="103">
        <v>0</v>
      </c>
      <c r="AF637" s="103">
        <v>0</v>
      </c>
      <c r="AG637" s="103">
        <v>0</v>
      </c>
      <c r="AH637" s="103">
        <v>0</v>
      </c>
      <c r="AI637" s="103">
        <v>0</v>
      </c>
      <c r="AJ637" s="103">
        <v>0</v>
      </c>
      <c r="AK637" s="103">
        <v>0</v>
      </c>
      <c r="AL637" s="103">
        <v>0</v>
      </c>
      <c r="AM637" s="103">
        <v>0</v>
      </c>
      <c r="AN637" s="103">
        <v>1.23</v>
      </c>
      <c r="AO637" s="103">
        <v>0</v>
      </c>
      <c r="AP637" s="103">
        <v>0</v>
      </c>
      <c r="AQ637" s="103">
        <v>0.2</v>
      </c>
      <c r="AR637" s="103">
        <v>0</v>
      </c>
      <c r="AS637" s="103">
        <v>0</v>
      </c>
      <c r="AT637" s="34" t="s">
        <v>860</v>
      </c>
      <c r="AU637" s="34" t="s">
        <v>615</v>
      </c>
      <c r="AV637" s="34"/>
      <c r="AW637" s="34"/>
      <c r="AX637" s="63" t="s">
        <v>1970</v>
      </c>
      <c r="AY637" s="34" t="s">
        <v>1917</v>
      </c>
      <c r="AZ637" s="63" t="s">
        <v>1924</v>
      </c>
      <c r="BF637" s="15">
        <v>1</v>
      </c>
    </row>
    <row r="638" spans="1:58" ht="31.5" hidden="1" customHeight="1">
      <c r="A638" s="193"/>
      <c r="B638" s="60" t="s">
        <v>2507</v>
      </c>
      <c r="C638" s="78"/>
      <c r="D638" s="194"/>
      <c r="E638" s="103"/>
      <c r="F638" s="194">
        <v>0.15</v>
      </c>
      <c r="G638" s="103"/>
      <c r="H638" s="103"/>
      <c r="I638" s="103"/>
      <c r="J638" s="103"/>
      <c r="K638" s="103"/>
      <c r="L638" s="103"/>
      <c r="M638" s="103"/>
      <c r="N638" s="103"/>
      <c r="O638" s="103"/>
      <c r="P638" s="103"/>
      <c r="Q638" s="103"/>
      <c r="R638" s="103"/>
      <c r="S638" s="103"/>
      <c r="T638" s="103"/>
      <c r="U638" s="103"/>
      <c r="V638" s="103"/>
      <c r="W638" s="103"/>
      <c r="X638" s="103"/>
      <c r="Y638" s="103"/>
      <c r="Z638" s="103"/>
      <c r="AA638" s="103"/>
      <c r="AB638" s="103"/>
      <c r="AC638" s="103"/>
      <c r="AD638" s="103"/>
      <c r="AE638" s="103"/>
      <c r="AF638" s="103"/>
      <c r="AG638" s="103"/>
      <c r="AH638" s="103"/>
      <c r="AI638" s="103"/>
      <c r="AJ638" s="103"/>
      <c r="AK638" s="103"/>
      <c r="AL638" s="103"/>
      <c r="AM638" s="103"/>
      <c r="AN638" s="103"/>
      <c r="AO638" s="103"/>
      <c r="AP638" s="103"/>
      <c r="AQ638" s="103"/>
      <c r="AR638" s="103"/>
      <c r="AS638" s="103"/>
      <c r="AT638" s="34" t="s">
        <v>289</v>
      </c>
      <c r="AU638" s="34" t="s">
        <v>295</v>
      </c>
      <c r="AV638" s="34"/>
      <c r="AW638" s="34"/>
      <c r="AX638" s="63"/>
      <c r="AY638" s="34" t="s">
        <v>1917</v>
      </c>
      <c r="AZ638" s="63" t="s">
        <v>2508</v>
      </c>
    </row>
    <row r="639" spans="1:58" ht="31.5" hidden="1" customHeight="1">
      <c r="A639" s="193"/>
      <c r="B639" s="60" t="s">
        <v>2509</v>
      </c>
      <c r="C639" s="78"/>
      <c r="D639" s="194"/>
      <c r="E639" s="103"/>
      <c r="F639" s="194">
        <v>0.15</v>
      </c>
      <c r="G639" s="103"/>
      <c r="H639" s="103"/>
      <c r="I639" s="103"/>
      <c r="J639" s="103"/>
      <c r="K639" s="103"/>
      <c r="L639" s="103"/>
      <c r="M639" s="103"/>
      <c r="N639" s="103"/>
      <c r="O639" s="103"/>
      <c r="P639" s="103"/>
      <c r="Q639" s="103"/>
      <c r="R639" s="103"/>
      <c r="S639" s="103"/>
      <c r="T639" s="103"/>
      <c r="U639" s="103"/>
      <c r="V639" s="103"/>
      <c r="W639" s="103"/>
      <c r="X639" s="103"/>
      <c r="Y639" s="103"/>
      <c r="Z639" s="103"/>
      <c r="AA639" s="103"/>
      <c r="AB639" s="103"/>
      <c r="AC639" s="103"/>
      <c r="AD639" s="103"/>
      <c r="AE639" s="103"/>
      <c r="AF639" s="103"/>
      <c r="AG639" s="103"/>
      <c r="AH639" s="103"/>
      <c r="AI639" s="103"/>
      <c r="AJ639" s="103"/>
      <c r="AK639" s="103"/>
      <c r="AL639" s="103"/>
      <c r="AM639" s="103"/>
      <c r="AN639" s="103"/>
      <c r="AO639" s="103"/>
      <c r="AP639" s="103"/>
      <c r="AQ639" s="103"/>
      <c r="AR639" s="103"/>
      <c r="AS639" s="103"/>
      <c r="AT639" s="34" t="s">
        <v>289</v>
      </c>
      <c r="AU639" s="34" t="s">
        <v>290</v>
      </c>
      <c r="AV639" s="34"/>
      <c r="AW639" s="34"/>
      <c r="AX639" s="63"/>
      <c r="AY639" s="34" t="s">
        <v>1917</v>
      </c>
      <c r="AZ639" s="63" t="s">
        <v>2510</v>
      </c>
    </row>
    <row r="640" spans="1:58" ht="31.5" hidden="1" customHeight="1">
      <c r="A640" s="193"/>
      <c r="B640" s="60" t="s">
        <v>2511</v>
      </c>
      <c r="C640" s="78"/>
      <c r="D640" s="194"/>
      <c r="E640" s="103"/>
      <c r="F640" s="194">
        <v>0.15</v>
      </c>
      <c r="G640" s="103"/>
      <c r="H640" s="103"/>
      <c r="I640" s="103"/>
      <c r="J640" s="103"/>
      <c r="K640" s="103"/>
      <c r="L640" s="103"/>
      <c r="M640" s="103"/>
      <c r="N640" s="103"/>
      <c r="O640" s="103"/>
      <c r="P640" s="103"/>
      <c r="Q640" s="103"/>
      <c r="R640" s="103"/>
      <c r="S640" s="103"/>
      <c r="T640" s="103"/>
      <c r="U640" s="103"/>
      <c r="V640" s="103"/>
      <c r="W640" s="103"/>
      <c r="X640" s="103"/>
      <c r="Y640" s="103"/>
      <c r="Z640" s="103"/>
      <c r="AA640" s="103"/>
      <c r="AB640" s="103"/>
      <c r="AC640" s="103"/>
      <c r="AD640" s="103"/>
      <c r="AE640" s="103"/>
      <c r="AF640" s="103"/>
      <c r="AG640" s="103"/>
      <c r="AH640" s="103"/>
      <c r="AI640" s="103"/>
      <c r="AJ640" s="103"/>
      <c r="AK640" s="103"/>
      <c r="AL640" s="103"/>
      <c r="AM640" s="103"/>
      <c r="AN640" s="103"/>
      <c r="AO640" s="103"/>
      <c r="AP640" s="103"/>
      <c r="AQ640" s="103"/>
      <c r="AR640" s="103"/>
      <c r="AS640" s="103"/>
      <c r="AT640" s="34" t="s">
        <v>289</v>
      </c>
      <c r="AU640" s="34" t="s">
        <v>735</v>
      </c>
      <c r="AV640" s="34"/>
      <c r="AW640" s="34"/>
      <c r="AX640" s="63"/>
      <c r="AY640" s="34" t="s">
        <v>1917</v>
      </c>
      <c r="AZ640" s="63" t="s">
        <v>2508</v>
      </c>
    </row>
    <row r="641" spans="1:54" ht="31.5" hidden="1" customHeight="1">
      <c r="A641" s="193"/>
      <c r="B641" s="60" t="s">
        <v>2512</v>
      </c>
      <c r="C641" s="78"/>
      <c r="D641" s="194"/>
      <c r="E641" s="103"/>
      <c r="F641" s="241">
        <v>0.1</v>
      </c>
      <c r="G641" s="103"/>
      <c r="H641" s="103"/>
      <c r="I641" s="103"/>
      <c r="J641" s="103"/>
      <c r="K641" s="103"/>
      <c r="L641" s="103"/>
      <c r="M641" s="103"/>
      <c r="N641" s="103"/>
      <c r="O641" s="103"/>
      <c r="P641" s="103"/>
      <c r="Q641" s="103"/>
      <c r="R641" s="103"/>
      <c r="S641" s="103"/>
      <c r="T641" s="103"/>
      <c r="U641" s="103"/>
      <c r="V641" s="103"/>
      <c r="W641" s="103"/>
      <c r="X641" s="103"/>
      <c r="Y641" s="103"/>
      <c r="Z641" s="103"/>
      <c r="AA641" s="103"/>
      <c r="AB641" s="103"/>
      <c r="AC641" s="103"/>
      <c r="AD641" s="103"/>
      <c r="AE641" s="103"/>
      <c r="AF641" s="103"/>
      <c r="AG641" s="103"/>
      <c r="AH641" s="103"/>
      <c r="AI641" s="103"/>
      <c r="AJ641" s="103"/>
      <c r="AK641" s="103"/>
      <c r="AL641" s="103"/>
      <c r="AM641" s="103"/>
      <c r="AN641" s="103"/>
      <c r="AO641" s="103"/>
      <c r="AP641" s="103"/>
      <c r="AQ641" s="103"/>
      <c r="AR641" s="103"/>
      <c r="AS641" s="103"/>
      <c r="AT641" s="34" t="s">
        <v>2513</v>
      </c>
      <c r="AU641" s="34" t="s">
        <v>389</v>
      </c>
      <c r="AV641" s="34"/>
      <c r="AW641" s="34"/>
      <c r="AX641" s="63"/>
      <c r="AY641" s="34" t="s">
        <v>1917</v>
      </c>
      <c r="AZ641" s="63" t="s">
        <v>1087</v>
      </c>
    </row>
    <row r="642" spans="1:54" ht="15.75" hidden="1" customHeight="1">
      <c r="A642" s="193"/>
      <c r="B642" s="60" t="s">
        <v>2514</v>
      </c>
      <c r="C642" s="78"/>
      <c r="D642" s="194"/>
      <c r="E642" s="103"/>
      <c r="F642" s="241">
        <v>0.1</v>
      </c>
      <c r="G642" s="103"/>
      <c r="H642" s="103"/>
      <c r="I642" s="103"/>
      <c r="J642" s="103"/>
      <c r="K642" s="103"/>
      <c r="L642" s="103"/>
      <c r="M642" s="103"/>
      <c r="N642" s="103"/>
      <c r="O642" s="103"/>
      <c r="P642" s="103"/>
      <c r="Q642" s="103"/>
      <c r="R642" s="103"/>
      <c r="S642" s="103"/>
      <c r="T642" s="103"/>
      <c r="U642" s="103"/>
      <c r="V642" s="103"/>
      <c r="W642" s="103"/>
      <c r="X642" s="103"/>
      <c r="Y642" s="103"/>
      <c r="Z642" s="103"/>
      <c r="AA642" s="103"/>
      <c r="AB642" s="103"/>
      <c r="AC642" s="103"/>
      <c r="AD642" s="103"/>
      <c r="AE642" s="103"/>
      <c r="AF642" s="103"/>
      <c r="AG642" s="103"/>
      <c r="AH642" s="103"/>
      <c r="AI642" s="103"/>
      <c r="AJ642" s="103"/>
      <c r="AK642" s="103"/>
      <c r="AL642" s="103"/>
      <c r="AM642" s="103"/>
      <c r="AN642" s="103"/>
      <c r="AO642" s="103"/>
      <c r="AP642" s="103"/>
      <c r="AQ642" s="103"/>
      <c r="AR642" s="103"/>
      <c r="AS642" s="103"/>
      <c r="AT642" s="34" t="s">
        <v>2513</v>
      </c>
      <c r="AU642" s="34" t="s">
        <v>328</v>
      </c>
      <c r="AV642" s="34"/>
      <c r="AW642" s="34"/>
      <c r="AX642" s="63"/>
      <c r="AY642" s="34" t="s">
        <v>1923</v>
      </c>
      <c r="AZ642" s="63" t="s">
        <v>1924</v>
      </c>
    </row>
    <row r="643" spans="1:54" ht="15.75" hidden="1" customHeight="1">
      <c r="A643" s="193"/>
      <c r="B643" s="60" t="s">
        <v>2515</v>
      </c>
      <c r="C643" s="78"/>
      <c r="D643" s="194"/>
      <c r="E643" s="103"/>
      <c r="F643" s="241">
        <v>0.06</v>
      </c>
      <c r="G643" s="103"/>
      <c r="H643" s="103"/>
      <c r="I643" s="103"/>
      <c r="J643" s="103"/>
      <c r="K643" s="103"/>
      <c r="L643" s="103"/>
      <c r="M643" s="103"/>
      <c r="N643" s="103"/>
      <c r="O643" s="103"/>
      <c r="P643" s="103"/>
      <c r="Q643" s="103"/>
      <c r="R643" s="103"/>
      <c r="S643" s="103"/>
      <c r="T643" s="103"/>
      <c r="U643" s="103"/>
      <c r="V643" s="103"/>
      <c r="W643" s="103"/>
      <c r="X643" s="103"/>
      <c r="Y643" s="103"/>
      <c r="Z643" s="103"/>
      <c r="AA643" s="103"/>
      <c r="AB643" s="103"/>
      <c r="AC643" s="103"/>
      <c r="AD643" s="103"/>
      <c r="AE643" s="103"/>
      <c r="AF643" s="103"/>
      <c r="AG643" s="103"/>
      <c r="AH643" s="103"/>
      <c r="AI643" s="103"/>
      <c r="AJ643" s="103"/>
      <c r="AK643" s="103"/>
      <c r="AL643" s="103"/>
      <c r="AM643" s="103"/>
      <c r="AN643" s="103"/>
      <c r="AO643" s="103"/>
      <c r="AP643" s="103"/>
      <c r="AQ643" s="103"/>
      <c r="AR643" s="103"/>
      <c r="AS643" s="103"/>
      <c r="AT643" s="34" t="s">
        <v>2513</v>
      </c>
      <c r="AU643" s="34" t="s">
        <v>451</v>
      </c>
      <c r="AV643" s="34"/>
      <c r="AW643" s="34"/>
      <c r="AX643" s="63"/>
      <c r="AY643" s="34" t="s">
        <v>1923</v>
      </c>
      <c r="AZ643" s="63" t="s">
        <v>2516</v>
      </c>
    </row>
    <row r="644" spans="1:54" ht="31.5" hidden="1" customHeight="1">
      <c r="A644" s="193"/>
      <c r="B644" s="60" t="s">
        <v>2517</v>
      </c>
      <c r="C644" s="78"/>
      <c r="D644" s="194"/>
      <c r="E644" s="103"/>
      <c r="F644" s="241">
        <v>0.1</v>
      </c>
      <c r="G644" s="103"/>
      <c r="H644" s="103"/>
      <c r="I644" s="103"/>
      <c r="J644" s="103"/>
      <c r="K644" s="103"/>
      <c r="L644" s="103"/>
      <c r="M644" s="103"/>
      <c r="N644" s="103"/>
      <c r="O644" s="103"/>
      <c r="P644" s="103"/>
      <c r="Q644" s="103"/>
      <c r="R644" s="103"/>
      <c r="S644" s="103"/>
      <c r="T644" s="103"/>
      <c r="U644" s="103"/>
      <c r="V644" s="103"/>
      <c r="W644" s="103"/>
      <c r="X644" s="103"/>
      <c r="Y644" s="103"/>
      <c r="Z644" s="103"/>
      <c r="AA644" s="103"/>
      <c r="AB644" s="103"/>
      <c r="AC644" s="103"/>
      <c r="AD644" s="103"/>
      <c r="AE644" s="103"/>
      <c r="AF644" s="103"/>
      <c r="AG644" s="103"/>
      <c r="AH644" s="103"/>
      <c r="AI644" s="103"/>
      <c r="AJ644" s="103"/>
      <c r="AK644" s="103"/>
      <c r="AL644" s="103"/>
      <c r="AM644" s="103"/>
      <c r="AN644" s="103"/>
      <c r="AO644" s="103"/>
      <c r="AP644" s="103"/>
      <c r="AQ644" s="103"/>
      <c r="AR644" s="103"/>
      <c r="AS644" s="103"/>
      <c r="AT644" s="34" t="s">
        <v>2513</v>
      </c>
      <c r="AU644" s="34" t="s">
        <v>387</v>
      </c>
      <c r="AV644" s="34"/>
      <c r="AW644" s="34"/>
      <c r="AX644" s="63"/>
      <c r="AY644" s="34" t="s">
        <v>1917</v>
      </c>
      <c r="AZ644" s="63" t="s">
        <v>1087</v>
      </c>
    </row>
    <row r="645" spans="1:54" ht="15.75" hidden="1" customHeight="1">
      <c r="A645" s="193"/>
      <c r="B645" s="60" t="s">
        <v>2518</v>
      </c>
      <c r="C645" s="78"/>
      <c r="D645" s="194"/>
      <c r="E645" s="103"/>
      <c r="F645" s="241">
        <v>0.1</v>
      </c>
      <c r="G645" s="103"/>
      <c r="H645" s="103"/>
      <c r="I645" s="103"/>
      <c r="J645" s="103"/>
      <c r="K645" s="103"/>
      <c r="L645" s="103"/>
      <c r="M645" s="103"/>
      <c r="N645" s="103"/>
      <c r="O645" s="103"/>
      <c r="P645" s="103"/>
      <c r="Q645" s="103"/>
      <c r="R645" s="103"/>
      <c r="S645" s="103"/>
      <c r="T645" s="103"/>
      <c r="U645" s="103"/>
      <c r="V645" s="103"/>
      <c r="W645" s="103"/>
      <c r="X645" s="103"/>
      <c r="Y645" s="103"/>
      <c r="Z645" s="103"/>
      <c r="AA645" s="103"/>
      <c r="AB645" s="103"/>
      <c r="AC645" s="103"/>
      <c r="AD645" s="103"/>
      <c r="AE645" s="103"/>
      <c r="AF645" s="103"/>
      <c r="AG645" s="103"/>
      <c r="AH645" s="103"/>
      <c r="AI645" s="103"/>
      <c r="AJ645" s="103"/>
      <c r="AK645" s="103"/>
      <c r="AL645" s="103"/>
      <c r="AM645" s="103"/>
      <c r="AN645" s="103"/>
      <c r="AO645" s="103"/>
      <c r="AP645" s="103"/>
      <c r="AQ645" s="103"/>
      <c r="AR645" s="103"/>
      <c r="AS645" s="103"/>
      <c r="AT645" s="34" t="s">
        <v>2513</v>
      </c>
      <c r="AU645" s="34" t="s">
        <v>305</v>
      </c>
      <c r="AV645" s="34"/>
      <c r="AW645" s="34"/>
      <c r="AX645" s="63"/>
      <c r="AY645" s="34" t="s">
        <v>1923</v>
      </c>
      <c r="AZ645" s="63" t="s">
        <v>1924</v>
      </c>
    </row>
    <row r="646" spans="1:54" ht="15.75" hidden="1" customHeight="1">
      <c r="A646" s="193"/>
      <c r="B646" s="60" t="s">
        <v>2519</v>
      </c>
      <c r="C646" s="78"/>
      <c r="D646" s="194"/>
      <c r="E646" s="103"/>
      <c r="F646" s="241">
        <v>0.1</v>
      </c>
      <c r="G646" s="103"/>
      <c r="H646" s="103"/>
      <c r="I646" s="103"/>
      <c r="J646" s="103"/>
      <c r="K646" s="103"/>
      <c r="L646" s="103"/>
      <c r="M646" s="103"/>
      <c r="N646" s="103"/>
      <c r="O646" s="103"/>
      <c r="P646" s="103"/>
      <c r="Q646" s="103"/>
      <c r="R646" s="103"/>
      <c r="S646" s="103"/>
      <c r="T646" s="103"/>
      <c r="U646" s="103"/>
      <c r="V646" s="103"/>
      <c r="W646" s="103"/>
      <c r="X646" s="103"/>
      <c r="Y646" s="103"/>
      <c r="Z646" s="103"/>
      <c r="AA646" s="103"/>
      <c r="AB646" s="103"/>
      <c r="AC646" s="103"/>
      <c r="AD646" s="103"/>
      <c r="AE646" s="103"/>
      <c r="AF646" s="103"/>
      <c r="AG646" s="103"/>
      <c r="AH646" s="103"/>
      <c r="AI646" s="103"/>
      <c r="AJ646" s="103"/>
      <c r="AK646" s="103"/>
      <c r="AL646" s="103"/>
      <c r="AM646" s="103"/>
      <c r="AN646" s="103"/>
      <c r="AO646" s="103"/>
      <c r="AP646" s="103"/>
      <c r="AQ646" s="103"/>
      <c r="AR646" s="103"/>
      <c r="AS646" s="103"/>
      <c r="AT646" s="34" t="s">
        <v>2513</v>
      </c>
      <c r="AU646" s="34" t="s">
        <v>308</v>
      </c>
      <c r="AV646" s="34"/>
      <c r="AW646" s="34"/>
      <c r="AX646" s="63"/>
      <c r="AY646" s="34" t="s">
        <v>1923</v>
      </c>
      <c r="AZ646" s="63" t="s">
        <v>2516</v>
      </c>
    </row>
    <row r="647" spans="1:54" ht="31.5" hidden="1" customHeight="1">
      <c r="A647" s="138"/>
      <c r="B647" s="60" t="s">
        <v>2520</v>
      </c>
      <c r="C647" s="78"/>
      <c r="D647" s="194"/>
      <c r="E647" s="194"/>
      <c r="F647" s="103">
        <v>1</v>
      </c>
      <c r="G647" s="103"/>
      <c r="H647" s="103"/>
      <c r="I647" s="103"/>
      <c r="J647" s="103"/>
      <c r="K647" s="103"/>
      <c r="L647" s="103"/>
      <c r="M647" s="103"/>
      <c r="N647" s="103"/>
      <c r="O647" s="103"/>
      <c r="P647" s="103"/>
      <c r="Q647" s="103"/>
      <c r="R647" s="103"/>
      <c r="S647" s="103"/>
      <c r="T647" s="103"/>
      <c r="U647" s="103"/>
      <c r="V647" s="103"/>
      <c r="W647" s="103"/>
      <c r="X647" s="103"/>
      <c r="Y647" s="103"/>
      <c r="Z647" s="103"/>
      <c r="AA647" s="103"/>
      <c r="AB647" s="103"/>
      <c r="AC647" s="103"/>
      <c r="AD647" s="103"/>
      <c r="AE647" s="103"/>
      <c r="AF647" s="103"/>
      <c r="AG647" s="103"/>
      <c r="AH647" s="103"/>
      <c r="AI647" s="103"/>
      <c r="AJ647" s="103"/>
      <c r="AK647" s="103"/>
      <c r="AL647" s="103"/>
      <c r="AM647" s="103"/>
      <c r="AN647" s="103"/>
      <c r="AO647" s="103"/>
      <c r="AP647" s="103"/>
      <c r="AQ647" s="103"/>
      <c r="AR647" s="103"/>
      <c r="AS647" s="103"/>
      <c r="AT647" s="34" t="s">
        <v>222</v>
      </c>
      <c r="AU647" s="34" t="s">
        <v>451</v>
      </c>
      <c r="AV647" s="34"/>
      <c r="AW647" s="140"/>
      <c r="AX647" s="63"/>
      <c r="AY647" s="34" t="s">
        <v>1923</v>
      </c>
      <c r="AZ647" s="39" t="s">
        <v>2521</v>
      </c>
      <c r="BA647" s="218" t="s">
        <v>326</v>
      </c>
      <c r="BB647" s="41"/>
    </row>
    <row r="648" spans="1:54" ht="31.5" hidden="1" customHeight="1">
      <c r="A648" s="138"/>
      <c r="B648" s="60" t="s">
        <v>2522</v>
      </c>
      <c r="C648" s="78"/>
      <c r="D648" s="194"/>
      <c r="E648" s="194"/>
      <c r="F648" s="103">
        <v>0.03</v>
      </c>
      <c r="G648" s="103"/>
      <c r="H648" s="103"/>
      <c r="I648" s="103"/>
      <c r="J648" s="103"/>
      <c r="K648" s="103"/>
      <c r="L648" s="103"/>
      <c r="M648" s="103"/>
      <c r="N648" s="103"/>
      <c r="O648" s="103"/>
      <c r="P648" s="103"/>
      <c r="Q648" s="103"/>
      <c r="R648" s="103"/>
      <c r="S648" s="103"/>
      <c r="T648" s="103"/>
      <c r="U648" s="103"/>
      <c r="V648" s="103"/>
      <c r="W648" s="103"/>
      <c r="X648" s="103"/>
      <c r="Y648" s="103"/>
      <c r="Z648" s="103"/>
      <c r="AA648" s="103"/>
      <c r="AB648" s="103"/>
      <c r="AC648" s="103"/>
      <c r="AD648" s="103"/>
      <c r="AE648" s="103"/>
      <c r="AF648" s="103"/>
      <c r="AG648" s="103"/>
      <c r="AH648" s="103"/>
      <c r="AI648" s="103"/>
      <c r="AJ648" s="103"/>
      <c r="AK648" s="103"/>
      <c r="AL648" s="103"/>
      <c r="AM648" s="103"/>
      <c r="AN648" s="103"/>
      <c r="AO648" s="103"/>
      <c r="AP648" s="103"/>
      <c r="AQ648" s="103"/>
      <c r="AR648" s="103"/>
      <c r="AS648" s="103"/>
      <c r="AT648" s="34" t="s">
        <v>222</v>
      </c>
      <c r="AU648" s="34" t="s">
        <v>328</v>
      </c>
      <c r="AV648" s="34"/>
      <c r="AW648" s="140"/>
      <c r="AX648" s="63"/>
      <c r="AY648" s="34" t="s">
        <v>1923</v>
      </c>
      <c r="AZ648" s="39" t="s">
        <v>2523</v>
      </c>
      <c r="BA648" s="218" t="s">
        <v>2446</v>
      </c>
      <c r="BB648" s="41"/>
    </row>
    <row r="649" spans="1:54" ht="15.75" hidden="1" customHeight="1">
      <c r="A649" s="138"/>
      <c r="B649" s="60" t="s">
        <v>2524</v>
      </c>
      <c r="C649" s="78"/>
      <c r="D649" s="194"/>
      <c r="E649" s="194"/>
      <c r="F649" s="103">
        <v>0.03</v>
      </c>
      <c r="G649" s="103"/>
      <c r="H649" s="103"/>
      <c r="I649" s="103"/>
      <c r="J649" s="103"/>
      <c r="K649" s="103"/>
      <c r="L649" s="103"/>
      <c r="M649" s="103"/>
      <c r="N649" s="103"/>
      <c r="O649" s="103"/>
      <c r="P649" s="103"/>
      <c r="Q649" s="103"/>
      <c r="R649" s="103"/>
      <c r="S649" s="103"/>
      <c r="T649" s="103"/>
      <c r="U649" s="103"/>
      <c r="V649" s="103"/>
      <c r="W649" s="103"/>
      <c r="X649" s="103"/>
      <c r="Y649" s="103"/>
      <c r="Z649" s="103"/>
      <c r="AA649" s="103"/>
      <c r="AB649" s="103"/>
      <c r="AC649" s="103"/>
      <c r="AD649" s="103"/>
      <c r="AE649" s="103"/>
      <c r="AF649" s="103"/>
      <c r="AG649" s="103"/>
      <c r="AH649" s="103"/>
      <c r="AI649" s="103"/>
      <c r="AJ649" s="103"/>
      <c r="AK649" s="103"/>
      <c r="AL649" s="103"/>
      <c r="AM649" s="103"/>
      <c r="AN649" s="103"/>
      <c r="AO649" s="103"/>
      <c r="AP649" s="103"/>
      <c r="AQ649" s="103"/>
      <c r="AR649" s="103"/>
      <c r="AS649" s="103"/>
      <c r="AT649" s="34" t="s">
        <v>222</v>
      </c>
      <c r="AU649" s="34" t="s">
        <v>425</v>
      </c>
      <c r="AV649" s="34"/>
      <c r="AW649" s="140"/>
      <c r="AX649" s="63"/>
      <c r="AY649" s="34" t="s">
        <v>1923</v>
      </c>
      <c r="AZ649" s="39" t="s">
        <v>1924</v>
      </c>
      <c r="BA649" s="218" t="s">
        <v>2441</v>
      </c>
      <c r="BB649" s="41"/>
    </row>
    <row r="650" spans="1:54" ht="15.75" hidden="1" customHeight="1">
      <c r="A650" s="138"/>
      <c r="B650" s="60" t="s">
        <v>2525</v>
      </c>
      <c r="C650" s="78"/>
      <c r="D650" s="194"/>
      <c r="E650" s="194"/>
      <c r="F650" s="103">
        <v>0.03</v>
      </c>
      <c r="G650" s="103"/>
      <c r="H650" s="103"/>
      <c r="I650" s="103"/>
      <c r="J650" s="103"/>
      <c r="K650" s="103"/>
      <c r="L650" s="103"/>
      <c r="M650" s="103"/>
      <c r="N650" s="103"/>
      <c r="O650" s="103"/>
      <c r="P650" s="103"/>
      <c r="Q650" s="103"/>
      <c r="R650" s="103"/>
      <c r="S650" s="103"/>
      <c r="T650" s="103"/>
      <c r="U650" s="103"/>
      <c r="V650" s="103"/>
      <c r="W650" s="103"/>
      <c r="X650" s="103"/>
      <c r="Y650" s="103"/>
      <c r="Z650" s="103"/>
      <c r="AA650" s="103"/>
      <c r="AB650" s="103"/>
      <c r="AC650" s="103"/>
      <c r="AD650" s="103"/>
      <c r="AE650" s="103"/>
      <c r="AF650" s="103"/>
      <c r="AG650" s="103"/>
      <c r="AH650" s="103"/>
      <c r="AI650" s="103"/>
      <c r="AJ650" s="103"/>
      <c r="AK650" s="103"/>
      <c r="AL650" s="103"/>
      <c r="AM650" s="103"/>
      <c r="AN650" s="103"/>
      <c r="AO650" s="103"/>
      <c r="AP650" s="103"/>
      <c r="AQ650" s="103"/>
      <c r="AR650" s="103"/>
      <c r="AS650" s="103"/>
      <c r="AT650" s="34" t="s">
        <v>222</v>
      </c>
      <c r="AU650" s="34" t="s">
        <v>417</v>
      </c>
      <c r="AV650" s="34"/>
      <c r="AW650" s="140"/>
      <c r="AX650" s="63"/>
      <c r="AY650" s="34" t="s">
        <v>1923</v>
      </c>
      <c r="AZ650" s="39" t="s">
        <v>1924</v>
      </c>
      <c r="BA650" s="218" t="s">
        <v>2443</v>
      </c>
      <c r="BB650" s="41"/>
    </row>
    <row r="651" spans="1:54" s="61" customFormat="1" ht="15.75" hidden="1" customHeight="1">
      <c r="A651" s="220" t="s">
        <v>193</v>
      </c>
      <c r="B651" s="60" t="s">
        <v>2526</v>
      </c>
      <c r="C651" s="78" t="s">
        <v>112</v>
      </c>
      <c r="D651" s="231">
        <v>0.08</v>
      </c>
      <c r="E651" s="103"/>
      <c r="F651" s="231">
        <v>0.08</v>
      </c>
      <c r="G651" s="103"/>
      <c r="H651" s="103"/>
      <c r="I651" s="103"/>
      <c r="J651" s="231">
        <v>0.08</v>
      </c>
      <c r="K651" s="103"/>
      <c r="L651" s="103"/>
      <c r="M651" s="103"/>
      <c r="N651" s="103"/>
      <c r="O651" s="103"/>
      <c r="P651" s="103"/>
      <c r="Q651" s="103"/>
      <c r="R651" s="103"/>
      <c r="S651" s="103"/>
      <c r="T651" s="103"/>
      <c r="U651" s="103"/>
      <c r="V651" s="103"/>
      <c r="W651" s="103"/>
      <c r="X651" s="103"/>
      <c r="Y651" s="103"/>
      <c r="Z651" s="103"/>
      <c r="AA651" s="103"/>
      <c r="AB651" s="103"/>
      <c r="AC651" s="103"/>
      <c r="AD651" s="103"/>
      <c r="AE651" s="103"/>
      <c r="AF651" s="103"/>
      <c r="AG651" s="103"/>
      <c r="AH651" s="103"/>
      <c r="AI651" s="103"/>
      <c r="AJ651" s="103"/>
      <c r="AK651" s="103"/>
      <c r="AL651" s="103"/>
      <c r="AM651" s="103"/>
      <c r="AN651" s="103"/>
      <c r="AO651" s="103"/>
      <c r="AP651" s="103"/>
      <c r="AQ651" s="103"/>
      <c r="AR651" s="103"/>
      <c r="AS651" s="103"/>
      <c r="AT651" s="34" t="s">
        <v>223</v>
      </c>
      <c r="AU651" s="34"/>
      <c r="AV651" s="34"/>
      <c r="AW651" s="34"/>
      <c r="AX651" s="63"/>
      <c r="AY651" s="140" t="s">
        <v>1923</v>
      </c>
      <c r="AZ651" s="63" t="s">
        <v>1971</v>
      </c>
      <c r="BA651" s="65"/>
    </row>
    <row r="652" spans="1:54" s="61" customFormat="1" ht="15.75" hidden="1" customHeight="1">
      <c r="A652" s="220" t="s">
        <v>193</v>
      </c>
      <c r="B652" s="60" t="s">
        <v>2518</v>
      </c>
      <c r="C652" s="78" t="s">
        <v>112</v>
      </c>
      <c r="D652" s="231">
        <v>0.05</v>
      </c>
      <c r="E652" s="103"/>
      <c r="F652" s="231">
        <v>0.05</v>
      </c>
      <c r="G652" s="103"/>
      <c r="H652" s="103"/>
      <c r="I652" s="103"/>
      <c r="J652" s="231">
        <v>0.05</v>
      </c>
      <c r="K652" s="103"/>
      <c r="L652" s="103"/>
      <c r="M652" s="103"/>
      <c r="N652" s="103"/>
      <c r="O652" s="103"/>
      <c r="P652" s="103"/>
      <c r="Q652" s="103"/>
      <c r="R652" s="103"/>
      <c r="S652" s="103"/>
      <c r="T652" s="103"/>
      <c r="U652" s="103"/>
      <c r="V652" s="103"/>
      <c r="W652" s="103"/>
      <c r="X652" s="103"/>
      <c r="Y652" s="103"/>
      <c r="Z652" s="103"/>
      <c r="AA652" s="103"/>
      <c r="AB652" s="103"/>
      <c r="AC652" s="103"/>
      <c r="AD652" s="103"/>
      <c r="AE652" s="103"/>
      <c r="AF652" s="103"/>
      <c r="AG652" s="103"/>
      <c r="AH652" s="103"/>
      <c r="AI652" s="103"/>
      <c r="AJ652" s="103"/>
      <c r="AK652" s="103"/>
      <c r="AL652" s="103"/>
      <c r="AM652" s="103"/>
      <c r="AN652" s="103"/>
      <c r="AO652" s="103"/>
      <c r="AP652" s="103"/>
      <c r="AQ652" s="103"/>
      <c r="AR652" s="103"/>
      <c r="AS652" s="103"/>
      <c r="AT652" s="34" t="s">
        <v>223</v>
      </c>
      <c r="AU652" s="34"/>
      <c r="AV652" s="34"/>
      <c r="AW652" s="34"/>
      <c r="AX652" s="63"/>
      <c r="AY652" s="140" t="s">
        <v>1923</v>
      </c>
      <c r="AZ652" s="63" t="s">
        <v>2527</v>
      </c>
      <c r="BA652" s="65"/>
    </row>
    <row r="653" spans="1:54" ht="15.75" hidden="1" customHeight="1">
      <c r="A653" s="220" t="s">
        <v>193</v>
      </c>
      <c r="B653" s="60" t="s">
        <v>2528</v>
      </c>
      <c r="C653" s="78" t="s">
        <v>112</v>
      </c>
      <c r="D653" s="231">
        <v>0.25</v>
      </c>
      <c r="E653" s="103"/>
      <c r="F653" s="231">
        <v>0.25</v>
      </c>
      <c r="G653" s="103"/>
      <c r="H653" s="103"/>
      <c r="I653" s="103"/>
      <c r="J653" s="103"/>
      <c r="K653" s="103"/>
      <c r="L653" s="103"/>
      <c r="M653" s="103"/>
      <c r="N653" s="103"/>
      <c r="O653" s="103"/>
      <c r="P653" s="103"/>
      <c r="Q653" s="103"/>
      <c r="R653" s="103"/>
      <c r="S653" s="103"/>
      <c r="T653" s="103"/>
      <c r="U653" s="103"/>
      <c r="V653" s="103"/>
      <c r="W653" s="103"/>
      <c r="X653" s="103"/>
      <c r="Y653" s="103"/>
      <c r="Z653" s="103"/>
      <c r="AA653" s="103"/>
      <c r="AB653" s="103"/>
      <c r="AC653" s="103"/>
      <c r="AD653" s="103"/>
      <c r="AE653" s="103"/>
      <c r="AF653" s="103"/>
      <c r="AG653" s="103"/>
      <c r="AH653" s="103"/>
      <c r="AI653" s="103"/>
      <c r="AJ653" s="103"/>
      <c r="AK653" s="103"/>
      <c r="AL653" s="103"/>
      <c r="AM653" s="103"/>
      <c r="AN653" s="103"/>
      <c r="AO653" s="103"/>
      <c r="AP653" s="103"/>
      <c r="AQ653" s="103"/>
      <c r="AR653" s="103"/>
      <c r="AS653" s="103"/>
      <c r="AT653" s="34" t="s">
        <v>224</v>
      </c>
      <c r="AU653" s="34" t="s">
        <v>387</v>
      </c>
      <c r="AV653" s="34"/>
      <c r="AW653" s="34"/>
      <c r="AX653" s="63"/>
      <c r="AY653" s="34" t="s">
        <v>1923</v>
      </c>
      <c r="AZ653" s="39" t="s">
        <v>1931</v>
      </c>
    </row>
    <row r="654" spans="1:54" ht="15.75" hidden="1" customHeight="1">
      <c r="A654" s="220" t="s">
        <v>193</v>
      </c>
      <c r="B654" s="60" t="s">
        <v>2529</v>
      </c>
      <c r="C654" s="78" t="s">
        <v>112</v>
      </c>
      <c r="D654" s="231">
        <v>0.15</v>
      </c>
      <c r="E654" s="103"/>
      <c r="F654" s="231">
        <v>0.15</v>
      </c>
      <c r="G654" s="103"/>
      <c r="H654" s="103"/>
      <c r="I654" s="103"/>
      <c r="J654" s="103"/>
      <c r="K654" s="103"/>
      <c r="L654" s="103"/>
      <c r="M654" s="103"/>
      <c r="N654" s="103"/>
      <c r="O654" s="103"/>
      <c r="P654" s="103"/>
      <c r="Q654" s="103"/>
      <c r="R654" s="103"/>
      <c r="S654" s="103"/>
      <c r="T654" s="103"/>
      <c r="U654" s="103"/>
      <c r="V654" s="103"/>
      <c r="W654" s="103"/>
      <c r="X654" s="103"/>
      <c r="Y654" s="103"/>
      <c r="Z654" s="103"/>
      <c r="AA654" s="103"/>
      <c r="AB654" s="103"/>
      <c r="AC654" s="103"/>
      <c r="AD654" s="103"/>
      <c r="AE654" s="103"/>
      <c r="AF654" s="103"/>
      <c r="AG654" s="103"/>
      <c r="AH654" s="103"/>
      <c r="AI654" s="103"/>
      <c r="AJ654" s="103"/>
      <c r="AK654" s="103"/>
      <c r="AL654" s="103"/>
      <c r="AM654" s="103"/>
      <c r="AN654" s="103"/>
      <c r="AO654" s="103"/>
      <c r="AP654" s="103"/>
      <c r="AQ654" s="103"/>
      <c r="AR654" s="103"/>
      <c r="AS654" s="103"/>
      <c r="AT654" s="34" t="s">
        <v>224</v>
      </c>
      <c r="AU654" s="34" t="s">
        <v>305</v>
      </c>
      <c r="AV654" s="34"/>
      <c r="AW654" s="34"/>
      <c r="AX654" s="63"/>
      <c r="AY654" s="34" t="s">
        <v>1923</v>
      </c>
      <c r="AZ654" s="39" t="s">
        <v>1931</v>
      </c>
    </row>
    <row r="655" spans="1:54" ht="15.75" hidden="1" customHeight="1">
      <c r="A655" s="220" t="s">
        <v>193</v>
      </c>
      <c r="B655" s="60" t="s">
        <v>2530</v>
      </c>
      <c r="C655" s="78" t="s">
        <v>112</v>
      </c>
      <c r="D655" s="231">
        <v>0.5</v>
      </c>
      <c r="E655" s="103"/>
      <c r="F655" s="231">
        <v>0.5</v>
      </c>
      <c r="G655" s="103"/>
      <c r="H655" s="103"/>
      <c r="I655" s="103"/>
      <c r="J655" s="103"/>
      <c r="K655" s="103"/>
      <c r="L655" s="103"/>
      <c r="M655" s="103"/>
      <c r="N655" s="103"/>
      <c r="O655" s="103"/>
      <c r="P655" s="103"/>
      <c r="Q655" s="103"/>
      <c r="R655" s="103"/>
      <c r="S655" s="103"/>
      <c r="T655" s="103"/>
      <c r="U655" s="103"/>
      <c r="V655" s="103"/>
      <c r="W655" s="103"/>
      <c r="X655" s="103"/>
      <c r="Y655" s="103"/>
      <c r="Z655" s="103"/>
      <c r="AA655" s="103"/>
      <c r="AB655" s="103"/>
      <c r="AC655" s="103"/>
      <c r="AD655" s="103"/>
      <c r="AE655" s="103"/>
      <c r="AF655" s="103"/>
      <c r="AG655" s="103"/>
      <c r="AH655" s="103"/>
      <c r="AI655" s="103"/>
      <c r="AJ655" s="103"/>
      <c r="AK655" s="103"/>
      <c r="AL655" s="103"/>
      <c r="AM655" s="103"/>
      <c r="AN655" s="103"/>
      <c r="AO655" s="103"/>
      <c r="AP655" s="103"/>
      <c r="AQ655" s="103"/>
      <c r="AR655" s="103"/>
      <c r="AS655" s="103"/>
      <c r="AT655" s="34" t="s">
        <v>224</v>
      </c>
      <c r="AU655" s="34" t="s">
        <v>417</v>
      </c>
      <c r="AV655" s="34"/>
      <c r="AW655" s="34"/>
      <c r="AX655" s="63"/>
      <c r="AY655" s="34" t="s">
        <v>1986</v>
      </c>
      <c r="AZ655" s="63"/>
    </row>
    <row r="656" spans="1:54" ht="15.75" hidden="1" customHeight="1">
      <c r="A656" s="193"/>
      <c r="B656" s="56" t="s">
        <v>2531</v>
      </c>
      <c r="C656" s="78"/>
      <c r="D656" s="194"/>
      <c r="E656" s="103"/>
      <c r="F656" s="194">
        <v>0.1</v>
      </c>
      <c r="G656" s="103"/>
      <c r="H656" s="103"/>
      <c r="I656" s="103"/>
      <c r="J656" s="103"/>
      <c r="K656" s="103"/>
      <c r="L656" s="103"/>
      <c r="M656" s="103"/>
      <c r="N656" s="103"/>
      <c r="O656" s="103"/>
      <c r="P656" s="103"/>
      <c r="Q656" s="103"/>
      <c r="R656" s="103"/>
      <c r="S656" s="103"/>
      <c r="T656" s="103"/>
      <c r="U656" s="103"/>
      <c r="V656" s="103"/>
      <c r="W656" s="103"/>
      <c r="X656" s="103"/>
      <c r="Y656" s="103"/>
      <c r="Z656" s="103"/>
      <c r="AA656" s="103"/>
      <c r="AB656" s="103"/>
      <c r="AC656" s="103"/>
      <c r="AD656" s="103"/>
      <c r="AE656" s="103"/>
      <c r="AF656" s="103"/>
      <c r="AG656" s="103"/>
      <c r="AH656" s="103"/>
      <c r="AI656" s="103"/>
      <c r="AJ656" s="103"/>
      <c r="AK656" s="103"/>
      <c r="AL656" s="103"/>
      <c r="AM656" s="103"/>
      <c r="AN656" s="103"/>
      <c r="AO656" s="103"/>
      <c r="AP656" s="103"/>
      <c r="AQ656" s="103"/>
      <c r="AR656" s="103"/>
      <c r="AS656" s="103"/>
      <c r="AT656" s="34" t="s">
        <v>225</v>
      </c>
      <c r="AU656" s="34" t="s">
        <v>1108</v>
      </c>
      <c r="AV656" s="34"/>
      <c r="AW656" s="34"/>
      <c r="AX656" s="63"/>
      <c r="AY656" s="38" t="s">
        <v>1923</v>
      </c>
      <c r="AZ656" s="63" t="s">
        <v>1924</v>
      </c>
    </row>
    <row r="657" spans="1:54" ht="15.75" hidden="1" customHeight="1">
      <c r="A657" s="193"/>
      <c r="B657" s="56" t="s">
        <v>2532</v>
      </c>
      <c r="C657" s="78"/>
      <c r="D657" s="194"/>
      <c r="E657" s="103"/>
      <c r="F657" s="194">
        <v>0.1</v>
      </c>
      <c r="G657" s="103"/>
      <c r="H657" s="103"/>
      <c r="I657" s="103"/>
      <c r="J657" s="103"/>
      <c r="K657" s="103"/>
      <c r="L657" s="103"/>
      <c r="M657" s="103"/>
      <c r="N657" s="103"/>
      <c r="O657" s="103"/>
      <c r="P657" s="103"/>
      <c r="Q657" s="103"/>
      <c r="R657" s="103"/>
      <c r="S657" s="103"/>
      <c r="T657" s="103"/>
      <c r="U657" s="103"/>
      <c r="V657" s="103"/>
      <c r="W657" s="103"/>
      <c r="X657" s="103"/>
      <c r="Y657" s="103"/>
      <c r="Z657" s="103"/>
      <c r="AA657" s="103"/>
      <c r="AB657" s="103"/>
      <c r="AC657" s="103"/>
      <c r="AD657" s="103"/>
      <c r="AE657" s="103"/>
      <c r="AF657" s="103"/>
      <c r="AG657" s="103"/>
      <c r="AH657" s="103"/>
      <c r="AI657" s="103"/>
      <c r="AJ657" s="103"/>
      <c r="AK657" s="103"/>
      <c r="AL657" s="103"/>
      <c r="AM657" s="103"/>
      <c r="AN657" s="103"/>
      <c r="AO657" s="103"/>
      <c r="AP657" s="103"/>
      <c r="AQ657" s="103"/>
      <c r="AR657" s="103"/>
      <c r="AS657" s="103"/>
      <c r="AT657" s="34" t="s">
        <v>225</v>
      </c>
      <c r="AU657" s="34" t="s">
        <v>390</v>
      </c>
      <c r="AV657" s="34"/>
      <c r="AW657" s="34"/>
      <c r="AX657" s="63"/>
      <c r="AY657" s="38" t="s">
        <v>1923</v>
      </c>
      <c r="AZ657" s="63" t="s">
        <v>1924</v>
      </c>
    </row>
    <row r="658" spans="1:54" ht="31.5" hidden="1" customHeight="1">
      <c r="A658" s="193"/>
      <c r="B658" s="56" t="s">
        <v>2533</v>
      </c>
      <c r="C658" s="78"/>
      <c r="D658" s="194"/>
      <c r="E658" s="103"/>
      <c r="F658" s="194">
        <v>0.1</v>
      </c>
      <c r="G658" s="103"/>
      <c r="H658" s="103"/>
      <c r="I658" s="103"/>
      <c r="J658" s="103"/>
      <c r="K658" s="103"/>
      <c r="L658" s="103"/>
      <c r="M658" s="103"/>
      <c r="N658" s="103"/>
      <c r="O658" s="103"/>
      <c r="P658" s="103"/>
      <c r="Q658" s="103"/>
      <c r="R658" s="103"/>
      <c r="S658" s="103"/>
      <c r="T658" s="103"/>
      <c r="U658" s="103"/>
      <c r="V658" s="103"/>
      <c r="W658" s="103"/>
      <c r="X658" s="103"/>
      <c r="Y658" s="103"/>
      <c r="Z658" s="103"/>
      <c r="AA658" s="103"/>
      <c r="AB658" s="103"/>
      <c r="AC658" s="103"/>
      <c r="AD658" s="103"/>
      <c r="AE658" s="103"/>
      <c r="AF658" s="103"/>
      <c r="AG658" s="103"/>
      <c r="AH658" s="103"/>
      <c r="AI658" s="103"/>
      <c r="AJ658" s="103"/>
      <c r="AK658" s="103"/>
      <c r="AL658" s="103"/>
      <c r="AM658" s="103"/>
      <c r="AN658" s="103"/>
      <c r="AO658" s="103"/>
      <c r="AP658" s="103"/>
      <c r="AQ658" s="103"/>
      <c r="AR658" s="103"/>
      <c r="AS658" s="103"/>
      <c r="AT658" s="34" t="s">
        <v>225</v>
      </c>
      <c r="AU658" s="34" t="s">
        <v>757</v>
      </c>
      <c r="AV658" s="34"/>
      <c r="AW658" s="34"/>
      <c r="AX658" s="63"/>
      <c r="AY658" s="34" t="s">
        <v>1917</v>
      </c>
      <c r="AZ658" s="63" t="s">
        <v>2430</v>
      </c>
    </row>
    <row r="659" spans="1:54" ht="15.75" hidden="1" customHeight="1">
      <c r="A659" s="193"/>
      <c r="B659" s="56" t="s">
        <v>2534</v>
      </c>
      <c r="C659" s="78"/>
      <c r="D659" s="194"/>
      <c r="E659" s="103"/>
      <c r="F659" s="194">
        <v>0.1</v>
      </c>
      <c r="G659" s="103"/>
      <c r="H659" s="103"/>
      <c r="I659" s="103"/>
      <c r="J659" s="103"/>
      <c r="K659" s="103"/>
      <c r="L659" s="103"/>
      <c r="M659" s="103"/>
      <c r="N659" s="103"/>
      <c r="O659" s="103"/>
      <c r="P659" s="103"/>
      <c r="Q659" s="103"/>
      <c r="R659" s="103"/>
      <c r="S659" s="103"/>
      <c r="T659" s="103"/>
      <c r="U659" s="103"/>
      <c r="V659" s="103"/>
      <c r="W659" s="103"/>
      <c r="X659" s="103"/>
      <c r="Y659" s="103"/>
      <c r="Z659" s="103"/>
      <c r="AA659" s="103"/>
      <c r="AB659" s="103"/>
      <c r="AC659" s="103"/>
      <c r="AD659" s="103"/>
      <c r="AE659" s="103"/>
      <c r="AF659" s="103"/>
      <c r="AG659" s="103"/>
      <c r="AH659" s="103"/>
      <c r="AI659" s="103"/>
      <c r="AJ659" s="103"/>
      <c r="AK659" s="103"/>
      <c r="AL659" s="103"/>
      <c r="AM659" s="103"/>
      <c r="AN659" s="103"/>
      <c r="AO659" s="103"/>
      <c r="AP659" s="103"/>
      <c r="AQ659" s="103"/>
      <c r="AR659" s="103"/>
      <c r="AS659" s="103"/>
      <c r="AT659" s="34" t="s">
        <v>225</v>
      </c>
      <c r="AU659" s="34" t="s">
        <v>915</v>
      </c>
      <c r="AV659" s="34"/>
      <c r="AW659" s="34"/>
      <c r="AX659" s="63"/>
      <c r="AY659" s="34" t="s">
        <v>1986</v>
      </c>
      <c r="AZ659" s="63"/>
    </row>
    <row r="660" spans="1:54" ht="15.75" hidden="1" customHeight="1">
      <c r="A660" s="193"/>
      <c r="B660" s="56" t="s">
        <v>2535</v>
      </c>
      <c r="C660" s="78"/>
      <c r="D660" s="194"/>
      <c r="E660" s="103"/>
      <c r="F660" s="194">
        <v>0.1</v>
      </c>
      <c r="G660" s="103"/>
      <c r="H660" s="103"/>
      <c r="I660" s="103"/>
      <c r="J660" s="103"/>
      <c r="K660" s="103"/>
      <c r="L660" s="103"/>
      <c r="M660" s="103"/>
      <c r="N660" s="103"/>
      <c r="O660" s="103"/>
      <c r="P660" s="103"/>
      <c r="Q660" s="103"/>
      <c r="R660" s="103"/>
      <c r="S660" s="103"/>
      <c r="T660" s="103"/>
      <c r="U660" s="103"/>
      <c r="V660" s="103"/>
      <c r="W660" s="103"/>
      <c r="X660" s="103"/>
      <c r="Y660" s="103"/>
      <c r="Z660" s="103"/>
      <c r="AA660" s="103"/>
      <c r="AB660" s="103"/>
      <c r="AC660" s="103"/>
      <c r="AD660" s="103"/>
      <c r="AE660" s="103"/>
      <c r="AF660" s="103"/>
      <c r="AG660" s="103"/>
      <c r="AH660" s="103"/>
      <c r="AI660" s="103"/>
      <c r="AJ660" s="103"/>
      <c r="AK660" s="103"/>
      <c r="AL660" s="103"/>
      <c r="AM660" s="103"/>
      <c r="AN660" s="103"/>
      <c r="AO660" s="103"/>
      <c r="AP660" s="103"/>
      <c r="AQ660" s="103"/>
      <c r="AR660" s="103"/>
      <c r="AS660" s="103"/>
      <c r="AT660" s="34" t="s">
        <v>2403</v>
      </c>
      <c r="AU660" s="34" t="s">
        <v>1360</v>
      </c>
      <c r="AV660" s="34"/>
      <c r="AW660" s="34"/>
      <c r="AX660" s="63"/>
      <c r="AY660" s="140" t="s">
        <v>1923</v>
      </c>
      <c r="AZ660" s="63" t="s">
        <v>1924</v>
      </c>
      <c r="BA660" s="64"/>
      <c r="BB660" s="15" t="s">
        <v>7</v>
      </c>
    </row>
    <row r="661" spans="1:54" ht="15.75" hidden="1" customHeight="1">
      <c r="A661" s="193"/>
      <c r="B661" s="56" t="s">
        <v>2536</v>
      </c>
      <c r="C661" s="78"/>
      <c r="D661" s="194"/>
      <c r="E661" s="103"/>
      <c r="F661" s="194">
        <v>0.1</v>
      </c>
      <c r="G661" s="103"/>
      <c r="H661" s="103"/>
      <c r="I661" s="103"/>
      <c r="J661" s="103"/>
      <c r="K661" s="103"/>
      <c r="L661" s="103"/>
      <c r="M661" s="103"/>
      <c r="N661" s="103"/>
      <c r="O661" s="103"/>
      <c r="P661" s="103"/>
      <c r="Q661" s="103"/>
      <c r="R661" s="103"/>
      <c r="S661" s="103"/>
      <c r="T661" s="103"/>
      <c r="U661" s="103"/>
      <c r="V661" s="103"/>
      <c r="W661" s="103"/>
      <c r="X661" s="103"/>
      <c r="Y661" s="103"/>
      <c r="Z661" s="103"/>
      <c r="AA661" s="103"/>
      <c r="AB661" s="103"/>
      <c r="AC661" s="103"/>
      <c r="AD661" s="103"/>
      <c r="AE661" s="103"/>
      <c r="AF661" s="103"/>
      <c r="AG661" s="103"/>
      <c r="AH661" s="103"/>
      <c r="AI661" s="103"/>
      <c r="AJ661" s="103"/>
      <c r="AK661" s="103"/>
      <c r="AL661" s="103"/>
      <c r="AM661" s="103"/>
      <c r="AN661" s="103"/>
      <c r="AO661" s="103"/>
      <c r="AP661" s="103"/>
      <c r="AQ661" s="103"/>
      <c r="AR661" s="103"/>
      <c r="AS661" s="103"/>
      <c r="AT661" s="34" t="s">
        <v>2403</v>
      </c>
      <c r="AU661" s="34" t="s">
        <v>1128</v>
      </c>
      <c r="AV661" s="34"/>
      <c r="AW661" s="34"/>
      <c r="AX661" s="63"/>
      <c r="AY661" s="140" t="s">
        <v>1923</v>
      </c>
      <c r="AZ661" s="63" t="s">
        <v>1924</v>
      </c>
      <c r="BA661" s="64"/>
      <c r="BB661" s="15" t="s">
        <v>12</v>
      </c>
    </row>
    <row r="662" spans="1:54" ht="15.75" hidden="1" customHeight="1">
      <c r="A662" s="193"/>
      <c r="B662" s="56" t="s">
        <v>2537</v>
      </c>
      <c r="C662" s="78"/>
      <c r="D662" s="194"/>
      <c r="E662" s="103"/>
      <c r="F662" s="194">
        <v>0.16</v>
      </c>
      <c r="G662" s="103"/>
      <c r="H662" s="103"/>
      <c r="I662" s="103"/>
      <c r="J662" s="103"/>
      <c r="K662" s="103"/>
      <c r="L662" s="103"/>
      <c r="M662" s="103"/>
      <c r="N662" s="103"/>
      <c r="O662" s="103"/>
      <c r="P662" s="103"/>
      <c r="Q662" s="103"/>
      <c r="R662" s="103"/>
      <c r="S662" s="103"/>
      <c r="T662" s="103"/>
      <c r="U662" s="103"/>
      <c r="V662" s="103"/>
      <c r="W662" s="103"/>
      <c r="X662" s="103"/>
      <c r="Y662" s="103"/>
      <c r="Z662" s="103"/>
      <c r="AA662" s="103"/>
      <c r="AB662" s="103"/>
      <c r="AC662" s="103"/>
      <c r="AD662" s="103"/>
      <c r="AE662" s="103"/>
      <c r="AF662" s="103"/>
      <c r="AG662" s="103"/>
      <c r="AH662" s="103"/>
      <c r="AI662" s="103"/>
      <c r="AJ662" s="103"/>
      <c r="AK662" s="103"/>
      <c r="AL662" s="103"/>
      <c r="AM662" s="103"/>
      <c r="AN662" s="103"/>
      <c r="AO662" s="103"/>
      <c r="AP662" s="103"/>
      <c r="AQ662" s="103"/>
      <c r="AR662" s="103"/>
      <c r="AS662" s="103"/>
      <c r="AT662" s="34" t="s">
        <v>2403</v>
      </c>
      <c r="AU662" s="34" t="s">
        <v>762</v>
      </c>
      <c r="AV662" s="34"/>
      <c r="AW662" s="34"/>
      <c r="AX662" s="63"/>
      <c r="AY662" s="140" t="s">
        <v>1923</v>
      </c>
      <c r="AZ662" s="63" t="s">
        <v>1924</v>
      </c>
      <c r="BA662" s="64" t="s">
        <v>2538</v>
      </c>
      <c r="BB662" s="15" t="s">
        <v>49</v>
      </c>
    </row>
    <row r="663" spans="1:54" ht="31.5" hidden="1" customHeight="1">
      <c r="A663" s="193"/>
      <c r="B663" s="56" t="s">
        <v>2539</v>
      </c>
      <c r="C663" s="78"/>
      <c r="D663" s="194"/>
      <c r="E663" s="103"/>
      <c r="F663" s="194">
        <v>0.3</v>
      </c>
      <c r="G663" s="103"/>
      <c r="H663" s="103"/>
      <c r="I663" s="103"/>
      <c r="J663" s="103"/>
      <c r="K663" s="103"/>
      <c r="L663" s="103"/>
      <c r="M663" s="103"/>
      <c r="N663" s="103"/>
      <c r="O663" s="103"/>
      <c r="P663" s="103"/>
      <c r="Q663" s="103"/>
      <c r="R663" s="103"/>
      <c r="S663" s="103"/>
      <c r="T663" s="103"/>
      <c r="U663" s="103"/>
      <c r="V663" s="103"/>
      <c r="W663" s="103"/>
      <c r="X663" s="103"/>
      <c r="Y663" s="103"/>
      <c r="Z663" s="103"/>
      <c r="AA663" s="103"/>
      <c r="AB663" s="103"/>
      <c r="AC663" s="103"/>
      <c r="AD663" s="103"/>
      <c r="AE663" s="103"/>
      <c r="AF663" s="103"/>
      <c r="AG663" s="103"/>
      <c r="AH663" s="103"/>
      <c r="AI663" s="103"/>
      <c r="AJ663" s="103"/>
      <c r="AK663" s="103"/>
      <c r="AL663" s="103"/>
      <c r="AM663" s="103"/>
      <c r="AN663" s="103"/>
      <c r="AO663" s="103"/>
      <c r="AP663" s="103"/>
      <c r="AQ663" s="103"/>
      <c r="AR663" s="103"/>
      <c r="AS663" s="103"/>
      <c r="AT663" s="34" t="s">
        <v>2403</v>
      </c>
      <c r="AU663" s="34" t="s">
        <v>2540</v>
      </c>
      <c r="AV663" s="34"/>
      <c r="AW663" s="34"/>
      <c r="AX663" s="63"/>
      <c r="AY663" s="140" t="s">
        <v>1986</v>
      </c>
      <c r="AZ663" s="63"/>
      <c r="BA663" s="64"/>
      <c r="BB663" s="15" t="s">
        <v>188</v>
      </c>
    </row>
    <row r="664" spans="1:54" ht="15.75" hidden="1" customHeight="1">
      <c r="A664" s="193"/>
      <c r="B664" s="60" t="s">
        <v>2541</v>
      </c>
      <c r="C664" s="78"/>
      <c r="D664" s="194"/>
      <c r="E664" s="103"/>
      <c r="F664" s="231">
        <v>0.2</v>
      </c>
      <c r="G664" s="103"/>
      <c r="H664" s="103"/>
      <c r="I664" s="103"/>
      <c r="J664" s="103"/>
      <c r="K664" s="103"/>
      <c r="L664" s="103"/>
      <c r="M664" s="103"/>
      <c r="N664" s="103"/>
      <c r="O664" s="103"/>
      <c r="P664" s="103"/>
      <c r="Q664" s="103"/>
      <c r="R664" s="103"/>
      <c r="S664" s="103"/>
      <c r="T664" s="103"/>
      <c r="U664" s="103"/>
      <c r="V664" s="103"/>
      <c r="W664" s="103"/>
      <c r="X664" s="103"/>
      <c r="Y664" s="103"/>
      <c r="Z664" s="103"/>
      <c r="AA664" s="103"/>
      <c r="AB664" s="103"/>
      <c r="AC664" s="103"/>
      <c r="AD664" s="103"/>
      <c r="AE664" s="103"/>
      <c r="AF664" s="103"/>
      <c r="AG664" s="103"/>
      <c r="AH664" s="103"/>
      <c r="AI664" s="103"/>
      <c r="AJ664" s="103"/>
      <c r="AK664" s="103"/>
      <c r="AL664" s="103"/>
      <c r="AM664" s="103"/>
      <c r="AN664" s="103"/>
      <c r="AO664" s="103"/>
      <c r="AP664" s="103"/>
      <c r="AQ664" s="103"/>
      <c r="AR664" s="103"/>
      <c r="AS664" s="103"/>
      <c r="AT664" s="34" t="s">
        <v>228</v>
      </c>
      <c r="AU664" s="34" t="s">
        <v>1134</v>
      </c>
      <c r="AV664" s="34"/>
      <c r="AW664" s="34"/>
      <c r="AX664" s="63"/>
      <c r="AY664" s="34" t="s">
        <v>1923</v>
      </c>
      <c r="AZ664" s="63" t="s">
        <v>2542</v>
      </c>
    </row>
    <row r="665" spans="1:54" ht="31.5" hidden="1" customHeight="1">
      <c r="A665" s="193"/>
      <c r="B665" s="60" t="s">
        <v>2543</v>
      </c>
      <c r="C665" s="78"/>
      <c r="D665" s="194"/>
      <c r="E665" s="103"/>
      <c r="F665" s="231">
        <v>0.73</v>
      </c>
      <c r="G665" s="103"/>
      <c r="H665" s="103"/>
      <c r="I665" s="103"/>
      <c r="J665" s="103"/>
      <c r="K665" s="103"/>
      <c r="L665" s="103"/>
      <c r="M665" s="103"/>
      <c r="N665" s="103"/>
      <c r="O665" s="103"/>
      <c r="P665" s="103"/>
      <c r="Q665" s="103"/>
      <c r="R665" s="103"/>
      <c r="S665" s="103"/>
      <c r="T665" s="103"/>
      <c r="U665" s="103"/>
      <c r="V665" s="103"/>
      <c r="W665" s="103"/>
      <c r="X665" s="103"/>
      <c r="Y665" s="103"/>
      <c r="Z665" s="103"/>
      <c r="AA665" s="103"/>
      <c r="AB665" s="103"/>
      <c r="AC665" s="103"/>
      <c r="AD665" s="103"/>
      <c r="AE665" s="103"/>
      <c r="AF665" s="103"/>
      <c r="AG665" s="103"/>
      <c r="AH665" s="103"/>
      <c r="AI665" s="103"/>
      <c r="AJ665" s="103"/>
      <c r="AK665" s="103"/>
      <c r="AL665" s="103"/>
      <c r="AM665" s="103"/>
      <c r="AN665" s="103"/>
      <c r="AO665" s="103"/>
      <c r="AP665" s="103"/>
      <c r="AQ665" s="103"/>
      <c r="AR665" s="103"/>
      <c r="AS665" s="103"/>
      <c r="AT665" s="34" t="s">
        <v>228</v>
      </c>
      <c r="AU665" s="34" t="s">
        <v>764</v>
      </c>
      <c r="AV665" s="34"/>
      <c r="AW665" s="34"/>
      <c r="AX665" s="63"/>
      <c r="AY665" s="34" t="s">
        <v>1917</v>
      </c>
      <c r="AZ665" s="63" t="s">
        <v>2544</v>
      </c>
    </row>
    <row r="666" spans="1:54" ht="15.75" hidden="1" customHeight="1">
      <c r="A666" s="193"/>
      <c r="B666" s="60" t="s">
        <v>2545</v>
      </c>
      <c r="C666" s="78"/>
      <c r="D666" s="194"/>
      <c r="E666" s="103"/>
      <c r="F666" s="231">
        <v>7.0000000000000007E-2</v>
      </c>
      <c r="G666" s="103"/>
      <c r="H666" s="103"/>
      <c r="I666" s="103"/>
      <c r="J666" s="103"/>
      <c r="K666" s="103"/>
      <c r="L666" s="103"/>
      <c r="M666" s="103"/>
      <c r="N666" s="103"/>
      <c r="O666" s="103"/>
      <c r="P666" s="103"/>
      <c r="Q666" s="103"/>
      <c r="R666" s="103"/>
      <c r="S666" s="103"/>
      <c r="T666" s="103"/>
      <c r="U666" s="103"/>
      <c r="V666" s="103"/>
      <c r="W666" s="103"/>
      <c r="X666" s="103"/>
      <c r="Y666" s="103"/>
      <c r="Z666" s="103"/>
      <c r="AA666" s="103"/>
      <c r="AB666" s="103"/>
      <c r="AC666" s="103"/>
      <c r="AD666" s="103"/>
      <c r="AE666" s="103"/>
      <c r="AF666" s="103"/>
      <c r="AG666" s="103"/>
      <c r="AH666" s="103"/>
      <c r="AI666" s="103"/>
      <c r="AJ666" s="103"/>
      <c r="AK666" s="103"/>
      <c r="AL666" s="103"/>
      <c r="AM666" s="103"/>
      <c r="AN666" s="103"/>
      <c r="AO666" s="103"/>
      <c r="AP666" s="103"/>
      <c r="AQ666" s="103"/>
      <c r="AR666" s="103"/>
      <c r="AS666" s="103"/>
      <c r="AT666" s="34" t="s">
        <v>228</v>
      </c>
      <c r="AU666" s="34" t="s">
        <v>1137</v>
      </c>
      <c r="AV666" s="34"/>
      <c r="AW666" s="34"/>
      <c r="AX666" s="63"/>
      <c r="AY666" s="34" t="s">
        <v>1917</v>
      </c>
      <c r="AZ666" s="63" t="s">
        <v>1924</v>
      </c>
    </row>
    <row r="667" spans="1:54" ht="31.5" hidden="1" customHeight="1">
      <c r="A667" s="193"/>
      <c r="B667" s="60" t="s">
        <v>2546</v>
      </c>
      <c r="C667" s="78"/>
      <c r="D667" s="194"/>
      <c r="E667" s="103"/>
      <c r="F667" s="231">
        <v>0.25</v>
      </c>
      <c r="G667" s="103"/>
      <c r="H667" s="103"/>
      <c r="I667" s="103"/>
      <c r="J667" s="103"/>
      <c r="K667" s="103"/>
      <c r="L667" s="103"/>
      <c r="M667" s="103"/>
      <c r="N667" s="103"/>
      <c r="O667" s="103"/>
      <c r="P667" s="103"/>
      <c r="Q667" s="103"/>
      <c r="R667" s="103"/>
      <c r="S667" s="103"/>
      <c r="T667" s="103"/>
      <c r="U667" s="103"/>
      <c r="V667" s="103"/>
      <c r="W667" s="103"/>
      <c r="X667" s="103"/>
      <c r="Y667" s="103"/>
      <c r="Z667" s="103"/>
      <c r="AA667" s="103"/>
      <c r="AB667" s="103"/>
      <c r="AC667" s="103"/>
      <c r="AD667" s="103"/>
      <c r="AE667" s="103"/>
      <c r="AF667" s="103"/>
      <c r="AG667" s="103"/>
      <c r="AH667" s="103"/>
      <c r="AI667" s="103"/>
      <c r="AJ667" s="103"/>
      <c r="AK667" s="103"/>
      <c r="AL667" s="103"/>
      <c r="AM667" s="103"/>
      <c r="AN667" s="103"/>
      <c r="AO667" s="103"/>
      <c r="AP667" s="103"/>
      <c r="AQ667" s="103"/>
      <c r="AR667" s="103"/>
      <c r="AS667" s="103"/>
      <c r="AT667" s="34" t="s">
        <v>228</v>
      </c>
      <c r="AU667" s="34" t="s">
        <v>1139</v>
      </c>
      <c r="AV667" s="34"/>
      <c r="AW667" s="34"/>
      <c r="AX667" s="63"/>
      <c r="AY667" s="34" t="s">
        <v>1917</v>
      </c>
      <c r="AZ667" s="63" t="s">
        <v>2547</v>
      </c>
    </row>
    <row r="668" spans="1:54" ht="15.75" hidden="1" customHeight="1">
      <c r="A668" s="193"/>
      <c r="B668" s="60" t="s">
        <v>2548</v>
      </c>
      <c r="C668" s="78"/>
      <c r="D668" s="194"/>
      <c r="E668" s="103"/>
      <c r="F668" s="231">
        <v>0.1</v>
      </c>
      <c r="G668" s="103"/>
      <c r="H668" s="103"/>
      <c r="I668" s="103"/>
      <c r="J668" s="103"/>
      <c r="K668" s="103"/>
      <c r="L668" s="103"/>
      <c r="M668" s="103"/>
      <c r="N668" s="103"/>
      <c r="O668" s="103"/>
      <c r="P668" s="103"/>
      <c r="Q668" s="103"/>
      <c r="R668" s="103"/>
      <c r="S668" s="103"/>
      <c r="T668" s="103"/>
      <c r="U668" s="103"/>
      <c r="V668" s="103"/>
      <c r="W668" s="103"/>
      <c r="X668" s="103"/>
      <c r="Y668" s="103"/>
      <c r="Z668" s="103"/>
      <c r="AA668" s="103"/>
      <c r="AB668" s="103"/>
      <c r="AC668" s="103"/>
      <c r="AD668" s="103"/>
      <c r="AE668" s="103"/>
      <c r="AF668" s="103"/>
      <c r="AG668" s="103"/>
      <c r="AH668" s="103"/>
      <c r="AI668" s="103"/>
      <c r="AJ668" s="103"/>
      <c r="AK668" s="103"/>
      <c r="AL668" s="103"/>
      <c r="AM668" s="103"/>
      <c r="AN668" s="103"/>
      <c r="AO668" s="103"/>
      <c r="AP668" s="103"/>
      <c r="AQ668" s="103"/>
      <c r="AR668" s="103"/>
      <c r="AS668" s="103"/>
      <c r="AT668" s="34" t="s">
        <v>228</v>
      </c>
      <c r="AU668" s="34" t="s">
        <v>731</v>
      </c>
      <c r="AV668" s="34"/>
      <c r="AW668" s="34"/>
      <c r="AX668" s="63"/>
      <c r="AY668" s="34" t="s">
        <v>1917</v>
      </c>
      <c r="AZ668" s="63" t="s">
        <v>1924</v>
      </c>
    </row>
    <row r="669" spans="1:54" ht="15.75" hidden="1" customHeight="1">
      <c r="A669" s="193"/>
      <c r="B669" s="60" t="s">
        <v>2549</v>
      </c>
      <c r="C669" s="78"/>
      <c r="D669" s="194"/>
      <c r="E669" s="103"/>
      <c r="F669" s="231">
        <v>0.03</v>
      </c>
      <c r="G669" s="103"/>
      <c r="H669" s="103"/>
      <c r="I669" s="103"/>
      <c r="J669" s="103"/>
      <c r="K669" s="103"/>
      <c r="L669" s="103"/>
      <c r="M669" s="103"/>
      <c r="N669" s="103"/>
      <c r="O669" s="103"/>
      <c r="P669" s="103"/>
      <c r="Q669" s="103"/>
      <c r="R669" s="103"/>
      <c r="S669" s="103"/>
      <c r="T669" s="103"/>
      <c r="U669" s="103"/>
      <c r="V669" s="103"/>
      <c r="W669" s="103"/>
      <c r="X669" s="103"/>
      <c r="Y669" s="103"/>
      <c r="Z669" s="103"/>
      <c r="AA669" s="103"/>
      <c r="AB669" s="103"/>
      <c r="AC669" s="103"/>
      <c r="AD669" s="103"/>
      <c r="AE669" s="103"/>
      <c r="AF669" s="103"/>
      <c r="AG669" s="103"/>
      <c r="AH669" s="103"/>
      <c r="AI669" s="103"/>
      <c r="AJ669" s="103"/>
      <c r="AK669" s="103"/>
      <c r="AL669" s="103"/>
      <c r="AM669" s="103"/>
      <c r="AN669" s="103"/>
      <c r="AO669" s="103"/>
      <c r="AP669" s="103"/>
      <c r="AQ669" s="103"/>
      <c r="AR669" s="103"/>
      <c r="AS669" s="103"/>
      <c r="AT669" s="34" t="s">
        <v>228</v>
      </c>
      <c r="AU669" s="34" t="s">
        <v>1143</v>
      </c>
      <c r="AV669" s="34"/>
      <c r="AW669" s="34"/>
      <c r="AX669" s="63"/>
      <c r="AY669" s="34" t="s">
        <v>1917</v>
      </c>
      <c r="AZ669" s="63" t="s">
        <v>1924</v>
      </c>
    </row>
    <row r="670" spans="1:54" ht="31.5" hidden="1" customHeight="1">
      <c r="A670" s="193"/>
      <c r="B670" s="60" t="s">
        <v>2550</v>
      </c>
      <c r="C670" s="78" t="s">
        <v>112</v>
      </c>
      <c r="D670" s="235">
        <v>0.14000000000000001</v>
      </c>
      <c r="E670" s="222"/>
      <c r="F670" s="235">
        <v>0.14000000000000001</v>
      </c>
      <c r="G670" s="103"/>
      <c r="H670" s="103"/>
      <c r="I670" s="103"/>
      <c r="J670" s="103"/>
      <c r="K670" s="103"/>
      <c r="L670" s="103"/>
      <c r="M670" s="103"/>
      <c r="N670" s="103"/>
      <c r="O670" s="103"/>
      <c r="P670" s="103"/>
      <c r="Q670" s="103"/>
      <c r="R670" s="103"/>
      <c r="S670" s="103"/>
      <c r="T670" s="103"/>
      <c r="U670" s="103"/>
      <c r="V670" s="103"/>
      <c r="W670" s="103"/>
      <c r="X670" s="103"/>
      <c r="Y670" s="103"/>
      <c r="Z670" s="103"/>
      <c r="AA670" s="103"/>
      <c r="AB670" s="103"/>
      <c r="AC670" s="103"/>
      <c r="AD670" s="103"/>
      <c r="AE670" s="103"/>
      <c r="AF670" s="103"/>
      <c r="AG670" s="103"/>
      <c r="AH670" s="103"/>
      <c r="AI670" s="103"/>
      <c r="AJ670" s="103"/>
      <c r="AK670" s="103"/>
      <c r="AL670" s="103"/>
      <c r="AM670" s="103"/>
      <c r="AN670" s="103"/>
      <c r="AO670" s="103"/>
      <c r="AP670" s="103"/>
      <c r="AQ670" s="103"/>
      <c r="AR670" s="103"/>
      <c r="AS670" s="103"/>
      <c r="AT670" s="34" t="s">
        <v>229</v>
      </c>
      <c r="AU670" s="34"/>
      <c r="AV670" s="34"/>
      <c r="AW670" s="34"/>
      <c r="AX670" s="63"/>
      <c r="AY670" s="34" t="s">
        <v>1923</v>
      </c>
      <c r="AZ670" s="39" t="s">
        <v>1926</v>
      </c>
    </row>
    <row r="671" spans="1:54" ht="15.75" hidden="1" customHeight="1">
      <c r="A671" s="193"/>
      <c r="B671" s="60" t="s">
        <v>2526</v>
      </c>
      <c r="C671" s="78" t="s">
        <v>112</v>
      </c>
      <c r="D671" s="235">
        <v>0.06</v>
      </c>
      <c r="E671" s="222"/>
      <c r="F671" s="235">
        <v>0.06</v>
      </c>
      <c r="G671" s="103"/>
      <c r="H671" s="103"/>
      <c r="I671" s="103"/>
      <c r="J671" s="103"/>
      <c r="K671" s="103"/>
      <c r="L671" s="103"/>
      <c r="M671" s="103"/>
      <c r="N671" s="103"/>
      <c r="O671" s="103"/>
      <c r="P671" s="103"/>
      <c r="Q671" s="103"/>
      <c r="R671" s="103"/>
      <c r="S671" s="103"/>
      <c r="T671" s="103"/>
      <c r="U671" s="103"/>
      <c r="V671" s="103"/>
      <c r="W671" s="103"/>
      <c r="X671" s="103"/>
      <c r="Y671" s="103"/>
      <c r="Z671" s="103"/>
      <c r="AA671" s="103"/>
      <c r="AB671" s="103"/>
      <c r="AC671" s="103"/>
      <c r="AD671" s="103"/>
      <c r="AE671" s="103"/>
      <c r="AF671" s="103"/>
      <c r="AG671" s="103"/>
      <c r="AH671" s="103"/>
      <c r="AI671" s="103"/>
      <c r="AJ671" s="103"/>
      <c r="AK671" s="103"/>
      <c r="AL671" s="103"/>
      <c r="AM671" s="103"/>
      <c r="AN671" s="103"/>
      <c r="AO671" s="103"/>
      <c r="AP671" s="103"/>
      <c r="AQ671" s="103"/>
      <c r="AR671" s="103"/>
      <c r="AS671" s="103"/>
      <c r="AT671" s="34" t="s">
        <v>229</v>
      </c>
      <c r="AU671" s="34"/>
      <c r="AV671" s="34"/>
      <c r="AW671" s="34"/>
      <c r="AX671" s="63"/>
      <c r="AY671" s="34" t="s">
        <v>1923</v>
      </c>
      <c r="AZ671" s="39" t="s">
        <v>1926</v>
      </c>
    </row>
    <row r="672" spans="1:54" ht="15.75" hidden="1" customHeight="1">
      <c r="A672" s="193"/>
      <c r="B672" s="60" t="s">
        <v>2515</v>
      </c>
      <c r="C672" s="78" t="s">
        <v>112</v>
      </c>
      <c r="D672" s="235">
        <v>0.12</v>
      </c>
      <c r="E672" s="222"/>
      <c r="F672" s="235">
        <v>0.12</v>
      </c>
      <c r="G672" s="103"/>
      <c r="H672" s="103"/>
      <c r="I672" s="103"/>
      <c r="J672" s="103"/>
      <c r="K672" s="103"/>
      <c r="L672" s="103"/>
      <c r="M672" s="103"/>
      <c r="N672" s="103"/>
      <c r="O672" s="103"/>
      <c r="P672" s="103"/>
      <c r="Q672" s="103"/>
      <c r="R672" s="103"/>
      <c r="S672" s="103"/>
      <c r="T672" s="103"/>
      <c r="U672" s="103"/>
      <c r="V672" s="103"/>
      <c r="W672" s="103"/>
      <c r="X672" s="103"/>
      <c r="Y672" s="103"/>
      <c r="Z672" s="103"/>
      <c r="AA672" s="103"/>
      <c r="AB672" s="103"/>
      <c r="AC672" s="103"/>
      <c r="AD672" s="103"/>
      <c r="AE672" s="103"/>
      <c r="AF672" s="103"/>
      <c r="AG672" s="103"/>
      <c r="AH672" s="103"/>
      <c r="AI672" s="103"/>
      <c r="AJ672" s="103"/>
      <c r="AK672" s="103"/>
      <c r="AL672" s="103"/>
      <c r="AM672" s="103"/>
      <c r="AN672" s="103"/>
      <c r="AO672" s="103"/>
      <c r="AP672" s="103"/>
      <c r="AQ672" s="103"/>
      <c r="AR672" s="103"/>
      <c r="AS672" s="103"/>
      <c r="AT672" s="34" t="s">
        <v>229</v>
      </c>
      <c r="AU672" s="34"/>
      <c r="AV672" s="34"/>
      <c r="AW672" s="34"/>
      <c r="AX672" s="63"/>
      <c r="AY672" s="34" t="s">
        <v>1923</v>
      </c>
      <c r="AZ672" s="39" t="s">
        <v>1926</v>
      </c>
    </row>
    <row r="673" spans="1:52" ht="15.75" hidden="1" customHeight="1">
      <c r="A673" s="193"/>
      <c r="B673" s="60" t="s">
        <v>2518</v>
      </c>
      <c r="C673" s="78" t="s">
        <v>112</v>
      </c>
      <c r="D673" s="235">
        <v>0.05</v>
      </c>
      <c r="E673" s="222"/>
      <c r="F673" s="235">
        <v>0.05</v>
      </c>
      <c r="G673" s="103"/>
      <c r="H673" s="103"/>
      <c r="I673" s="103"/>
      <c r="J673" s="103"/>
      <c r="K673" s="103"/>
      <c r="L673" s="103"/>
      <c r="M673" s="103"/>
      <c r="N673" s="103"/>
      <c r="O673" s="103"/>
      <c r="P673" s="103"/>
      <c r="Q673" s="103"/>
      <c r="R673" s="103"/>
      <c r="S673" s="103"/>
      <c r="T673" s="103"/>
      <c r="U673" s="103"/>
      <c r="V673" s="103"/>
      <c r="W673" s="103"/>
      <c r="X673" s="103"/>
      <c r="Y673" s="103"/>
      <c r="Z673" s="103"/>
      <c r="AA673" s="103"/>
      <c r="AB673" s="103"/>
      <c r="AC673" s="103"/>
      <c r="AD673" s="103"/>
      <c r="AE673" s="103"/>
      <c r="AF673" s="103"/>
      <c r="AG673" s="103"/>
      <c r="AH673" s="103"/>
      <c r="AI673" s="103"/>
      <c r="AJ673" s="103"/>
      <c r="AK673" s="103"/>
      <c r="AL673" s="103"/>
      <c r="AM673" s="103"/>
      <c r="AN673" s="103"/>
      <c r="AO673" s="103"/>
      <c r="AP673" s="103"/>
      <c r="AQ673" s="103"/>
      <c r="AR673" s="103"/>
      <c r="AS673" s="103"/>
      <c r="AT673" s="34" t="s">
        <v>229</v>
      </c>
      <c r="AU673" s="34"/>
      <c r="AV673" s="34"/>
      <c r="AW673" s="34"/>
      <c r="AX673" s="63"/>
      <c r="AY673" s="34" t="s">
        <v>1923</v>
      </c>
      <c r="AZ673" s="39" t="s">
        <v>1926</v>
      </c>
    </row>
    <row r="674" spans="1:52" ht="15.75" hidden="1" customHeight="1">
      <c r="A674" s="193"/>
      <c r="B674" s="56" t="s">
        <v>2551</v>
      </c>
      <c r="C674" s="78"/>
      <c r="D674" s="194"/>
      <c r="E674" s="103"/>
      <c r="F674" s="194">
        <v>0.04</v>
      </c>
      <c r="G674" s="103"/>
      <c r="H674" s="103"/>
      <c r="I674" s="103"/>
      <c r="J674" s="103"/>
      <c r="K674" s="103"/>
      <c r="L674" s="103"/>
      <c r="M674" s="103"/>
      <c r="N674" s="103"/>
      <c r="O674" s="103"/>
      <c r="P674" s="103"/>
      <c r="Q674" s="103"/>
      <c r="R674" s="103"/>
      <c r="S674" s="103"/>
      <c r="T674" s="103"/>
      <c r="U674" s="103"/>
      <c r="V674" s="103"/>
      <c r="W674" s="103"/>
      <c r="X674" s="103"/>
      <c r="Y674" s="103"/>
      <c r="Z674" s="103"/>
      <c r="AA674" s="103"/>
      <c r="AB674" s="103"/>
      <c r="AC674" s="103"/>
      <c r="AD674" s="103"/>
      <c r="AE674" s="103"/>
      <c r="AF674" s="103"/>
      <c r="AG674" s="103"/>
      <c r="AH674" s="103"/>
      <c r="AI674" s="103"/>
      <c r="AJ674" s="103"/>
      <c r="AK674" s="103"/>
      <c r="AL674" s="103"/>
      <c r="AM674" s="103"/>
      <c r="AN674" s="103"/>
      <c r="AO674" s="103"/>
      <c r="AP674" s="103"/>
      <c r="AQ674" s="103"/>
      <c r="AR674" s="103"/>
      <c r="AS674" s="103"/>
      <c r="AT674" s="34" t="s">
        <v>230</v>
      </c>
      <c r="AU674" s="34"/>
      <c r="AV674" s="34"/>
      <c r="AW674" s="34"/>
      <c r="AX674" s="63"/>
      <c r="AY674" s="34" t="s">
        <v>1923</v>
      </c>
      <c r="AZ674" s="63" t="s">
        <v>1950</v>
      </c>
    </row>
    <row r="675" spans="1:52" ht="15.75" hidden="1" customHeight="1">
      <c r="A675" s="193"/>
      <c r="B675" s="56" t="s">
        <v>2552</v>
      </c>
      <c r="C675" s="78"/>
      <c r="D675" s="194"/>
      <c r="E675" s="103"/>
      <c r="F675" s="194">
        <v>0.15</v>
      </c>
      <c r="G675" s="103"/>
      <c r="H675" s="103"/>
      <c r="I675" s="103"/>
      <c r="J675" s="103"/>
      <c r="K675" s="103"/>
      <c r="L675" s="103"/>
      <c r="M675" s="103"/>
      <c r="N675" s="103"/>
      <c r="O675" s="103"/>
      <c r="P675" s="103"/>
      <c r="Q675" s="103"/>
      <c r="R675" s="103"/>
      <c r="S675" s="103"/>
      <c r="T675" s="103"/>
      <c r="U675" s="103"/>
      <c r="V675" s="103"/>
      <c r="W675" s="103"/>
      <c r="X675" s="103"/>
      <c r="Y675" s="103"/>
      <c r="Z675" s="103"/>
      <c r="AA675" s="103"/>
      <c r="AB675" s="103"/>
      <c r="AC675" s="103"/>
      <c r="AD675" s="103"/>
      <c r="AE675" s="103"/>
      <c r="AF675" s="103"/>
      <c r="AG675" s="103"/>
      <c r="AH675" s="103"/>
      <c r="AI675" s="103"/>
      <c r="AJ675" s="103"/>
      <c r="AK675" s="103"/>
      <c r="AL675" s="103"/>
      <c r="AM675" s="103"/>
      <c r="AN675" s="103"/>
      <c r="AO675" s="103"/>
      <c r="AP675" s="103"/>
      <c r="AQ675" s="103"/>
      <c r="AR675" s="103"/>
      <c r="AS675" s="103"/>
      <c r="AT675" s="34" t="s">
        <v>230</v>
      </c>
      <c r="AU675" s="34"/>
      <c r="AV675" s="34"/>
      <c r="AW675" s="34"/>
      <c r="AX675" s="63"/>
      <c r="AY675" s="34" t="s">
        <v>1923</v>
      </c>
      <c r="AZ675" s="63" t="s">
        <v>1950</v>
      </c>
    </row>
    <row r="676" spans="1:52" ht="15.75" hidden="1" customHeight="1">
      <c r="A676" s="193"/>
      <c r="B676" s="56" t="s">
        <v>2553</v>
      </c>
      <c r="C676" s="78"/>
      <c r="D676" s="194"/>
      <c r="E676" s="103"/>
      <c r="F676" s="194">
        <v>0.15</v>
      </c>
      <c r="G676" s="103"/>
      <c r="H676" s="103"/>
      <c r="I676" s="103"/>
      <c r="J676" s="103"/>
      <c r="K676" s="103"/>
      <c r="L676" s="103"/>
      <c r="M676" s="103"/>
      <c r="N676" s="103"/>
      <c r="O676" s="103"/>
      <c r="P676" s="103"/>
      <c r="Q676" s="103"/>
      <c r="R676" s="103"/>
      <c r="S676" s="103"/>
      <c r="T676" s="103"/>
      <c r="U676" s="103"/>
      <c r="V676" s="103"/>
      <c r="W676" s="103"/>
      <c r="X676" s="103"/>
      <c r="Y676" s="103"/>
      <c r="Z676" s="103"/>
      <c r="AA676" s="103"/>
      <c r="AB676" s="103"/>
      <c r="AC676" s="103"/>
      <c r="AD676" s="103"/>
      <c r="AE676" s="103"/>
      <c r="AF676" s="103"/>
      <c r="AG676" s="103"/>
      <c r="AH676" s="103"/>
      <c r="AI676" s="103"/>
      <c r="AJ676" s="103"/>
      <c r="AK676" s="103"/>
      <c r="AL676" s="103"/>
      <c r="AM676" s="103"/>
      <c r="AN676" s="103"/>
      <c r="AO676" s="103"/>
      <c r="AP676" s="103"/>
      <c r="AQ676" s="103"/>
      <c r="AR676" s="103"/>
      <c r="AS676" s="103"/>
      <c r="AT676" s="34" t="s">
        <v>231</v>
      </c>
      <c r="AU676" s="34"/>
      <c r="AV676" s="34"/>
      <c r="AW676" s="34"/>
      <c r="AX676" s="63"/>
      <c r="AY676" s="34" t="s">
        <v>1917</v>
      </c>
      <c r="AZ676" s="63" t="s">
        <v>2554</v>
      </c>
    </row>
    <row r="677" spans="1:52" ht="15.75" hidden="1" customHeight="1">
      <c r="A677" s="193"/>
      <c r="B677" s="56" t="s">
        <v>2555</v>
      </c>
      <c r="C677" s="78"/>
      <c r="D677" s="194"/>
      <c r="E677" s="103"/>
      <c r="F677" s="194">
        <v>0.1</v>
      </c>
      <c r="G677" s="103"/>
      <c r="H677" s="103"/>
      <c r="I677" s="103"/>
      <c r="J677" s="103"/>
      <c r="K677" s="103"/>
      <c r="L677" s="103"/>
      <c r="M677" s="103"/>
      <c r="N677" s="103"/>
      <c r="O677" s="103"/>
      <c r="P677" s="103"/>
      <c r="Q677" s="103"/>
      <c r="R677" s="103"/>
      <c r="S677" s="103"/>
      <c r="T677" s="103"/>
      <c r="U677" s="103"/>
      <c r="V677" s="103"/>
      <c r="W677" s="103"/>
      <c r="X677" s="103"/>
      <c r="Y677" s="103"/>
      <c r="Z677" s="103"/>
      <c r="AA677" s="103"/>
      <c r="AB677" s="103"/>
      <c r="AC677" s="103"/>
      <c r="AD677" s="103"/>
      <c r="AE677" s="103"/>
      <c r="AF677" s="103"/>
      <c r="AG677" s="103"/>
      <c r="AH677" s="103"/>
      <c r="AI677" s="103"/>
      <c r="AJ677" s="103"/>
      <c r="AK677" s="103"/>
      <c r="AL677" s="103"/>
      <c r="AM677" s="103"/>
      <c r="AN677" s="103"/>
      <c r="AO677" s="103"/>
      <c r="AP677" s="103"/>
      <c r="AQ677" s="103"/>
      <c r="AR677" s="103"/>
      <c r="AS677" s="103"/>
      <c r="AT677" s="34" t="s">
        <v>231</v>
      </c>
      <c r="AU677" s="34" t="s">
        <v>328</v>
      </c>
      <c r="AV677" s="34"/>
      <c r="AW677" s="34"/>
      <c r="AX677" s="63"/>
      <c r="AY677" s="34" t="s">
        <v>1923</v>
      </c>
      <c r="AZ677" s="39" t="s">
        <v>1924</v>
      </c>
    </row>
    <row r="678" spans="1:52" ht="15.75" hidden="1" customHeight="1">
      <c r="A678" s="193"/>
      <c r="B678" s="56" t="s">
        <v>2556</v>
      </c>
      <c r="C678" s="78"/>
      <c r="D678" s="194"/>
      <c r="E678" s="103"/>
      <c r="F678" s="194">
        <v>0.05</v>
      </c>
      <c r="G678" s="103"/>
      <c r="H678" s="103"/>
      <c r="I678" s="103"/>
      <c r="J678" s="103"/>
      <c r="K678" s="103"/>
      <c r="L678" s="103"/>
      <c r="M678" s="103"/>
      <c r="N678" s="103"/>
      <c r="O678" s="103"/>
      <c r="P678" s="103"/>
      <c r="Q678" s="103"/>
      <c r="R678" s="103"/>
      <c r="S678" s="103"/>
      <c r="T678" s="103"/>
      <c r="U678" s="103"/>
      <c r="V678" s="103"/>
      <c r="W678" s="103"/>
      <c r="X678" s="103"/>
      <c r="Y678" s="103"/>
      <c r="Z678" s="103"/>
      <c r="AA678" s="103"/>
      <c r="AB678" s="103"/>
      <c r="AC678" s="103"/>
      <c r="AD678" s="103"/>
      <c r="AE678" s="103"/>
      <c r="AF678" s="103"/>
      <c r="AG678" s="103"/>
      <c r="AH678" s="103"/>
      <c r="AI678" s="103"/>
      <c r="AJ678" s="103"/>
      <c r="AK678" s="103"/>
      <c r="AL678" s="103"/>
      <c r="AM678" s="103"/>
      <c r="AN678" s="103"/>
      <c r="AO678" s="103"/>
      <c r="AP678" s="103"/>
      <c r="AQ678" s="103"/>
      <c r="AR678" s="103"/>
      <c r="AS678" s="103"/>
      <c r="AT678" s="34" t="s">
        <v>232</v>
      </c>
      <c r="AU678" s="34" t="s">
        <v>410</v>
      </c>
      <c r="AV678" s="34"/>
      <c r="AW678" s="34"/>
      <c r="AX678" s="63"/>
      <c r="AY678" s="34" t="s">
        <v>1923</v>
      </c>
      <c r="AZ678" s="63" t="s">
        <v>2058</v>
      </c>
    </row>
    <row r="679" spans="1:52" ht="15.75" hidden="1" customHeight="1">
      <c r="A679" s="193"/>
      <c r="B679" s="56" t="s">
        <v>2557</v>
      </c>
      <c r="C679" s="78"/>
      <c r="D679" s="194"/>
      <c r="E679" s="103"/>
      <c r="F679" s="194">
        <v>0.06</v>
      </c>
      <c r="G679" s="103"/>
      <c r="H679" s="103"/>
      <c r="I679" s="103"/>
      <c r="J679" s="103"/>
      <c r="K679" s="103"/>
      <c r="L679" s="103"/>
      <c r="M679" s="103"/>
      <c r="N679" s="103"/>
      <c r="O679" s="103"/>
      <c r="P679" s="103"/>
      <c r="Q679" s="103"/>
      <c r="R679" s="103"/>
      <c r="S679" s="103"/>
      <c r="T679" s="103"/>
      <c r="U679" s="103"/>
      <c r="V679" s="103"/>
      <c r="W679" s="103"/>
      <c r="X679" s="103"/>
      <c r="Y679" s="103"/>
      <c r="Z679" s="103"/>
      <c r="AA679" s="103"/>
      <c r="AB679" s="103"/>
      <c r="AC679" s="103"/>
      <c r="AD679" s="103"/>
      <c r="AE679" s="103"/>
      <c r="AF679" s="103"/>
      <c r="AG679" s="103"/>
      <c r="AH679" s="103"/>
      <c r="AI679" s="103"/>
      <c r="AJ679" s="103"/>
      <c r="AK679" s="103"/>
      <c r="AL679" s="103"/>
      <c r="AM679" s="103"/>
      <c r="AN679" s="103"/>
      <c r="AO679" s="103"/>
      <c r="AP679" s="103"/>
      <c r="AQ679" s="103"/>
      <c r="AR679" s="103"/>
      <c r="AS679" s="103"/>
      <c r="AT679" s="34" t="s">
        <v>233</v>
      </c>
      <c r="AU679" s="34"/>
      <c r="AV679" s="34"/>
      <c r="AW679" s="34"/>
      <c r="AX679" s="63"/>
      <c r="AY679" s="34" t="s">
        <v>1923</v>
      </c>
      <c r="AZ679" s="39" t="s">
        <v>1926</v>
      </c>
    </row>
    <row r="680" spans="1:52" ht="15.75" hidden="1" customHeight="1">
      <c r="A680" s="193"/>
      <c r="B680" s="56" t="s">
        <v>2558</v>
      </c>
      <c r="C680" s="78"/>
      <c r="D680" s="194"/>
      <c r="E680" s="103"/>
      <c r="F680" s="194">
        <v>0.09</v>
      </c>
      <c r="G680" s="103"/>
      <c r="H680" s="103"/>
      <c r="I680" s="103"/>
      <c r="J680" s="103"/>
      <c r="K680" s="103"/>
      <c r="L680" s="103"/>
      <c r="M680" s="103"/>
      <c r="N680" s="103"/>
      <c r="O680" s="103"/>
      <c r="P680" s="103"/>
      <c r="Q680" s="103"/>
      <c r="R680" s="103"/>
      <c r="S680" s="103"/>
      <c r="T680" s="103"/>
      <c r="U680" s="103"/>
      <c r="V680" s="103"/>
      <c r="W680" s="103"/>
      <c r="X680" s="103"/>
      <c r="Y680" s="103"/>
      <c r="Z680" s="103"/>
      <c r="AA680" s="103"/>
      <c r="AB680" s="103"/>
      <c r="AC680" s="103"/>
      <c r="AD680" s="103"/>
      <c r="AE680" s="103"/>
      <c r="AF680" s="103"/>
      <c r="AG680" s="103"/>
      <c r="AH680" s="103"/>
      <c r="AI680" s="103"/>
      <c r="AJ680" s="103"/>
      <c r="AK680" s="103"/>
      <c r="AL680" s="103"/>
      <c r="AM680" s="103"/>
      <c r="AN680" s="103"/>
      <c r="AO680" s="103"/>
      <c r="AP680" s="103"/>
      <c r="AQ680" s="103"/>
      <c r="AR680" s="103"/>
      <c r="AS680" s="103"/>
      <c r="AT680" s="34" t="s">
        <v>233</v>
      </c>
      <c r="AU680" s="34"/>
      <c r="AV680" s="34"/>
      <c r="AW680" s="34"/>
      <c r="AX680" s="63"/>
      <c r="AY680" s="34" t="s">
        <v>1923</v>
      </c>
      <c r="AZ680" s="39" t="s">
        <v>1926</v>
      </c>
    </row>
    <row r="681" spans="1:52" ht="15.75" hidden="1" customHeight="1">
      <c r="A681" s="193"/>
      <c r="B681" s="56" t="s">
        <v>2559</v>
      </c>
      <c r="C681" s="78"/>
      <c r="D681" s="194"/>
      <c r="E681" s="103"/>
      <c r="F681" s="194">
        <v>7.0000000000000007E-2</v>
      </c>
      <c r="G681" s="103"/>
      <c r="H681" s="103"/>
      <c r="I681" s="103"/>
      <c r="J681" s="103"/>
      <c r="K681" s="103"/>
      <c r="L681" s="103"/>
      <c r="M681" s="103"/>
      <c r="N681" s="103"/>
      <c r="O681" s="103"/>
      <c r="P681" s="103"/>
      <c r="Q681" s="103"/>
      <c r="R681" s="103"/>
      <c r="S681" s="103"/>
      <c r="T681" s="103"/>
      <c r="U681" s="103"/>
      <c r="V681" s="103"/>
      <c r="W681" s="103"/>
      <c r="X681" s="103"/>
      <c r="Y681" s="103"/>
      <c r="Z681" s="103"/>
      <c r="AA681" s="103"/>
      <c r="AB681" s="103"/>
      <c r="AC681" s="103"/>
      <c r="AD681" s="103"/>
      <c r="AE681" s="103"/>
      <c r="AF681" s="103"/>
      <c r="AG681" s="103"/>
      <c r="AH681" s="103"/>
      <c r="AI681" s="103"/>
      <c r="AJ681" s="103"/>
      <c r="AK681" s="103"/>
      <c r="AL681" s="103"/>
      <c r="AM681" s="103"/>
      <c r="AN681" s="103"/>
      <c r="AO681" s="103"/>
      <c r="AP681" s="103"/>
      <c r="AQ681" s="103"/>
      <c r="AR681" s="103"/>
      <c r="AS681" s="103"/>
      <c r="AT681" s="34" t="s">
        <v>233</v>
      </c>
      <c r="AU681" s="34"/>
      <c r="AV681" s="34"/>
      <c r="AW681" s="34"/>
      <c r="AX681" s="63"/>
      <c r="AY681" s="34" t="s">
        <v>1923</v>
      </c>
      <c r="AZ681" s="39" t="s">
        <v>1926</v>
      </c>
    </row>
    <row r="682" spans="1:52" ht="15.75" hidden="1" customHeight="1">
      <c r="A682" s="193"/>
      <c r="B682" s="56" t="s">
        <v>2560</v>
      </c>
      <c r="C682" s="78"/>
      <c r="D682" s="194"/>
      <c r="E682" s="103"/>
      <c r="F682" s="194">
        <v>0.06</v>
      </c>
      <c r="G682" s="103"/>
      <c r="H682" s="103"/>
      <c r="I682" s="103"/>
      <c r="J682" s="103"/>
      <c r="K682" s="103"/>
      <c r="L682" s="103"/>
      <c r="M682" s="103"/>
      <c r="N682" s="103"/>
      <c r="O682" s="103"/>
      <c r="P682" s="103"/>
      <c r="Q682" s="103"/>
      <c r="R682" s="103"/>
      <c r="S682" s="103"/>
      <c r="T682" s="103"/>
      <c r="U682" s="103"/>
      <c r="V682" s="103"/>
      <c r="W682" s="103"/>
      <c r="X682" s="103"/>
      <c r="Y682" s="103"/>
      <c r="Z682" s="103"/>
      <c r="AA682" s="103"/>
      <c r="AB682" s="103"/>
      <c r="AC682" s="103"/>
      <c r="AD682" s="103"/>
      <c r="AE682" s="103"/>
      <c r="AF682" s="103"/>
      <c r="AG682" s="103"/>
      <c r="AH682" s="103"/>
      <c r="AI682" s="103"/>
      <c r="AJ682" s="103"/>
      <c r="AK682" s="103"/>
      <c r="AL682" s="103"/>
      <c r="AM682" s="103"/>
      <c r="AN682" s="103"/>
      <c r="AO682" s="103"/>
      <c r="AP682" s="103"/>
      <c r="AQ682" s="103"/>
      <c r="AR682" s="103"/>
      <c r="AS682" s="103"/>
      <c r="AT682" s="34" t="s">
        <v>233</v>
      </c>
      <c r="AU682" s="34"/>
      <c r="AV682" s="34"/>
      <c r="AW682" s="34"/>
      <c r="AX682" s="63"/>
      <c r="AY682" s="34" t="s">
        <v>1923</v>
      </c>
      <c r="AZ682" s="39" t="s">
        <v>1926</v>
      </c>
    </row>
    <row r="683" spans="1:52" ht="15.75" hidden="1" customHeight="1">
      <c r="A683" s="193"/>
      <c r="B683" s="56" t="s">
        <v>2561</v>
      </c>
      <c r="C683" s="78"/>
      <c r="D683" s="194"/>
      <c r="E683" s="103"/>
      <c r="F683" s="194">
        <v>0.09</v>
      </c>
      <c r="G683" s="103"/>
      <c r="H683" s="103"/>
      <c r="I683" s="103"/>
      <c r="J683" s="103"/>
      <c r="K683" s="103"/>
      <c r="L683" s="103"/>
      <c r="M683" s="103"/>
      <c r="N683" s="103"/>
      <c r="O683" s="103"/>
      <c r="P683" s="103"/>
      <c r="Q683" s="103"/>
      <c r="R683" s="103"/>
      <c r="S683" s="103"/>
      <c r="T683" s="103"/>
      <c r="U683" s="103"/>
      <c r="V683" s="103"/>
      <c r="W683" s="103"/>
      <c r="X683" s="103"/>
      <c r="Y683" s="103"/>
      <c r="Z683" s="103"/>
      <c r="AA683" s="103"/>
      <c r="AB683" s="103"/>
      <c r="AC683" s="103"/>
      <c r="AD683" s="103"/>
      <c r="AE683" s="103"/>
      <c r="AF683" s="103"/>
      <c r="AG683" s="103"/>
      <c r="AH683" s="103"/>
      <c r="AI683" s="103"/>
      <c r="AJ683" s="103"/>
      <c r="AK683" s="103"/>
      <c r="AL683" s="103"/>
      <c r="AM683" s="103"/>
      <c r="AN683" s="103"/>
      <c r="AO683" s="103"/>
      <c r="AP683" s="103"/>
      <c r="AQ683" s="103"/>
      <c r="AR683" s="103"/>
      <c r="AS683" s="103"/>
      <c r="AT683" s="34" t="s">
        <v>233</v>
      </c>
      <c r="AU683" s="34"/>
      <c r="AV683" s="34"/>
      <c r="AW683" s="34"/>
      <c r="AX683" s="63"/>
      <c r="AY683" s="34" t="s">
        <v>1923</v>
      </c>
      <c r="AZ683" s="39" t="s">
        <v>1926</v>
      </c>
    </row>
    <row r="684" spans="1:52" ht="15.75" hidden="1" customHeight="1">
      <c r="A684" s="193"/>
      <c r="B684" s="56" t="s">
        <v>2562</v>
      </c>
      <c r="C684" s="78"/>
      <c r="D684" s="194"/>
      <c r="E684" s="103"/>
      <c r="F684" s="194">
        <v>0.27</v>
      </c>
      <c r="G684" s="103"/>
      <c r="H684" s="103"/>
      <c r="I684" s="103"/>
      <c r="J684" s="103"/>
      <c r="K684" s="103"/>
      <c r="L684" s="103"/>
      <c r="M684" s="103"/>
      <c r="N684" s="103"/>
      <c r="O684" s="103"/>
      <c r="P684" s="103"/>
      <c r="Q684" s="103"/>
      <c r="R684" s="103"/>
      <c r="S684" s="103"/>
      <c r="T684" s="103"/>
      <c r="U684" s="103"/>
      <c r="V684" s="103"/>
      <c r="W684" s="103"/>
      <c r="X684" s="103"/>
      <c r="Y684" s="103"/>
      <c r="Z684" s="103"/>
      <c r="AA684" s="103"/>
      <c r="AB684" s="103"/>
      <c r="AC684" s="103"/>
      <c r="AD684" s="103"/>
      <c r="AE684" s="103"/>
      <c r="AF684" s="103"/>
      <c r="AG684" s="103"/>
      <c r="AH684" s="103"/>
      <c r="AI684" s="103"/>
      <c r="AJ684" s="103"/>
      <c r="AK684" s="103"/>
      <c r="AL684" s="103"/>
      <c r="AM684" s="103"/>
      <c r="AN684" s="103"/>
      <c r="AO684" s="103"/>
      <c r="AP684" s="103"/>
      <c r="AQ684" s="103"/>
      <c r="AR684" s="103"/>
      <c r="AS684" s="103"/>
      <c r="AT684" s="34" t="s">
        <v>233</v>
      </c>
      <c r="AU684" s="34"/>
      <c r="AV684" s="34"/>
      <c r="AW684" s="34"/>
      <c r="AX684" s="63"/>
      <c r="AY684" s="34" t="s">
        <v>1923</v>
      </c>
      <c r="AZ684" s="39" t="s">
        <v>1926</v>
      </c>
    </row>
    <row r="685" spans="1:52" ht="15.75" hidden="1" customHeight="1">
      <c r="A685" s="193"/>
      <c r="B685" s="56" t="s">
        <v>2563</v>
      </c>
      <c r="C685" s="78"/>
      <c r="D685" s="194"/>
      <c r="E685" s="103"/>
      <c r="F685" s="194">
        <v>0.2</v>
      </c>
      <c r="G685" s="103"/>
      <c r="H685" s="103"/>
      <c r="I685" s="103"/>
      <c r="J685" s="103"/>
      <c r="K685" s="103"/>
      <c r="L685" s="103"/>
      <c r="M685" s="103"/>
      <c r="N685" s="103"/>
      <c r="O685" s="103"/>
      <c r="P685" s="103"/>
      <c r="Q685" s="103"/>
      <c r="R685" s="103"/>
      <c r="S685" s="103"/>
      <c r="T685" s="103"/>
      <c r="U685" s="103"/>
      <c r="V685" s="103"/>
      <c r="W685" s="103"/>
      <c r="X685" s="103"/>
      <c r="Y685" s="103"/>
      <c r="Z685" s="103"/>
      <c r="AA685" s="103"/>
      <c r="AB685" s="103"/>
      <c r="AC685" s="103"/>
      <c r="AD685" s="103"/>
      <c r="AE685" s="103"/>
      <c r="AF685" s="103"/>
      <c r="AG685" s="103"/>
      <c r="AH685" s="103"/>
      <c r="AI685" s="103"/>
      <c r="AJ685" s="103"/>
      <c r="AK685" s="103"/>
      <c r="AL685" s="103"/>
      <c r="AM685" s="103"/>
      <c r="AN685" s="103"/>
      <c r="AO685" s="103"/>
      <c r="AP685" s="103"/>
      <c r="AQ685" s="103"/>
      <c r="AR685" s="103"/>
      <c r="AS685" s="103"/>
      <c r="AT685" s="34" t="s">
        <v>233</v>
      </c>
      <c r="AU685" s="34"/>
      <c r="AV685" s="34"/>
      <c r="AW685" s="34"/>
      <c r="AX685" s="63"/>
      <c r="AY685" s="34" t="s">
        <v>1923</v>
      </c>
      <c r="AZ685" s="63" t="s">
        <v>2564</v>
      </c>
    </row>
    <row r="686" spans="1:52" ht="15.75" hidden="1" customHeight="1">
      <c r="A686" s="193"/>
      <c r="B686" s="56" t="s">
        <v>2565</v>
      </c>
      <c r="C686" s="78"/>
      <c r="D686" s="194"/>
      <c r="E686" s="103"/>
      <c r="F686" s="194">
        <v>0.19</v>
      </c>
      <c r="G686" s="103"/>
      <c r="H686" s="103"/>
      <c r="I686" s="103"/>
      <c r="J686" s="103"/>
      <c r="K686" s="103"/>
      <c r="L686" s="103"/>
      <c r="M686" s="103"/>
      <c r="N686" s="103"/>
      <c r="O686" s="103"/>
      <c r="P686" s="103"/>
      <c r="Q686" s="103"/>
      <c r="R686" s="103"/>
      <c r="S686" s="103"/>
      <c r="T686" s="103"/>
      <c r="U686" s="103"/>
      <c r="V686" s="103"/>
      <c r="W686" s="103"/>
      <c r="X686" s="103"/>
      <c r="Y686" s="103"/>
      <c r="Z686" s="103"/>
      <c r="AA686" s="103"/>
      <c r="AB686" s="103"/>
      <c r="AC686" s="103"/>
      <c r="AD686" s="103"/>
      <c r="AE686" s="103"/>
      <c r="AF686" s="103"/>
      <c r="AG686" s="103"/>
      <c r="AH686" s="103"/>
      <c r="AI686" s="103"/>
      <c r="AJ686" s="103"/>
      <c r="AK686" s="103"/>
      <c r="AL686" s="103"/>
      <c r="AM686" s="103"/>
      <c r="AN686" s="103"/>
      <c r="AO686" s="103"/>
      <c r="AP686" s="103"/>
      <c r="AQ686" s="103"/>
      <c r="AR686" s="103"/>
      <c r="AS686" s="103"/>
      <c r="AT686" s="34" t="s">
        <v>233</v>
      </c>
      <c r="AU686" s="34"/>
      <c r="AV686" s="34"/>
      <c r="AW686" s="34"/>
      <c r="AX686" s="63"/>
      <c r="AY686" s="34" t="s">
        <v>1923</v>
      </c>
      <c r="AZ686" s="39" t="s">
        <v>1926</v>
      </c>
    </row>
    <row r="687" spans="1:52" ht="15.75" hidden="1" customHeight="1">
      <c r="A687" s="193"/>
      <c r="B687" s="56" t="s">
        <v>2566</v>
      </c>
      <c r="C687" s="78"/>
      <c r="D687" s="194"/>
      <c r="E687" s="103"/>
      <c r="F687" s="194">
        <v>0.05</v>
      </c>
      <c r="G687" s="103"/>
      <c r="H687" s="103"/>
      <c r="I687" s="103"/>
      <c r="J687" s="103"/>
      <c r="K687" s="103"/>
      <c r="L687" s="103"/>
      <c r="M687" s="103"/>
      <c r="N687" s="103"/>
      <c r="O687" s="103"/>
      <c r="P687" s="103"/>
      <c r="Q687" s="103"/>
      <c r="R687" s="103"/>
      <c r="S687" s="103"/>
      <c r="T687" s="103"/>
      <c r="U687" s="103"/>
      <c r="V687" s="103"/>
      <c r="W687" s="103"/>
      <c r="X687" s="103"/>
      <c r="Y687" s="103"/>
      <c r="Z687" s="103"/>
      <c r="AA687" s="103"/>
      <c r="AB687" s="103"/>
      <c r="AC687" s="103"/>
      <c r="AD687" s="103"/>
      <c r="AE687" s="103"/>
      <c r="AF687" s="103"/>
      <c r="AG687" s="103"/>
      <c r="AH687" s="103"/>
      <c r="AI687" s="103"/>
      <c r="AJ687" s="103"/>
      <c r="AK687" s="103"/>
      <c r="AL687" s="103"/>
      <c r="AM687" s="103"/>
      <c r="AN687" s="103"/>
      <c r="AO687" s="103"/>
      <c r="AP687" s="103"/>
      <c r="AQ687" s="103"/>
      <c r="AR687" s="103"/>
      <c r="AS687" s="103"/>
      <c r="AT687" s="34" t="s">
        <v>233</v>
      </c>
      <c r="AU687" s="34"/>
      <c r="AV687" s="34"/>
      <c r="AW687" s="34"/>
      <c r="AX687" s="63"/>
      <c r="AY687" s="34" t="s">
        <v>1923</v>
      </c>
      <c r="AZ687" s="39" t="s">
        <v>1926</v>
      </c>
    </row>
    <row r="688" spans="1:52" ht="15.75" hidden="1" customHeight="1">
      <c r="A688" s="193"/>
      <c r="B688" s="56" t="s">
        <v>2567</v>
      </c>
      <c r="C688" s="78"/>
      <c r="D688" s="194"/>
      <c r="E688" s="103"/>
      <c r="F688" s="194">
        <v>0.05</v>
      </c>
      <c r="G688" s="103"/>
      <c r="H688" s="103"/>
      <c r="I688" s="103"/>
      <c r="J688" s="103"/>
      <c r="K688" s="103"/>
      <c r="L688" s="103"/>
      <c r="M688" s="103"/>
      <c r="N688" s="103"/>
      <c r="O688" s="103"/>
      <c r="P688" s="103"/>
      <c r="Q688" s="103"/>
      <c r="R688" s="103"/>
      <c r="S688" s="103"/>
      <c r="T688" s="103"/>
      <c r="U688" s="103"/>
      <c r="V688" s="103"/>
      <c r="W688" s="103"/>
      <c r="X688" s="103"/>
      <c r="Y688" s="103"/>
      <c r="Z688" s="103"/>
      <c r="AA688" s="103"/>
      <c r="AB688" s="103"/>
      <c r="AC688" s="103"/>
      <c r="AD688" s="103"/>
      <c r="AE688" s="103"/>
      <c r="AF688" s="103"/>
      <c r="AG688" s="103"/>
      <c r="AH688" s="103"/>
      <c r="AI688" s="103"/>
      <c r="AJ688" s="103"/>
      <c r="AK688" s="103"/>
      <c r="AL688" s="103"/>
      <c r="AM688" s="103"/>
      <c r="AN688" s="103"/>
      <c r="AO688" s="103"/>
      <c r="AP688" s="103"/>
      <c r="AQ688" s="103"/>
      <c r="AR688" s="103"/>
      <c r="AS688" s="103"/>
      <c r="AT688" s="34" t="s">
        <v>233</v>
      </c>
      <c r="AU688" s="34"/>
      <c r="AV688" s="34"/>
      <c r="AW688" s="34"/>
      <c r="AX688" s="63"/>
      <c r="AY688" s="34" t="s">
        <v>1923</v>
      </c>
      <c r="AZ688" s="39" t="s">
        <v>1926</v>
      </c>
    </row>
    <row r="689" spans="1:54" ht="15.75" hidden="1" customHeight="1">
      <c r="A689" s="193"/>
      <c r="B689" s="56" t="s">
        <v>2568</v>
      </c>
      <c r="C689" s="78"/>
      <c r="D689" s="194"/>
      <c r="E689" s="103"/>
      <c r="F689" s="194">
        <v>0.15</v>
      </c>
      <c r="G689" s="103"/>
      <c r="H689" s="103"/>
      <c r="I689" s="103"/>
      <c r="J689" s="103"/>
      <c r="K689" s="103"/>
      <c r="L689" s="103"/>
      <c r="M689" s="103"/>
      <c r="N689" s="103"/>
      <c r="O689" s="103"/>
      <c r="P689" s="103"/>
      <c r="Q689" s="103"/>
      <c r="R689" s="103"/>
      <c r="S689" s="103"/>
      <c r="T689" s="103"/>
      <c r="U689" s="103"/>
      <c r="V689" s="103"/>
      <c r="W689" s="103"/>
      <c r="X689" s="103"/>
      <c r="Y689" s="103"/>
      <c r="Z689" s="103"/>
      <c r="AA689" s="103"/>
      <c r="AB689" s="103"/>
      <c r="AC689" s="103"/>
      <c r="AD689" s="103"/>
      <c r="AE689" s="103"/>
      <c r="AF689" s="103"/>
      <c r="AG689" s="103"/>
      <c r="AH689" s="103"/>
      <c r="AI689" s="103"/>
      <c r="AJ689" s="103"/>
      <c r="AK689" s="103"/>
      <c r="AL689" s="103"/>
      <c r="AM689" s="103"/>
      <c r="AN689" s="103"/>
      <c r="AO689" s="103"/>
      <c r="AP689" s="103"/>
      <c r="AQ689" s="103"/>
      <c r="AR689" s="103"/>
      <c r="AS689" s="103"/>
      <c r="AT689" s="34" t="s">
        <v>233</v>
      </c>
      <c r="AU689" s="34"/>
      <c r="AV689" s="34"/>
      <c r="AW689" s="34"/>
      <c r="AX689" s="63"/>
      <c r="AY689" s="34" t="s">
        <v>1923</v>
      </c>
      <c r="AZ689" s="39" t="s">
        <v>1926</v>
      </c>
    </row>
    <row r="690" spans="1:54" ht="15.75" hidden="1" customHeight="1">
      <c r="A690" s="193"/>
      <c r="B690" s="56" t="s">
        <v>2569</v>
      </c>
      <c r="C690" s="78"/>
      <c r="D690" s="194"/>
      <c r="E690" s="103"/>
      <c r="F690" s="194">
        <v>0.2</v>
      </c>
      <c r="G690" s="103"/>
      <c r="H690" s="103"/>
      <c r="I690" s="103"/>
      <c r="J690" s="103"/>
      <c r="K690" s="103"/>
      <c r="L690" s="103"/>
      <c r="M690" s="103"/>
      <c r="N690" s="103"/>
      <c r="O690" s="103"/>
      <c r="P690" s="103"/>
      <c r="Q690" s="103"/>
      <c r="R690" s="103"/>
      <c r="S690" s="103"/>
      <c r="T690" s="103"/>
      <c r="U690" s="103"/>
      <c r="V690" s="103"/>
      <c r="W690" s="103"/>
      <c r="X690" s="103"/>
      <c r="Y690" s="103"/>
      <c r="Z690" s="103"/>
      <c r="AA690" s="103"/>
      <c r="AB690" s="103"/>
      <c r="AC690" s="103"/>
      <c r="AD690" s="103"/>
      <c r="AE690" s="103"/>
      <c r="AF690" s="103"/>
      <c r="AG690" s="103"/>
      <c r="AH690" s="103"/>
      <c r="AI690" s="103"/>
      <c r="AJ690" s="103"/>
      <c r="AK690" s="103"/>
      <c r="AL690" s="103"/>
      <c r="AM690" s="103"/>
      <c r="AN690" s="103"/>
      <c r="AO690" s="103"/>
      <c r="AP690" s="103"/>
      <c r="AQ690" s="103"/>
      <c r="AR690" s="103"/>
      <c r="AS690" s="103"/>
      <c r="AT690" s="34" t="s">
        <v>233</v>
      </c>
      <c r="AU690" s="34"/>
      <c r="AV690" s="34"/>
      <c r="AW690" s="34"/>
      <c r="AX690" s="63"/>
      <c r="AY690" s="34" t="s">
        <v>1923</v>
      </c>
      <c r="AZ690" s="39" t="s">
        <v>1926</v>
      </c>
    </row>
    <row r="691" spans="1:54" ht="15.75" hidden="1" customHeight="1">
      <c r="A691" s="193"/>
      <c r="B691" s="56" t="s">
        <v>2570</v>
      </c>
      <c r="C691" s="78"/>
      <c r="D691" s="194"/>
      <c r="E691" s="103"/>
      <c r="F691" s="194">
        <v>0.12</v>
      </c>
      <c r="G691" s="103"/>
      <c r="H691" s="103"/>
      <c r="I691" s="103"/>
      <c r="J691" s="103"/>
      <c r="K691" s="103"/>
      <c r="L691" s="103"/>
      <c r="M691" s="103"/>
      <c r="N691" s="103"/>
      <c r="O691" s="103"/>
      <c r="P691" s="103"/>
      <c r="Q691" s="103"/>
      <c r="R691" s="103"/>
      <c r="S691" s="103"/>
      <c r="T691" s="103"/>
      <c r="U691" s="103"/>
      <c r="V691" s="103"/>
      <c r="W691" s="103"/>
      <c r="X691" s="103"/>
      <c r="Y691" s="103"/>
      <c r="Z691" s="103"/>
      <c r="AA691" s="103"/>
      <c r="AB691" s="103"/>
      <c r="AC691" s="103"/>
      <c r="AD691" s="103"/>
      <c r="AE691" s="103"/>
      <c r="AF691" s="103"/>
      <c r="AG691" s="103"/>
      <c r="AH691" s="103"/>
      <c r="AI691" s="103"/>
      <c r="AJ691" s="103"/>
      <c r="AK691" s="103"/>
      <c r="AL691" s="103"/>
      <c r="AM691" s="103"/>
      <c r="AN691" s="103"/>
      <c r="AO691" s="103"/>
      <c r="AP691" s="103"/>
      <c r="AQ691" s="103"/>
      <c r="AR691" s="103"/>
      <c r="AS691" s="103"/>
      <c r="AT691" s="34" t="s">
        <v>233</v>
      </c>
      <c r="AU691" s="34"/>
      <c r="AV691" s="34"/>
      <c r="AW691" s="34"/>
      <c r="AX691" s="63"/>
      <c r="AY691" s="34" t="s">
        <v>1923</v>
      </c>
      <c r="AZ691" s="39" t="s">
        <v>1926</v>
      </c>
    </row>
    <row r="692" spans="1:54" ht="15.75" hidden="1" customHeight="1">
      <c r="A692" s="193"/>
      <c r="B692" s="56" t="s">
        <v>2571</v>
      </c>
      <c r="C692" s="78"/>
      <c r="D692" s="194"/>
      <c r="E692" s="103"/>
      <c r="F692" s="194">
        <v>0.2</v>
      </c>
      <c r="G692" s="103"/>
      <c r="H692" s="103"/>
      <c r="I692" s="103"/>
      <c r="J692" s="103"/>
      <c r="K692" s="103"/>
      <c r="L692" s="103"/>
      <c r="M692" s="103"/>
      <c r="N692" s="103"/>
      <c r="O692" s="103"/>
      <c r="P692" s="103"/>
      <c r="Q692" s="103"/>
      <c r="R692" s="103"/>
      <c r="S692" s="103"/>
      <c r="T692" s="103"/>
      <c r="U692" s="103"/>
      <c r="V692" s="103"/>
      <c r="W692" s="103"/>
      <c r="X692" s="103"/>
      <c r="Y692" s="103"/>
      <c r="Z692" s="103"/>
      <c r="AA692" s="103"/>
      <c r="AB692" s="103"/>
      <c r="AC692" s="103"/>
      <c r="AD692" s="103"/>
      <c r="AE692" s="103"/>
      <c r="AF692" s="103"/>
      <c r="AG692" s="103"/>
      <c r="AH692" s="103"/>
      <c r="AI692" s="103"/>
      <c r="AJ692" s="103"/>
      <c r="AK692" s="103"/>
      <c r="AL692" s="103"/>
      <c r="AM692" s="103"/>
      <c r="AN692" s="103"/>
      <c r="AO692" s="103"/>
      <c r="AP692" s="103"/>
      <c r="AQ692" s="103"/>
      <c r="AR692" s="103"/>
      <c r="AS692" s="103"/>
      <c r="AT692" s="34" t="s">
        <v>233</v>
      </c>
      <c r="AU692" s="34"/>
      <c r="AV692" s="34"/>
      <c r="AW692" s="34"/>
      <c r="AX692" s="63"/>
      <c r="AY692" s="34" t="s">
        <v>1923</v>
      </c>
      <c r="AZ692" s="39" t="s">
        <v>1926</v>
      </c>
    </row>
    <row r="693" spans="1:54" ht="15.75" hidden="1" customHeight="1">
      <c r="A693" s="220"/>
      <c r="B693" s="56" t="s">
        <v>2553</v>
      </c>
      <c r="C693" s="78"/>
      <c r="D693" s="194"/>
      <c r="E693" s="103"/>
      <c r="F693" s="194">
        <v>0.14000000000000001</v>
      </c>
      <c r="G693" s="103"/>
      <c r="H693" s="103"/>
      <c r="I693" s="103"/>
      <c r="J693" s="103"/>
      <c r="K693" s="103"/>
      <c r="L693" s="103"/>
      <c r="M693" s="103"/>
      <c r="N693" s="103"/>
      <c r="O693" s="103"/>
      <c r="P693" s="103"/>
      <c r="Q693" s="103"/>
      <c r="R693" s="103"/>
      <c r="S693" s="103"/>
      <c r="T693" s="103"/>
      <c r="U693" s="103"/>
      <c r="V693" s="103"/>
      <c r="W693" s="103"/>
      <c r="X693" s="103"/>
      <c r="Y693" s="103"/>
      <c r="Z693" s="103"/>
      <c r="AA693" s="103"/>
      <c r="AB693" s="103"/>
      <c r="AC693" s="103"/>
      <c r="AD693" s="103"/>
      <c r="AE693" s="103"/>
      <c r="AF693" s="103"/>
      <c r="AG693" s="103"/>
      <c r="AH693" s="103"/>
      <c r="AI693" s="103"/>
      <c r="AJ693" s="103"/>
      <c r="AK693" s="103"/>
      <c r="AL693" s="103"/>
      <c r="AM693" s="103"/>
      <c r="AN693" s="103"/>
      <c r="AO693" s="103"/>
      <c r="AP693" s="103"/>
      <c r="AQ693" s="103"/>
      <c r="AR693" s="103"/>
      <c r="AS693" s="103"/>
      <c r="AT693" s="34" t="s">
        <v>234</v>
      </c>
      <c r="AU693" s="34" t="s">
        <v>451</v>
      </c>
      <c r="AV693" s="34"/>
      <c r="AW693" s="34"/>
      <c r="AX693" s="63"/>
      <c r="AY693" s="34" t="s">
        <v>1923</v>
      </c>
      <c r="AZ693" s="63" t="s">
        <v>1924</v>
      </c>
      <c r="BA693" s="15" t="s">
        <v>14</v>
      </c>
      <c r="BB693" s="15" t="s">
        <v>2572</v>
      </c>
    </row>
    <row r="694" spans="1:54" ht="15.75" hidden="1" customHeight="1">
      <c r="A694" s="220"/>
      <c r="B694" s="56" t="s">
        <v>2518</v>
      </c>
      <c r="C694" s="78"/>
      <c r="D694" s="194"/>
      <c r="E694" s="103"/>
      <c r="F694" s="194">
        <v>0.3</v>
      </c>
      <c r="G694" s="103"/>
      <c r="H694" s="103"/>
      <c r="I694" s="103"/>
      <c r="J694" s="103"/>
      <c r="K694" s="103"/>
      <c r="L694" s="103"/>
      <c r="M694" s="103"/>
      <c r="N694" s="103"/>
      <c r="O694" s="103"/>
      <c r="P694" s="103"/>
      <c r="Q694" s="103"/>
      <c r="R694" s="103"/>
      <c r="S694" s="103"/>
      <c r="T694" s="103"/>
      <c r="U694" s="103"/>
      <c r="V694" s="103"/>
      <c r="W694" s="103"/>
      <c r="X694" s="103"/>
      <c r="Y694" s="103"/>
      <c r="Z694" s="103"/>
      <c r="AA694" s="103"/>
      <c r="AB694" s="103"/>
      <c r="AC694" s="103"/>
      <c r="AD694" s="103"/>
      <c r="AE694" s="103"/>
      <c r="AF694" s="103"/>
      <c r="AG694" s="103"/>
      <c r="AH694" s="103"/>
      <c r="AI694" s="103"/>
      <c r="AJ694" s="103"/>
      <c r="AK694" s="103"/>
      <c r="AL694" s="103"/>
      <c r="AM694" s="103"/>
      <c r="AN694" s="103"/>
      <c r="AO694" s="103"/>
      <c r="AP694" s="103"/>
      <c r="AQ694" s="103"/>
      <c r="AR694" s="103"/>
      <c r="AS694" s="103"/>
      <c r="AT694" s="34" t="s">
        <v>234</v>
      </c>
      <c r="AU694" s="34" t="s">
        <v>305</v>
      </c>
      <c r="AV694" s="34"/>
      <c r="AW694" s="34"/>
      <c r="AX694" s="63"/>
      <c r="AY694" s="34" t="s">
        <v>1923</v>
      </c>
      <c r="AZ694" s="63" t="s">
        <v>1924</v>
      </c>
      <c r="BA694" s="15" t="s">
        <v>14</v>
      </c>
      <c r="BB694" s="15" t="s">
        <v>2573</v>
      </c>
    </row>
    <row r="695" spans="1:54" ht="15.75" hidden="1" customHeight="1">
      <c r="A695" s="220"/>
      <c r="B695" s="56" t="s">
        <v>2514</v>
      </c>
      <c r="C695" s="78"/>
      <c r="D695" s="194"/>
      <c r="E695" s="103"/>
      <c r="F695" s="194">
        <v>0.9</v>
      </c>
      <c r="G695" s="103"/>
      <c r="H695" s="103"/>
      <c r="I695" s="103"/>
      <c r="J695" s="103"/>
      <c r="K695" s="103"/>
      <c r="L695" s="103"/>
      <c r="M695" s="103"/>
      <c r="N695" s="103"/>
      <c r="O695" s="103"/>
      <c r="P695" s="103"/>
      <c r="Q695" s="103"/>
      <c r="R695" s="103"/>
      <c r="S695" s="103"/>
      <c r="T695" s="103"/>
      <c r="U695" s="103"/>
      <c r="V695" s="103"/>
      <c r="W695" s="103"/>
      <c r="X695" s="103"/>
      <c r="Y695" s="103"/>
      <c r="Z695" s="103"/>
      <c r="AA695" s="103"/>
      <c r="AB695" s="103"/>
      <c r="AC695" s="103"/>
      <c r="AD695" s="103"/>
      <c r="AE695" s="103"/>
      <c r="AF695" s="103"/>
      <c r="AG695" s="103"/>
      <c r="AH695" s="103"/>
      <c r="AI695" s="103"/>
      <c r="AJ695" s="103"/>
      <c r="AK695" s="103"/>
      <c r="AL695" s="103"/>
      <c r="AM695" s="103"/>
      <c r="AN695" s="103"/>
      <c r="AO695" s="103"/>
      <c r="AP695" s="103"/>
      <c r="AQ695" s="103"/>
      <c r="AR695" s="103"/>
      <c r="AS695" s="103"/>
      <c r="AT695" s="34" t="s">
        <v>234</v>
      </c>
      <c r="AU695" s="34" t="s">
        <v>328</v>
      </c>
      <c r="AV695" s="34"/>
      <c r="AW695" s="34"/>
      <c r="AX695" s="63"/>
      <c r="AY695" s="34" t="s">
        <v>1923</v>
      </c>
      <c r="AZ695" s="63" t="s">
        <v>1924</v>
      </c>
      <c r="BA695" s="15" t="s">
        <v>50</v>
      </c>
    </row>
    <row r="696" spans="1:54" ht="31.5" hidden="1" customHeight="1">
      <c r="A696" s="193"/>
      <c r="B696" s="56" t="s">
        <v>2574</v>
      </c>
      <c r="C696" s="78" t="s">
        <v>112</v>
      </c>
      <c r="D696" s="194">
        <f>E696+F696</f>
        <v>1.36</v>
      </c>
      <c r="E696" s="103">
        <v>1.06</v>
      </c>
      <c r="F696" s="194">
        <v>0.3</v>
      </c>
      <c r="G696" s="103">
        <v>2.79</v>
      </c>
      <c r="H696" s="103">
        <v>2.11</v>
      </c>
      <c r="I696" s="103">
        <v>1.6609999999999998</v>
      </c>
      <c r="J696" s="103">
        <v>1.2800000000000002</v>
      </c>
      <c r="K696" s="103">
        <v>1.3399999999999999</v>
      </c>
      <c r="L696" s="103">
        <v>0</v>
      </c>
      <c r="M696" s="103">
        <v>1.3399999999999999</v>
      </c>
      <c r="N696" s="103">
        <v>0</v>
      </c>
      <c r="O696" s="103">
        <v>0</v>
      </c>
      <c r="P696" s="103">
        <v>0.44999999999999996</v>
      </c>
      <c r="Q696" s="103">
        <v>0</v>
      </c>
      <c r="R696" s="103">
        <v>0</v>
      </c>
      <c r="S696" s="103">
        <v>0</v>
      </c>
      <c r="T696" s="103">
        <v>0</v>
      </c>
      <c r="U696" s="103">
        <v>0</v>
      </c>
      <c r="V696" s="103">
        <v>0</v>
      </c>
      <c r="W696" s="103">
        <v>0</v>
      </c>
      <c r="X696" s="103">
        <v>0.16</v>
      </c>
      <c r="Y696" s="103">
        <v>1.29</v>
      </c>
      <c r="Z696" s="103">
        <v>0.03</v>
      </c>
      <c r="AA696" s="103">
        <v>0</v>
      </c>
      <c r="AB696" s="103">
        <v>7.0000000000000007E-2</v>
      </c>
      <c r="AC696" s="103">
        <v>0</v>
      </c>
      <c r="AD696" s="103">
        <v>0</v>
      </c>
      <c r="AE696" s="103">
        <v>0</v>
      </c>
      <c r="AF696" s="103">
        <v>0</v>
      </c>
      <c r="AG696" s="103">
        <v>0</v>
      </c>
      <c r="AH696" s="103">
        <v>0</v>
      </c>
      <c r="AI696" s="103">
        <v>0</v>
      </c>
      <c r="AJ696" s="103">
        <v>0</v>
      </c>
      <c r="AK696" s="103">
        <v>0</v>
      </c>
      <c r="AL696" s="103">
        <v>0</v>
      </c>
      <c r="AM696" s="103">
        <v>0</v>
      </c>
      <c r="AN696" s="103">
        <v>1.23</v>
      </c>
      <c r="AO696" s="103">
        <v>0</v>
      </c>
      <c r="AP696" s="103">
        <v>0</v>
      </c>
      <c r="AQ696" s="103">
        <v>0.2</v>
      </c>
      <c r="AR696" s="103">
        <v>0</v>
      </c>
      <c r="AS696" s="103">
        <v>0</v>
      </c>
      <c r="AT696" s="34" t="s">
        <v>235</v>
      </c>
      <c r="AU696" s="34" t="s">
        <v>417</v>
      </c>
      <c r="AV696" s="34"/>
      <c r="AW696" s="34"/>
      <c r="AX696" s="63" t="s">
        <v>1970</v>
      </c>
      <c r="AY696" s="34" t="s">
        <v>1917</v>
      </c>
      <c r="AZ696" s="63" t="s">
        <v>2228</v>
      </c>
      <c r="BA696" s="15" t="s">
        <v>2575</v>
      </c>
    </row>
    <row r="697" spans="1:54" ht="63" hidden="1" customHeight="1">
      <c r="A697" s="193"/>
      <c r="B697" s="56" t="s">
        <v>2576</v>
      </c>
      <c r="C697" s="78"/>
      <c r="D697" s="194"/>
      <c r="E697" s="103"/>
      <c r="F697" s="194">
        <v>0.08</v>
      </c>
      <c r="G697" s="103"/>
      <c r="H697" s="103"/>
      <c r="I697" s="103"/>
      <c r="J697" s="103"/>
      <c r="K697" s="103"/>
      <c r="L697" s="103"/>
      <c r="M697" s="103"/>
      <c r="N697" s="103"/>
      <c r="O697" s="103"/>
      <c r="P697" s="103"/>
      <c r="Q697" s="103"/>
      <c r="R697" s="103"/>
      <c r="S697" s="103"/>
      <c r="T697" s="103"/>
      <c r="U697" s="103"/>
      <c r="V697" s="103"/>
      <c r="W697" s="103"/>
      <c r="X697" s="103"/>
      <c r="Y697" s="103"/>
      <c r="Z697" s="103"/>
      <c r="AA697" s="103"/>
      <c r="AB697" s="103"/>
      <c r="AC697" s="103"/>
      <c r="AD697" s="103"/>
      <c r="AE697" s="103"/>
      <c r="AF697" s="103"/>
      <c r="AG697" s="103"/>
      <c r="AH697" s="103"/>
      <c r="AI697" s="103"/>
      <c r="AJ697" s="103"/>
      <c r="AK697" s="103"/>
      <c r="AL697" s="103"/>
      <c r="AM697" s="103"/>
      <c r="AN697" s="103"/>
      <c r="AO697" s="103"/>
      <c r="AP697" s="103"/>
      <c r="AQ697" s="103"/>
      <c r="AR697" s="103"/>
      <c r="AS697" s="103"/>
      <c r="AT697" s="34" t="s">
        <v>429</v>
      </c>
      <c r="AU697" s="34" t="s">
        <v>1207</v>
      </c>
      <c r="AV697" s="34"/>
      <c r="AW697" s="34"/>
      <c r="AX697" s="63"/>
      <c r="AY697" s="34" t="s">
        <v>2577</v>
      </c>
      <c r="AZ697" s="63" t="s">
        <v>1924</v>
      </c>
      <c r="BA697" s="15" t="s">
        <v>1208</v>
      </c>
    </row>
    <row r="698" spans="1:54" ht="15.75" hidden="1" customHeight="1">
      <c r="A698" s="193"/>
      <c r="B698" s="56" t="s">
        <v>2578</v>
      </c>
      <c r="C698" s="78"/>
      <c r="D698" s="194"/>
      <c r="E698" s="103"/>
      <c r="F698" s="194">
        <v>0.1</v>
      </c>
      <c r="G698" s="103"/>
      <c r="H698" s="103"/>
      <c r="I698" s="103"/>
      <c r="J698" s="103"/>
      <c r="K698" s="103"/>
      <c r="L698" s="103"/>
      <c r="M698" s="103"/>
      <c r="N698" s="103"/>
      <c r="O698" s="103"/>
      <c r="P698" s="103"/>
      <c r="Q698" s="103"/>
      <c r="R698" s="103"/>
      <c r="S698" s="103"/>
      <c r="T698" s="103"/>
      <c r="U698" s="103"/>
      <c r="V698" s="103"/>
      <c r="W698" s="103"/>
      <c r="X698" s="103"/>
      <c r="Y698" s="103"/>
      <c r="Z698" s="103"/>
      <c r="AA698" s="103"/>
      <c r="AB698" s="103"/>
      <c r="AC698" s="103"/>
      <c r="AD698" s="103"/>
      <c r="AE698" s="103"/>
      <c r="AF698" s="103"/>
      <c r="AG698" s="103"/>
      <c r="AH698" s="103"/>
      <c r="AI698" s="103"/>
      <c r="AJ698" s="103"/>
      <c r="AK698" s="103"/>
      <c r="AL698" s="103"/>
      <c r="AM698" s="103"/>
      <c r="AN698" s="103"/>
      <c r="AO698" s="103"/>
      <c r="AP698" s="103"/>
      <c r="AQ698" s="103"/>
      <c r="AR698" s="103"/>
      <c r="AS698" s="103"/>
      <c r="AT698" s="34" t="s">
        <v>429</v>
      </c>
      <c r="AU698" s="34" t="s">
        <v>959</v>
      </c>
      <c r="AV698" s="34"/>
      <c r="AW698" s="34"/>
      <c r="AX698" s="63"/>
      <c r="AY698" s="140" t="s">
        <v>1923</v>
      </c>
      <c r="AZ698" s="63" t="s">
        <v>1924</v>
      </c>
    </row>
    <row r="699" spans="1:54" ht="15.75" hidden="1" customHeight="1">
      <c r="A699" s="193"/>
      <c r="B699" s="56" t="s">
        <v>2579</v>
      </c>
      <c r="C699" s="78"/>
      <c r="D699" s="194"/>
      <c r="E699" s="103"/>
      <c r="F699" s="194">
        <v>0.05</v>
      </c>
      <c r="G699" s="103"/>
      <c r="H699" s="103"/>
      <c r="I699" s="103"/>
      <c r="J699" s="103"/>
      <c r="K699" s="103"/>
      <c r="L699" s="103"/>
      <c r="M699" s="103"/>
      <c r="N699" s="103"/>
      <c r="O699" s="103"/>
      <c r="P699" s="103"/>
      <c r="Q699" s="103"/>
      <c r="R699" s="103"/>
      <c r="S699" s="103"/>
      <c r="T699" s="103"/>
      <c r="U699" s="103"/>
      <c r="V699" s="103"/>
      <c r="W699" s="103"/>
      <c r="X699" s="103"/>
      <c r="Y699" s="103"/>
      <c r="Z699" s="103"/>
      <c r="AA699" s="103"/>
      <c r="AB699" s="103"/>
      <c r="AC699" s="103"/>
      <c r="AD699" s="103"/>
      <c r="AE699" s="103"/>
      <c r="AF699" s="103"/>
      <c r="AG699" s="103"/>
      <c r="AH699" s="103"/>
      <c r="AI699" s="103"/>
      <c r="AJ699" s="103"/>
      <c r="AK699" s="103"/>
      <c r="AL699" s="103"/>
      <c r="AM699" s="103"/>
      <c r="AN699" s="103"/>
      <c r="AO699" s="103"/>
      <c r="AP699" s="103"/>
      <c r="AQ699" s="103"/>
      <c r="AR699" s="103"/>
      <c r="AS699" s="103"/>
      <c r="AT699" s="34" t="s">
        <v>429</v>
      </c>
      <c r="AU699" s="34" t="s">
        <v>355</v>
      </c>
      <c r="AV699" s="34"/>
      <c r="AW699" s="34"/>
      <c r="AX699" s="63"/>
      <c r="AY699" s="140" t="s">
        <v>1923</v>
      </c>
      <c r="AZ699" s="63" t="s">
        <v>1924</v>
      </c>
      <c r="BA699" s="15" t="s">
        <v>1212</v>
      </c>
    </row>
    <row r="700" spans="1:54" ht="15.75" hidden="1" customHeight="1">
      <c r="A700" s="193"/>
      <c r="B700" s="56" t="s">
        <v>2580</v>
      </c>
      <c r="C700" s="78"/>
      <c r="D700" s="194"/>
      <c r="E700" s="103"/>
      <c r="F700" s="194">
        <v>0.08</v>
      </c>
      <c r="G700" s="103"/>
      <c r="H700" s="103"/>
      <c r="I700" s="103"/>
      <c r="J700" s="103"/>
      <c r="K700" s="103"/>
      <c r="L700" s="103"/>
      <c r="M700" s="103"/>
      <c r="N700" s="103"/>
      <c r="O700" s="103"/>
      <c r="P700" s="103"/>
      <c r="Q700" s="103"/>
      <c r="R700" s="103"/>
      <c r="S700" s="103"/>
      <c r="T700" s="103"/>
      <c r="U700" s="103"/>
      <c r="V700" s="103"/>
      <c r="W700" s="103"/>
      <c r="X700" s="103"/>
      <c r="Y700" s="103"/>
      <c r="Z700" s="103"/>
      <c r="AA700" s="103"/>
      <c r="AB700" s="103"/>
      <c r="AC700" s="103"/>
      <c r="AD700" s="103"/>
      <c r="AE700" s="103"/>
      <c r="AF700" s="103"/>
      <c r="AG700" s="103"/>
      <c r="AH700" s="103"/>
      <c r="AI700" s="103"/>
      <c r="AJ700" s="103"/>
      <c r="AK700" s="103"/>
      <c r="AL700" s="103"/>
      <c r="AM700" s="103"/>
      <c r="AN700" s="103"/>
      <c r="AO700" s="103"/>
      <c r="AP700" s="103"/>
      <c r="AQ700" s="103"/>
      <c r="AR700" s="103"/>
      <c r="AS700" s="103"/>
      <c r="AT700" s="34" t="s">
        <v>429</v>
      </c>
      <c r="AU700" s="34" t="s">
        <v>430</v>
      </c>
      <c r="AV700" s="34"/>
      <c r="AW700" s="34"/>
      <c r="AX700" s="63"/>
      <c r="AY700" s="140" t="s">
        <v>1923</v>
      </c>
      <c r="AZ700" s="63" t="s">
        <v>1924</v>
      </c>
      <c r="BA700" s="15" t="s">
        <v>1208</v>
      </c>
    </row>
    <row r="701" spans="1:54" ht="15.75" hidden="1" customHeight="1">
      <c r="A701" s="193"/>
      <c r="B701" s="56" t="s">
        <v>2581</v>
      </c>
      <c r="C701" s="78"/>
      <c r="D701" s="194"/>
      <c r="E701" s="103"/>
      <c r="F701" s="194">
        <v>0.03</v>
      </c>
      <c r="G701" s="103"/>
      <c r="H701" s="103"/>
      <c r="I701" s="103"/>
      <c r="J701" s="103"/>
      <c r="K701" s="103"/>
      <c r="L701" s="103"/>
      <c r="M701" s="103"/>
      <c r="N701" s="103"/>
      <c r="O701" s="103"/>
      <c r="P701" s="103"/>
      <c r="Q701" s="103"/>
      <c r="R701" s="103"/>
      <c r="S701" s="103"/>
      <c r="T701" s="103"/>
      <c r="U701" s="103"/>
      <c r="V701" s="103"/>
      <c r="W701" s="103"/>
      <c r="X701" s="103"/>
      <c r="Y701" s="103"/>
      <c r="Z701" s="103"/>
      <c r="AA701" s="103"/>
      <c r="AB701" s="103"/>
      <c r="AC701" s="103"/>
      <c r="AD701" s="103"/>
      <c r="AE701" s="103"/>
      <c r="AF701" s="103"/>
      <c r="AG701" s="103"/>
      <c r="AH701" s="103"/>
      <c r="AI701" s="103"/>
      <c r="AJ701" s="103"/>
      <c r="AK701" s="103"/>
      <c r="AL701" s="103"/>
      <c r="AM701" s="103"/>
      <c r="AN701" s="103"/>
      <c r="AO701" s="103"/>
      <c r="AP701" s="103"/>
      <c r="AQ701" s="103"/>
      <c r="AR701" s="103"/>
      <c r="AS701" s="103"/>
      <c r="AT701" s="34" t="s">
        <v>237</v>
      </c>
      <c r="AU701" s="34"/>
      <c r="AV701" s="34"/>
      <c r="AW701" s="34"/>
      <c r="AX701" s="63"/>
      <c r="AY701" s="34" t="s">
        <v>1923</v>
      </c>
      <c r="AZ701" s="63" t="s">
        <v>2014</v>
      </c>
      <c r="BA701" s="234"/>
    </row>
    <row r="702" spans="1:54" ht="15.75" hidden="1" customHeight="1">
      <c r="A702" s="193"/>
      <c r="B702" s="56" t="s">
        <v>2582</v>
      </c>
      <c r="C702" s="78"/>
      <c r="D702" s="194"/>
      <c r="E702" s="103"/>
      <c r="F702" s="194">
        <v>0.03</v>
      </c>
      <c r="G702" s="103"/>
      <c r="H702" s="103"/>
      <c r="I702" s="103"/>
      <c r="J702" s="103"/>
      <c r="K702" s="103"/>
      <c r="L702" s="103"/>
      <c r="M702" s="103"/>
      <c r="N702" s="103"/>
      <c r="O702" s="103"/>
      <c r="P702" s="103"/>
      <c r="Q702" s="103"/>
      <c r="R702" s="103"/>
      <c r="S702" s="103"/>
      <c r="T702" s="103"/>
      <c r="U702" s="103"/>
      <c r="V702" s="103"/>
      <c r="W702" s="103"/>
      <c r="X702" s="103"/>
      <c r="Y702" s="103"/>
      <c r="Z702" s="103"/>
      <c r="AA702" s="103"/>
      <c r="AB702" s="103"/>
      <c r="AC702" s="103"/>
      <c r="AD702" s="103"/>
      <c r="AE702" s="103"/>
      <c r="AF702" s="103"/>
      <c r="AG702" s="103"/>
      <c r="AH702" s="103"/>
      <c r="AI702" s="103"/>
      <c r="AJ702" s="103"/>
      <c r="AK702" s="103"/>
      <c r="AL702" s="103"/>
      <c r="AM702" s="103"/>
      <c r="AN702" s="103"/>
      <c r="AO702" s="103"/>
      <c r="AP702" s="103"/>
      <c r="AQ702" s="103"/>
      <c r="AR702" s="103"/>
      <c r="AS702" s="103"/>
      <c r="AT702" s="34" t="s">
        <v>237</v>
      </c>
      <c r="AU702" s="34"/>
      <c r="AV702" s="34"/>
      <c r="AW702" s="34"/>
      <c r="AX702" s="63"/>
      <c r="AY702" s="34" t="s">
        <v>1923</v>
      </c>
      <c r="AZ702" s="63" t="s">
        <v>2014</v>
      </c>
      <c r="BA702" s="234"/>
    </row>
    <row r="703" spans="1:54" ht="15.75" hidden="1" customHeight="1">
      <c r="A703" s="193"/>
      <c r="B703" s="56" t="s">
        <v>2583</v>
      </c>
      <c r="C703" s="78"/>
      <c r="D703" s="194"/>
      <c r="E703" s="103"/>
      <c r="F703" s="194">
        <v>0.03</v>
      </c>
      <c r="G703" s="103"/>
      <c r="H703" s="103"/>
      <c r="I703" s="103"/>
      <c r="J703" s="103"/>
      <c r="K703" s="103"/>
      <c r="L703" s="103"/>
      <c r="M703" s="103"/>
      <c r="N703" s="103"/>
      <c r="O703" s="103"/>
      <c r="P703" s="103"/>
      <c r="Q703" s="103"/>
      <c r="R703" s="103"/>
      <c r="S703" s="103"/>
      <c r="T703" s="103"/>
      <c r="U703" s="103"/>
      <c r="V703" s="103"/>
      <c r="W703" s="103"/>
      <c r="X703" s="103"/>
      <c r="Y703" s="103"/>
      <c r="Z703" s="103"/>
      <c r="AA703" s="103"/>
      <c r="AB703" s="103"/>
      <c r="AC703" s="103"/>
      <c r="AD703" s="103"/>
      <c r="AE703" s="103"/>
      <c r="AF703" s="103"/>
      <c r="AG703" s="103"/>
      <c r="AH703" s="103"/>
      <c r="AI703" s="103"/>
      <c r="AJ703" s="103"/>
      <c r="AK703" s="103"/>
      <c r="AL703" s="103"/>
      <c r="AM703" s="103"/>
      <c r="AN703" s="103"/>
      <c r="AO703" s="103"/>
      <c r="AP703" s="103"/>
      <c r="AQ703" s="103"/>
      <c r="AR703" s="103"/>
      <c r="AS703" s="103"/>
      <c r="AT703" s="34" t="s">
        <v>237</v>
      </c>
      <c r="AU703" s="34"/>
      <c r="AV703" s="34"/>
      <c r="AW703" s="34"/>
      <c r="AX703" s="63"/>
      <c r="AY703" s="34" t="s">
        <v>1923</v>
      </c>
      <c r="AZ703" s="63" t="s">
        <v>1924</v>
      </c>
      <c r="BA703" s="234"/>
    </row>
    <row r="704" spans="1:54" ht="31.5" hidden="1" customHeight="1">
      <c r="A704" s="193"/>
      <c r="B704" s="56" t="s">
        <v>2584</v>
      </c>
      <c r="C704" s="78"/>
      <c r="D704" s="194"/>
      <c r="E704" s="103"/>
      <c r="F704" s="194">
        <v>0.03</v>
      </c>
      <c r="G704" s="103"/>
      <c r="H704" s="103"/>
      <c r="I704" s="103"/>
      <c r="J704" s="103"/>
      <c r="K704" s="103"/>
      <c r="L704" s="103"/>
      <c r="M704" s="103"/>
      <c r="N704" s="103"/>
      <c r="O704" s="103"/>
      <c r="P704" s="103"/>
      <c r="Q704" s="103"/>
      <c r="R704" s="103"/>
      <c r="S704" s="103"/>
      <c r="T704" s="103"/>
      <c r="U704" s="103"/>
      <c r="V704" s="103"/>
      <c r="W704" s="103"/>
      <c r="X704" s="103"/>
      <c r="Y704" s="103"/>
      <c r="Z704" s="103"/>
      <c r="AA704" s="103"/>
      <c r="AB704" s="103"/>
      <c r="AC704" s="103"/>
      <c r="AD704" s="103"/>
      <c r="AE704" s="103"/>
      <c r="AF704" s="103"/>
      <c r="AG704" s="103"/>
      <c r="AH704" s="103"/>
      <c r="AI704" s="103"/>
      <c r="AJ704" s="103"/>
      <c r="AK704" s="103"/>
      <c r="AL704" s="103"/>
      <c r="AM704" s="103"/>
      <c r="AN704" s="103"/>
      <c r="AO704" s="103"/>
      <c r="AP704" s="103"/>
      <c r="AQ704" s="103"/>
      <c r="AR704" s="103"/>
      <c r="AS704" s="103"/>
      <c r="AT704" s="34" t="s">
        <v>237</v>
      </c>
      <c r="AU704" s="34"/>
      <c r="AV704" s="34"/>
      <c r="AW704" s="34"/>
      <c r="AX704" s="63"/>
      <c r="AY704" s="34" t="s">
        <v>1917</v>
      </c>
      <c r="AZ704" s="63" t="s">
        <v>2585</v>
      </c>
      <c r="BA704" s="234"/>
    </row>
    <row r="705" spans="1:53" ht="15.75" hidden="1" customHeight="1">
      <c r="A705" s="220"/>
      <c r="B705" s="60" t="s">
        <v>2586</v>
      </c>
      <c r="C705" s="78" t="s">
        <v>112</v>
      </c>
      <c r="D705" s="194">
        <v>0.33</v>
      </c>
      <c r="E705" s="103"/>
      <c r="F705" s="194">
        <v>0.33</v>
      </c>
      <c r="G705" s="103"/>
      <c r="H705" s="103">
        <v>7.0000000000000007E-2</v>
      </c>
      <c r="I705" s="103">
        <v>0.14000000000000001</v>
      </c>
      <c r="J705" s="103">
        <v>0.12</v>
      </c>
      <c r="K705" s="103"/>
      <c r="L705" s="103"/>
      <c r="M705" s="103"/>
      <c r="N705" s="103"/>
      <c r="O705" s="103"/>
      <c r="P705" s="103"/>
      <c r="Q705" s="103"/>
      <c r="R705" s="103"/>
      <c r="S705" s="103"/>
      <c r="T705" s="103"/>
      <c r="U705" s="103"/>
      <c r="V705" s="103"/>
      <c r="W705" s="103"/>
      <c r="X705" s="103"/>
      <c r="Y705" s="103"/>
      <c r="Z705" s="103"/>
      <c r="AA705" s="103"/>
      <c r="AB705" s="103"/>
      <c r="AC705" s="103"/>
      <c r="AD705" s="103"/>
      <c r="AE705" s="103"/>
      <c r="AF705" s="103"/>
      <c r="AG705" s="103"/>
      <c r="AH705" s="103"/>
      <c r="AI705" s="103"/>
      <c r="AJ705" s="103"/>
      <c r="AK705" s="103"/>
      <c r="AL705" s="103"/>
      <c r="AM705" s="103"/>
      <c r="AN705" s="103"/>
      <c r="AO705" s="103"/>
      <c r="AP705" s="103"/>
      <c r="AQ705" s="103"/>
      <c r="AR705" s="103"/>
      <c r="AS705" s="103"/>
      <c r="AT705" s="38" t="s">
        <v>238</v>
      </c>
      <c r="AU705" s="34"/>
      <c r="AV705" s="34"/>
      <c r="AW705" s="34"/>
      <c r="AX705" s="63"/>
      <c r="AY705" s="34"/>
      <c r="AZ705" s="63"/>
      <c r="BA705" s="65"/>
    </row>
    <row r="706" spans="1:53" ht="31.5" hidden="1" customHeight="1">
      <c r="A706" s="220"/>
      <c r="B706" s="60" t="s">
        <v>2587</v>
      </c>
      <c r="C706" s="78" t="s">
        <v>112</v>
      </c>
      <c r="D706" s="231">
        <v>0.2</v>
      </c>
      <c r="E706" s="103"/>
      <c r="F706" s="231">
        <v>0.2</v>
      </c>
      <c r="G706" s="103"/>
      <c r="H706" s="103">
        <v>0.2</v>
      </c>
      <c r="I706" s="103"/>
      <c r="J706" s="103"/>
      <c r="K706" s="103"/>
      <c r="L706" s="103"/>
      <c r="M706" s="103"/>
      <c r="N706" s="103"/>
      <c r="O706" s="103"/>
      <c r="P706" s="103"/>
      <c r="Q706" s="103"/>
      <c r="R706" s="103"/>
      <c r="S706" s="103"/>
      <c r="T706" s="103"/>
      <c r="U706" s="103"/>
      <c r="V706" s="103"/>
      <c r="W706" s="103"/>
      <c r="X706" s="103"/>
      <c r="Y706" s="103"/>
      <c r="Z706" s="103"/>
      <c r="AA706" s="103"/>
      <c r="AB706" s="103"/>
      <c r="AC706" s="103"/>
      <c r="AD706" s="103"/>
      <c r="AE706" s="103"/>
      <c r="AF706" s="103"/>
      <c r="AG706" s="103"/>
      <c r="AH706" s="103"/>
      <c r="AI706" s="103"/>
      <c r="AJ706" s="103"/>
      <c r="AK706" s="103"/>
      <c r="AL706" s="103"/>
      <c r="AM706" s="103"/>
      <c r="AN706" s="103"/>
      <c r="AO706" s="103"/>
      <c r="AP706" s="103"/>
      <c r="AQ706" s="103"/>
      <c r="AR706" s="103"/>
      <c r="AS706" s="103"/>
      <c r="AT706" s="38" t="s">
        <v>238</v>
      </c>
      <c r="AU706" s="34"/>
      <c r="AV706" s="34"/>
      <c r="AW706" s="34"/>
      <c r="AX706" s="63"/>
      <c r="AY706" s="140" t="s">
        <v>1923</v>
      </c>
      <c r="AZ706" s="63" t="s">
        <v>1924</v>
      </c>
      <c r="BA706" s="65"/>
    </row>
    <row r="707" spans="1:53" ht="15.75" hidden="1" customHeight="1">
      <c r="A707" s="220"/>
      <c r="B707" s="60" t="s">
        <v>2588</v>
      </c>
      <c r="C707" s="78" t="s">
        <v>112</v>
      </c>
      <c r="D707" s="231">
        <v>0.2</v>
      </c>
      <c r="E707" s="103"/>
      <c r="F707" s="231">
        <v>0.2</v>
      </c>
      <c r="G707" s="103"/>
      <c r="H707" s="103"/>
      <c r="I707" s="103"/>
      <c r="J707" s="103"/>
      <c r="K707" s="103"/>
      <c r="L707" s="103"/>
      <c r="M707" s="103">
        <v>0.2</v>
      </c>
      <c r="N707" s="103"/>
      <c r="O707" s="103"/>
      <c r="P707" s="103"/>
      <c r="Q707" s="103"/>
      <c r="R707" s="103"/>
      <c r="S707" s="103"/>
      <c r="T707" s="103"/>
      <c r="U707" s="103"/>
      <c r="V707" s="103"/>
      <c r="W707" s="103"/>
      <c r="X707" s="103"/>
      <c r="Y707" s="103"/>
      <c r="Z707" s="103"/>
      <c r="AA707" s="103"/>
      <c r="AB707" s="103"/>
      <c r="AC707" s="103"/>
      <c r="AD707" s="103"/>
      <c r="AE707" s="103"/>
      <c r="AF707" s="103"/>
      <c r="AG707" s="103"/>
      <c r="AH707" s="103"/>
      <c r="AI707" s="103"/>
      <c r="AJ707" s="103"/>
      <c r="AK707" s="103"/>
      <c r="AL707" s="103"/>
      <c r="AM707" s="103"/>
      <c r="AN707" s="103"/>
      <c r="AO707" s="103"/>
      <c r="AP707" s="103"/>
      <c r="AQ707" s="103"/>
      <c r="AR707" s="103"/>
      <c r="AS707" s="103"/>
      <c r="AT707" s="38" t="s">
        <v>238</v>
      </c>
      <c r="AU707" s="34"/>
      <c r="AV707" s="34"/>
      <c r="AW707" s="34"/>
      <c r="AX707" s="63"/>
      <c r="AY707" s="140" t="s">
        <v>1923</v>
      </c>
      <c r="AZ707" s="63" t="s">
        <v>2483</v>
      </c>
      <c r="BA707" s="65"/>
    </row>
    <row r="708" spans="1:53" ht="15.75" hidden="1" customHeight="1">
      <c r="A708" s="220"/>
      <c r="B708" s="60" t="s">
        <v>2589</v>
      </c>
      <c r="C708" s="78" t="s">
        <v>112</v>
      </c>
      <c r="D708" s="231">
        <v>0.2</v>
      </c>
      <c r="E708" s="103"/>
      <c r="F708" s="231">
        <v>0.2</v>
      </c>
      <c r="G708" s="103">
        <v>0.2</v>
      </c>
      <c r="H708" s="103"/>
      <c r="I708" s="103"/>
      <c r="J708" s="103"/>
      <c r="K708" s="103"/>
      <c r="L708" s="103"/>
      <c r="M708" s="103"/>
      <c r="N708" s="103"/>
      <c r="O708" s="103"/>
      <c r="P708" s="103"/>
      <c r="Q708" s="103"/>
      <c r="R708" s="103"/>
      <c r="S708" s="103"/>
      <c r="T708" s="103"/>
      <c r="U708" s="103"/>
      <c r="V708" s="103"/>
      <c r="W708" s="103"/>
      <c r="X708" s="103"/>
      <c r="Y708" s="103"/>
      <c r="Z708" s="103"/>
      <c r="AA708" s="103"/>
      <c r="AB708" s="103"/>
      <c r="AC708" s="103"/>
      <c r="AD708" s="103"/>
      <c r="AE708" s="103"/>
      <c r="AF708" s="103"/>
      <c r="AG708" s="103"/>
      <c r="AH708" s="103"/>
      <c r="AI708" s="103"/>
      <c r="AJ708" s="103"/>
      <c r="AK708" s="103"/>
      <c r="AL708" s="103"/>
      <c r="AM708" s="103"/>
      <c r="AN708" s="103"/>
      <c r="AO708" s="103"/>
      <c r="AP708" s="103"/>
      <c r="AQ708" s="103"/>
      <c r="AR708" s="103"/>
      <c r="AS708" s="103"/>
      <c r="AT708" s="38" t="s">
        <v>238</v>
      </c>
      <c r="AU708" s="34"/>
      <c r="AV708" s="34"/>
      <c r="AW708" s="34"/>
      <c r="AX708" s="63"/>
      <c r="AY708" s="140" t="s">
        <v>1923</v>
      </c>
      <c r="AZ708" s="63" t="s">
        <v>1924</v>
      </c>
      <c r="BA708" s="65"/>
    </row>
    <row r="709" spans="1:53" ht="15.75" hidden="1" customHeight="1">
      <c r="A709" s="220"/>
      <c r="B709" s="60" t="s">
        <v>2590</v>
      </c>
      <c r="C709" s="78" t="s">
        <v>112</v>
      </c>
      <c r="D709" s="231">
        <v>0.2</v>
      </c>
      <c r="E709" s="103"/>
      <c r="F709" s="231">
        <v>0.2</v>
      </c>
      <c r="G709" s="103"/>
      <c r="H709" s="103"/>
      <c r="I709" s="103"/>
      <c r="J709" s="103"/>
      <c r="K709" s="103"/>
      <c r="L709" s="103"/>
      <c r="M709" s="103">
        <v>0.2</v>
      </c>
      <c r="N709" s="103"/>
      <c r="O709" s="103"/>
      <c r="P709" s="103"/>
      <c r="Q709" s="103"/>
      <c r="R709" s="103"/>
      <c r="S709" s="103"/>
      <c r="T709" s="103"/>
      <c r="U709" s="103"/>
      <c r="V709" s="103"/>
      <c r="W709" s="103"/>
      <c r="X709" s="103"/>
      <c r="Y709" s="103"/>
      <c r="Z709" s="103"/>
      <c r="AA709" s="103"/>
      <c r="AB709" s="103"/>
      <c r="AC709" s="103"/>
      <c r="AD709" s="103"/>
      <c r="AE709" s="103"/>
      <c r="AF709" s="103"/>
      <c r="AG709" s="103"/>
      <c r="AH709" s="103"/>
      <c r="AI709" s="103"/>
      <c r="AJ709" s="103"/>
      <c r="AK709" s="103"/>
      <c r="AL709" s="103"/>
      <c r="AM709" s="103"/>
      <c r="AN709" s="103"/>
      <c r="AO709" s="103"/>
      <c r="AP709" s="103"/>
      <c r="AQ709" s="103"/>
      <c r="AR709" s="103"/>
      <c r="AS709" s="103"/>
      <c r="AT709" s="38" t="s">
        <v>238</v>
      </c>
      <c r="AU709" s="34"/>
      <c r="AV709" s="34"/>
      <c r="AW709" s="34"/>
      <c r="AX709" s="63"/>
      <c r="AY709" s="140" t="s">
        <v>1923</v>
      </c>
      <c r="AZ709" s="63" t="s">
        <v>2483</v>
      </c>
      <c r="BA709" s="65"/>
    </row>
    <row r="710" spans="1:53" ht="15.75" hidden="1" customHeight="1">
      <c r="A710" s="193"/>
      <c r="B710" s="56" t="s">
        <v>2591</v>
      </c>
      <c r="C710" s="78"/>
      <c r="D710" s="194"/>
      <c r="E710" s="103"/>
      <c r="F710" s="194">
        <v>0.1</v>
      </c>
      <c r="G710" s="103"/>
      <c r="H710" s="103"/>
      <c r="I710" s="103"/>
      <c r="J710" s="103"/>
      <c r="K710" s="103"/>
      <c r="L710" s="103"/>
      <c r="M710" s="103"/>
      <c r="N710" s="103"/>
      <c r="O710" s="103"/>
      <c r="P710" s="103"/>
      <c r="Q710" s="103"/>
      <c r="R710" s="103"/>
      <c r="S710" s="103"/>
      <c r="T710" s="103"/>
      <c r="U710" s="103"/>
      <c r="V710" s="103"/>
      <c r="W710" s="103"/>
      <c r="X710" s="103"/>
      <c r="Y710" s="103"/>
      <c r="Z710" s="103"/>
      <c r="AA710" s="103"/>
      <c r="AB710" s="103"/>
      <c r="AC710" s="103"/>
      <c r="AD710" s="103"/>
      <c r="AE710" s="103"/>
      <c r="AF710" s="103"/>
      <c r="AG710" s="103"/>
      <c r="AH710" s="103"/>
      <c r="AI710" s="103"/>
      <c r="AJ710" s="103"/>
      <c r="AK710" s="103"/>
      <c r="AL710" s="103"/>
      <c r="AM710" s="103"/>
      <c r="AN710" s="103"/>
      <c r="AO710" s="103"/>
      <c r="AP710" s="103"/>
      <c r="AQ710" s="103"/>
      <c r="AR710" s="103"/>
      <c r="AS710" s="103"/>
      <c r="AT710" s="34" t="s">
        <v>239</v>
      </c>
      <c r="AU710" s="34" t="s">
        <v>389</v>
      </c>
      <c r="AV710" s="34"/>
      <c r="AW710" s="34"/>
      <c r="AX710" s="63"/>
      <c r="AY710" s="38" t="s">
        <v>1923</v>
      </c>
      <c r="AZ710" s="39" t="s">
        <v>1924</v>
      </c>
    </row>
    <row r="711" spans="1:53" ht="15.75" hidden="1" customHeight="1">
      <c r="A711" s="193"/>
      <c r="B711" s="56" t="s">
        <v>2556</v>
      </c>
      <c r="C711" s="78"/>
      <c r="D711" s="194"/>
      <c r="E711" s="103"/>
      <c r="F711" s="194">
        <v>0.15</v>
      </c>
      <c r="G711" s="103"/>
      <c r="H711" s="103"/>
      <c r="I711" s="103"/>
      <c r="J711" s="103"/>
      <c r="K711" s="103"/>
      <c r="L711" s="103"/>
      <c r="M711" s="103"/>
      <c r="N711" s="103"/>
      <c r="O711" s="103"/>
      <c r="P711" s="103"/>
      <c r="Q711" s="103"/>
      <c r="R711" s="103"/>
      <c r="S711" s="103"/>
      <c r="T711" s="103"/>
      <c r="U711" s="103"/>
      <c r="V711" s="103"/>
      <c r="W711" s="103"/>
      <c r="X711" s="103"/>
      <c r="Y711" s="103"/>
      <c r="Z711" s="103"/>
      <c r="AA711" s="103"/>
      <c r="AB711" s="103"/>
      <c r="AC711" s="103"/>
      <c r="AD711" s="103"/>
      <c r="AE711" s="103"/>
      <c r="AF711" s="103"/>
      <c r="AG711" s="103"/>
      <c r="AH711" s="103"/>
      <c r="AI711" s="103"/>
      <c r="AJ711" s="103"/>
      <c r="AK711" s="103"/>
      <c r="AL711" s="103"/>
      <c r="AM711" s="103"/>
      <c r="AN711" s="103"/>
      <c r="AO711" s="103"/>
      <c r="AP711" s="103"/>
      <c r="AQ711" s="103"/>
      <c r="AR711" s="103"/>
      <c r="AS711" s="103"/>
      <c r="AT711" s="34" t="s">
        <v>239</v>
      </c>
      <c r="AU711" s="34" t="s">
        <v>410</v>
      </c>
      <c r="AV711" s="34"/>
      <c r="AW711" s="34"/>
      <c r="AX711" s="63"/>
      <c r="AY711" s="38" t="s">
        <v>1923</v>
      </c>
      <c r="AZ711" s="63" t="s">
        <v>1971</v>
      </c>
    </row>
    <row r="712" spans="1:53" ht="15.75" hidden="1" customHeight="1">
      <c r="A712" s="193"/>
      <c r="B712" s="56" t="s">
        <v>2592</v>
      </c>
      <c r="C712" s="78"/>
      <c r="D712" s="194"/>
      <c r="E712" s="103"/>
      <c r="F712" s="194">
        <v>0.1</v>
      </c>
      <c r="G712" s="103"/>
      <c r="H712" s="103"/>
      <c r="I712" s="103"/>
      <c r="J712" s="103"/>
      <c r="K712" s="103"/>
      <c r="L712" s="103"/>
      <c r="M712" s="103"/>
      <c r="N712" s="103"/>
      <c r="O712" s="103"/>
      <c r="P712" s="103"/>
      <c r="Q712" s="103"/>
      <c r="R712" s="103"/>
      <c r="S712" s="103"/>
      <c r="T712" s="103"/>
      <c r="U712" s="103"/>
      <c r="V712" s="103"/>
      <c r="W712" s="103"/>
      <c r="X712" s="103"/>
      <c r="Y712" s="103"/>
      <c r="Z712" s="103"/>
      <c r="AA712" s="103"/>
      <c r="AB712" s="103"/>
      <c r="AC712" s="103"/>
      <c r="AD712" s="103"/>
      <c r="AE712" s="103"/>
      <c r="AF712" s="103"/>
      <c r="AG712" s="103"/>
      <c r="AH712" s="103"/>
      <c r="AI712" s="103"/>
      <c r="AJ712" s="103"/>
      <c r="AK712" s="103"/>
      <c r="AL712" s="103"/>
      <c r="AM712" s="103"/>
      <c r="AN712" s="103"/>
      <c r="AO712" s="103"/>
      <c r="AP712" s="103"/>
      <c r="AQ712" s="103"/>
      <c r="AR712" s="103"/>
      <c r="AS712" s="103"/>
      <c r="AT712" s="34" t="s">
        <v>239</v>
      </c>
      <c r="AU712" s="34" t="s">
        <v>305</v>
      </c>
      <c r="AV712" s="34"/>
      <c r="AW712" s="34"/>
      <c r="AX712" s="63"/>
      <c r="AY712" s="38" t="s">
        <v>1923</v>
      </c>
      <c r="AZ712" s="39" t="s">
        <v>1924</v>
      </c>
      <c r="BA712" s="15">
        <f>143.92-0.15</f>
        <v>143.76999999999998</v>
      </c>
    </row>
    <row r="713" spans="1:53" ht="15.75" hidden="1" customHeight="1">
      <c r="A713" s="193"/>
      <c r="B713" s="56" t="s">
        <v>2553</v>
      </c>
      <c r="C713" s="78"/>
      <c r="D713" s="194"/>
      <c r="E713" s="103"/>
      <c r="F713" s="194">
        <v>0.2</v>
      </c>
      <c r="G713" s="103"/>
      <c r="H713" s="103"/>
      <c r="I713" s="103"/>
      <c r="J713" s="103"/>
      <c r="K713" s="103"/>
      <c r="L713" s="103"/>
      <c r="M713" s="103"/>
      <c r="N713" s="103"/>
      <c r="O713" s="103"/>
      <c r="P713" s="103"/>
      <c r="Q713" s="103"/>
      <c r="R713" s="103"/>
      <c r="S713" s="103"/>
      <c r="T713" s="103"/>
      <c r="U713" s="103"/>
      <c r="V713" s="103"/>
      <c r="W713" s="103"/>
      <c r="X713" s="103"/>
      <c r="Y713" s="103"/>
      <c r="Z713" s="103"/>
      <c r="AA713" s="103"/>
      <c r="AB713" s="103"/>
      <c r="AC713" s="103"/>
      <c r="AD713" s="103"/>
      <c r="AE713" s="103"/>
      <c r="AF713" s="103"/>
      <c r="AG713" s="103"/>
      <c r="AH713" s="103"/>
      <c r="AI713" s="103"/>
      <c r="AJ713" s="103"/>
      <c r="AK713" s="103"/>
      <c r="AL713" s="103"/>
      <c r="AM713" s="103"/>
      <c r="AN713" s="103"/>
      <c r="AO713" s="103"/>
      <c r="AP713" s="103"/>
      <c r="AQ713" s="103"/>
      <c r="AR713" s="103"/>
      <c r="AS713" s="103"/>
      <c r="AT713" s="34" t="s">
        <v>239</v>
      </c>
      <c r="AU713" s="34" t="s">
        <v>451</v>
      </c>
      <c r="AV713" s="34"/>
      <c r="AW713" s="34"/>
      <c r="AX713" s="63"/>
      <c r="AY713" s="38" t="s">
        <v>1923</v>
      </c>
      <c r="AZ713" s="39" t="s">
        <v>1924</v>
      </c>
    </row>
    <row r="714" spans="1:53" ht="15.75" hidden="1" customHeight="1">
      <c r="A714" s="193"/>
      <c r="B714" s="56" t="s">
        <v>2593</v>
      </c>
      <c r="C714" s="78"/>
      <c r="D714" s="194"/>
      <c r="E714" s="103"/>
      <c r="F714" s="194">
        <v>0.15</v>
      </c>
      <c r="G714" s="103"/>
      <c r="H714" s="103"/>
      <c r="I714" s="103"/>
      <c r="J714" s="103"/>
      <c r="K714" s="103"/>
      <c r="L714" s="103"/>
      <c r="M714" s="103"/>
      <c r="N714" s="103"/>
      <c r="O714" s="103"/>
      <c r="P714" s="103"/>
      <c r="Q714" s="103"/>
      <c r="R714" s="103"/>
      <c r="S714" s="103"/>
      <c r="T714" s="103"/>
      <c r="U714" s="103"/>
      <c r="V714" s="103"/>
      <c r="W714" s="103"/>
      <c r="X714" s="103"/>
      <c r="Y714" s="103"/>
      <c r="Z714" s="103"/>
      <c r="AA714" s="103"/>
      <c r="AB714" s="103"/>
      <c r="AC714" s="103"/>
      <c r="AD714" s="103"/>
      <c r="AE714" s="103"/>
      <c r="AF714" s="103"/>
      <c r="AG714" s="103"/>
      <c r="AH714" s="103"/>
      <c r="AI714" s="103"/>
      <c r="AJ714" s="103"/>
      <c r="AK714" s="103"/>
      <c r="AL714" s="103"/>
      <c r="AM714" s="103"/>
      <c r="AN714" s="103"/>
      <c r="AO714" s="103"/>
      <c r="AP714" s="103"/>
      <c r="AQ714" s="103"/>
      <c r="AR714" s="103"/>
      <c r="AS714" s="103"/>
      <c r="AT714" s="34" t="s">
        <v>239</v>
      </c>
      <c r="AU714" s="34" t="s">
        <v>682</v>
      </c>
      <c r="AV714" s="34"/>
      <c r="AW714" s="34"/>
      <c r="AX714" s="63"/>
      <c r="AY714" s="38" t="s">
        <v>1923</v>
      </c>
      <c r="AZ714" s="39" t="s">
        <v>1931</v>
      </c>
    </row>
    <row r="715" spans="1:53" ht="15.75" hidden="1" customHeight="1">
      <c r="A715" s="193"/>
      <c r="B715" s="56" t="s">
        <v>2515</v>
      </c>
      <c r="C715" s="78"/>
      <c r="D715" s="194"/>
      <c r="E715" s="103"/>
      <c r="F715" s="194">
        <v>3.5999999999999997E-2</v>
      </c>
      <c r="G715" s="103"/>
      <c r="H715" s="103"/>
      <c r="I715" s="103"/>
      <c r="J715" s="103"/>
      <c r="K715" s="103"/>
      <c r="L715" s="103"/>
      <c r="M715" s="103"/>
      <c r="N715" s="103"/>
      <c r="O715" s="103"/>
      <c r="P715" s="103"/>
      <c r="Q715" s="103"/>
      <c r="R715" s="103"/>
      <c r="S715" s="103"/>
      <c r="T715" s="103"/>
      <c r="U715" s="103"/>
      <c r="V715" s="103"/>
      <c r="W715" s="103"/>
      <c r="X715" s="103"/>
      <c r="Y715" s="103"/>
      <c r="Z715" s="103"/>
      <c r="AA715" s="103"/>
      <c r="AB715" s="103"/>
      <c r="AC715" s="103"/>
      <c r="AD715" s="103"/>
      <c r="AE715" s="103"/>
      <c r="AF715" s="103"/>
      <c r="AG715" s="103"/>
      <c r="AH715" s="103"/>
      <c r="AI715" s="103"/>
      <c r="AJ715" s="103"/>
      <c r="AK715" s="103"/>
      <c r="AL715" s="103"/>
      <c r="AM715" s="103"/>
      <c r="AN715" s="103"/>
      <c r="AO715" s="103"/>
      <c r="AP715" s="103"/>
      <c r="AQ715" s="103"/>
      <c r="AR715" s="103"/>
      <c r="AS715" s="103"/>
      <c r="AT715" s="34" t="s">
        <v>240</v>
      </c>
      <c r="AU715" s="34" t="s">
        <v>451</v>
      </c>
      <c r="AV715" s="34"/>
      <c r="AW715" s="34"/>
      <c r="AX715" s="63"/>
      <c r="AY715" s="34" t="s">
        <v>1923</v>
      </c>
      <c r="AZ715" s="63" t="s">
        <v>1924</v>
      </c>
    </row>
    <row r="716" spans="1:53" ht="31.5" hidden="1" customHeight="1">
      <c r="A716" s="193"/>
      <c r="B716" s="56" t="s">
        <v>2594</v>
      </c>
      <c r="C716" s="78"/>
      <c r="D716" s="194"/>
      <c r="E716" s="103"/>
      <c r="F716" s="194">
        <v>0.02</v>
      </c>
      <c r="G716" s="103"/>
      <c r="H716" s="103"/>
      <c r="I716" s="103"/>
      <c r="J716" s="103"/>
      <c r="K716" s="103"/>
      <c r="L716" s="103"/>
      <c r="M716" s="103"/>
      <c r="N716" s="103"/>
      <c r="O716" s="103"/>
      <c r="P716" s="103"/>
      <c r="Q716" s="103"/>
      <c r="R716" s="103"/>
      <c r="S716" s="103"/>
      <c r="T716" s="103"/>
      <c r="U716" s="103"/>
      <c r="V716" s="103"/>
      <c r="W716" s="103"/>
      <c r="X716" s="103"/>
      <c r="Y716" s="103"/>
      <c r="Z716" s="103"/>
      <c r="AA716" s="103"/>
      <c r="AB716" s="103"/>
      <c r="AC716" s="103"/>
      <c r="AD716" s="103"/>
      <c r="AE716" s="103"/>
      <c r="AF716" s="103"/>
      <c r="AG716" s="103"/>
      <c r="AH716" s="103"/>
      <c r="AI716" s="103"/>
      <c r="AJ716" s="103"/>
      <c r="AK716" s="103"/>
      <c r="AL716" s="103"/>
      <c r="AM716" s="103"/>
      <c r="AN716" s="103"/>
      <c r="AO716" s="103"/>
      <c r="AP716" s="103"/>
      <c r="AQ716" s="103"/>
      <c r="AR716" s="103"/>
      <c r="AS716" s="103"/>
      <c r="AT716" s="34" t="s">
        <v>240</v>
      </c>
      <c r="AU716" s="34" t="s">
        <v>387</v>
      </c>
      <c r="AV716" s="34"/>
      <c r="AW716" s="34"/>
      <c r="AX716" s="63"/>
      <c r="AY716" s="34" t="s">
        <v>1923</v>
      </c>
      <c r="AZ716" s="63" t="s">
        <v>2595</v>
      </c>
    </row>
    <row r="717" spans="1:53" ht="31.5" hidden="1" customHeight="1">
      <c r="A717" s="193"/>
      <c r="B717" s="56" t="s">
        <v>2518</v>
      </c>
      <c r="C717" s="78"/>
      <c r="D717" s="194"/>
      <c r="E717" s="103"/>
      <c r="F717" s="194">
        <v>0.02</v>
      </c>
      <c r="G717" s="103"/>
      <c r="H717" s="103"/>
      <c r="I717" s="103"/>
      <c r="J717" s="103"/>
      <c r="K717" s="103"/>
      <c r="L717" s="103"/>
      <c r="M717" s="103"/>
      <c r="N717" s="103"/>
      <c r="O717" s="103"/>
      <c r="P717" s="103"/>
      <c r="Q717" s="103"/>
      <c r="R717" s="103"/>
      <c r="S717" s="103"/>
      <c r="T717" s="103"/>
      <c r="U717" s="103"/>
      <c r="V717" s="103"/>
      <c r="W717" s="103"/>
      <c r="X717" s="103"/>
      <c r="Y717" s="103"/>
      <c r="Z717" s="103"/>
      <c r="AA717" s="103"/>
      <c r="AB717" s="103"/>
      <c r="AC717" s="103"/>
      <c r="AD717" s="103"/>
      <c r="AE717" s="103"/>
      <c r="AF717" s="103"/>
      <c r="AG717" s="103"/>
      <c r="AH717" s="103"/>
      <c r="AI717" s="103"/>
      <c r="AJ717" s="103"/>
      <c r="AK717" s="103"/>
      <c r="AL717" s="103"/>
      <c r="AM717" s="103"/>
      <c r="AN717" s="103"/>
      <c r="AO717" s="103"/>
      <c r="AP717" s="103"/>
      <c r="AQ717" s="103"/>
      <c r="AR717" s="103"/>
      <c r="AS717" s="103"/>
      <c r="AT717" s="34" t="s">
        <v>240</v>
      </c>
      <c r="AU717" s="34" t="s">
        <v>305</v>
      </c>
      <c r="AV717" s="34"/>
      <c r="AW717" s="34"/>
      <c r="AX717" s="63"/>
      <c r="AY717" s="34" t="s">
        <v>1917</v>
      </c>
      <c r="AZ717" s="63" t="s">
        <v>2596</v>
      </c>
    </row>
    <row r="718" spans="1:53" ht="15.75" hidden="1" customHeight="1">
      <c r="A718" s="193"/>
      <c r="B718" s="56" t="s">
        <v>2597</v>
      </c>
      <c r="C718" s="78"/>
      <c r="D718" s="194"/>
      <c r="E718" s="103"/>
      <c r="F718" s="194">
        <v>0.02</v>
      </c>
      <c r="G718" s="103"/>
      <c r="H718" s="103"/>
      <c r="I718" s="103"/>
      <c r="J718" s="103"/>
      <c r="K718" s="103"/>
      <c r="L718" s="103"/>
      <c r="M718" s="103"/>
      <c r="N718" s="103"/>
      <c r="O718" s="103"/>
      <c r="P718" s="103"/>
      <c r="Q718" s="103"/>
      <c r="R718" s="103"/>
      <c r="S718" s="103"/>
      <c r="T718" s="103"/>
      <c r="U718" s="103"/>
      <c r="V718" s="103"/>
      <c r="W718" s="103"/>
      <c r="X718" s="103"/>
      <c r="Y718" s="103"/>
      <c r="Z718" s="103"/>
      <c r="AA718" s="103"/>
      <c r="AB718" s="103"/>
      <c r="AC718" s="103"/>
      <c r="AD718" s="103"/>
      <c r="AE718" s="103"/>
      <c r="AF718" s="103"/>
      <c r="AG718" s="103"/>
      <c r="AH718" s="103"/>
      <c r="AI718" s="103"/>
      <c r="AJ718" s="103"/>
      <c r="AK718" s="103"/>
      <c r="AL718" s="103"/>
      <c r="AM718" s="103"/>
      <c r="AN718" s="103"/>
      <c r="AO718" s="103"/>
      <c r="AP718" s="103"/>
      <c r="AQ718" s="103"/>
      <c r="AR718" s="103"/>
      <c r="AS718" s="103"/>
      <c r="AT718" s="34" t="s">
        <v>240</v>
      </c>
      <c r="AU718" s="34" t="s">
        <v>308</v>
      </c>
      <c r="AV718" s="34"/>
      <c r="AW718" s="34"/>
      <c r="AX718" s="63"/>
      <c r="AY718" s="34" t="s">
        <v>1923</v>
      </c>
      <c r="AZ718" s="63" t="s">
        <v>1924</v>
      </c>
    </row>
    <row r="719" spans="1:53" ht="15.75" hidden="1" customHeight="1">
      <c r="A719" s="193"/>
      <c r="B719" s="56" t="s">
        <v>2512</v>
      </c>
      <c r="C719" s="78" t="s">
        <v>112</v>
      </c>
      <c r="D719" s="194">
        <v>0.19</v>
      </c>
      <c r="E719" s="103"/>
      <c r="F719" s="194">
        <v>0.19</v>
      </c>
      <c r="G719" s="103"/>
      <c r="H719" s="103"/>
      <c r="I719" s="103"/>
      <c r="J719" s="103"/>
      <c r="K719" s="103"/>
      <c r="L719" s="103"/>
      <c r="M719" s="103"/>
      <c r="N719" s="103"/>
      <c r="O719" s="103"/>
      <c r="P719" s="103"/>
      <c r="Q719" s="103"/>
      <c r="R719" s="103"/>
      <c r="S719" s="103"/>
      <c r="T719" s="103"/>
      <c r="U719" s="103"/>
      <c r="V719" s="103"/>
      <c r="W719" s="103"/>
      <c r="X719" s="103"/>
      <c r="Y719" s="103"/>
      <c r="Z719" s="103"/>
      <c r="AA719" s="103"/>
      <c r="AB719" s="103"/>
      <c r="AC719" s="103"/>
      <c r="AD719" s="103"/>
      <c r="AE719" s="103"/>
      <c r="AF719" s="103"/>
      <c r="AG719" s="103"/>
      <c r="AH719" s="103"/>
      <c r="AI719" s="103"/>
      <c r="AJ719" s="103"/>
      <c r="AK719" s="103"/>
      <c r="AL719" s="103"/>
      <c r="AM719" s="103"/>
      <c r="AN719" s="103"/>
      <c r="AO719" s="103"/>
      <c r="AP719" s="103"/>
      <c r="AQ719" s="103"/>
      <c r="AR719" s="103"/>
      <c r="AS719" s="103"/>
      <c r="AT719" s="34" t="s">
        <v>241</v>
      </c>
      <c r="AU719" s="34"/>
      <c r="AV719" s="34"/>
      <c r="AW719" s="34"/>
      <c r="AX719" s="63"/>
      <c r="AY719" s="34" t="s">
        <v>1923</v>
      </c>
      <c r="AZ719" s="63" t="s">
        <v>1924</v>
      </c>
    </row>
    <row r="720" spans="1:53" s="24" customFormat="1" ht="21" customHeight="1">
      <c r="A720" s="189" t="s">
        <v>1257</v>
      </c>
      <c r="B720" s="25" t="s">
        <v>136</v>
      </c>
      <c r="C720" s="26" t="s">
        <v>138</v>
      </c>
      <c r="D720" s="192">
        <f>E720+F720</f>
        <v>4.16</v>
      </c>
      <c r="E720" s="192">
        <f>SUM(E721)</f>
        <v>0</v>
      </c>
      <c r="F720" s="191">
        <f>SUM(G720:K720,O720:AR720)</f>
        <v>4.16</v>
      </c>
      <c r="G720" s="192">
        <f>SUM(G721)</f>
        <v>0.98</v>
      </c>
      <c r="H720" s="192">
        <f t="shared" ref="H720:AS720" si="36">SUM(H721)</f>
        <v>0.19</v>
      </c>
      <c r="I720" s="192">
        <f t="shared" si="36"/>
        <v>2.02</v>
      </c>
      <c r="J720" s="192">
        <f t="shared" si="36"/>
        <v>0.77</v>
      </c>
      <c r="K720" s="192">
        <f t="shared" si="36"/>
        <v>0</v>
      </c>
      <c r="L720" s="192">
        <f t="shared" si="36"/>
        <v>0</v>
      </c>
      <c r="M720" s="192">
        <f t="shared" si="36"/>
        <v>0</v>
      </c>
      <c r="N720" s="192">
        <f t="shared" si="36"/>
        <v>0</v>
      </c>
      <c r="O720" s="192">
        <f t="shared" si="36"/>
        <v>0</v>
      </c>
      <c r="P720" s="192">
        <f t="shared" si="36"/>
        <v>0</v>
      </c>
      <c r="Q720" s="192">
        <f t="shared" si="36"/>
        <v>0</v>
      </c>
      <c r="R720" s="192">
        <f t="shared" si="36"/>
        <v>0</v>
      </c>
      <c r="S720" s="192">
        <f t="shared" si="36"/>
        <v>0</v>
      </c>
      <c r="T720" s="192">
        <f t="shared" si="36"/>
        <v>0</v>
      </c>
      <c r="U720" s="192">
        <f t="shared" si="36"/>
        <v>0</v>
      </c>
      <c r="V720" s="192">
        <f t="shared" si="36"/>
        <v>0</v>
      </c>
      <c r="W720" s="192">
        <f t="shared" si="36"/>
        <v>0</v>
      </c>
      <c r="X720" s="192">
        <f t="shared" si="36"/>
        <v>0</v>
      </c>
      <c r="Y720" s="192">
        <f t="shared" si="36"/>
        <v>0.08</v>
      </c>
      <c r="Z720" s="192">
        <f t="shared" si="36"/>
        <v>0</v>
      </c>
      <c r="AA720" s="192">
        <f t="shared" si="36"/>
        <v>7.0000000000000007E-2</v>
      </c>
      <c r="AB720" s="192">
        <f t="shared" si="36"/>
        <v>0.05</v>
      </c>
      <c r="AC720" s="192">
        <f t="shared" si="36"/>
        <v>0</v>
      </c>
      <c r="AD720" s="192">
        <f t="shared" si="36"/>
        <v>0</v>
      </c>
      <c r="AE720" s="192">
        <f t="shared" si="36"/>
        <v>0</v>
      </c>
      <c r="AF720" s="192">
        <f t="shared" si="36"/>
        <v>0</v>
      </c>
      <c r="AG720" s="192">
        <f t="shared" si="36"/>
        <v>0</v>
      </c>
      <c r="AH720" s="192">
        <f t="shared" si="36"/>
        <v>0</v>
      </c>
      <c r="AI720" s="192">
        <f t="shared" si="36"/>
        <v>0</v>
      </c>
      <c r="AJ720" s="192">
        <f t="shared" si="36"/>
        <v>0</v>
      </c>
      <c r="AK720" s="192">
        <f t="shared" si="36"/>
        <v>0</v>
      </c>
      <c r="AL720" s="192">
        <f t="shared" si="36"/>
        <v>0</v>
      </c>
      <c r="AM720" s="192">
        <f t="shared" si="36"/>
        <v>0</v>
      </c>
      <c r="AN720" s="192">
        <f t="shared" si="36"/>
        <v>0</v>
      </c>
      <c r="AO720" s="192">
        <f t="shared" si="36"/>
        <v>0</v>
      </c>
      <c r="AP720" s="192">
        <f t="shared" si="36"/>
        <v>0</v>
      </c>
      <c r="AQ720" s="192">
        <f t="shared" si="36"/>
        <v>0</v>
      </c>
      <c r="AR720" s="192">
        <f t="shared" si="36"/>
        <v>0</v>
      </c>
      <c r="AS720" s="192">
        <f t="shared" si="36"/>
        <v>0</v>
      </c>
      <c r="AT720" s="29"/>
      <c r="AU720" s="29"/>
      <c r="AV720" s="29"/>
      <c r="AW720" s="29"/>
      <c r="AX720" s="30"/>
      <c r="AY720" s="29"/>
      <c r="AZ720" s="30"/>
    </row>
    <row r="721" spans="1:58" ht="47.25">
      <c r="A721" s="193">
        <v>105</v>
      </c>
      <c r="B721" s="56" t="s">
        <v>136</v>
      </c>
      <c r="C721" s="78" t="s">
        <v>138</v>
      </c>
      <c r="D721" s="194">
        <f>E721+F721</f>
        <v>4.16</v>
      </c>
      <c r="E721" s="194"/>
      <c r="F721" s="194">
        <f>SUM(G721:K721,O721:AR721)</f>
        <v>4.16</v>
      </c>
      <c r="G721" s="103">
        <v>0.98</v>
      </c>
      <c r="H721" s="103">
        <v>0.19</v>
      </c>
      <c r="I721" s="103">
        <v>2.02</v>
      </c>
      <c r="J721" s="103">
        <v>0.77</v>
      </c>
      <c r="K721" s="103">
        <v>0</v>
      </c>
      <c r="L721" s="103">
        <v>0</v>
      </c>
      <c r="M721" s="103">
        <v>0</v>
      </c>
      <c r="N721" s="103">
        <v>0</v>
      </c>
      <c r="O721" s="103">
        <v>0</v>
      </c>
      <c r="P721" s="103">
        <v>0</v>
      </c>
      <c r="Q721" s="103">
        <v>0</v>
      </c>
      <c r="R721" s="103">
        <v>0</v>
      </c>
      <c r="S721" s="103">
        <v>0</v>
      </c>
      <c r="T721" s="103">
        <v>0</v>
      </c>
      <c r="U721" s="103">
        <v>0</v>
      </c>
      <c r="V721" s="103">
        <v>0</v>
      </c>
      <c r="W721" s="103">
        <v>0</v>
      </c>
      <c r="X721" s="103">
        <v>0</v>
      </c>
      <c r="Y721" s="103">
        <v>0.08</v>
      </c>
      <c r="Z721" s="103">
        <v>0</v>
      </c>
      <c r="AA721" s="103">
        <v>7.0000000000000007E-2</v>
      </c>
      <c r="AB721" s="103">
        <v>0.05</v>
      </c>
      <c r="AC721" s="103">
        <v>0</v>
      </c>
      <c r="AD721" s="103">
        <v>0</v>
      </c>
      <c r="AE721" s="103">
        <v>0</v>
      </c>
      <c r="AF721" s="103">
        <v>0</v>
      </c>
      <c r="AG721" s="103">
        <v>0</v>
      </c>
      <c r="AH721" s="103">
        <v>0</v>
      </c>
      <c r="AI721" s="103">
        <v>0</v>
      </c>
      <c r="AJ721" s="103">
        <v>0</v>
      </c>
      <c r="AK721" s="103">
        <v>0</v>
      </c>
      <c r="AL721" s="103">
        <v>0</v>
      </c>
      <c r="AM721" s="103">
        <v>0</v>
      </c>
      <c r="AN721" s="103">
        <v>0</v>
      </c>
      <c r="AO721" s="103">
        <v>0</v>
      </c>
      <c r="AP721" s="103">
        <v>0</v>
      </c>
      <c r="AQ721" s="103">
        <v>0</v>
      </c>
      <c r="AR721" s="103">
        <v>0</v>
      </c>
      <c r="AS721" s="103">
        <v>0</v>
      </c>
      <c r="AT721" s="34" t="s">
        <v>2598</v>
      </c>
      <c r="AU721" s="34"/>
      <c r="AV721" s="34"/>
      <c r="AW721" s="34"/>
      <c r="AX721" s="63"/>
      <c r="AY721" s="34" t="s">
        <v>1923</v>
      </c>
      <c r="AZ721" s="63" t="s">
        <v>1971</v>
      </c>
      <c r="BD721" s="15">
        <v>1</v>
      </c>
    </row>
    <row r="722" spans="1:58" ht="15.75" hidden="1" customHeight="1">
      <c r="A722" s="193"/>
      <c r="B722" s="56"/>
      <c r="C722" s="78"/>
      <c r="D722" s="194"/>
      <c r="E722" s="194"/>
      <c r="F722" s="194"/>
      <c r="G722" s="103"/>
      <c r="H722" s="103"/>
      <c r="I722" s="103"/>
      <c r="J722" s="103"/>
      <c r="K722" s="103"/>
      <c r="L722" s="103"/>
      <c r="M722" s="103"/>
      <c r="N722" s="103"/>
      <c r="O722" s="103"/>
      <c r="P722" s="103"/>
      <c r="Q722" s="103"/>
      <c r="R722" s="103"/>
      <c r="S722" s="103"/>
      <c r="T722" s="103"/>
      <c r="U722" s="103"/>
      <c r="V722" s="103"/>
      <c r="W722" s="103"/>
      <c r="X722" s="103"/>
      <c r="Y722" s="103"/>
      <c r="Z722" s="103"/>
      <c r="AA722" s="103"/>
      <c r="AB722" s="103"/>
      <c r="AC722" s="103"/>
      <c r="AD722" s="103"/>
      <c r="AE722" s="103"/>
      <c r="AF722" s="103"/>
      <c r="AG722" s="103"/>
      <c r="AH722" s="103"/>
      <c r="AI722" s="103"/>
      <c r="AJ722" s="103"/>
      <c r="AK722" s="103"/>
      <c r="AL722" s="103"/>
      <c r="AM722" s="103"/>
      <c r="AN722" s="103"/>
      <c r="AO722" s="103"/>
      <c r="AP722" s="103"/>
      <c r="AQ722" s="103"/>
      <c r="AR722" s="103"/>
      <c r="AS722" s="103"/>
      <c r="AT722" s="34" t="s">
        <v>289</v>
      </c>
      <c r="AU722" s="34"/>
      <c r="AV722" s="34"/>
      <c r="AW722" s="34"/>
      <c r="AX722" s="63"/>
      <c r="AY722" s="34" t="s">
        <v>1923</v>
      </c>
      <c r="AZ722" s="63" t="s">
        <v>1924</v>
      </c>
    </row>
    <row r="723" spans="1:58" ht="31.5" hidden="1" customHeight="1">
      <c r="A723" s="193"/>
      <c r="B723" s="223" t="s">
        <v>2599</v>
      </c>
      <c r="C723" s="78"/>
      <c r="D723" s="194"/>
      <c r="E723" s="194"/>
      <c r="F723" s="194">
        <v>0.24</v>
      </c>
      <c r="G723" s="103"/>
      <c r="H723" s="103"/>
      <c r="I723" s="103"/>
      <c r="J723" s="103"/>
      <c r="K723" s="103"/>
      <c r="L723" s="103"/>
      <c r="M723" s="103"/>
      <c r="N723" s="103"/>
      <c r="O723" s="103"/>
      <c r="P723" s="103"/>
      <c r="Q723" s="103"/>
      <c r="R723" s="103"/>
      <c r="S723" s="103"/>
      <c r="T723" s="103"/>
      <c r="U723" s="103"/>
      <c r="V723" s="103"/>
      <c r="W723" s="103"/>
      <c r="X723" s="103"/>
      <c r="Y723" s="103"/>
      <c r="Z723" s="103"/>
      <c r="AA723" s="103"/>
      <c r="AB723" s="103"/>
      <c r="AC723" s="103"/>
      <c r="AD723" s="103"/>
      <c r="AE723" s="103"/>
      <c r="AF723" s="103"/>
      <c r="AG723" s="103"/>
      <c r="AH723" s="103"/>
      <c r="AI723" s="103"/>
      <c r="AJ723" s="103"/>
      <c r="AK723" s="103"/>
      <c r="AL723" s="103"/>
      <c r="AM723" s="103"/>
      <c r="AN723" s="103"/>
      <c r="AO723" s="103"/>
      <c r="AP723" s="103"/>
      <c r="AQ723" s="103"/>
      <c r="AR723" s="103"/>
      <c r="AS723" s="103"/>
      <c r="AT723" s="34" t="s">
        <v>225</v>
      </c>
      <c r="AU723" s="34" t="s">
        <v>1121</v>
      </c>
      <c r="AV723" s="34"/>
      <c r="AW723" s="34"/>
      <c r="AX723" s="63"/>
      <c r="AY723" s="38" t="s">
        <v>1923</v>
      </c>
      <c r="AZ723" s="63" t="s">
        <v>2600</v>
      </c>
      <c r="BA723" s="15" t="s">
        <v>19</v>
      </c>
    </row>
    <row r="724" spans="1:58" ht="15.75" hidden="1" customHeight="1">
      <c r="A724" s="193"/>
      <c r="B724" s="223" t="s">
        <v>2601</v>
      </c>
      <c r="C724" s="78" t="s">
        <v>138</v>
      </c>
      <c r="D724" s="227">
        <v>0.14000000000000001</v>
      </c>
      <c r="E724" s="227"/>
      <c r="F724" s="227">
        <v>0.14000000000000001</v>
      </c>
      <c r="G724" s="103"/>
      <c r="H724" s="103"/>
      <c r="I724" s="103"/>
      <c r="J724" s="103"/>
      <c r="K724" s="103"/>
      <c r="L724" s="103"/>
      <c r="M724" s="103"/>
      <c r="N724" s="103"/>
      <c r="O724" s="103"/>
      <c r="P724" s="103"/>
      <c r="Q724" s="103"/>
      <c r="R724" s="103"/>
      <c r="S724" s="103"/>
      <c r="T724" s="103"/>
      <c r="U724" s="103"/>
      <c r="V724" s="103"/>
      <c r="W724" s="103"/>
      <c r="X724" s="103"/>
      <c r="Y724" s="103"/>
      <c r="Z724" s="103"/>
      <c r="AA724" s="103"/>
      <c r="AB724" s="103"/>
      <c r="AC724" s="103"/>
      <c r="AD724" s="103"/>
      <c r="AE724" s="103"/>
      <c r="AF724" s="103"/>
      <c r="AG724" s="103"/>
      <c r="AH724" s="103"/>
      <c r="AI724" s="103"/>
      <c r="AJ724" s="103"/>
      <c r="AK724" s="103"/>
      <c r="AL724" s="103"/>
      <c r="AM724" s="103"/>
      <c r="AN724" s="103"/>
      <c r="AO724" s="103"/>
      <c r="AP724" s="103"/>
      <c r="AQ724" s="103"/>
      <c r="AR724" s="103"/>
      <c r="AS724" s="103"/>
      <c r="AT724" s="34" t="s">
        <v>229</v>
      </c>
      <c r="AU724" s="34"/>
      <c r="AV724" s="34"/>
      <c r="AW724" s="34"/>
      <c r="AX724" s="63"/>
      <c r="AY724" s="34" t="s">
        <v>1923</v>
      </c>
      <c r="AZ724" s="1662" t="s">
        <v>2602</v>
      </c>
    </row>
    <row r="725" spans="1:58" ht="15.75" hidden="1" customHeight="1">
      <c r="A725" s="193"/>
      <c r="B725" s="223" t="s">
        <v>2603</v>
      </c>
      <c r="C725" s="78" t="s">
        <v>138</v>
      </c>
      <c r="D725" s="227">
        <v>0.05</v>
      </c>
      <c r="E725" s="227"/>
      <c r="F725" s="227">
        <v>0.05</v>
      </c>
      <c r="G725" s="103"/>
      <c r="H725" s="103"/>
      <c r="I725" s="103"/>
      <c r="J725" s="103"/>
      <c r="K725" s="103"/>
      <c r="L725" s="103"/>
      <c r="M725" s="103"/>
      <c r="N725" s="103"/>
      <c r="O725" s="103"/>
      <c r="P725" s="103"/>
      <c r="Q725" s="103"/>
      <c r="R725" s="103"/>
      <c r="S725" s="103"/>
      <c r="T725" s="103"/>
      <c r="U725" s="103"/>
      <c r="V725" s="103"/>
      <c r="W725" s="103"/>
      <c r="X725" s="103"/>
      <c r="Y725" s="103"/>
      <c r="Z725" s="103"/>
      <c r="AA725" s="103"/>
      <c r="AB725" s="103"/>
      <c r="AC725" s="103"/>
      <c r="AD725" s="103"/>
      <c r="AE725" s="103"/>
      <c r="AF725" s="103"/>
      <c r="AG725" s="103"/>
      <c r="AH725" s="103"/>
      <c r="AI725" s="103"/>
      <c r="AJ725" s="103"/>
      <c r="AK725" s="103"/>
      <c r="AL725" s="103"/>
      <c r="AM725" s="103"/>
      <c r="AN725" s="103"/>
      <c r="AO725" s="103"/>
      <c r="AP725" s="103"/>
      <c r="AQ725" s="103"/>
      <c r="AR725" s="103"/>
      <c r="AS725" s="103"/>
      <c r="AT725" s="34" t="s">
        <v>229</v>
      </c>
      <c r="AU725" s="34"/>
      <c r="AV725" s="34"/>
      <c r="AW725" s="34"/>
      <c r="AX725" s="63"/>
      <c r="AY725" s="34" t="s">
        <v>1923</v>
      </c>
      <c r="AZ725" s="1662"/>
    </row>
    <row r="726" spans="1:58" s="24" customFormat="1" ht="18.600000000000001" customHeight="1">
      <c r="A726" s="189" t="s">
        <v>1257</v>
      </c>
      <c r="B726" s="25" t="s">
        <v>2604</v>
      </c>
      <c r="C726" s="26"/>
      <c r="D726" s="192"/>
      <c r="E726" s="192"/>
      <c r="F726" s="192"/>
      <c r="G726" s="192">
        <f t="shared" ref="G726:AS726" si="37">SUM(G728:G788)</f>
        <v>167.83600000000001</v>
      </c>
      <c r="H726" s="192">
        <f t="shared" si="37"/>
        <v>28.319999999999997</v>
      </c>
      <c r="I726" s="192">
        <f t="shared" si="37"/>
        <v>78.388999999999996</v>
      </c>
      <c r="J726" s="192">
        <f t="shared" si="37"/>
        <v>66.625</v>
      </c>
      <c r="K726" s="192">
        <f t="shared" si="37"/>
        <v>134.68000000000004</v>
      </c>
      <c r="L726" s="192">
        <f t="shared" si="37"/>
        <v>0</v>
      </c>
      <c r="M726" s="192">
        <f t="shared" si="37"/>
        <v>135.82000000000005</v>
      </c>
      <c r="N726" s="192">
        <f t="shared" si="37"/>
        <v>0</v>
      </c>
      <c r="O726" s="192">
        <f t="shared" si="37"/>
        <v>0</v>
      </c>
      <c r="P726" s="192">
        <f t="shared" si="37"/>
        <v>4.7080000000000002</v>
      </c>
      <c r="Q726" s="192">
        <f t="shared" si="37"/>
        <v>0</v>
      </c>
      <c r="R726" s="192">
        <f t="shared" si="37"/>
        <v>3.26</v>
      </c>
      <c r="S726" s="192">
        <f t="shared" si="37"/>
        <v>0</v>
      </c>
      <c r="T726" s="192">
        <f t="shared" si="37"/>
        <v>0</v>
      </c>
      <c r="U726" s="192">
        <f t="shared" si="37"/>
        <v>0.05</v>
      </c>
      <c r="V726" s="192">
        <f t="shared" si="37"/>
        <v>0</v>
      </c>
      <c r="W726" s="192">
        <f t="shared" si="37"/>
        <v>0</v>
      </c>
      <c r="X726" s="192">
        <f t="shared" si="37"/>
        <v>1.8</v>
      </c>
      <c r="Y726" s="192">
        <f t="shared" si="37"/>
        <v>1.49</v>
      </c>
      <c r="Z726" s="192">
        <f t="shared" si="37"/>
        <v>0</v>
      </c>
      <c r="AA726" s="192">
        <f t="shared" si="37"/>
        <v>3.09</v>
      </c>
      <c r="AB726" s="192">
        <f t="shared" si="37"/>
        <v>3.2199999999999998</v>
      </c>
      <c r="AC726" s="192">
        <f t="shared" si="37"/>
        <v>0</v>
      </c>
      <c r="AD726" s="192">
        <f t="shared" si="37"/>
        <v>0</v>
      </c>
      <c r="AE726" s="192">
        <f t="shared" si="37"/>
        <v>0.18</v>
      </c>
      <c r="AF726" s="192">
        <f t="shared" si="37"/>
        <v>0</v>
      </c>
      <c r="AG726" s="192">
        <f t="shared" si="37"/>
        <v>20.29</v>
      </c>
      <c r="AH726" s="192">
        <f t="shared" si="37"/>
        <v>0.63</v>
      </c>
      <c r="AI726" s="192">
        <f t="shared" si="37"/>
        <v>0.17</v>
      </c>
      <c r="AJ726" s="192">
        <f t="shared" si="37"/>
        <v>0</v>
      </c>
      <c r="AK726" s="192">
        <f t="shared" si="37"/>
        <v>0</v>
      </c>
      <c r="AL726" s="192">
        <f t="shared" si="37"/>
        <v>0.41</v>
      </c>
      <c r="AM726" s="192">
        <f t="shared" si="37"/>
        <v>0.44</v>
      </c>
      <c r="AN726" s="192">
        <f t="shared" si="37"/>
        <v>0.22900000000000001</v>
      </c>
      <c r="AO726" s="192">
        <f t="shared" si="37"/>
        <v>0</v>
      </c>
      <c r="AP726" s="192">
        <f t="shared" si="37"/>
        <v>0</v>
      </c>
      <c r="AQ726" s="192">
        <f t="shared" si="37"/>
        <v>0.27</v>
      </c>
      <c r="AR726" s="192">
        <f t="shared" si="37"/>
        <v>0.30000000000000004</v>
      </c>
      <c r="AS726" s="192">
        <f t="shared" si="37"/>
        <v>0.06</v>
      </c>
      <c r="AT726" s="29"/>
      <c r="AU726" s="29"/>
      <c r="AV726" s="29"/>
      <c r="AW726" s="29"/>
      <c r="AX726" s="30"/>
      <c r="AY726" s="29"/>
      <c r="AZ726" s="30"/>
    </row>
    <row r="727" spans="1:58" s="24" customFormat="1" ht="19.350000000000001" customHeight="1">
      <c r="A727" s="189" t="s">
        <v>1259</v>
      </c>
      <c r="B727" s="25" t="s">
        <v>2605</v>
      </c>
      <c r="C727" s="26"/>
      <c r="D727" s="192"/>
      <c r="E727" s="192"/>
      <c r="F727" s="192"/>
      <c r="G727" s="192"/>
      <c r="H727" s="192"/>
      <c r="I727" s="192"/>
      <c r="J727" s="192"/>
      <c r="K727" s="194"/>
      <c r="L727" s="192"/>
      <c r="M727" s="192"/>
      <c r="N727" s="192"/>
      <c r="O727" s="192"/>
      <c r="P727" s="192"/>
      <c r="Q727" s="192"/>
      <c r="R727" s="192"/>
      <c r="S727" s="192"/>
      <c r="T727" s="192"/>
      <c r="U727" s="192"/>
      <c r="V727" s="192"/>
      <c r="W727" s="192"/>
      <c r="X727" s="192"/>
      <c r="Y727" s="192"/>
      <c r="Z727" s="192"/>
      <c r="AA727" s="192"/>
      <c r="AB727" s="192"/>
      <c r="AC727" s="192"/>
      <c r="AD727" s="192"/>
      <c r="AE727" s="192"/>
      <c r="AF727" s="192"/>
      <c r="AG727" s="192"/>
      <c r="AH727" s="192"/>
      <c r="AI727" s="192"/>
      <c r="AJ727" s="192"/>
      <c r="AK727" s="192"/>
      <c r="AL727" s="192"/>
      <c r="AM727" s="192"/>
      <c r="AN727" s="192"/>
      <c r="AO727" s="192"/>
      <c r="AP727" s="192"/>
      <c r="AQ727" s="192"/>
      <c r="AR727" s="192"/>
      <c r="AS727" s="192"/>
      <c r="AT727" s="29"/>
      <c r="AU727" s="29"/>
      <c r="AV727" s="29"/>
      <c r="AW727" s="29"/>
      <c r="AX727" s="30"/>
      <c r="AY727" s="29"/>
      <c r="AZ727" s="30"/>
    </row>
    <row r="728" spans="1:58" ht="32.450000000000003" customHeight="1">
      <c r="A728" s="193">
        <v>106</v>
      </c>
      <c r="B728" s="33" t="s">
        <v>2606</v>
      </c>
      <c r="C728" s="78" t="s">
        <v>2607</v>
      </c>
      <c r="D728" s="103">
        <f t="shared" ref="D728:D768" si="38">E728+F728</f>
        <v>10.109999999999998</v>
      </c>
      <c r="E728" s="103"/>
      <c r="F728" s="103">
        <f t="shared" ref="F728:F745" si="39">SUM(G728:K728,O728:AR728)</f>
        <v>10.109999999999998</v>
      </c>
      <c r="G728" s="103">
        <v>6.5</v>
      </c>
      <c r="H728" s="103">
        <v>1.22</v>
      </c>
      <c r="I728" s="103">
        <v>0.9</v>
      </c>
      <c r="J728" s="103">
        <v>0.76</v>
      </c>
      <c r="K728" s="194"/>
      <c r="L728" s="103"/>
      <c r="M728" s="103"/>
      <c r="N728" s="103"/>
      <c r="O728" s="103"/>
      <c r="P728" s="103">
        <v>0.1</v>
      </c>
      <c r="Q728" s="103"/>
      <c r="R728" s="103"/>
      <c r="S728" s="103"/>
      <c r="T728" s="103"/>
      <c r="U728" s="103"/>
      <c r="V728" s="103"/>
      <c r="W728" s="103"/>
      <c r="X728" s="103"/>
      <c r="Y728" s="103"/>
      <c r="Z728" s="103"/>
      <c r="AA728" s="103">
        <v>0.2</v>
      </c>
      <c r="AB728" s="103">
        <v>0.43</v>
      </c>
      <c r="AC728" s="103"/>
      <c r="AD728" s="103"/>
      <c r="AE728" s="103"/>
      <c r="AF728" s="103"/>
      <c r="AG728" s="103"/>
      <c r="AH728" s="103"/>
      <c r="AI728" s="103"/>
      <c r="AJ728" s="103"/>
      <c r="AK728" s="103"/>
      <c r="AL728" s="103"/>
      <c r="AM728" s="103"/>
      <c r="AN728" s="103"/>
      <c r="AO728" s="103"/>
      <c r="AP728" s="103"/>
      <c r="AQ728" s="103"/>
      <c r="AR728" s="103"/>
      <c r="AS728" s="103"/>
      <c r="AT728" s="34" t="s">
        <v>235</v>
      </c>
      <c r="AU728" s="34" t="s">
        <v>2329</v>
      </c>
      <c r="AV728" s="29"/>
      <c r="AW728" s="29"/>
      <c r="AX728" s="39" t="s">
        <v>1920</v>
      </c>
      <c r="AY728" s="34" t="s">
        <v>1917</v>
      </c>
      <c r="AZ728" s="39" t="s">
        <v>2608</v>
      </c>
      <c r="BA728" s="15" t="s">
        <v>2609</v>
      </c>
      <c r="BF728" s="15">
        <v>1</v>
      </c>
    </row>
    <row r="729" spans="1:58" ht="31.5">
      <c r="A729" s="193">
        <v>107</v>
      </c>
      <c r="B729" s="56" t="s">
        <v>2610</v>
      </c>
      <c r="C729" s="78" t="s">
        <v>2607</v>
      </c>
      <c r="D729" s="103">
        <f t="shared" si="38"/>
        <v>27.320000000000004</v>
      </c>
      <c r="E729" s="103"/>
      <c r="F729" s="103">
        <f t="shared" si="39"/>
        <v>27.320000000000004</v>
      </c>
      <c r="G729" s="103">
        <v>9.98</v>
      </c>
      <c r="H729" s="103"/>
      <c r="I729" s="103">
        <v>7.25</v>
      </c>
      <c r="J729" s="103">
        <f>3.94+0.4</f>
        <v>4.34</v>
      </c>
      <c r="K729" s="194">
        <v>1.85</v>
      </c>
      <c r="L729" s="103"/>
      <c r="M729" s="103">
        <v>1.85</v>
      </c>
      <c r="N729" s="103"/>
      <c r="O729" s="103"/>
      <c r="P729" s="103"/>
      <c r="Q729" s="103"/>
      <c r="R729" s="103"/>
      <c r="S729" s="103"/>
      <c r="T729" s="103"/>
      <c r="U729" s="103"/>
      <c r="V729" s="103"/>
      <c r="W729" s="103"/>
      <c r="X729" s="103"/>
      <c r="Y729" s="159"/>
      <c r="Z729" s="159"/>
      <c r="AA729" s="103">
        <v>0.3</v>
      </c>
      <c r="AB729" s="103">
        <v>1.5</v>
      </c>
      <c r="AC729" s="103"/>
      <c r="AD729" s="103"/>
      <c r="AE729" s="103"/>
      <c r="AF729" s="103"/>
      <c r="AG729" s="103">
        <v>0.62</v>
      </c>
      <c r="AH729" s="103">
        <v>0.63</v>
      </c>
      <c r="AI729" s="103"/>
      <c r="AJ729" s="103"/>
      <c r="AK729" s="103"/>
      <c r="AL729" s="103">
        <v>0.41</v>
      </c>
      <c r="AM729" s="103">
        <v>0.44</v>
      </c>
      <c r="AN729" s="103"/>
      <c r="AO729" s="103"/>
      <c r="AP729" s="103"/>
      <c r="AQ729" s="103"/>
      <c r="AR729" s="103"/>
      <c r="AS729" s="103"/>
      <c r="AT729" s="34" t="s">
        <v>1579</v>
      </c>
      <c r="AU729" s="34"/>
      <c r="AV729" s="34"/>
      <c r="AW729" s="34"/>
      <c r="AX729" s="63">
        <v>2021</v>
      </c>
      <c r="AY729" s="34" t="s">
        <v>1917</v>
      </c>
      <c r="AZ729" s="63" t="s">
        <v>2608</v>
      </c>
      <c r="BB729" s="41"/>
      <c r="BC729" s="41"/>
      <c r="BF729" s="15">
        <v>1</v>
      </c>
    </row>
    <row r="730" spans="1:58" ht="31.5" hidden="1" customHeight="1">
      <c r="A730" s="193"/>
      <c r="B730" s="56"/>
      <c r="C730" s="78"/>
      <c r="D730" s="103"/>
      <c r="E730" s="103"/>
      <c r="F730" s="103"/>
      <c r="G730" s="103"/>
      <c r="H730" s="103"/>
      <c r="I730" s="103"/>
      <c r="J730" s="103"/>
      <c r="K730" s="194"/>
      <c r="L730" s="103"/>
      <c r="M730" s="103"/>
      <c r="N730" s="103"/>
      <c r="O730" s="103"/>
      <c r="P730" s="103"/>
      <c r="Q730" s="103"/>
      <c r="R730" s="103"/>
      <c r="S730" s="103"/>
      <c r="T730" s="103"/>
      <c r="U730" s="103"/>
      <c r="V730" s="103"/>
      <c r="W730" s="103"/>
      <c r="X730" s="103"/>
      <c r="Y730" s="159"/>
      <c r="Z730" s="159"/>
      <c r="AA730" s="103"/>
      <c r="AB730" s="103"/>
      <c r="AC730" s="103"/>
      <c r="AD730" s="103"/>
      <c r="AE730" s="103"/>
      <c r="AF730" s="103"/>
      <c r="AG730" s="103"/>
      <c r="AH730" s="103"/>
      <c r="AI730" s="103"/>
      <c r="AJ730" s="103"/>
      <c r="AK730" s="103"/>
      <c r="AL730" s="103"/>
      <c r="AM730" s="103"/>
      <c r="AN730" s="103"/>
      <c r="AO730" s="103"/>
      <c r="AP730" s="103"/>
      <c r="AQ730" s="103"/>
      <c r="AR730" s="103"/>
      <c r="AS730" s="103"/>
      <c r="AT730" s="34" t="s">
        <v>289</v>
      </c>
      <c r="AU730" s="34"/>
      <c r="AV730" s="34"/>
      <c r="AW730" s="34"/>
      <c r="AX730" s="63"/>
      <c r="AY730" s="34" t="s">
        <v>1917</v>
      </c>
      <c r="AZ730" s="63" t="s">
        <v>2611</v>
      </c>
      <c r="BB730" s="41"/>
      <c r="BC730" s="41"/>
    </row>
    <row r="731" spans="1:58" ht="2.4500000000000002" hidden="1" customHeight="1">
      <c r="A731" s="193"/>
      <c r="B731" s="56"/>
      <c r="C731" s="78"/>
      <c r="D731" s="103"/>
      <c r="E731" s="103"/>
      <c r="F731" s="103"/>
      <c r="G731" s="103"/>
      <c r="H731" s="103"/>
      <c r="I731" s="103"/>
      <c r="J731" s="103"/>
      <c r="K731" s="194"/>
      <c r="L731" s="103"/>
      <c r="M731" s="103"/>
      <c r="N731" s="103"/>
      <c r="O731" s="103"/>
      <c r="P731" s="103"/>
      <c r="Q731" s="103"/>
      <c r="R731" s="103"/>
      <c r="S731" s="103"/>
      <c r="T731" s="103"/>
      <c r="U731" s="103"/>
      <c r="V731" s="103"/>
      <c r="W731" s="103"/>
      <c r="X731" s="103"/>
      <c r="Y731" s="159"/>
      <c r="Z731" s="159"/>
      <c r="AA731" s="103"/>
      <c r="AB731" s="103"/>
      <c r="AC731" s="103"/>
      <c r="AD731" s="103"/>
      <c r="AE731" s="103"/>
      <c r="AF731" s="103"/>
      <c r="AG731" s="103"/>
      <c r="AH731" s="103"/>
      <c r="AI731" s="103"/>
      <c r="AJ731" s="103"/>
      <c r="AK731" s="103"/>
      <c r="AL731" s="103"/>
      <c r="AM731" s="103"/>
      <c r="AN731" s="103"/>
      <c r="AO731" s="103"/>
      <c r="AP731" s="103"/>
      <c r="AQ731" s="103"/>
      <c r="AR731" s="103"/>
      <c r="AS731" s="103"/>
      <c r="AT731" s="34" t="s">
        <v>235</v>
      </c>
      <c r="AU731" s="34"/>
      <c r="AV731" s="34"/>
      <c r="AW731" s="34"/>
      <c r="AX731" s="63"/>
      <c r="AY731" s="34" t="s">
        <v>1917</v>
      </c>
      <c r="AZ731" s="63" t="s">
        <v>2608</v>
      </c>
      <c r="BA731" s="15" t="s">
        <v>2609</v>
      </c>
      <c r="BB731" s="41"/>
      <c r="BC731" s="41"/>
    </row>
    <row r="732" spans="1:58" ht="31.5">
      <c r="A732" s="193">
        <v>108</v>
      </c>
      <c r="B732" s="33" t="s">
        <v>2612</v>
      </c>
      <c r="C732" s="38" t="s">
        <v>2607</v>
      </c>
      <c r="D732" s="103">
        <f t="shared" si="38"/>
        <v>19.3</v>
      </c>
      <c r="E732" s="103"/>
      <c r="F732" s="103">
        <f t="shared" si="39"/>
        <v>19.3</v>
      </c>
      <c r="G732" s="103"/>
      <c r="H732" s="103"/>
      <c r="I732" s="103"/>
      <c r="J732" s="103"/>
      <c r="K732" s="103">
        <v>19.3</v>
      </c>
      <c r="L732" s="103"/>
      <c r="M732" s="103">
        <v>19.3</v>
      </c>
      <c r="N732" s="103"/>
      <c r="O732" s="103"/>
      <c r="P732" s="103"/>
      <c r="Q732" s="103"/>
      <c r="R732" s="103"/>
      <c r="S732" s="103"/>
      <c r="T732" s="103"/>
      <c r="U732" s="103"/>
      <c r="V732" s="103"/>
      <c r="W732" s="103"/>
      <c r="X732" s="103"/>
      <c r="Y732" s="103"/>
      <c r="Z732" s="103"/>
      <c r="AA732" s="103"/>
      <c r="AB732" s="103"/>
      <c r="AC732" s="103"/>
      <c r="AD732" s="103"/>
      <c r="AE732" s="103"/>
      <c r="AF732" s="103"/>
      <c r="AG732" s="103"/>
      <c r="AH732" s="103"/>
      <c r="AI732" s="103"/>
      <c r="AJ732" s="103"/>
      <c r="AK732" s="103"/>
      <c r="AL732" s="103"/>
      <c r="AM732" s="103"/>
      <c r="AN732" s="103"/>
      <c r="AO732" s="103"/>
      <c r="AP732" s="103"/>
      <c r="AQ732" s="103"/>
      <c r="AR732" s="103"/>
      <c r="AS732" s="103"/>
      <c r="AT732" s="34" t="s">
        <v>429</v>
      </c>
      <c r="AU732" s="34" t="s">
        <v>430</v>
      </c>
      <c r="AV732" s="159"/>
      <c r="AW732" s="159" t="s">
        <v>1995</v>
      </c>
      <c r="AX732" s="39" t="s">
        <v>1920</v>
      </c>
      <c r="AY732" s="159" t="s">
        <v>1923</v>
      </c>
      <c r="AZ732" s="39" t="s">
        <v>2058</v>
      </c>
      <c r="BD732" s="15">
        <v>1</v>
      </c>
    </row>
    <row r="733" spans="1:58" ht="18" customHeight="1">
      <c r="A733" s="1658">
        <v>109</v>
      </c>
      <c r="B733" s="1664" t="s">
        <v>1778</v>
      </c>
      <c r="C733" s="38" t="s">
        <v>2607</v>
      </c>
      <c r="D733" s="103">
        <f t="shared" si="38"/>
        <v>18.7</v>
      </c>
      <c r="E733" s="103"/>
      <c r="F733" s="103">
        <f t="shared" si="39"/>
        <v>18.7</v>
      </c>
      <c r="G733" s="103">
        <v>5.3</v>
      </c>
      <c r="H733" s="103"/>
      <c r="I733" s="103"/>
      <c r="J733" s="103">
        <v>0.54</v>
      </c>
      <c r="K733" s="103">
        <v>12.86</v>
      </c>
      <c r="L733" s="103"/>
      <c r="M733" s="103">
        <v>12.86</v>
      </c>
      <c r="N733" s="103"/>
      <c r="O733" s="103"/>
      <c r="P733" s="103"/>
      <c r="Q733" s="103"/>
      <c r="R733" s="103"/>
      <c r="S733" s="103"/>
      <c r="T733" s="103"/>
      <c r="U733" s="103"/>
      <c r="V733" s="103"/>
      <c r="W733" s="103"/>
      <c r="X733" s="103"/>
      <c r="Y733" s="103"/>
      <c r="Z733" s="103"/>
      <c r="AA733" s="103"/>
      <c r="AB733" s="103"/>
      <c r="AC733" s="103"/>
      <c r="AD733" s="103"/>
      <c r="AE733" s="103"/>
      <c r="AF733" s="103"/>
      <c r="AG733" s="103"/>
      <c r="AH733" s="103"/>
      <c r="AI733" s="103"/>
      <c r="AJ733" s="103"/>
      <c r="AK733" s="103"/>
      <c r="AL733" s="103"/>
      <c r="AM733" s="103"/>
      <c r="AN733" s="103"/>
      <c r="AO733" s="103"/>
      <c r="AP733" s="103"/>
      <c r="AQ733" s="103"/>
      <c r="AR733" s="103"/>
      <c r="AS733" s="103"/>
      <c r="AT733" s="34" t="s">
        <v>289</v>
      </c>
      <c r="AU733" s="34" t="s">
        <v>467</v>
      </c>
      <c r="AV733" s="159"/>
      <c r="AW733" s="159"/>
      <c r="AX733" s="39" t="s">
        <v>1920</v>
      </c>
      <c r="AY733" s="159" t="s">
        <v>1923</v>
      </c>
      <c r="AZ733" s="39" t="s">
        <v>2613</v>
      </c>
      <c r="BE733" s="15">
        <v>1</v>
      </c>
    </row>
    <row r="734" spans="1:58" ht="18" customHeight="1">
      <c r="A734" s="1658"/>
      <c r="B734" s="1664"/>
      <c r="C734" s="38" t="s">
        <v>2607</v>
      </c>
      <c r="D734" s="103">
        <f t="shared" si="38"/>
        <v>7.32</v>
      </c>
      <c r="E734" s="103"/>
      <c r="F734" s="103">
        <f t="shared" si="39"/>
        <v>7.32</v>
      </c>
      <c r="G734" s="103">
        <v>4</v>
      </c>
      <c r="H734" s="103"/>
      <c r="I734" s="103">
        <v>0.4</v>
      </c>
      <c r="J734" s="103">
        <v>2.92</v>
      </c>
      <c r="K734" s="103"/>
      <c r="L734" s="103"/>
      <c r="M734" s="103"/>
      <c r="N734" s="103"/>
      <c r="O734" s="103"/>
      <c r="P734" s="103"/>
      <c r="Q734" s="103"/>
      <c r="R734" s="103"/>
      <c r="S734" s="103"/>
      <c r="T734" s="103"/>
      <c r="U734" s="103"/>
      <c r="V734" s="103"/>
      <c r="W734" s="103"/>
      <c r="X734" s="103"/>
      <c r="Y734" s="103"/>
      <c r="Z734" s="103"/>
      <c r="AA734" s="103"/>
      <c r="AB734" s="103"/>
      <c r="AC734" s="103"/>
      <c r="AD734" s="103"/>
      <c r="AE734" s="103"/>
      <c r="AF734" s="103"/>
      <c r="AG734" s="103"/>
      <c r="AH734" s="103"/>
      <c r="AI734" s="103"/>
      <c r="AJ734" s="103"/>
      <c r="AK734" s="103"/>
      <c r="AL734" s="103"/>
      <c r="AM734" s="103"/>
      <c r="AN734" s="103"/>
      <c r="AO734" s="103"/>
      <c r="AP734" s="103"/>
      <c r="AQ734" s="103"/>
      <c r="AR734" s="103"/>
      <c r="AS734" s="103"/>
      <c r="AT734" s="34" t="s">
        <v>289</v>
      </c>
      <c r="AU734" s="34" t="s">
        <v>380</v>
      </c>
      <c r="AV734" s="159"/>
      <c r="AW734" s="159"/>
      <c r="AX734" s="39" t="s">
        <v>1920</v>
      </c>
      <c r="AY734" s="159" t="s">
        <v>1923</v>
      </c>
      <c r="AZ734" s="39" t="s">
        <v>2613</v>
      </c>
      <c r="BE734" s="15">
        <v>1</v>
      </c>
    </row>
    <row r="735" spans="1:58" s="61" customFormat="1" ht="18" customHeight="1">
      <c r="A735" s="1658"/>
      <c r="B735" s="1664"/>
      <c r="C735" s="38" t="s">
        <v>2607</v>
      </c>
      <c r="D735" s="103">
        <f t="shared" si="38"/>
        <v>8.3079999999999998</v>
      </c>
      <c r="E735" s="103"/>
      <c r="F735" s="103">
        <f t="shared" si="39"/>
        <v>8.3079999999999998</v>
      </c>
      <c r="G735" s="34">
        <v>5.55</v>
      </c>
      <c r="H735" s="34">
        <v>0.17</v>
      </c>
      <c r="I735" s="34">
        <v>0.83999999999999986</v>
      </c>
      <c r="J735" s="34">
        <v>0.80800000000000005</v>
      </c>
      <c r="K735" s="34">
        <v>0.71000000000000008</v>
      </c>
      <c r="L735" s="34">
        <v>0</v>
      </c>
      <c r="M735" s="34">
        <v>0.71000000000000008</v>
      </c>
      <c r="N735" s="34">
        <v>0</v>
      </c>
      <c r="O735" s="34">
        <v>0</v>
      </c>
      <c r="P735" s="34">
        <v>0.08</v>
      </c>
      <c r="Q735" s="34">
        <v>0</v>
      </c>
      <c r="R735" s="34">
        <v>0</v>
      </c>
      <c r="S735" s="34">
        <v>0</v>
      </c>
      <c r="T735" s="34">
        <v>0</v>
      </c>
      <c r="U735" s="34">
        <v>0.05</v>
      </c>
      <c r="V735" s="34">
        <v>0</v>
      </c>
      <c r="W735" s="34">
        <v>0</v>
      </c>
      <c r="X735" s="34">
        <v>0</v>
      </c>
      <c r="Y735" s="34">
        <v>0</v>
      </c>
      <c r="Z735" s="34">
        <v>0</v>
      </c>
      <c r="AA735" s="34">
        <v>0.01</v>
      </c>
      <c r="AB735" s="34">
        <v>0.05</v>
      </c>
      <c r="AC735" s="34">
        <v>0</v>
      </c>
      <c r="AD735" s="34">
        <v>0</v>
      </c>
      <c r="AE735" s="34">
        <v>0</v>
      </c>
      <c r="AF735" s="34">
        <v>0</v>
      </c>
      <c r="AG735" s="34">
        <v>0</v>
      </c>
      <c r="AH735" s="34">
        <v>0</v>
      </c>
      <c r="AI735" s="34">
        <v>0.04</v>
      </c>
      <c r="AJ735" s="34">
        <v>0</v>
      </c>
      <c r="AK735" s="34">
        <v>0</v>
      </c>
      <c r="AL735" s="34">
        <v>0</v>
      </c>
      <c r="AM735" s="34">
        <v>0</v>
      </c>
      <c r="AN735" s="34">
        <v>0</v>
      </c>
      <c r="AO735" s="34">
        <v>0</v>
      </c>
      <c r="AP735" s="34">
        <v>0</v>
      </c>
      <c r="AQ735" s="34">
        <v>0</v>
      </c>
      <c r="AR735" s="34">
        <v>0</v>
      </c>
      <c r="AS735" s="34">
        <v>0</v>
      </c>
      <c r="AT735" s="34" t="s">
        <v>289</v>
      </c>
      <c r="AU735" s="34" t="s">
        <v>615</v>
      </c>
      <c r="AV735" s="34"/>
      <c r="AW735" s="34"/>
      <c r="AX735" s="209"/>
      <c r="AY735" s="34" t="s">
        <v>1923</v>
      </c>
      <c r="AZ735" s="39" t="s">
        <v>2613</v>
      </c>
      <c r="BE735" s="15">
        <v>1</v>
      </c>
    </row>
    <row r="736" spans="1:58" ht="18" customHeight="1">
      <c r="A736" s="193">
        <v>110</v>
      </c>
      <c r="B736" s="242" t="s">
        <v>2614</v>
      </c>
      <c r="C736" s="38" t="s">
        <v>2607</v>
      </c>
      <c r="D736" s="103">
        <f t="shared" si="38"/>
        <v>2.0999999999999996</v>
      </c>
      <c r="E736" s="103"/>
      <c r="F736" s="103">
        <f t="shared" si="39"/>
        <v>2.0999999999999996</v>
      </c>
      <c r="G736" s="34"/>
      <c r="H736" s="34"/>
      <c r="I736" s="34"/>
      <c r="J736" s="34">
        <v>0.7</v>
      </c>
      <c r="K736" s="34"/>
      <c r="L736" s="34"/>
      <c r="M736" s="34"/>
      <c r="N736" s="34"/>
      <c r="O736" s="34"/>
      <c r="P736" s="34"/>
      <c r="Q736" s="34"/>
      <c r="R736" s="34"/>
      <c r="S736" s="34"/>
      <c r="T736" s="34"/>
      <c r="U736" s="34"/>
      <c r="V736" s="34"/>
      <c r="W736" s="34"/>
      <c r="X736" s="34"/>
      <c r="Y736" s="34">
        <v>1.4</v>
      </c>
      <c r="Z736" s="34"/>
      <c r="AA736" s="34"/>
      <c r="AB736" s="34"/>
      <c r="AC736" s="34"/>
      <c r="AD736" s="34"/>
      <c r="AE736" s="34"/>
      <c r="AF736" s="34"/>
      <c r="AG736" s="34"/>
      <c r="AH736" s="34"/>
      <c r="AI736" s="34"/>
      <c r="AJ736" s="34"/>
      <c r="AK736" s="34"/>
      <c r="AL736" s="34"/>
      <c r="AM736" s="34"/>
      <c r="AN736" s="34"/>
      <c r="AO736" s="34"/>
      <c r="AP736" s="34"/>
      <c r="AQ736" s="34"/>
      <c r="AR736" s="34"/>
      <c r="AS736" s="34"/>
      <c r="AT736" s="34" t="s">
        <v>235</v>
      </c>
      <c r="AU736" s="34" t="s">
        <v>471</v>
      </c>
      <c r="AV736" s="34"/>
      <c r="AW736" s="34"/>
      <c r="AX736" s="39" t="s">
        <v>1920</v>
      </c>
      <c r="AY736" s="34" t="s">
        <v>1923</v>
      </c>
      <c r="AZ736" s="39" t="s">
        <v>2613</v>
      </c>
      <c r="BE736" s="15">
        <v>1</v>
      </c>
    </row>
    <row r="737" spans="1:58" ht="18" customHeight="1">
      <c r="A737" s="193">
        <v>111</v>
      </c>
      <c r="B737" s="162" t="s">
        <v>2615</v>
      </c>
      <c r="C737" s="38" t="s">
        <v>2607</v>
      </c>
      <c r="D737" s="34">
        <f t="shared" si="38"/>
        <v>8.77</v>
      </c>
      <c r="E737" s="34"/>
      <c r="F737" s="34">
        <f t="shared" si="39"/>
        <v>8.77</v>
      </c>
      <c r="G737" s="34">
        <v>1.1000000000000001</v>
      </c>
      <c r="H737" s="34"/>
      <c r="I737" s="34"/>
      <c r="J737" s="34"/>
      <c r="K737" s="34">
        <v>7.1</v>
      </c>
      <c r="L737" s="34"/>
      <c r="M737" s="34">
        <v>7.1</v>
      </c>
      <c r="N737" s="34"/>
      <c r="O737" s="34"/>
      <c r="P737" s="34"/>
      <c r="Q737" s="34"/>
      <c r="R737" s="34"/>
      <c r="S737" s="34"/>
      <c r="T737" s="34"/>
      <c r="U737" s="34"/>
      <c r="V737" s="34"/>
      <c r="W737" s="34"/>
      <c r="X737" s="34"/>
      <c r="Y737" s="34"/>
      <c r="Z737" s="34"/>
      <c r="AA737" s="34"/>
      <c r="AB737" s="34"/>
      <c r="AC737" s="34"/>
      <c r="AD737" s="34"/>
      <c r="AE737" s="34"/>
      <c r="AF737" s="34"/>
      <c r="AG737" s="34">
        <f>0.23+0.25+0.09</f>
        <v>0.56999999999999995</v>
      </c>
      <c r="AH737" s="34"/>
      <c r="AI737" s="34"/>
      <c r="AJ737" s="34"/>
      <c r="AK737" s="34"/>
      <c r="AL737" s="34"/>
      <c r="AM737" s="34"/>
      <c r="AN737" s="34"/>
      <c r="AO737" s="34"/>
      <c r="AP737" s="34"/>
      <c r="AQ737" s="34"/>
      <c r="AR737" s="34"/>
      <c r="AS737" s="34"/>
      <c r="AT737" s="34" t="s">
        <v>231</v>
      </c>
      <c r="AU737" s="34" t="s">
        <v>639</v>
      </c>
      <c r="AV737" s="34"/>
      <c r="AW737" s="34"/>
      <c r="AX737" s="39" t="s">
        <v>1920</v>
      </c>
      <c r="AY737" s="34" t="s">
        <v>1923</v>
      </c>
      <c r="AZ737" s="39" t="s">
        <v>1924</v>
      </c>
      <c r="BB737" s="41"/>
      <c r="BE737" s="15">
        <v>1</v>
      </c>
    </row>
    <row r="738" spans="1:58" ht="32.1" customHeight="1">
      <c r="A738" s="193">
        <v>112</v>
      </c>
      <c r="B738" s="162" t="s">
        <v>2616</v>
      </c>
      <c r="C738" s="38" t="s">
        <v>2607</v>
      </c>
      <c r="D738" s="34">
        <f t="shared" si="38"/>
        <v>8.6</v>
      </c>
      <c r="E738" s="34"/>
      <c r="F738" s="34">
        <f t="shared" si="39"/>
        <v>8.6</v>
      </c>
      <c r="G738" s="34">
        <v>4.0999999999999996</v>
      </c>
      <c r="H738" s="34"/>
      <c r="I738" s="34">
        <v>4.5</v>
      </c>
      <c r="J738" s="34"/>
      <c r="K738" s="34"/>
      <c r="L738" s="34"/>
      <c r="M738" s="34"/>
      <c r="N738" s="34"/>
      <c r="O738" s="34"/>
      <c r="P738" s="34"/>
      <c r="Q738" s="34"/>
      <c r="R738" s="34"/>
      <c r="S738" s="34"/>
      <c r="T738" s="34"/>
      <c r="U738" s="34"/>
      <c r="V738" s="34"/>
      <c r="W738" s="34"/>
      <c r="X738" s="34"/>
      <c r="Y738" s="34"/>
      <c r="Z738" s="34"/>
      <c r="AA738" s="34"/>
      <c r="AB738" s="34"/>
      <c r="AC738" s="34"/>
      <c r="AD738" s="34"/>
      <c r="AE738" s="34"/>
      <c r="AF738" s="34"/>
      <c r="AG738" s="34"/>
      <c r="AH738" s="34"/>
      <c r="AI738" s="34"/>
      <c r="AJ738" s="34"/>
      <c r="AK738" s="34"/>
      <c r="AL738" s="34"/>
      <c r="AM738" s="34"/>
      <c r="AN738" s="34"/>
      <c r="AO738" s="34"/>
      <c r="AP738" s="34"/>
      <c r="AQ738" s="34"/>
      <c r="AR738" s="34"/>
      <c r="AS738" s="34"/>
      <c r="AT738" s="34" t="s">
        <v>2403</v>
      </c>
      <c r="AU738" s="34" t="s">
        <v>483</v>
      </c>
      <c r="AV738" s="34"/>
      <c r="AW738" s="34"/>
      <c r="AX738" s="39" t="s">
        <v>1920</v>
      </c>
      <c r="AY738" s="34" t="s">
        <v>1923</v>
      </c>
      <c r="AZ738" s="39" t="s">
        <v>1924</v>
      </c>
      <c r="BB738" s="41"/>
      <c r="BE738" s="15">
        <v>1</v>
      </c>
    </row>
    <row r="739" spans="1:58" ht="32.1" customHeight="1">
      <c r="A739" s="193">
        <v>113</v>
      </c>
      <c r="B739" s="162" t="s">
        <v>2617</v>
      </c>
      <c r="C739" s="38" t="s">
        <v>2607</v>
      </c>
      <c r="D739" s="34">
        <f>E739+F739</f>
        <v>18.899999999999999</v>
      </c>
      <c r="E739" s="34"/>
      <c r="F739" s="34">
        <f t="shared" si="39"/>
        <v>18.899999999999999</v>
      </c>
      <c r="G739" s="34">
        <v>8.1</v>
      </c>
      <c r="H739" s="34"/>
      <c r="I739" s="34">
        <v>1</v>
      </c>
      <c r="J739" s="34"/>
      <c r="K739" s="34">
        <v>5.9</v>
      </c>
      <c r="L739" s="34"/>
      <c r="M739" s="34">
        <v>5.9</v>
      </c>
      <c r="N739" s="34"/>
      <c r="O739" s="34"/>
      <c r="P739" s="34"/>
      <c r="Q739" s="34"/>
      <c r="R739" s="34"/>
      <c r="S739" s="34"/>
      <c r="T739" s="34"/>
      <c r="U739" s="34"/>
      <c r="V739" s="34"/>
      <c r="W739" s="34"/>
      <c r="X739" s="34"/>
      <c r="Y739" s="34"/>
      <c r="Z739" s="34"/>
      <c r="AA739" s="34"/>
      <c r="AB739" s="34"/>
      <c r="AC739" s="34"/>
      <c r="AD739" s="34"/>
      <c r="AE739" s="34"/>
      <c r="AF739" s="34"/>
      <c r="AG739" s="34">
        <v>3.9</v>
      </c>
      <c r="AH739" s="34"/>
      <c r="AI739" s="34"/>
      <c r="AJ739" s="34"/>
      <c r="AK739" s="34"/>
      <c r="AL739" s="34"/>
      <c r="AM739" s="34"/>
      <c r="AN739" s="34"/>
      <c r="AO739" s="34"/>
      <c r="AP739" s="34"/>
      <c r="AQ739" s="34"/>
      <c r="AR739" s="34"/>
      <c r="AS739" s="34"/>
      <c r="AT739" s="34" t="s">
        <v>232</v>
      </c>
      <c r="AU739" s="34" t="s">
        <v>615</v>
      </c>
      <c r="AV739" s="34"/>
      <c r="AW739" s="34"/>
      <c r="AX739" s="39" t="s">
        <v>1970</v>
      </c>
      <c r="AY739" s="34" t="s">
        <v>1923</v>
      </c>
      <c r="AZ739" s="39" t="s">
        <v>1924</v>
      </c>
      <c r="BB739" s="41"/>
      <c r="BE739" s="15">
        <v>1</v>
      </c>
    </row>
    <row r="740" spans="1:58" ht="32.1" customHeight="1">
      <c r="A740" s="193">
        <v>114</v>
      </c>
      <c r="B740" s="162" t="s">
        <v>2618</v>
      </c>
      <c r="C740" s="38" t="s">
        <v>2607</v>
      </c>
      <c r="D740" s="34">
        <f t="shared" si="38"/>
        <v>19.7</v>
      </c>
      <c r="E740" s="34"/>
      <c r="F740" s="34">
        <f t="shared" si="39"/>
        <v>19.7</v>
      </c>
      <c r="G740" s="34"/>
      <c r="H740" s="34"/>
      <c r="I740" s="34"/>
      <c r="J740" s="34"/>
      <c r="K740" s="34">
        <v>19.7</v>
      </c>
      <c r="L740" s="34"/>
      <c r="M740" s="34">
        <v>19.7</v>
      </c>
      <c r="N740" s="34"/>
      <c r="O740" s="34"/>
      <c r="P740" s="34"/>
      <c r="Q740" s="34"/>
      <c r="R740" s="34"/>
      <c r="S740" s="34"/>
      <c r="T740" s="34"/>
      <c r="U740" s="34"/>
      <c r="V740" s="34"/>
      <c r="W740" s="34"/>
      <c r="X740" s="34"/>
      <c r="Y740" s="34"/>
      <c r="Z740" s="34"/>
      <c r="AA740" s="34"/>
      <c r="AB740" s="34"/>
      <c r="AC740" s="34"/>
      <c r="AD740" s="34"/>
      <c r="AE740" s="34"/>
      <c r="AF740" s="34"/>
      <c r="AG740" s="34"/>
      <c r="AH740" s="34"/>
      <c r="AI740" s="34"/>
      <c r="AJ740" s="34"/>
      <c r="AK740" s="34"/>
      <c r="AL740" s="34"/>
      <c r="AM740" s="34"/>
      <c r="AN740" s="34"/>
      <c r="AO740" s="34"/>
      <c r="AP740" s="34"/>
      <c r="AQ740" s="34"/>
      <c r="AR740" s="34"/>
      <c r="AS740" s="34"/>
      <c r="AT740" s="34" t="s">
        <v>230</v>
      </c>
      <c r="AU740" s="34" t="s">
        <v>2619</v>
      </c>
      <c r="AV740" s="34"/>
      <c r="AW740" s="34"/>
      <c r="AX740" s="39" t="s">
        <v>1920</v>
      </c>
      <c r="AY740" s="34" t="s">
        <v>1923</v>
      </c>
      <c r="AZ740" s="39" t="s">
        <v>2620</v>
      </c>
      <c r="BB740" s="41"/>
      <c r="BD740" s="15">
        <v>1</v>
      </c>
    </row>
    <row r="741" spans="1:58" ht="32.1" customHeight="1">
      <c r="A741" s="193">
        <v>115</v>
      </c>
      <c r="B741" s="162" t="s">
        <v>2621</v>
      </c>
      <c r="C741" s="38" t="s">
        <v>2607</v>
      </c>
      <c r="D741" s="34">
        <f t="shared" si="38"/>
        <v>13.4</v>
      </c>
      <c r="E741" s="34"/>
      <c r="F741" s="34">
        <f t="shared" si="39"/>
        <v>13.4</v>
      </c>
      <c r="G741" s="34">
        <v>3.2</v>
      </c>
      <c r="H741" s="34"/>
      <c r="I741" s="34">
        <v>9.02</v>
      </c>
      <c r="J741" s="34">
        <v>0.33</v>
      </c>
      <c r="K741" s="34"/>
      <c r="L741" s="34"/>
      <c r="M741" s="34"/>
      <c r="N741" s="34"/>
      <c r="O741" s="34"/>
      <c r="P741" s="34"/>
      <c r="Q741" s="34"/>
      <c r="R741" s="34"/>
      <c r="S741" s="34"/>
      <c r="T741" s="34"/>
      <c r="U741" s="34"/>
      <c r="V741" s="34"/>
      <c r="W741" s="34"/>
      <c r="X741" s="34"/>
      <c r="Y741" s="34"/>
      <c r="Z741" s="34"/>
      <c r="AA741" s="34">
        <v>0.64</v>
      </c>
      <c r="AB741" s="34"/>
      <c r="AC741" s="34"/>
      <c r="AD741" s="34"/>
      <c r="AE741" s="34"/>
      <c r="AF741" s="34"/>
      <c r="AG741" s="34">
        <v>0.21</v>
      </c>
      <c r="AH741" s="34"/>
      <c r="AI741" s="34"/>
      <c r="AJ741" s="34"/>
      <c r="AK741" s="34"/>
      <c r="AL741" s="34"/>
      <c r="AM741" s="34"/>
      <c r="AN741" s="34"/>
      <c r="AO741" s="34"/>
      <c r="AP741" s="34"/>
      <c r="AQ741" s="34"/>
      <c r="AR741" s="34"/>
      <c r="AS741" s="34"/>
      <c r="AT741" s="34" t="s">
        <v>225</v>
      </c>
      <c r="AU741" s="34" t="s">
        <v>939</v>
      </c>
      <c r="AV741" s="34"/>
      <c r="AW741" s="34" t="s">
        <v>2018</v>
      </c>
      <c r="AX741" s="39" t="s">
        <v>1920</v>
      </c>
      <c r="AY741" s="34" t="s">
        <v>1973</v>
      </c>
      <c r="AZ741" s="39" t="s">
        <v>1974</v>
      </c>
      <c r="BB741" s="41"/>
      <c r="BF741" s="15">
        <v>1</v>
      </c>
    </row>
    <row r="742" spans="1:58" ht="31.5">
      <c r="A742" s="1658">
        <v>116</v>
      </c>
      <c r="B742" s="1667" t="s">
        <v>2622</v>
      </c>
      <c r="C742" s="38" t="s">
        <v>2607</v>
      </c>
      <c r="D742" s="34">
        <f t="shared" si="38"/>
        <v>3</v>
      </c>
      <c r="E742" s="34"/>
      <c r="F742" s="34">
        <f t="shared" si="39"/>
        <v>3</v>
      </c>
      <c r="G742" s="34">
        <v>1.2</v>
      </c>
      <c r="H742" s="34"/>
      <c r="I742" s="34">
        <v>1.8</v>
      </c>
      <c r="J742" s="34"/>
      <c r="K742" s="34"/>
      <c r="L742" s="34"/>
      <c r="M742" s="34"/>
      <c r="N742" s="34"/>
      <c r="O742" s="34"/>
      <c r="P742" s="34"/>
      <c r="Q742" s="34"/>
      <c r="R742" s="34"/>
      <c r="S742" s="34"/>
      <c r="T742" s="34"/>
      <c r="U742" s="34"/>
      <c r="V742" s="34"/>
      <c r="W742" s="34"/>
      <c r="X742" s="34"/>
      <c r="Y742" s="34"/>
      <c r="Z742" s="34"/>
      <c r="AA742" s="34"/>
      <c r="AB742" s="34"/>
      <c r="AC742" s="34"/>
      <c r="AD742" s="34"/>
      <c r="AE742" s="34"/>
      <c r="AF742" s="34"/>
      <c r="AG742" s="34"/>
      <c r="AH742" s="34"/>
      <c r="AI742" s="34"/>
      <c r="AJ742" s="34"/>
      <c r="AK742" s="34"/>
      <c r="AL742" s="34"/>
      <c r="AM742" s="34"/>
      <c r="AN742" s="34"/>
      <c r="AO742" s="34"/>
      <c r="AP742" s="34"/>
      <c r="AQ742" s="34"/>
      <c r="AR742" s="34"/>
      <c r="AS742" s="34"/>
      <c r="AT742" s="34" t="s">
        <v>225</v>
      </c>
      <c r="AU742" s="34" t="s">
        <v>1341</v>
      </c>
      <c r="AV742" s="34"/>
      <c r="AW742" s="34"/>
      <c r="AX742" s="39" t="s">
        <v>1920</v>
      </c>
      <c r="AY742" s="34" t="s">
        <v>1973</v>
      </c>
      <c r="AZ742" s="39" t="s">
        <v>2623</v>
      </c>
      <c r="BB742" s="41"/>
      <c r="BF742" s="15">
        <v>1</v>
      </c>
    </row>
    <row r="743" spans="1:58" ht="31.5">
      <c r="A743" s="1658"/>
      <c r="B743" s="1667"/>
      <c r="C743" s="38" t="s">
        <v>2607</v>
      </c>
      <c r="D743" s="34">
        <f t="shared" si="38"/>
        <v>0.5</v>
      </c>
      <c r="E743" s="34"/>
      <c r="F743" s="34">
        <f t="shared" si="39"/>
        <v>0.5</v>
      </c>
      <c r="G743" s="34">
        <v>0.2</v>
      </c>
      <c r="H743" s="34"/>
      <c r="I743" s="34">
        <v>0.3</v>
      </c>
      <c r="J743" s="34"/>
      <c r="K743" s="34"/>
      <c r="L743" s="34"/>
      <c r="M743" s="34"/>
      <c r="N743" s="34"/>
      <c r="O743" s="34"/>
      <c r="P743" s="34"/>
      <c r="Q743" s="34"/>
      <c r="R743" s="34"/>
      <c r="S743" s="34"/>
      <c r="T743" s="34"/>
      <c r="U743" s="34"/>
      <c r="V743" s="34"/>
      <c r="W743" s="34"/>
      <c r="X743" s="34"/>
      <c r="Y743" s="34"/>
      <c r="Z743" s="34"/>
      <c r="AA743" s="34"/>
      <c r="AB743" s="34"/>
      <c r="AC743" s="34"/>
      <c r="AD743" s="34"/>
      <c r="AE743" s="34"/>
      <c r="AF743" s="34"/>
      <c r="AG743" s="34"/>
      <c r="AH743" s="34"/>
      <c r="AI743" s="34"/>
      <c r="AJ743" s="34"/>
      <c r="AK743" s="34"/>
      <c r="AL743" s="34"/>
      <c r="AM743" s="34"/>
      <c r="AN743" s="34"/>
      <c r="AO743" s="34"/>
      <c r="AP743" s="34"/>
      <c r="AQ743" s="34"/>
      <c r="AR743" s="34"/>
      <c r="AS743" s="34"/>
      <c r="AT743" s="34" t="s">
        <v>225</v>
      </c>
      <c r="AU743" s="34" t="s">
        <v>2624</v>
      </c>
      <c r="AV743" s="34"/>
      <c r="AW743" s="34"/>
      <c r="AX743" s="39" t="s">
        <v>1920</v>
      </c>
      <c r="AY743" s="34" t="s">
        <v>1923</v>
      </c>
      <c r="AZ743" s="39" t="s">
        <v>1971</v>
      </c>
      <c r="BB743" s="41"/>
      <c r="BD743" s="15">
        <v>1</v>
      </c>
    </row>
    <row r="744" spans="1:58" ht="19.350000000000001" customHeight="1">
      <c r="A744" s="1658"/>
      <c r="B744" s="1667"/>
      <c r="C744" s="38" t="s">
        <v>2607</v>
      </c>
      <c r="D744" s="34">
        <f t="shared" si="38"/>
        <v>22.6</v>
      </c>
      <c r="E744" s="34"/>
      <c r="F744" s="34">
        <f t="shared" si="39"/>
        <v>22.6</v>
      </c>
      <c r="G744" s="34">
        <v>5.3</v>
      </c>
      <c r="H744" s="34"/>
      <c r="I744" s="34">
        <v>17.3</v>
      </c>
      <c r="J744" s="34"/>
      <c r="K744" s="34"/>
      <c r="L744" s="34"/>
      <c r="M744" s="34"/>
      <c r="N744" s="34"/>
      <c r="O744" s="34"/>
      <c r="P744" s="34"/>
      <c r="Q744" s="34"/>
      <c r="R744" s="34"/>
      <c r="S744" s="34"/>
      <c r="T744" s="34"/>
      <c r="U744" s="34"/>
      <c r="V744" s="34"/>
      <c r="W744" s="34"/>
      <c r="X744" s="34"/>
      <c r="Y744" s="34"/>
      <c r="Z744" s="34"/>
      <c r="AA744" s="34"/>
      <c r="AB744" s="34"/>
      <c r="AC744" s="34"/>
      <c r="AD744" s="34"/>
      <c r="AE744" s="34"/>
      <c r="AF744" s="34"/>
      <c r="AG744" s="34"/>
      <c r="AH744" s="34"/>
      <c r="AI744" s="34"/>
      <c r="AJ744" s="34"/>
      <c r="AK744" s="34"/>
      <c r="AL744" s="34"/>
      <c r="AM744" s="34"/>
      <c r="AN744" s="34"/>
      <c r="AO744" s="34"/>
      <c r="AP744" s="34"/>
      <c r="AQ744" s="34"/>
      <c r="AR744" s="34"/>
      <c r="AS744" s="34"/>
      <c r="AT744" s="34" t="s">
        <v>983</v>
      </c>
      <c r="AU744" s="34" t="s">
        <v>615</v>
      </c>
      <c r="AV744" s="34"/>
      <c r="AW744" s="34"/>
      <c r="AX744" s="39" t="s">
        <v>1920</v>
      </c>
      <c r="AY744" s="34" t="s">
        <v>1923</v>
      </c>
      <c r="AZ744" s="39" t="s">
        <v>1924</v>
      </c>
      <c r="BB744" s="41"/>
      <c r="BE744" s="15">
        <v>1</v>
      </c>
    </row>
    <row r="745" spans="1:58" ht="19.350000000000001" customHeight="1">
      <c r="A745" s="1658"/>
      <c r="B745" s="1667"/>
      <c r="C745" s="38" t="s">
        <v>2607</v>
      </c>
      <c r="D745" s="34">
        <f t="shared" si="38"/>
        <v>22.880000000000003</v>
      </c>
      <c r="E745" s="34"/>
      <c r="F745" s="34">
        <f t="shared" si="39"/>
        <v>22.880000000000003</v>
      </c>
      <c r="G745" s="34">
        <f>2.34+0.17</f>
        <v>2.5099999999999998</v>
      </c>
      <c r="H745" s="34"/>
      <c r="I745" s="34"/>
      <c r="J745" s="34">
        <v>0.18</v>
      </c>
      <c r="K745" s="34">
        <v>5.2</v>
      </c>
      <c r="L745" s="34"/>
      <c r="M745" s="34">
        <v>5.2</v>
      </c>
      <c r="N745" s="34"/>
      <c r="O745" s="34"/>
      <c r="P745" s="34"/>
      <c r="Q745" s="34"/>
      <c r="R745" s="34"/>
      <c r="S745" s="34"/>
      <c r="T745" s="34"/>
      <c r="U745" s="34"/>
      <c r="V745" s="34"/>
      <c r="W745" s="34"/>
      <c r="X745" s="34"/>
      <c r="Y745" s="34"/>
      <c r="Z745" s="34"/>
      <c r="AA745" s="34"/>
      <c r="AB745" s="34"/>
      <c r="AC745" s="34"/>
      <c r="AD745" s="34"/>
      <c r="AE745" s="34"/>
      <c r="AF745" s="34"/>
      <c r="AG745" s="34">
        <v>14.99</v>
      </c>
      <c r="AH745" s="34"/>
      <c r="AI745" s="34"/>
      <c r="AJ745" s="34"/>
      <c r="AK745" s="34"/>
      <c r="AL745" s="34"/>
      <c r="AM745" s="34"/>
      <c r="AN745" s="34"/>
      <c r="AO745" s="34"/>
      <c r="AP745" s="34"/>
      <c r="AQ745" s="34"/>
      <c r="AR745" s="34"/>
      <c r="AS745" s="34"/>
      <c r="AT745" s="34" t="s">
        <v>374</v>
      </c>
      <c r="AU745" s="34"/>
      <c r="AV745" s="34"/>
      <c r="AW745" s="34"/>
      <c r="AX745" s="39" t="s">
        <v>1920</v>
      </c>
      <c r="AY745" s="34" t="s">
        <v>1923</v>
      </c>
      <c r="AZ745" s="39" t="s">
        <v>1924</v>
      </c>
      <c r="BB745" s="41"/>
      <c r="BE745" s="15">
        <v>1</v>
      </c>
    </row>
    <row r="746" spans="1:58" ht="15.75" customHeight="1">
      <c r="A746" s="1658"/>
      <c r="B746" s="1667"/>
      <c r="C746" s="38"/>
      <c r="D746" s="34"/>
      <c r="E746" s="34"/>
      <c r="F746" s="34"/>
      <c r="G746" s="34"/>
      <c r="H746" s="34"/>
      <c r="I746" s="34"/>
      <c r="J746" s="34"/>
      <c r="K746" s="34"/>
      <c r="L746" s="34"/>
      <c r="M746" s="34"/>
      <c r="N746" s="34"/>
      <c r="O746" s="34"/>
      <c r="P746" s="34"/>
      <c r="Q746" s="34"/>
      <c r="R746" s="34"/>
      <c r="S746" s="34"/>
      <c r="T746" s="34"/>
      <c r="U746" s="34"/>
      <c r="V746" s="34"/>
      <c r="W746" s="34"/>
      <c r="X746" s="34"/>
      <c r="Y746" s="34"/>
      <c r="Z746" s="34"/>
      <c r="AA746" s="34"/>
      <c r="AB746" s="34"/>
      <c r="AC746" s="34"/>
      <c r="AD746" s="34"/>
      <c r="AE746" s="34"/>
      <c r="AF746" s="34"/>
      <c r="AG746" s="34"/>
      <c r="AH746" s="34"/>
      <c r="AI746" s="34"/>
      <c r="AJ746" s="34"/>
      <c r="AK746" s="34"/>
      <c r="AL746" s="34"/>
      <c r="AM746" s="34"/>
      <c r="AN746" s="34"/>
      <c r="AO746" s="34"/>
      <c r="AP746" s="34"/>
      <c r="AQ746" s="34"/>
      <c r="AR746" s="34"/>
      <c r="AS746" s="34"/>
      <c r="AT746" s="34" t="s">
        <v>239</v>
      </c>
      <c r="AU746" s="34"/>
      <c r="AV746" s="34"/>
      <c r="AW746" s="34"/>
      <c r="AX746" s="39"/>
      <c r="AY746" s="34" t="s">
        <v>1923</v>
      </c>
      <c r="AZ746" s="39" t="s">
        <v>1924</v>
      </c>
      <c r="BB746" s="41"/>
    </row>
    <row r="747" spans="1:58" ht="32.1" customHeight="1">
      <c r="A747" s="193">
        <v>117</v>
      </c>
      <c r="B747" s="33" t="s">
        <v>2625</v>
      </c>
      <c r="C747" s="78" t="s">
        <v>2607</v>
      </c>
      <c r="D747" s="34">
        <f t="shared" si="38"/>
        <v>226.20699999999999</v>
      </c>
      <c r="E747" s="34"/>
      <c r="F747" s="34">
        <f>SUM(F748:F768)</f>
        <v>226.20699999999999</v>
      </c>
      <c r="G747" s="34"/>
      <c r="H747" s="34"/>
      <c r="I747" s="34"/>
      <c r="J747" s="34"/>
      <c r="K747" s="34"/>
      <c r="L747" s="34"/>
      <c r="M747" s="34"/>
      <c r="N747" s="34"/>
      <c r="O747" s="34"/>
      <c r="P747" s="34"/>
      <c r="Q747" s="34"/>
      <c r="R747" s="34"/>
      <c r="S747" s="34"/>
      <c r="T747" s="34"/>
      <c r="U747" s="34"/>
      <c r="V747" s="34"/>
      <c r="W747" s="34"/>
      <c r="X747" s="34"/>
      <c r="Y747" s="34"/>
      <c r="Z747" s="34"/>
      <c r="AA747" s="34"/>
      <c r="AB747" s="34"/>
      <c r="AC747" s="34"/>
      <c r="AD747" s="34"/>
      <c r="AE747" s="34"/>
      <c r="AF747" s="34"/>
      <c r="AG747" s="34"/>
      <c r="AH747" s="34"/>
      <c r="AI747" s="34"/>
      <c r="AJ747" s="34"/>
      <c r="AK747" s="34"/>
      <c r="AL747" s="34"/>
      <c r="AM747" s="34"/>
      <c r="AN747" s="34"/>
      <c r="AO747" s="34"/>
      <c r="AP747" s="34"/>
      <c r="AQ747" s="34"/>
      <c r="AR747" s="34"/>
      <c r="AS747" s="34"/>
      <c r="AT747" s="34"/>
      <c r="AU747" s="34"/>
      <c r="AV747" s="34"/>
      <c r="AW747" s="148"/>
      <c r="AX747" s="63"/>
      <c r="AY747" s="34" t="s">
        <v>1917</v>
      </c>
      <c r="AZ747" s="63" t="s">
        <v>1924</v>
      </c>
      <c r="BB747" s="41"/>
      <c r="BF747" s="15">
        <v>1</v>
      </c>
    </row>
    <row r="748" spans="1:58" ht="15.75" hidden="1" customHeight="1">
      <c r="A748" s="193"/>
      <c r="B748" s="33" t="s">
        <v>221</v>
      </c>
      <c r="C748" s="38" t="s">
        <v>2607</v>
      </c>
      <c r="D748" s="103">
        <f t="shared" si="38"/>
        <v>4.2759999999999998</v>
      </c>
      <c r="E748" s="103"/>
      <c r="F748" s="103">
        <f t="shared" ref="F748:F768" si="40">SUM(G748:K748,O748:AR748)</f>
        <v>4.2759999999999998</v>
      </c>
      <c r="G748" s="34">
        <v>3.0859999999999999</v>
      </c>
      <c r="H748" s="34">
        <v>0.13</v>
      </c>
      <c r="I748" s="34">
        <v>7.0000000000000007E-2</v>
      </c>
      <c r="J748" s="34">
        <v>0.99</v>
      </c>
      <c r="K748" s="34"/>
      <c r="L748" s="34"/>
      <c r="M748" s="34"/>
      <c r="N748" s="34"/>
      <c r="O748" s="34"/>
      <c r="P748" s="34"/>
      <c r="Q748" s="34"/>
      <c r="R748" s="34"/>
      <c r="S748" s="34"/>
      <c r="T748" s="34"/>
      <c r="U748" s="34"/>
      <c r="V748" s="34"/>
      <c r="W748" s="34"/>
      <c r="X748" s="34"/>
      <c r="Y748" s="34"/>
      <c r="Z748" s="34"/>
      <c r="AA748" s="34"/>
      <c r="AB748" s="34"/>
      <c r="AC748" s="34"/>
      <c r="AD748" s="34"/>
      <c r="AE748" s="34"/>
      <c r="AF748" s="34"/>
      <c r="AG748" s="34"/>
      <c r="AH748" s="34"/>
      <c r="AI748" s="34"/>
      <c r="AJ748" s="34"/>
      <c r="AK748" s="34"/>
      <c r="AL748" s="34"/>
      <c r="AM748" s="34"/>
      <c r="AN748" s="34"/>
      <c r="AO748" s="34"/>
      <c r="AP748" s="34"/>
      <c r="AQ748" s="34"/>
      <c r="AR748" s="34"/>
      <c r="AS748" s="34"/>
      <c r="AT748" s="34" t="s">
        <v>221</v>
      </c>
      <c r="AU748" s="34" t="s">
        <v>615</v>
      </c>
      <c r="AV748" s="34"/>
      <c r="AW748" s="148"/>
      <c r="AX748" s="63" t="s">
        <v>1970</v>
      </c>
      <c r="AY748" s="148" t="s">
        <v>1923</v>
      </c>
      <c r="AZ748" s="63" t="s">
        <v>1924</v>
      </c>
      <c r="BB748" s="41"/>
    </row>
    <row r="749" spans="1:58" ht="15.75" hidden="1" customHeight="1">
      <c r="A749" s="193"/>
      <c r="B749" s="56" t="s">
        <v>222</v>
      </c>
      <c r="C749" s="38" t="s">
        <v>2607</v>
      </c>
      <c r="D749" s="103">
        <f t="shared" si="38"/>
        <v>1.77</v>
      </c>
      <c r="E749" s="103"/>
      <c r="F749" s="103">
        <f t="shared" si="40"/>
        <v>1.77</v>
      </c>
      <c r="G749" s="34">
        <v>0.1</v>
      </c>
      <c r="H749" s="34">
        <v>1.06</v>
      </c>
      <c r="I749" s="34">
        <v>0.05</v>
      </c>
      <c r="J749" s="34">
        <v>0.16</v>
      </c>
      <c r="K749" s="34">
        <v>0.4</v>
      </c>
      <c r="L749" s="34"/>
      <c r="M749" s="34">
        <v>0.4</v>
      </c>
      <c r="N749" s="34"/>
      <c r="O749" s="34"/>
      <c r="P749" s="34"/>
      <c r="Q749" s="34"/>
      <c r="R749" s="34"/>
      <c r="S749" s="34"/>
      <c r="T749" s="34"/>
      <c r="U749" s="34"/>
      <c r="V749" s="34"/>
      <c r="W749" s="34"/>
      <c r="X749" s="34"/>
      <c r="Y749" s="34"/>
      <c r="Z749" s="34"/>
      <c r="AA749" s="34"/>
      <c r="AB749" s="34"/>
      <c r="AC749" s="34"/>
      <c r="AD749" s="34"/>
      <c r="AE749" s="34"/>
      <c r="AF749" s="34"/>
      <c r="AG749" s="34"/>
      <c r="AH749" s="34"/>
      <c r="AI749" s="34"/>
      <c r="AJ749" s="34"/>
      <c r="AK749" s="34"/>
      <c r="AL749" s="34"/>
      <c r="AM749" s="34"/>
      <c r="AN749" s="34"/>
      <c r="AO749" s="34"/>
      <c r="AP749" s="34"/>
      <c r="AQ749" s="34"/>
      <c r="AR749" s="34"/>
      <c r="AS749" s="34"/>
      <c r="AT749" s="148" t="s">
        <v>222</v>
      </c>
      <c r="AU749" s="34" t="s">
        <v>615</v>
      </c>
      <c r="AV749" s="34"/>
      <c r="AW749" s="34"/>
      <c r="AX749" s="63" t="s">
        <v>1970</v>
      </c>
      <c r="AY749" s="34" t="s">
        <v>1923</v>
      </c>
      <c r="AZ749" s="63" t="s">
        <v>1924</v>
      </c>
      <c r="BB749" s="41"/>
    </row>
    <row r="750" spans="1:58" ht="15.75" hidden="1" customHeight="1">
      <c r="A750" s="193"/>
      <c r="B750" s="88" t="s">
        <v>223</v>
      </c>
      <c r="C750" s="38" t="s">
        <v>2607</v>
      </c>
      <c r="D750" s="103">
        <f t="shared" si="38"/>
        <v>4.4799999999999995</v>
      </c>
      <c r="E750" s="103"/>
      <c r="F750" s="103">
        <f t="shared" si="40"/>
        <v>4.4799999999999995</v>
      </c>
      <c r="G750" s="34">
        <v>1.48</v>
      </c>
      <c r="H750" s="34">
        <v>2</v>
      </c>
      <c r="I750" s="34"/>
      <c r="J750" s="34">
        <v>0.4</v>
      </c>
      <c r="K750" s="34">
        <v>0.6</v>
      </c>
      <c r="L750" s="34"/>
      <c r="M750" s="34">
        <v>0.6</v>
      </c>
      <c r="N750" s="34"/>
      <c r="O750" s="34"/>
      <c r="P750" s="34"/>
      <c r="Q750" s="34"/>
      <c r="R750" s="34"/>
      <c r="S750" s="34"/>
      <c r="T750" s="34"/>
      <c r="U750" s="34"/>
      <c r="V750" s="34"/>
      <c r="W750" s="34"/>
      <c r="X750" s="34"/>
      <c r="Y750" s="34"/>
      <c r="Z750" s="34"/>
      <c r="AA750" s="34"/>
      <c r="AB750" s="34"/>
      <c r="AC750" s="34"/>
      <c r="AD750" s="34"/>
      <c r="AE750" s="34"/>
      <c r="AF750" s="34"/>
      <c r="AG750" s="34"/>
      <c r="AH750" s="34"/>
      <c r="AI750" s="34"/>
      <c r="AJ750" s="34"/>
      <c r="AK750" s="34"/>
      <c r="AL750" s="34"/>
      <c r="AM750" s="34"/>
      <c r="AN750" s="34"/>
      <c r="AO750" s="34"/>
      <c r="AP750" s="34"/>
      <c r="AQ750" s="34"/>
      <c r="AR750" s="34"/>
      <c r="AS750" s="34"/>
      <c r="AT750" s="34" t="s">
        <v>223</v>
      </c>
      <c r="AU750" s="148" t="s">
        <v>615</v>
      </c>
      <c r="AV750" s="140"/>
      <c r="AW750" s="140"/>
      <c r="AX750" s="63" t="s">
        <v>1970</v>
      </c>
      <c r="AY750" s="140" t="s">
        <v>1923</v>
      </c>
      <c r="AZ750" s="63" t="s">
        <v>1924</v>
      </c>
      <c r="BB750" s="41"/>
    </row>
    <row r="751" spans="1:58" ht="15.75" hidden="1" customHeight="1">
      <c r="A751" s="193"/>
      <c r="B751" s="158" t="s">
        <v>224</v>
      </c>
      <c r="C751" s="38" t="s">
        <v>2607</v>
      </c>
      <c r="D751" s="103">
        <f t="shared" si="38"/>
        <v>3.9</v>
      </c>
      <c r="E751" s="103"/>
      <c r="F751" s="103">
        <f t="shared" si="40"/>
        <v>3.9</v>
      </c>
      <c r="G751" s="34">
        <v>1.78</v>
      </c>
      <c r="H751" s="34"/>
      <c r="I751" s="34">
        <v>1.69</v>
      </c>
      <c r="J751" s="34"/>
      <c r="K751" s="34">
        <v>0.2</v>
      </c>
      <c r="L751" s="34"/>
      <c r="M751" s="34">
        <v>0.2</v>
      </c>
      <c r="N751" s="34"/>
      <c r="O751" s="34"/>
      <c r="P751" s="34">
        <v>0.23</v>
      </c>
      <c r="Q751" s="34"/>
      <c r="R751" s="34"/>
      <c r="S751" s="34"/>
      <c r="T751" s="34"/>
      <c r="U751" s="34"/>
      <c r="V751" s="34"/>
      <c r="W751" s="34"/>
      <c r="X751" s="34"/>
      <c r="Y751" s="34"/>
      <c r="Z751" s="34"/>
      <c r="AA751" s="34"/>
      <c r="AB751" s="34"/>
      <c r="AC751" s="34"/>
      <c r="AD751" s="34"/>
      <c r="AE751" s="34"/>
      <c r="AF751" s="34"/>
      <c r="AG751" s="34"/>
      <c r="AH751" s="34"/>
      <c r="AI751" s="34"/>
      <c r="AJ751" s="34"/>
      <c r="AK751" s="34"/>
      <c r="AL751" s="34"/>
      <c r="AM751" s="34"/>
      <c r="AN751" s="34"/>
      <c r="AO751" s="34"/>
      <c r="AP751" s="34"/>
      <c r="AQ751" s="34"/>
      <c r="AR751" s="34"/>
      <c r="AS751" s="34"/>
      <c r="AT751" s="34" t="s">
        <v>224</v>
      </c>
      <c r="AU751" s="34" t="s">
        <v>615</v>
      </c>
      <c r="AV751" s="34"/>
      <c r="AW751" s="34"/>
      <c r="AX751" s="63" t="s">
        <v>1970</v>
      </c>
      <c r="AY751" s="34" t="s">
        <v>1923</v>
      </c>
      <c r="AZ751" s="63" t="s">
        <v>1924</v>
      </c>
    </row>
    <row r="752" spans="1:58" ht="15.75" hidden="1" customHeight="1">
      <c r="A752" s="193"/>
      <c r="B752" s="56" t="s">
        <v>225</v>
      </c>
      <c r="C752" s="38" t="s">
        <v>2607</v>
      </c>
      <c r="D752" s="103">
        <f t="shared" si="38"/>
        <v>14.16</v>
      </c>
      <c r="E752" s="103"/>
      <c r="F752" s="103">
        <f>13.26+0.9</f>
        <v>14.16</v>
      </c>
      <c r="G752" s="34">
        <v>4.93</v>
      </c>
      <c r="H752" s="34">
        <v>1.99</v>
      </c>
      <c r="I752" s="34">
        <v>4.1399999999999997</v>
      </c>
      <c r="J752" s="34">
        <f>1.07+0.92</f>
        <v>1.9900000000000002</v>
      </c>
      <c r="K752" s="34">
        <v>0.95</v>
      </c>
      <c r="L752" s="34"/>
      <c r="M752" s="34">
        <v>0.95</v>
      </c>
      <c r="N752" s="34"/>
      <c r="O752" s="34"/>
      <c r="P752" s="34"/>
      <c r="Q752" s="34"/>
      <c r="R752" s="34"/>
      <c r="S752" s="34"/>
      <c r="T752" s="34"/>
      <c r="U752" s="34"/>
      <c r="V752" s="34"/>
      <c r="W752" s="34"/>
      <c r="X752" s="34"/>
      <c r="Y752" s="34"/>
      <c r="Z752" s="34"/>
      <c r="AA752" s="34">
        <v>0.15</v>
      </c>
      <c r="AB752" s="34">
        <v>0.03</v>
      </c>
      <c r="AC752" s="34"/>
      <c r="AD752" s="34"/>
      <c r="AE752" s="34"/>
      <c r="AF752" s="34"/>
      <c r="AG752" s="34"/>
      <c r="AH752" s="34"/>
      <c r="AI752" s="34"/>
      <c r="AJ752" s="34"/>
      <c r="AK752" s="34"/>
      <c r="AL752" s="34"/>
      <c r="AM752" s="34"/>
      <c r="AN752" s="34"/>
      <c r="AO752" s="34"/>
      <c r="AP752" s="34"/>
      <c r="AQ752" s="34"/>
      <c r="AR752" s="34"/>
      <c r="AS752" s="34"/>
      <c r="AT752" s="34" t="s">
        <v>225</v>
      </c>
      <c r="AU752" s="34" t="s">
        <v>615</v>
      </c>
      <c r="AV752" s="34"/>
      <c r="AW752" s="34"/>
      <c r="AX752" s="63" t="s">
        <v>1970</v>
      </c>
      <c r="AY752" s="34" t="s">
        <v>1973</v>
      </c>
      <c r="AZ752" s="63" t="s">
        <v>1924</v>
      </c>
      <c r="BB752" s="41"/>
    </row>
    <row r="753" spans="1:56" ht="15.75" hidden="1" customHeight="1">
      <c r="A753" s="193"/>
      <c r="B753" s="56" t="s">
        <v>226</v>
      </c>
      <c r="C753" s="38" t="s">
        <v>2607</v>
      </c>
      <c r="D753" s="103">
        <f t="shared" si="38"/>
        <v>6.64</v>
      </c>
      <c r="E753" s="103"/>
      <c r="F753" s="103">
        <f t="shared" si="40"/>
        <v>6.64</v>
      </c>
      <c r="G753" s="34">
        <v>1.6100000000000003</v>
      </c>
      <c r="H753" s="34">
        <v>2.92</v>
      </c>
      <c r="I753" s="34">
        <v>0.67</v>
      </c>
      <c r="J753" s="34">
        <v>0.26</v>
      </c>
      <c r="K753" s="34">
        <v>1.18</v>
      </c>
      <c r="L753" s="34">
        <v>0</v>
      </c>
      <c r="M753" s="34">
        <v>1.18</v>
      </c>
      <c r="N753" s="34">
        <v>0</v>
      </c>
      <c r="O753" s="34">
        <v>0</v>
      </c>
      <c r="P753" s="34">
        <v>0</v>
      </c>
      <c r="Q753" s="34">
        <v>0</v>
      </c>
      <c r="R753" s="34">
        <v>0</v>
      </c>
      <c r="S753" s="34">
        <v>0</v>
      </c>
      <c r="T753" s="34">
        <v>0</v>
      </c>
      <c r="U753" s="34">
        <v>0</v>
      </c>
      <c r="V753" s="34">
        <v>0</v>
      </c>
      <c r="W753" s="34">
        <v>0</v>
      </c>
      <c r="X753" s="34">
        <v>0</v>
      </c>
      <c r="Y753" s="34">
        <v>0</v>
      </c>
      <c r="Z753" s="34">
        <v>0</v>
      </c>
      <c r="AA753" s="34">
        <v>0</v>
      </c>
      <c r="AB753" s="34">
        <v>0</v>
      </c>
      <c r="AC753" s="34">
        <v>0</v>
      </c>
      <c r="AD753" s="34">
        <v>0</v>
      </c>
      <c r="AE753" s="34">
        <v>0</v>
      </c>
      <c r="AF753" s="34">
        <v>0</v>
      </c>
      <c r="AG753" s="34">
        <v>0</v>
      </c>
      <c r="AH753" s="34">
        <v>0</v>
      </c>
      <c r="AI753" s="34">
        <v>0</v>
      </c>
      <c r="AJ753" s="34">
        <v>0</v>
      </c>
      <c r="AK753" s="34">
        <v>0</v>
      </c>
      <c r="AL753" s="34">
        <v>0</v>
      </c>
      <c r="AM753" s="34">
        <v>0</v>
      </c>
      <c r="AN753" s="34">
        <v>0</v>
      </c>
      <c r="AO753" s="34">
        <v>0</v>
      </c>
      <c r="AP753" s="34">
        <v>0</v>
      </c>
      <c r="AQ753" s="34">
        <v>0</v>
      </c>
      <c r="AR753" s="34">
        <v>0</v>
      </c>
      <c r="AS753" s="34">
        <v>0</v>
      </c>
      <c r="AT753" s="148" t="s">
        <v>983</v>
      </c>
      <c r="AU753" s="34" t="s">
        <v>615</v>
      </c>
      <c r="AV753" s="34"/>
      <c r="AW753" s="34"/>
      <c r="AX753" s="63" t="s">
        <v>1920</v>
      </c>
      <c r="AY753" s="34" t="s">
        <v>1923</v>
      </c>
      <c r="AZ753" s="63" t="s">
        <v>1924</v>
      </c>
    </row>
    <row r="754" spans="1:56" ht="15.75" hidden="1" customHeight="1">
      <c r="A754" s="193"/>
      <c r="B754" s="88" t="s">
        <v>227</v>
      </c>
      <c r="C754" s="38" t="s">
        <v>2607</v>
      </c>
      <c r="D754" s="103">
        <f t="shared" si="38"/>
        <v>6.6499999999999986</v>
      </c>
      <c r="E754" s="103"/>
      <c r="F754" s="103">
        <f t="shared" si="40"/>
        <v>6.6499999999999986</v>
      </c>
      <c r="G754" s="34">
        <v>0.74</v>
      </c>
      <c r="H754" s="34">
        <v>1.89</v>
      </c>
      <c r="I754" s="34">
        <v>1.63</v>
      </c>
      <c r="J754" s="34">
        <v>0.92999999999999994</v>
      </c>
      <c r="K754" s="34">
        <v>1.1399999999999999</v>
      </c>
      <c r="L754" s="34">
        <v>0</v>
      </c>
      <c r="M754" s="34">
        <v>1.1399999999999999</v>
      </c>
      <c r="N754" s="34">
        <v>0</v>
      </c>
      <c r="O754" s="34">
        <v>0</v>
      </c>
      <c r="P754" s="34">
        <v>0.18</v>
      </c>
      <c r="Q754" s="34">
        <v>0</v>
      </c>
      <c r="R754" s="34">
        <v>0</v>
      </c>
      <c r="S754" s="34">
        <v>0</v>
      </c>
      <c r="T754" s="34">
        <v>0</v>
      </c>
      <c r="U754" s="34">
        <v>0</v>
      </c>
      <c r="V754" s="34">
        <v>0</v>
      </c>
      <c r="W754" s="34">
        <v>0</v>
      </c>
      <c r="X754" s="34">
        <v>0</v>
      </c>
      <c r="Y754" s="34">
        <v>0</v>
      </c>
      <c r="Z754" s="34">
        <v>0</v>
      </c>
      <c r="AA754" s="34">
        <v>0</v>
      </c>
      <c r="AB754" s="34">
        <v>0.14000000000000001</v>
      </c>
      <c r="AC754" s="34"/>
      <c r="AD754" s="34"/>
      <c r="AE754" s="34"/>
      <c r="AF754" s="34"/>
      <c r="AG754" s="34"/>
      <c r="AH754" s="34"/>
      <c r="AI754" s="34"/>
      <c r="AJ754" s="34"/>
      <c r="AK754" s="34"/>
      <c r="AL754" s="34"/>
      <c r="AM754" s="34"/>
      <c r="AN754" s="34"/>
      <c r="AO754" s="34"/>
      <c r="AP754" s="34"/>
      <c r="AQ754" s="34"/>
      <c r="AR754" s="34"/>
      <c r="AS754" s="34"/>
      <c r="AT754" s="34" t="s">
        <v>227</v>
      </c>
      <c r="AU754" s="148" t="s">
        <v>615</v>
      </c>
      <c r="AV754" s="140"/>
      <c r="AW754" s="34"/>
      <c r="AX754" s="63" t="s">
        <v>1970</v>
      </c>
      <c r="AY754" s="34" t="s">
        <v>1923</v>
      </c>
      <c r="AZ754" s="63" t="s">
        <v>1924</v>
      </c>
      <c r="BB754" s="41"/>
    </row>
    <row r="755" spans="1:56" ht="15.75" hidden="1" customHeight="1">
      <c r="A755" s="193"/>
      <c r="B755" s="88" t="s">
        <v>228</v>
      </c>
      <c r="C755" s="38" t="s">
        <v>2607</v>
      </c>
      <c r="D755" s="103">
        <f t="shared" si="38"/>
        <v>11.74</v>
      </c>
      <c r="E755" s="103"/>
      <c r="F755" s="103">
        <f>10.48+1.06+0.2</f>
        <v>11.74</v>
      </c>
      <c r="G755" s="34">
        <f>3.82+0.5</f>
        <v>4.32</v>
      </c>
      <c r="H755" s="34">
        <v>2.1</v>
      </c>
      <c r="I755" s="34">
        <f>0.93+0.15</f>
        <v>1.08</v>
      </c>
      <c r="J755" s="34">
        <v>2.58</v>
      </c>
      <c r="K755" s="34">
        <f>0.65+0.36</f>
        <v>1.01</v>
      </c>
      <c r="L755" s="34">
        <v>0</v>
      </c>
      <c r="M755" s="34">
        <v>0.64999999999999991</v>
      </c>
      <c r="N755" s="34">
        <v>0</v>
      </c>
      <c r="O755" s="34">
        <v>0</v>
      </c>
      <c r="P755" s="34">
        <v>0.4</v>
      </c>
      <c r="Q755" s="34"/>
      <c r="R755" s="34"/>
      <c r="S755" s="34"/>
      <c r="T755" s="34"/>
      <c r="U755" s="34"/>
      <c r="V755" s="34"/>
      <c r="W755" s="34"/>
      <c r="X755" s="34"/>
      <c r="Y755" s="34"/>
      <c r="Z755" s="34"/>
      <c r="AA755" s="34"/>
      <c r="AB755" s="34"/>
      <c r="AC755" s="34"/>
      <c r="AD755" s="34"/>
      <c r="AE755" s="34"/>
      <c r="AF755" s="34"/>
      <c r="AG755" s="34"/>
      <c r="AH755" s="34"/>
      <c r="AI755" s="34"/>
      <c r="AJ755" s="34"/>
      <c r="AK755" s="34"/>
      <c r="AL755" s="34"/>
      <c r="AM755" s="34"/>
      <c r="AN755" s="34"/>
      <c r="AO755" s="34"/>
      <c r="AP755" s="34"/>
      <c r="AQ755" s="34"/>
      <c r="AR755" s="34"/>
      <c r="AS755" s="34"/>
      <c r="AT755" s="34" t="s">
        <v>487</v>
      </c>
      <c r="AU755" s="34" t="s">
        <v>615</v>
      </c>
      <c r="AV755" s="140"/>
      <c r="AW755" s="140"/>
      <c r="AX755" s="63" t="s">
        <v>1970</v>
      </c>
      <c r="AY755" s="140" t="s">
        <v>1923</v>
      </c>
      <c r="AZ755" s="63" t="s">
        <v>1924</v>
      </c>
      <c r="BB755" s="41"/>
    </row>
    <row r="756" spans="1:56" ht="15.75" hidden="1" customHeight="1">
      <c r="A756" s="193"/>
      <c r="B756" s="158" t="s">
        <v>229</v>
      </c>
      <c r="C756" s="38" t="s">
        <v>2607</v>
      </c>
      <c r="D756" s="103">
        <f t="shared" si="38"/>
        <v>8.98</v>
      </c>
      <c r="E756" s="103"/>
      <c r="F756" s="103">
        <f t="shared" si="40"/>
        <v>8.98</v>
      </c>
      <c r="G756" s="34">
        <v>3.0700000000000003</v>
      </c>
      <c r="H756" s="34">
        <v>1.76</v>
      </c>
      <c r="I756" s="34">
        <v>0.55000000000000004</v>
      </c>
      <c r="J756" s="34">
        <v>0.44999999999999996</v>
      </c>
      <c r="K756" s="34">
        <v>2.95</v>
      </c>
      <c r="L756" s="34">
        <v>0</v>
      </c>
      <c r="M756" s="34">
        <v>2.95</v>
      </c>
      <c r="N756" s="34">
        <v>0</v>
      </c>
      <c r="O756" s="34">
        <v>0</v>
      </c>
      <c r="P756" s="34">
        <v>0.12</v>
      </c>
      <c r="Q756" s="34">
        <v>0</v>
      </c>
      <c r="R756" s="34">
        <v>0</v>
      </c>
      <c r="S756" s="34">
        <v>0</v>
      </c>
      <c r="T756" s="34">
        <v>0</v>
      </c>
      <c r="U756" s="34">
        <v>0</v>
      </c>
      <c r="V756" s="34">
        <v>0</v>
      </c>
      <c r="W756" s="34">
        <v>0</v>
      </c>
      <c r="X756" s="34">
        <v>0</v>
      </c>
      <c r="Y756" s="34">
        <v>0</v>
      </c>
      <c r="Z756" s="34">
        <v>0</v>
      </c>
      <c r="AA756" s="34">
        <v>0</v>
      </c>
      <c r="AB756" s="34">
        <v>0</v>
      </c>
      <c r="AC756" s="34">
        <v>0</v>
      </c>
      <c r="AD756" s="34">
        <v>0</v>
      </c>
      <c r="AE756" s="34">
        <v>0</v>
      </c>
      <c r="AF756" s="34">
        <v>0</v>
      </c>
      <c r="AG756" s="34">
        <v>0</v>
      </c>
      <c r="AH756" s="34">
        <v>0</v>
      </c>
      <c r="AI756" s="34">
        <v>0</v>
      </c>
      <c r="AJ756" s="34">
        <v>0</v>
      </c>
      <c r="AK756" s="34">
        <v>0</v>
      </c>
      <c r="AL756" s="34">
        <v>0</v>
      </c>
      <c r="AM756" s="34">
        <v>0</v>
      </c>
      <c r="AN756" s="34">
        <v>0.08</v>
      </c>
      <c r="AO756" s="34"/>
      <c r="AP756" s="34"/>
      <c r="AQ756" s="34"/>
      <c r="AR756" s="34"/>
      <c r="AS756" s="34"/>
      <c r="AT756" s="34" t="s">
        <v>229</v>
      </c>
      <c r="AU756" s="34" t="s">
        <v>615</v>
      </c>
      <c r="AV756" s="34"/>
      <c r="AW756" s="34"/>
      <c r="AX756" s="63" t="s">
        <v>1970</v>
      </c>
      <c r="AY756" s="34" t="s">
        <v>1923</v>
      </c>
      <c r="AZ756" s="63" t="s">
        <v>1924</v>
      </c>
      <c r="BB756" s="41"/>
      <c r="BD756" s="58"/>
    </row>
    <row r="757" spans="1:56" ht="15.75" hidden="1" customHeight="1">
      <c r="A757" s="193"/>
      <c r="B757" s="56" t="s">
        <v>230</v>
      </c>
      <c r="C757" s="38" t="s">
        <v>2607</v>
      </c>
      <c r="D757" s="103">
        <f t="shared" si="38"/>
        <v>9.6010000000000026</v>
      </c>
      <c r="E757" s="103"/>
      <c r="F757" s="103">
        <f t="shared" si="40"/>
        <v>9.6010000000000026</v>
      </c>
      <c r="G757" s="34">
        <v>5.03</v>
      </c>
      <c r="H757" s="34">
        <v>2.5299999999999998</v>
      </c>
      <c r="I757" s="34">
        <v>0.42100000000000004</v>
      </c>
      <c r="J757" s="34">
        <v>0</v>
      </c>
      <c r="K757" s="34">
        <v>1.43</v>
      </c>
      <c r="L757" s="34">
        <v>0</v>
      </c>
      <c r="M757" s="34">
        <v>1.43</v>
      </c>
      <c r="N757" s="34">
        <v>0</v>
      </c>
      <c r="O757" s="34">
        <v>0</v>
      </c>
      <c r="P757" s="34">
        <v>0</v>
      </c>
      <c r="Q757" s="34">
        <v>0</v>
      </c>
      <c r="R757" s="34">
        <v>0</v>
      </c>
      <c r="S757" s="34">
        <v>0</v>
      </c>
      <c r="T757" s="34">
        <v>0</v>
      </c>
      <c r="U757" s="34">
        <v>0</v>
      </c>
      <c r="V757" s="34">
        <v>0</v>
      </c>
      <c r="W757" s="34">
        <v>0</v>
      </c>
      <c r="X757" s="34">
        <v>0</v>
      </c>
      <c r="Y757" s="34">
        <v>0</v>
      </c>
      <c r="Z757" s="34">
        <v>0</v>
      </c>
      <c r="AA757" s="34">
        <v>0</v>
      </c>
      <c r="AB757" s="34">
        <v>0.05</v>
      </c>
      <c r="AC757" s="34">
        <v>0</v>
      </c>
      <c r="AD757" s="34">
        <v>0</v>
      </c>
      <c r="AE757" s="34">
        <v>0</v>
      </c>
      <c r="AF757" s="34">
        <v>0</v>
      </c>
      <c r="AG757" s="34">
        <v>0</v>
      </c>
      <c r="AH757" s="34">
        <v>0</v>
      </c>
      <c r="AI757" s="34">
        <v>0</v>
      </c>
      <c r="AJ757" s="34">
        <v>0</v>
      </c>
      <c r="AK757" s="34">
        <v>0</v>
      </c>
      <c r="AL757" s="34">
        <v>0</v>
      </c>
      <c r="AM757" s="34">
        <v>0</v>
      </c>
      <c r="AN757" s="34">
        <v>0</v>
      </c>
      <c r="AO757" s="34">
        <v>0</v>
      </c>
      <c r="AP757" s="34">
        <v>0</v>
      </c>
      <c r="AQ757" s="34">
        <v>0</v>
      </c>
      <c r="AR757" s="34">
        <v>0.14000000000000001</v>
      </c>
      <c r="AS757" s="34">
        <v>0</v>
      </c>
      <c r="AT757" s="34" t="s">
        <v>230</v>
      </c>
      <c r="AU757" s="34" t="s">
        <v>615</v>
      </c>
      <c r="AV757" s="34"/>
      <c r="AW757" s="34"/>
      <c r="AX757" s="63" t="s">
        <v>1970</v>
      </c>
      <c r="AY757" s="34" t="s">
        <v>1917</v>
      </c>
      <c r="AZ757" s="63" t="s">
        <v>1924</v>
      </c>
      <c r="BB757" s="41"/>
    </row>
    <row r="758" spans="1:56" ht="15.75" hidden="1" customHeight="1">
      <c r="A758" s="193"/>
      <c r="B758" s="243" t="s">
        <v>231</v>
      </c>
      <c r="C758" s="38" t="s">
        <v>2607</v>
      </c>
      <c r="D758" s="103">
        <f t="shared" si="38"/>
        <v>16.29</v>
      </c>
      <c r="E758" s="103"/>
      <c r="F758" s="103">
        <f>16.14+0.15</f>
        <v>16.29</v>
      </c>
      <c r="G758" s="34">
        <v>9.0899999999999981</v>
      </c>
      <c r="H758" s="34">
        <v>3.48</v>
      </c>
      <c r="I758" s="34">
        <v>0.89</v>
      </c>
      <c r="J758" s="34">
        <f>0.99+0.15</f>
        <v>1.1399999999999999</v>
      </c>
      <c r="K758" s="34">
        <v>1</v>
      </c>
      <c r="L758" s="34">
        <v>0</v>
      </c>
      <c r="M758" s="34">
        <v>1</v>
      </c>
      <c r="N758" s="34">
        <v>0</v>
      </c>
      <c r="O758" s="34">
        <v>0</v>
      </c>
      <c r="P758" s="34">
        <v>0.45800000000000002</v>
      </c>
      <c r="Q758" s="34">
        <v>0</v>
      </c>
      <c r="R758" s="34">
        <v>0</v>
      </c>
      <c r="S758" s="34">
        <v>0</v>
      </c>
      <c r="T758" s="34">
        <v>0</v>
      </c>
      <c r="U758" s="34">
        <v>0</v>
      </c>
      <c r="V758" s="34">
        <v>0</v>
      </c>
      <c r="W758" s="34">
        <v>0</v>
      </c>
      <c r="X758" s="34">
        <v>0</v>
      </c>
      <c r="Y758" s="34">
        <v>0</v>
      </c>
      <c r="Z758" s="34">
        <v>0</v>
      </c>
      <c r="AA758" s="34">
        <v>0.17</v>
      </c>
      <c r="AB758" s="34">
        <v>0.06</v>
      </c>
      <c r="AC758" s="34">
        <v>0</v>
      </c>
      <c r="AD758" s="34">
        <v>0</v>
      </c>
      <c r="AE758" s="34">
        <v>0</v>
      </c>
      <c r="AF758" s="34">
        <v>0</v>
      </c>
      <c r="AG758" s="34">
        <v>0</v>
      </c>
      <c r="AH758" s="34">
        <v>0</v>
      </c>
      <c r="AI758" s="34">
        <v>0</v>
      </c>
      <c r="AJ758" s="34">
        <v>0</v>
      </c>
      <c r="AK758" s="34">
        <v>0</v>
      </c>
      <c r="AL758" s="34">
        <v>0</v>
      </c>
      <c r="AM758" s="34">
        <v>0</v>
      </c>
      <c r="AN758" s="34">
        <v>0</v>
      </c>
      <c r="AO758" s="34">
        <v>0</v>
      </c>
      <c r="AP758" s="34">
        <v>0</v>
      </c>
      <c r="AQ758" s="34">
        <v>0</v>
      </c>
      <c r="AR758" s="34">
        <v>0</v>
      </c>
      <c r="AS758" s="34">
        <v>0</v>
      </c>
      <c r="AT758" s="34" t="s">
        <v>231</v>
      </c>
      <c r="AU758" s="34" t="s">
        <v>615</v>
      </c>
      <c r="AV758" s="140"/>
      <c r="AW758" s="140"/>
      <c r="AX758" s="63" t="s">
        <v>1970</v>
      </c>
      <c r="AY758" s="140" t="s">
        <v>1923</v>
      </c>
      <c r="AZ758" s="63" t="s">
        <v>1924</v>
      </c>
      <c r="BB758" s="41"/>
      <c r="BC758" s="41"/>
    </row>
    <row r="759" spans="1:56" ht="15.75" hidden="1" customHeight="1">
      <c r="A759" s="193"/>
      <c r="B759" s="158" t="s">
        <v>232</v>
      </c>
      <c r="C759" s="38" t="s">
        <v>2607</v>
      </c>
      <c r="D759" s="103">
        <f t="shared" si="38"/>
        <v>14.93</v>
      </c>
      <c r="E759" s="103"/>
      <c r="F759" s="103">
        <f t="shared" si="40"/>
        <v>14.93</v>
      </c>
      <c r="G759" s="34">
        <v>4.6899999999999995</v>
      </c>
      <c r="H759" s="34">
        <v>0.13</v>
      </c>
      <c r="I759" s="34">
        <v>1.03</v>
      </c>
      <c r="J759" s="34">
        <v>0</v>
      </c>
      <c r="K759" s="34">
        <v>8.84</v>
      </c>
      <c r="L759" s="34">
        <v>0</v>
      </c>
      <c r="M759" s="34">
        <v>8.84</v>
      </c>
      <c r="N759" s="34">
        <v>0</v>
      </c>
      <c r="O759" s="34">
        <v>0</v>
      </c>
      <c r="P759" s="34">
        <v>0.24</v>
      </c>
      <c r="Q759" s="34"/>
      <c r="R759" s="34"/>
      <c r="S759" s="34"/>
      <c r="T759" s="34"/>
      <c r="U759" s="34"/>
      <c r="V759" s="34"/>
      <c r="W759" s="34"/>
      <c r="X759" s="34"/>
      <c r="Y759" s="34"/>
      <c r="Z759" s="34"/>
      <c r="AA759" s="34"/>
      <c r="AB759" s="34"/>
      <c r="AC759" s="34"/>
      <c r="AD759" s="34"/>
      <c r="AE759" s="34"/>
      <c r="AF759" s="34"/>
      <c r="AG759" s="34"/>
      <c r="AH759" s="34"/>
      <c r="AI759" s="34"/>
      <c r="AJ759" s="34"/>
      <c r="AK759" s="34"/>
      <c r="AL759" s="34"/>
      <c r="AM759" s="34"/>
      <c r="AN759" s="34"/>
      <c r="AO759" s="34"/>
      <c r="AP759" s="34"/>
      <c r="AQ759" s="34"/>
      <c r="AR759" s="34"/>
      <c r="AS759" s="34"/>
      <c r="AT759" s="34" t="s">
        <v>232</v>
      </c>
      <c r="AU759" s="34" t="s">
        <v>615</v>
      </c>
      <c r="AV759" s="34"/>
      <c r="AW759" s="34"/>
      <c r="AX759" s="63" t="s">
        <v>1970</v>
      </c>
      <c r="AY759" s="34" t="s">
        <v>1923</v>
      </c>
      <c r="AZ759" s="63" t="s">
        <v>1926</v>
      </c>
      <c r="BB759" s="41"/>
    </row>
    <row r="760" spans="1:56" ht="15.75" hidden="1" customHeight="1">
      <c r="A760" s="193"/>
      <c r="B760" s="33" t="s">
        <v>233</v>
      </c>
      <c r="C760" s="38" t="s">
        <v>2607</v>
      </c>
      <c r="D760" s="103">
        <f t="shared" si="38"/>
        <v>21.62</v>
      </c>
      <c r="E760" s="103"/>
      <c r="F760" s="103">
        <f t="shared" si="40"/>
        <v>21.62</v>
      </c>
      <c r="G760" s="34">
        <f>17.28-3.1</f>
        <v>14.180000000000001</v>
      </c>
      <c r="H760" s="34">
        <v>0.52</v>
      </c>
      <c r="I760" s="34">
        <v>2.8</v>
      </c>
      <c r="J760" s="34">
        <v>0.37000000000000005</v>
      </c>
      <c r="K760" s="34">
        <v>3.2899999999999996</v>
      </c>
      <c r="L760" s="34">
        <v>0</v>
      </c>
      <c r="M760" s="34">
        <v>3.2899999999999996</v>
      </c>
      <c r="N760" s="34">
        <v>0</v>
      </c>
      <c r="O760" s="34">
        <v>0</v>
      </c>
      <c r="P760" s="34">
        <v>0.39</v>
      </c>
      <c r="Q760" s="34">
        <v>0</v>
      </c>
      <c r="R760" s="34">
        <v>0</v>
      </c>
      <c r="S760" s="34">
        <v>0</v>
      </c>
      <c r="T760" s="34">
        <v>0</v>
      </c>
      <c r="U760" s="34">
        <v>0</v>
      </c>
      <c r="V760" s="34">
        <v>0</v>
      </c>
      <c r="W760" s="34">
        <v>0</v>
      </c>
      <c r="X760" s="34">
        <v>0</v>
      </c>
      <c r="Y760" s="34">
        <v>0</v>
      </c>
      <c r="Z760" s="34">
        <v>0</v>
      </c>
      <c r="AA760" s="34">
        <v>0</v>
      </c>
      <c r="AB760" s="34">
        <v>0</v>
      </c>
      <c r="AC760" s="34">
        <v>0</v>
      </c>
      <c r="AD760" s="34">
        <v>0</v>
      </c>
      <c r="AE760" s="34">
        <v>0</v>
      </c>
      <c r="AF760" s="34">
        <v>0</v>
      </c>
      <c r="AG760" s="34">
        <v>0</v>
      </c>
      <c r="AH760" s="34">
        <v>0</v>
      </c>
      <c r="AI760" s="34">
        <v>0</v>
      </c>
      <c r="AJ760" s="34">
        <v>0</v>
      </c>
      <c r="AK760" s="34">
        <v>0</v>
      </c>
      <c r="AL760" s="34">
        <v>0</v>
      </c>
      <c r="AM760" s="34">
        <v>0</v>
      </c>
      <c r="AN760" s="34">
        <v>0</v>
      </c>
      <c r="AO760" s="34">
        <v>0</v>
      </c>
      <c r="AP760" s="34">
        <v>0</v>
      </c>
      <c r="AQ760" s="34">
        <v>0</v>
      </c>
      <c r="AR760" s="34">
        <v>7.0000000000000007E-2</v>
      </c>
      <c r="AS760" s="34">
        <v>0</v>
      </c>
      <c r="AT760" s="34" t="s">
        <v>233</v>
      </c>
      <c r="AU760" s="34" t="s">
        <v>615</v>
      </c>
      <c r="AV760" s="140"/>
      <c r="AW760" s="140"/>
      <c r="AX760" s="63" t="s">
        <v>1970</v>
      </c>
      <c r="AY760" s="140" t="s">
        <v>1923</v>
      </c>
      <c r="AZ760" s="63" t="s">
        <v>1926</v>
      </c>
      <c r="BB760" s="41"/>
      <c r="BC760" s="41"/>
    </row>
    <row r="761" spans="1:56" ht="15.75" hidden="1" customHeight="1">
      <c r="A761" s="193"/>
      <c r="B761" s="33" t="s">
        <v>234</v>
      </c>
      <c r="C761" s="38" t="s">
        <v>2607</v>
      </c>
      <c r="D761" s="103">
        <f t="shared" si="38"/>
        <v>3.0200000000000005</v>
      </c>
      <c r="E761" s="103"/>
      <c r="F761" s="103">
        <f t="shared" si="40"/>
        <v>3.0200000000000005</v>
      </c>
      <c r="G761" s="34">
        <v>2.5600000000000005</v>
      </c>
      <c r="H761" s="34">
        <v>0</v>
      </c>
      <c r="I761" s="34">
        <v>0.25</v>
      </c>
      <c r="J761" s="34">
        <v>0.21000000000000002</v>
      </c>
      <c r="K761" s="34"/>
      <c r="L761" s="34"/>
      <c r="M761" s="34"/>
      <c r="N761" s="34"/>
      <c r="O761" s="34"/>
      <c r="P761" s="34"/>
      <c r="Q761" s="34"/>
      <c r="R761" s="34"/>
      <c r="S761" s="34"/>
      <c r="T761" s="34"/>
      <c r="U761" s="34"/>
      <c r="V761" s="34"/>
      <c r="W761" s="34"/>
      <c r="X761" s="34"/>
      <c r="Y761" s="34"/>
      <c r="Z761" s="34"/>
      <c r="AA761" s="34"/>
      <c r="AB761" s="34"/>
      <c r="AC761" s="34"/>
      <c r="AD761" s="34"/>
      <c r="AE761" s="34"/>
      <c r="AF761" s="34"/>
      <c r="AG761" s="34"/>
      <c r="AH761" s="34"/>
      <c r="AI761" s="34"/>
      <c r="AJ761" s="34"/>
      <c r="AK761" s="34"/>
      <c r="AL761" s="34"/>
      <c r="AM761" s="34"/>
      <c r="AN761" s="34"/>
      <c r="AO761" s="34"/>
      <c r="AP761" s="34"/>
      <c r="AQ761" s="34"/>
      <c r="AR761" s="34"/>
      <c r="AS761" s="34"/>
      <c r="AT761" s="38" t="s">
        <v>234</v>
      </c>
      <c r="AU761" s="34" t="s">
        <v>615</v>
      </c>
      <c r="AV761" s="34"/>
      <c r="AW761" s="34"/>
      <c r="AX761" s="63" t="s">
        <v>1970</v>
      </c>
      <c r="AY761" s="34" t="s">
        <v>1923</v>
      </c>
      <c r="AZ761" s="63" t="s">
        <v>1924</v>
      </c>
      <c r="BB761" s="41"/>
    </row>
    <row r="762" spans="1:56" ht="15.75" hidden="1" customHeight="1">
      <c r="A762" s="193"/>
      <c r="B762" s="33" t="s">
        <v>235</v>
      </c>
      <c r="C762" s="38" t="s">
        <v>2607</v>
      </c>
      <c r="D762" s="103">
        <f t="shared" si="38"/>
        <v>16.14</v>
      </c>
      <c r="E762" s="103"/>
      <c r="F762" s="103">
        <f t="shared" si="40"/>
        <v>16.14</v>
      </c>
      <c r="G762" s="34">
        <v>8.09</v>
      </c>
      <c r="H762" s="34">
        <v>1.23</v>
      </c>
      <c r="I762" s="34">
        <v>1.21</v>
      </c>
      <c r="J762" s="34">
        <v>4.3499999999999996</v>
      </c>
      <c r="K762" s="34">
        <v>0</v>
      </c>
      <c r="L762" s="34">
        <v>0</v>
      </c>
      <c r="M762" s="34">
        <v>0</v>
      </c>
      <c r="N762" s="34">
        <v>0</v>
      </c>
      <c r="O762" s="34">
        <v>0</v>
      </c>
      <c r="P762" s="34">
        <v>0.46</v>
      </c>
      <c r="Q762" s="34">
        <v>0</v>
      </c>
      <c r="R762" s="34">
        <v>0</v>
      </c>
      <c r="S762" s="34">
        <v>0</v>
      </c>
      <c r="T762" s="34">
        <v>0</v>
      </c>
      <c r="U762" s="34">
        <v>0</v>
      </c>
      <c r="V762" s="34">
        <v>0</v>
      </c>
      <c r="W762" s="34">
        <v>0</v>
      </c>
      <c r="X762" s="34">
        <v>0</v>
      </c>
      <c r="Y762" s="34">
        <v>0</v>
      </c>
      <c r="Z762" s="34">
        <v>0</v>
      </c>
      <c r="AA762" s="34">
        <v>0.1</v>
      </c>
      <c r="AB762" s="34">
        <v>0.43000000000000005</v>
      </c>
      <c r="AC762" s="34">
        <v>0</v>
      </c>
      <c r="AD762" s="34">
        <v>0</v>
      </c>
      <c r="AE762" s="34">
        <v>0</v>
      </c>
      <c r="AF762" s="34">
        <v>0</v>
      </c>
      <c r="AG762" s="34">
        <v>0</v>
      </c>
      <c r="AH762" s="34">
        <v>0</v>
      </c>
      <c r="AI762" s="34">
        <v>0</v>
      </c>
      <c r="AJ762" s="34">
        <v>0</v>
      </c>
      <c r="AK762" s="34">
        <v>0</v>
      </c>
      <c r="AL762" s="34">
        <v>0</v>
      </c>
      <c r="AM762" s="34">
        <v>0</v>
      </c>
      <c r="AN762" s="34">
        <v>0</v>
      </c>
      <c r="AO762" s="34">
        <v>0</v>
      </c>
      <c r="AP762" s="34">
        <v>0</v>
      </c>
      <c r="AQ762" s="34">
        <v>0.27</v>
      </c>
      <c r="AR762" s="34">
        <v>0</v>
      </c>
      <c r="AS762" s="34">
        <v>0.06</v>
      </c>
      <c r="AT762" s="34" t="s">
        <v>235</v>
      </c>
      <c r="AU762" s="38" t="s">
        <v>615</v>
      </c>
      <c r="AV762" s="38"/>
      <c r="AW762" s="38"/>
      <c r="AX762" s="63" t="s">
        <v>1970</v>
      </c>
      <c r="AY762" s="38" t="s">
        <v>1923</v>
      </c>
      <c r="AZ762" s="63" t="s">
        <v>2613</v>
      </c>
      <c r="BB762" s="41"/>
    </row>
    <row r="763" spans="1:56" ht="15.75" hidden="1" customHeight="1">
      <c r="A763" s="193"/>
      <c r="B763" s="56" t="s">
        <v>236</v>
      </c>
      <c r="C763" s="38" t="s">
        <v>2607</v>
      </c>
      <c r="D763" s="103">
        <f t="shared" si="38"/>
        <v>21.44</v>
      </c>
      <c r="E763" s="103"/>
      <c r="F763" s="103">
        <f>20.44+1</f>
        <v>21.44</v>
      </c>
      <c r="G763" s="34">
        <v>2.29</v>
      </c>
      <c r="H763" s="34">
        <v>0</v>
      </c>
      <c r="I763" s="34">
        <v>0.05</v>
      </c>
      <c r="J763" s="34">
        <f>3.1+1</f>
        <v>4.0999999999999996</v>
      </c>
      <c r="K763" s="34">
        <v>14.1</v>
      </c>
      <c r="L763" s="34">
        <v>0</v>
      </c>
      <c r="M763" s="34">
        <v>14.1</v>
      </c>
      <c r="N763" s="34">
        <v>0</v>
      </c>
      <c r="O763" s="34">
        <v>0</v>
      </c>
      <c r="P763" s="34">
        <v>0.9</v>
      </c>
      <c r="Q763" s="34"/>
      <c r="R763" s="34"/>
      <c r="S763" s="34"/>
      <c r="T763" s="34"/>
      <c r="U763" s="34"/>
      <c r="V763" s="34"/>
      <c r="W763" s="34"/>
      <c r="X763" s="34"/>
      <c r="Y763" s="34"/>
      <c r="Z763" s="34"/>
      <c r="AA763" s="34"/>
      <c r="AB763" s="34"/>
      <c r="AC763" s="34"/>
      <c r="AD763" s="34"/>
      <c r="AE763" s="34"/>
      <c r="AF763" s="34"/>
      <c r="AG763" s="34"/>
      <c r="AH763" s="34"/>
      <c r="AI763" s="34"/>
      <c r="AJ763" s="34"/>
      <c r="AK763" s="34"/>
      <c r="AL763" s="34"/>
      <c r="AM763" s="34"/>
      <c r="AN763" s="34"/>
      <c r="AO763" s="34"/>
      <c r="AP763" s="34"/>
      <c r="AQ763" s="34"/>
      <c r="AR763" s="34"/>
      <c r="AS763" s="34"/>
      <c r="AT763" s="34" t="s">
        <v>429</v>
      </c>
      <c r="AU763" s="34" t="s">
        <v>615</v>
      </c>
      <c r="AV763" s="34"/>
      <c r="AW763" s="34"/>
      <c r="AX763" s="63" t="s">
        <v>1970</v>
      </c>
      <c r="AY763" s="34" t="s">
        <v>1923</v>
      </c>
      <c r="AZ763" s="63" t="s">
        <v>1924</v>
      </c>
      <c r="BB763" s="41"/>
    </row>
    <row r="764" spans="1:56" ht="15.75" hidden="1" customHeight="1">
      <c r="A764" s="193"/>
      <c r="B764" s="56" t="s">
        <v>237</v>
      </c>
      <c r="C764" s="38" t="s">
        <v>2607</v>
      </c>
      <c r="D764" s="103">
        <f t="shared" si="38"/>
        <v>15.82</v>
      </c>
      <c r="E764" s="103"/>
      <c r="F764" s="103">
        <f t="shared" si="40"/>
        <v>15.82</v>
      </c>
      <c r="G764" s="34">
        <v>7.01</v>
      </c>
      <c r="H764" s="34">
        <v>0</v>
      </c>
      <c r="I764" s="34">
        <v>2.6300000000000003</v>
      </c>
      <c r="J764" s="34">
        <v>1.01</v>
      </c>
      <c r="K764" s="34">
        <v>5.07</v>
      </c>
      <c r="L764" s="34">
        <v>0</v>
      </c>
      <c r="M764" s="34">
        <v>5.07</v>
      </c>
      <c r="N764" s="34">
        <v>0</v>
      </c>
      <c r="O764" s="34">
        <v>0</v>
      </c>
      <c r="P764" s="34">
        <v>0.1</v>
      </c>
      <c r="Q764" s="34"/>
      <c r="R764" s="34"/>
      <c r="S764" s="34"/>
      <c r="T764" s="34"/>
      <c r="U764" s="34"/>
      <c r="V764" s="34"/>
      <c r="W764" s="34"/>
      <c r="X764" s="34"/>
      <c r="Y764" s="34"/>
      <c r="Z764" s="34"/>
      <c r="AA764" s="34"/>
      <c r="AB764" s="34"/>
      <c r="AC764" s="34"/>
      <c r="AD764" s="34"/>
      <c r="AE764" s="34"/>
      <c r="AF764" s="34"/>
      <c r="AG764" s="34"/>
      <c r="AH764" s="34"/>
      <c r="AI764" s="34"/>
      <c r="AJ764" s="34"/>
      <c r="AK764" s="34"/>
      <c r="AL764" s="34"/>
      <c r="AM764" s="34"/>
      <c r="AN764" s="34"/>
      <c r="AO764" s="34"/>
      <c r="AP764" s="34"/>
      <c r="AQ764" s="34"/>
      <c r="AR764" s="34"/>
      <c r="AS764" s="34"/>
      <c r="AT764" s="34" t="s">
        <v>237</v>
      </c>
      <c r="AU764" s="34" t="s">
        <v>615</v>
      </c>
      <c r="AV764" s="34"/>
      <c r="AW764" s="34"/>
      <c r="AX764" s="63" t="s">
        <v>1970</v>
      </c>
      <c r="AY764" s="34" t="s">
        <v>1973</v>
      </c>
      <c r="AZ764" s="63" t="s">
        <v>1924</v>
      </c>
      <c r="BB764" s="41"/>
    </row>
    <row r="765" spans="1:56" ht="15.75" hidden="1" customHeight="1">
      <c r="A765" s="193"/>
      <c r="B765" s="88" t="s">
        <v>238</v>
      </c>
      <c r="C765" s="38" t="s">
        <v>2607</v>
      </c>
      <c r="D765" s="103">
        <f t="shared" si="38"/>
        <v>10.940000000000001</v>
      </c>
      <c r="E765" s="103"/>
      <c r="F765" s="103">
        <f>SUM(G765:K765,O765:AR765)+0.66</f>
        <v>10.940000000000001</v>
      </c>
      <c r="G765" s="34">
        <v>3.930000000000001</v>
      </c>
      <c r="H765" s="34">
        <v>3.27</v>
      </c>
      <c r="I765" s="34">
        <v>0.5</v>
      </c>
      <c r="J765" s="34">
        <v>0.84</v>
      </c>
      <c r="K765" s="34">
        <v>1.74</v>
      </c>
      <c r="L765" s="34">
        <v>0</v>
      </c>
      <c r="M765" s="34">
        <v>1.74</v>
      </c>
      <c r="N765" s="34">
        <v>0</v>
      </c>
      <c r="O765" s="34">
        <v>0</v>
      </c>
      <c r="P765" s="34">
        <v>0</v>
      </c>
      <c r="Q765" s="34">
        <v>0</v>
      </c>
      <c r="R765" s="34">
        <v>0</v>
      </c>
      <c r="S765" s="34">
        <v>0</v>
      </c>
      <c r="T765" s="34">
        <v>0</v>
      </c>
      <c r="U765" s="34">
        <v>0</v>
      </c>
      <c r="V765" s="34">
        <v>0</v>
      </c>
      <c r="W765" s="34">
        <v>0</v>
      </c>
      <c r="X765" s="34">
        <v>0</v>
      </c>
      <c r="Y765" s="34">
        <v>0</v>
      </c>
      <c r="Z765" s="34">
        <v>0</v>
      </c>
      <c r="AA765" s="34">
        <v>0</v>
      </c>
      <c r="AB765" s="34">
        <v>0</v>
      </c>
      <c r="AC765" s="34">
        <v>0</v>
      </c>
      <c r="AD765" s="34">
        <v>0</v>
      </c>
      <c r="AE765" s="34">
        <v>0</v>
      </c>
      <c r="AF765" s="34">
        <v>0</v>
      </c>
      <c r="AG765" s="34">
        <v>0</v>
      </c>
      <c r="AH765" s="34">
        <v>0</v>
      </c>
      <c r="AI765" s="34">
        <v>0</v>
      </c>
      <c r="AJ765" s="34">
        <v>0</v>
      </c>
      <c r="AK765" s="34">
        <v>0</v>
      </c>
      <c r="AL765" s="34">
        <v>0</v>
      </c>
      <c r="AM765" s="34">
        <v>0</v>
      </c>
      <c r="AN765" s="34">
        <v>0</v>
      </c>
      <c r="AO765" s="34">
        <v>0</v>
      </c>
      <c r="AP765" s="34">
        <v>0</v>
      </c>
      <c r="AQ765" s="34">
        <v>0</v>
      </c>
      <c r="AR765" s="34">
        <v>0</v>
      </c>
      <c r="AS765" s="34">
        <v>0</v>
      </c>
      <c r="AT765" s="34" t="s">
        <v>238</v>
      </c>
      <c r="AU765" s="34" t="s">
        <v>615</v>
      </c>
      <c r="AV765" s="140"/>
      <c r="AW765" s="140"/>
      <c r="AX765" s="63" t="s">
        <v>1970</v>
      </c>
      <c r="AY765" s="140" t="s">
        <v>1923</v>
      </c>
      <c r="AZ765" s="63" t="s">
        <v>1924</v>
      </c>
      <c r="BB765" s="41"/>
    </row>
    <row r="766" spans="1:56" ht="15.75" hidden="1" customHeight="1">
      <c r="A766" s="193"/>
      <c r="B766" s="158" t="s">
        <v>239</v>
      </c>
      <c r="C766" s="38" t="s">
        <v>2607</v>
      </c>
      <c r="D766" s="103">
        <f t="shared" si="38"/>
        <v>8.68</v>
      </c>
      <c r="E766" s="103"/>
      <c r="F766" s="103">
        <f>8.94-0.26</f>
        <v>8.68</v>
      </c>
      <c r="G766" s="34">
        <f>1.1+1+1</f>
        <v>3.1</v>
      </c>
      <c r="H766" s="34">
        <v>0.34</v>
      </c>
      <c r="I766" s="34">
        <f>6.87+0.4</f>
        <v>7.2700000000000005</v>
      </c>
      <c r="J766" s="34">
        <v>0.3</v>
      </c>
      <c r="K766" s="34">
        <f>SUM(L766:N766)</f>
        <v>1</v>
      </c>
      <c r="L766" s="34">
        <v>0</v>
      </c>
      <c r="M766" s="34">
        <f>0.5+0.5</f>
        <v>1</v>
      </c>
      <c r="N766" s="34">
        <v>0</v>
      </c>
      <c r="O766" s="34">
        <v>0</v>
      </c>
      <c r="P766" s="34">
        <v>0.2</v>
      </c>
      <c r="Q766" s="34">
        <v>0</v>
      </c>
      <c r="R766" s="34">
        <v>0</v>
      </c>
      <c r="S766" s="34">
        <v>0</v>
      </c>
      <c r="T766" s="34">
        <v>0</v>
      </c>
      <c r="U766" s="34">
        <v>0</v>
      </c>
      <c r="V766" s="34">
        <v>0</v>
      </c>
      <c r="W766" s="34">
        <v>0</v>
      </c>
      <c r="X766" s="34">
        <v>0</v>
      </c>
      <c r="Y766" s="34">
        <v>0.09</v>
      </c>
      <c r="Z766" s="34">
        <v>0</v>
      </c>
      <c r="AA766" s="34">
        <v>0</v>
      </c>
      <c r="AB766" s="34">
        <v>0</v>
      </c>
      <c r="AC766" s="34">
        <v>0</v>
      </c>
      <c r="AD766" s="34">
        <v>0</v>
      </c>
      <c r="AE766" s="34">
        <v>0.18</v>
      </c>
      <c r="AF766" s="34"/>
      <c r="AG766" s="34"/>
      <c r="AH766" s="34"/>
      <c r="AI766" s="34"/>
      <c r="AJ766" s="34"/>
      <c r="AK766" s="34"/>
      <c r="AL766" s="34"/>
      <c r="AM766" s="34"/>
      <c r="AN766" s="34"/>
      <c r="AO766" s="34"/>
      <c r="AP766" s="34"/>
      <c r="AQ766" s="34"/>
      <c r="AR766" s="34"/>
      <c r="AS766" s="34"/>
      <c r="AT766" s="34" t="s">
        <v>239</v>
      </c>
      <c r="AU766" s="34" t="s">
        <v>615</v>
      </c>
      <c r="AV766" s="140"/>
      <c r="AW766" s="140"/>
      <c r="AX766" s="63" t="s">
        <v>1970</v>
      </c>
      <c r="AY766" s="140" t="s">
        <v>1923</v>
      </c>
      <c r="AZ766" s="63" t="s">
        <v>1924</v>
      </c>
      <c r="BB766" s="41"/>
    </row>
    <row r="767" spans="1:56" ht="15.75" hidden="1" customHeight="1">
      <c r="A767" s="193"/>
      <c r="B767" s="158" t="s">
        <v>240</v>
      </c>
      <c r="C767" s="38" t="s">
        <v>2607</v>
      </c>
      <c r="D767" s="103">
        <f t="shared" si="38"/>
        <v>6.65</v>
      </c>
      <c r="E767" s="103"/>
      <c r="F767" s="103">
        <f t="shared" si="40"/>
        <v>6.65</v>
      </c>
      <c r="G767" s="34">
        <v>3.5400000000000005</v>
      </c>
      <c r="H767" s="34">
        <v>0.52</v>
      </c>
      <c r="I767" s="34">
        <v>1.9410000000000001</v>
      </c>
      <c r="J767" s="34">
        <v>0.51900000000000002</v>
      </c>
      <c r="K767" s="34">
        <v>0</v>
      </c>
      <c r="L767" s="34">
        <v>0</v>
      </c>
      <c r="M767" s="34">
        <v>0</v>
      </c>
      <c r="N767" s="34">
        <v>0</v>
      </c>
      <c r="O767" s="34">
        <v>0</v>
      </c>
      <c r="P767" s="34">
        <v>0</v>
      </c>
      <c r="Q767" s="34">
        <v>0</v>
      </c>
      <c r="R767" s="34">
        <v>0</v>
      </c>
      <c r="S767" s="34">
        <v>0</v>
      </c>
      <c r="T767" s="34">
        <v>0</v>
      </c>
      <c r="U767" s="34">
        <v>0</v>
      </c>
      <c r="V767" s="34">
        <v>0</v>
      </c>
      <c r="W767" s="34">
        <v>0</v>
      </c>
      <c r="X767" s="34">
        <v>0</v>
      </c>
      <c r="Y767" s="34">
        <v>0</v>
      </c>
      <c r="Z767" s="34">
        <v>0</v>
      </c>
      <c r="AA767" s="34">
        <v>0</v>
      </c>
      <c r="AB767" s="34">
        <v>0</v>
      </c>
      <c r="AC767" s="34">
        <v>0</v>
      </c>
      <c r="AD767" s="34">
        <v>0</v>
      </c>
      <c r="AE767" s="34">
        <v>0</v>
      </c>
      <c r="AF767" s="34">
        <v>0</v>
      </c>
      <c r="AG767" s="34">
        <v>0</v>
      </c>
      <c r="AH767" s="34">
        <v>0</v>
      </c>
      <c r="AI767" s="34">
        <v>0.13</v>
      </c>
      <c r="AJ767" s="34">
        <v>0</v>
      </c>
      <c r="AK767" s="34">
        <v>0</v>
      </c>
      <c r="AL767" s="34">
        <v>0</v>
      </c>
      <c r="AM767" s="34">
        <v>0</v>
      </c>
      <c r="AN767" s="34">
        <v>0</v>
      </c>
      <c r="AO767" s="34">
        <v>0</v>
      </c>
      <c r="AP767" s="34">
        <v>0</v>
      </c>
      <c r="AQ767" s="34">
        <v>0</v>
      </c>
      <c r="AR767" s="34">
        <v>0</v>
      </c>
      <c r="AS767" s="34">
        <v>0</v>
      </c>
      <c r="AT767" s="34" t="s">
        <v>240</v>
      </c>
      <c r="AU767" s="34" t="s">
        <v>615</v>
      </c>
      <c r="AV767" s="34"/>
      <c r="AW767" s="34"/>
      <c r="AX767" s="63" t="s">
        <v>1970</v>
      </c>
      <c r="AY767" s="34" t="s">
        <v>1923</v>
      </c>
      <c r="AZ767" s="63" t="s">
        <v>1924</v>
      </c>
      <c r="BB767" s="41"/>
    </row>
    <row r="768" spans="1:56" ht="15.75" hidden="1" customHeight="1">
      <c r="A768" s="193"/>
      <c r="B768" s="56" t="s">
        <v>241</v>
      </c>
      <c r="C768" s="38" t="s">
        <v>2607</v>
      </c>
      <c r="D768" s="103">
        <f t="shared" si="38"/>
        <v>18.48</v>
      </c>
      <c r="E768" s="103"/>
      <c r="F768" s="103">
        <f t="shared" si="40"/>
        <v>18.48</v>
      </c>
      <c r="G768" s="34">
        <v>2.12</v>
      </c>
      <c r="H768" s="34">
        <v>0</v>
      </c>
      <c r="I768" s="34">
        <v>1.46</v>
      </c>
      <c r="J768" s="34">
        <v>1.91</v>
      </c>
      <c r="K768" s="34">
        <v>10.73</v>
      </c>
      <c r="L768" s="34">
        <v>0</v>
      </c>
      <c r="M768" s="34">
        <v>10.73</v>
      </c>
      <c r="N768" s="34">
        <v>0</v>
      </c>
      <c r="O768" s="34">
        <v>0</v>
      </c>
      <c r="P768" s="34">
        <v>0.35</v>
      </c>
      <c r="Q768" s="34">
        <v>0</v>
      </c>
      <c r="R768" s="34">
        <v>0</v>
      </c>
      <c r="S768" s="34">
        <v>0</v>
      </c>
      <c r="T768" s="34">
        <v>0</v>
      </c>
      <c r="U768" s="34">
        <v>0</v>
      </c>
      <c r="V768" s="34">
        <v>0</v>
      </c>
      <c r="W768" s="34">
        <v>0</v>
      </c>
      <c r="X768" s="34">
        <v>1.8</v>
      </c>
      <c r="Y768" s="34">
        <v>0</v>
      </c>
      <c r="Z768" s="34">
        <v>0</v>
      </c>
      <c r="AA768" s="34">
        <v>0</v>
      </c>
      <c r="AB768" s="34">
        <v>0.11</v>
      </c>
      <c r="AC768" s="34">
        <v>0</v>
      </c>
      <c r="AD768" s="34">
        <v>0</v>
      </c>
      <c r="AE768" s="34">
        <v>0</v>
      </c>
      <c r="AF768" s="34"/>
      <c r="AG768" s="34"/>
      <c r="AH768" s="34"/>
      <c r="AI768" s="34"/>
      <c r="AJ768" s="34"/>
      <c r="AK768" s="34"/>
      <c r="AL768" s="34"/>
      <c r="AM768" s="34"/>
      <c r="AN768" s="34"/>
      <c r="AO768" s="34"/>
      <c r="AP768" s="34"/>
      <c r="AQ768" s="34"/>
      <c r="AR768" s="34"/>
      <c r="AS768" s="34"/>
      <c r="AT768" s="34" t="s">
        <v>241</v>
      </c>
      <c r="AU768" s="34" t="s">
        <v>615</v>
      </c>
      <c r="AV768" s="34"/>
      <c r="AW768" s="34"/>
      <c r="AX768" s="63" t="s">
        <v>1970</v>
      </c>
      <c r="AY768" s="34" t="s">
        <v>1917</v>
      </c>
      <c r="AZ768" s="63" t="s">
        <v>1924</v>
      </c>
      <c r="BB768" s="41"/>
    </row>
    <row r="769" spans="1:58" s="97" customFormat="1" ht="21" customHeight="1">
      <c r="A769" s="244" t="s">
        <v>1290</v>
      </c>
      <c r="B769" s="245" t="s">
        <v>2626</v>
      </c>
      <c r="C769" s="246"/>
      <c r="D769" s="103"/>
      <c r="E769" s="103"/>
      <c r="F769" s="103"/>
      <c r="G769" s="34"/>
      <c r="H769" s="34"/>
      <c r="I769" s="34"/>
      <c r="J769" s="34"/>
      <c r="K769" s="34"/>
      <c r="L769" s="34"/>
      <c r="M769" s="34"/>
      <c r="N769" s="34"/>
      <c r="O769" s="34"/>
      <c r="P769" s="34"/>
      <c r="Q769" s="34"/>
      <c r="R769" s="34"/>
      <c r="S769" s="34"/>
      <c r="T769" s="34"/>
      <c r="U769" s="34"/>
      <c r="V769" s="34"/>
      <c r="W769" s="34"/>
      <c r="X769" s="34"/>
      <c r="Y769" s="34"/>
      <c r="Z769" s="34"/>
      <c r="AA769" s="34"/>
      <c r="AB769" s="34"/>
      <c r="AC769" s="34"/>
      <c r="AD769" s="34"/>
      <c r="AE769" s="34"/>
      <c r="AF769" s="34"/>
      <c r="AG769" s="34"/>
      <c r="AH769" s="34"/>
      <c r="AI769" s="34"/>
      <c r="AJ769" s="34"/>
      <c r="AK769" s="34"/>
      <c r="AL769" s="34"/>
      <c r="AM769" s="34"/>
      <c r="AN769" s="34"/>
      <c r="AO769" s="34"/>
      <c r="AP769" s="34"/>
      <c r="AQ769" s="34"/>
      <c r="AR769" s="34"/>
      <c r="AS769" s="34"/>
      <c r="AT769" s="247"/>
      <c r="AU769" s="247"/>
      <c r="AV769" s="247"/>
      <c r="AW769" s="247"/>
      <c r="AX769" s="63"/>
      <c r="AY769" s="247"/>
      <c r="AZ769" s="63"/>
      <c r="BB769" s="248"/>
    </row>
    <row r="770" spans="1:58" ht="22.35" customHeight="1">
      <c r="A770" s="193">
        <v>118</v>
      </c>
      <c r="B770" s="56" t="s">
        <v>2627</v>
      </c>
      <c r="C770" s="78" t="s">
        <v>59</v>
      </c>
      <c r="D770" s="103">
        <f>E770+F770</f>
        <v>36.269999999999996</v>
      </c>
      <c r="E770" s="103"/>
      <c r="F770" s="103">
        <f>34.37+1.9</f>
        <v>36.269999999999996</v>
      </c>
      <c r="G770" s="34">
        <f>20.25-1</f>
        <v>19.25</v>
      </c>
      <c r="H770" s="34">
        <v>0.4</v>
      </c>
      <c r="I770" s="34">
        <f>3.99-0.4</f>
        <v>3.5900000000000003</v>
      </c>
      <c r="J770" s="34">
        <v>1.4400000000000002</v>
      </c>
      <c r="K770" s="34">
        <f>SUM(L770:N770)</f>
        <v>5.63</v>
      </c>
      <c r="L770" s="34">
        <v>0</v>
      </c>
      <c r="M770" s="34">
        <f>6.13-0.5</f>
        <v>5.63</v>
      </c>
      <c r="N770" s="34">
        <v>0</v>
      </c>
      <c r="O770" s="34">
        <v>0</v>
      </c>
      <c r="P770" s="34">
        <v>0.5</v>
      </c>
      <c r="Q770" s="34">
        <v>0</v>
      </c>
      <c r="R770" s="34">
        <v>0</v>
      </c>
      <c r="S770" s="34">
        <v>0</v>
      </c>
      <c r="T770" s="34">
        <v>0</v>
      </c>
      <c r="U770" s="34">
        <v>0</v>
      </c>
      <c r="V770" s="34">
        <v>0</v>
      </c>
      <c r="W770" s="34">
        <v>0</v>
      </c>
      <c r="X770" s="34">
        <v>0</v>
      </c>
      <c r="Y770" s="34">
        <v>0</v>
      </c>
      <c r="Z770" s="34">
        <v>0</v>
      </c>
      <c r="AA770" s="34">
        <v>1.07</v>
      </c>
      <c r="AB770" s="34">
        <v>0.37</v>
      </c>
      <c r="AC770" s="34">
        <v>0</v>
      </c>
      <c r="AD770" s="34">
        <v>0</v>
      </c>
      <c r="AE770" s="34">
        <v>0</v>
      </c>
      <c r="AF770" s="34">
        <v>0</v>
      </c>
      <c r="AG770" s="34">
        <v>0</v>
      </c>
      <c r="AH770" s="34">
        <v>0</v>
      </c>
      <c r="AI770" s="34">
        <v>0</v>
      </c>
      <c r="AJ770" s="34">
        <v>0</v>
      </c>
      <c r="AK770" s="34">
        <v>0</v>
      </c>
      <c r="AL770" s="34">
        <v>0</v>
      </c>
      <c r="AM770" s="34">
        <v>0</v>
      </c>
      <c r="AN770" s="34">
        <v>0.13</v>
      </c>
      <c r="AO770" s="34">
        <v>0</v>
      </c>
      <c r="AP770" s="34">
        <v>0</v>
      </c>
      <c r="AQ770" s="34">
        <v>0</v>
      </c>
      <c r="AR770" s="34">
        <v>0.09</v>
      </c>
      <c r="AS770" s="34">
        <v>0</v>
      </c>
      <c r="AT770" s="34" t="s">
        <v>2628</v>
      </c>
      <c r="AU770" s="34"/>
      <c r="AV770" s="34"/>
      <c r="AW770" s="34"/>
      <c r="AX770" s="63" t="s">
        <v>1970</v>
      </c>
      <c r="AY770" s="34" t="s">
        <v>1917</v>
      </c>
      <c r="AZ770" s="63" t="s">
        <v>1924</v>
      </c>
      <c r="BB770" s="41"/>
      <c r="BF770" s="15">
        <v>1</v>
      </c>
    </row>
    <row r="771" spans="1:58" ht="47.25" hidden="1" customHeight="1">
      <c r="A771" s="193"/>
      <c r="B771" s="56" t="s">
        <v>1461</v>
      </c>
      <c r="C771" s="78"/>
      <c r="D771" s="103"/>
      <c r="E771" s="103"/>
      <c r="F771" s="103">
        <v>0.28999999999999998</v>
      </c>
      <c r="G771" s="34"/>
      <c r="H771" s="34"/>
      <c r="I771" s="34"/>
      <c r="J771" s="34"/>
      <c r="K771" s="34"/>
      <c r="L771" s="34"/>
      <c r="M771" s="34"/>
      <c r="N771" s="34"/>
      <c r="O771" s="34"/>
      <c r="P771" s="34"/>
      <c r="Q771" s="34"/>
      <c r="R771" s="34"/>
      <c r="S771" s="34"/>
      <c r="T771" s="34"/>
      <c r="U771" s="34"/>
      <c r="V771" s="34"/>
      <c r="W771" s="34"/>
      <c r="X771" s="34"/>
      <c r="Y771" s="34"/>
      <c r="Z771" s="34"/>
      <c r="AA771" s="34"/>
      <c r="AB771" s="34"/>
      <c r="AC771" s="34"/>
      <c r="AD771" s="34"/>
      <c r="AE771" s="34"/>
      <c r="AF771" s="34"/>
      <c r="AG771" s="34"/>
      <c r="AH771" s="34"/>
      <c r="AI771" s="34"/>
      <c r="AJ771" s="34"/>
      <c r="AK771" s="34"/>
      <c r="AL771" s="34"/>
      <c r="AM771" s="34"/>
      <c r="AN771" s="34"/>
      <c r="AO771" s="34"/>
      <c r="AP771" s="34"/>
      <c r="AQ771" s="34"/>
      <c r="AR771" s="34"/>
      <c r="AS771" s="34"/>
      <c r="AT771" s="34" t="s">
        <v>228</v>
      </c>
      <c r="AU771" s="34"/>
      <c r="AV771" s="34"/>
      <c r="AW771" s="34"/>
      <c r="AX771" s="63"/>
      <c r="AY771" s="140" t="s">
        <v>1923</v>
      </c>
      <c r="AZ771" s="63" t="s">
        <v>1924</v>
      </c>
      <c r="BB771" s="41"/>
    </row>
    <row r="772" spans="1:58" ht="78.75" hidden="1" customHeight="1">
      <c r="A772" s="193"/>
      <c r="B772" s="60" t="s">
        <v>1332</v>
      </c>
      <c r="C772" s="38" t="s">
        <v>59</v>
      </c>
      <c r="D772" s="103">
        <v>0.4</v>
      </c>
      <c r="E772" s="103"/>
      <c r="F772" s="103">
        <v>0.4</v>
      </c>
      <c r="G772" s="34"/>
      <c r="H772" s="34"/>
      <c r="I772" s="34"/>
      <c r="J772" s="34"/>
      <c r="K772" s="34"/>
      <c r="L772" s="34"/>
      <c r="M772" s="34"/>
      <c r="N772" s="34"/>
      <c r="O772" s="34"/>
      <c r="P772" s="34"/>
      <c r="Q772" s="34"/>
      <c r="R772" s="34"/>
      <c r="S772" s="34"/>
      <c r="T772" s="34"/>
      <c r="U772" s="34"/>
      <c r="V772" s="34"/>
      <c r="W772" s="34"/>
      <c r="X772" s="34"/>
      <c r="Y772" s="34"/>
      <c r="Z772" s="34"/>
      <c r="AA772" s="34"/>
      <c r="AB772" s="34"/>
      <c r="AC772" s="34"/>
      <c r="AD772" s="34"/>
      <c r="AE772" s="34"/>
      <c r="AF772" s="34"/>
      <c r="AG772" s="34"/>
      <c r="AH772" s="34"/>
      <c r="AI772" s="34"/>
      <c r="AJ772" s="34"/>
      <c r="AK772" s="34"/>
      <c r="AL772" s="34"/>
      <c r="AM772" s="34"/>
      <c r="AN772" s="34"/>
      <c r="AO772" s="34"/>
      <c r="AP772" s="34"/>
      <c r="AQ772" s="34"/>
      <c r="AR772" s="34"/>
      <c r="AS772" s="34"/>
      <c r="AT772" s="34" t="s">
        <v>224</v>
      </c>
      <c r="AU772" s="34" t="s">
        <v>389</v>
      </c>
      <c r="AV772" s="34"/>
      <c r="AW772" s="34"/>
      <c r="AX772" s="63"/>
      <c r="AY772" s="159" t="s">
        <v>1917</v>
      </c>
      <c r="AZ772" s="39" t="s">
        <v>1924</v>
      </c>
      <c r="BA772" s="58" t="s">
        <v>2629</v>
      </c>
    </row>
    <row r="773" spans="1:58" ht="31.5" hidden="1" customHeight="1">
      <c r="A773" s="193"/>
      <c r="B773" s="56" t="s">
        <v>2630</v>
      </c>
      <c r="C773" s="78"/>
      <c r="D773" s="103"/>
      <c r="E773" s="103"/>
      <c r="F773" s="103">
        <v>0.52</v>
      </c>
      <c r="G773" s="34"/>
      <c r="H773" s="34"/>
      <c r="I773" s="34"/>
      <c r="J773" s="34"/>
      <c r="K773" s="34"/>
      <c r="L773" s="34"/>
      <c r="M773" s="34"/>
      <c r="N773" s="34"/>
      <c r="O773" s="34"/>
      <c r="P773" s="34"/>
      <c r="Q773" s="34"/>
      <c r="R773" s="34"/>
      <c r="S773" s="34"/>
      <c r="T773" s="34"/>
      <c r="U773" s="34"/>
      <c r="V773" s="34"/>
      <c r="W773" s="34"/>
      <c r="X773" s="34"/>
      <c r="Y773" s="34"/>
      <c r="Z773" s="34"/>
      <c r="AA773" s="34"/>
      <c r="AB773" s="34"/>
      <c r="AC773" s="34"/>
      <c r="AD773" s="34"/>
      <c r="AE773" s="34"/>
      <c r="AF773" s="34"/>
      <c r="AG773" s="34"/>
      <c r="AH773" s="34"/>
      <c r="AI773" s="34"/>
      <c r="AJ773" s="34"/>
      <c r="AK773" s="34"/>
      <c r="AL773" s="34"/>
      <c r="AM773" s="34"/>
      <c r="AN773" s="34"/>
      <c r="AO773" s="34"/>
      <c r="AP773" s="34"/>
      <c r="AQ773" s="34"/>
      <c r="AR773" s="34"/>
      <c r="AS773" s="34"/>
      <c r="AT773" s="34" t="s">
        <v>230</v>
      </c>
      <c r="AU773" s="34"/>
      <c r="AV773" s="34"/>
      <c r="AW773" s="34"/>
      <c r="AX773" s="63"/>
      <c r="AY773" s="34" t="s">
        <v>1917</v>
      </c>
      <c r="AZ773" s="63" t="s">
        <v>2631</v>
      </c>
      <c r="BA773" s="65" t="s">
        <v>2632</v>
      </c>
      <c r="BB773" s="41"/>
    </row>
    <row r="774" spans="1:58" ht="78.75" hidden="1" customHeight="1">
      <c r="A774" s="193"/>
      <c r="B774" s="56" t="s">
        <v>1332</v>
      </c>
      <c r="C774" s="78"/>
      <c r="D774" s="103"/>
      <c r="E774" s="103"/>
      <c r="F774" s="103">
        <v>4.68</v>
      </c>
      <c r="G774" s="34"/>
      <c r="H774" s="34"/>
      <c r="I774" s="34"/>
      <c r="J774" s="34"/>
      <c r="K774" s="34"/>
      <c r="L774" s="34"/>
      <c r="M774" s="34"/>
      <c r="N774" s="34"/>
      <c r="O774" s="34"/>
      <c r="P774" s="34"/>
      <c r="Q774" s="34"/>
      <c r="R774" s="34"/>
      <c r="S774" s="34"/>
      <c r="T774" s="34"/>
      <c r="U774" s="34"/>
      <c r="V774" s="34"/>
      <c r="W774" s="34"/>
      <c r="X774" s="34"/>
      <c r="Y774" s="34"/>
      <c r="Z774" s="34"/>
      <c r="AA774" s="34"/>
      <c r="AB774" s="34"/>
      <c r="AC774" s="34"/>
      <c r="AD774" s="34"/>
      <c r="AE774" s="34"/>
      <c r="AF774" s="34"/>
      <c r="AG774" s="34"/>
      <c r="AH774" s="34"/>
      <c r="AI774" s="34"/>
      <c r="AJ774" s="34"/>
      <c r="AK774" s="34"/>
      <c r="AL774" s="34"/>
      <c r="AM774" s="34"/>
      <c r="AN774" s="34"/>
      <c r="AO774" s="34"/>
      <c r="AP774" s="34"/>
      <c r="AQ774" s="34"/>
      <c r="AR774" s="34"/>
      <c r="AS774" s="34"/>
      <c r="AT774" s="34" t="s">
        <v>231</v>
      </c>
      <c r="AU774" s="34"/>
      <c r="AV774" s="34"/>
      <c r="AW774" s="34"/>
      <c r="AX774" s="63"/>
      <c r="AY774" s="34" t="s">
        <v>1917</v>
      </c>
      <c r="AZ774" s="63" t="s">
        <v>1924</v>
      </c>
      <c r="BB774" s="41"/>
    </row>
    <row r="775" spans="1:58" ht="31.5" hidden="1" customHeight="1">
      <c r="A775" s="193"/>
      <c r="B775" s="56" t="s">
        <v>2633</v>
      </c>
      <c r="C775" s="78"/>
      <c r="D775" s="103"/>
      <c r="E775" s="103"/>
      <c r="F775" s="103">
        <v>5.78</v>
      </c>
      <c r="G775" s="34"/>
      <c r="H775" s="34"/>
      <c r="I775" s="34"/>
      <c r="J775" s="34"/>
      <c r="K775" s="34"/>
      <c r="L775" s="34"/>
      <c r="M775" s="34"/>
      <c r="N775" s="34"/>
      <c r="O775" s="34"/>
      <c r="P775" s="34"/>
      <c r="Q775" s="34"/>
      <c r="R775" s="34"/>
      <c r="S775" s="34"/>
      <c r="T775" s="34"/>
      <c r="U775" s="34"/>
      <c r="V775" s="34"/>
      <c r="W775" s="34"/>
      <c r="X775" s="34"/>
      <c r="Y775" s="34"/>
      <c r="Z775" s="34"/>
      <c r="AA775" s="34"/>
      <c r="AB775" s="34"/>
      <c r="AC775" s="34"/>
      <c r="AD775" s="34"/>
      <c r="AE775" s="34"/>
      <c r="AF775" s="34"/>
      <c r="AG775" s="34"/>
      <c r="AH775" s="34"/>
      <c r="AI775" s="34"/>
      <c r="AJ775" s="34"/>
      <c r="AK775" s="34"/>
      <c r="AL775" s="34"/>
      <c r="AM775" s="34"/>
      <c r="AN775" s="34"/>
      <c r="AO775" s="34"/>
      <c r="AP775" s="34"/>
      <c r="AQ775" s="34"/>
      <c r="AR775" s="34"/>
      <c r="AS775" s="34"/>
      <c r="AT775" s="34" t="s">
        <v>232</v>
      </c>
      <c r="AU775" s="34" t="s">
        <v>2634</v>
      </c>
      <c r="AV775" s="34"/>
      <c r="AW775" s="34"/>
      <c r="AX775" s="63"/>
      <c r="AY775" s="34" t="s">
        <v>1917</v>
      </c>
      <c r="AZ775" s="63" t="s">
        <v>1974</v>
      </c>
      <c r="BB775" s="41"/>
    </row>
    <row r="776" spans="1:58" ht="78.75" hidden="1" customHeight="1">
      <c r="A776" s="193"/>
      <c r="B776" s="56" t="s">
        <v>1332</v>
      </c>
      <c r="C776" s="78"/>
      <c r="D776" s="103"/>
      <c r="E776" s="103"/>
      <c r="F776" s="103">
        <v>3.8</v>
      </c>
      <c r="G776" s="34"/>
      <c r="H776" s="34"/>
      <c r="I776" s="34"/>
      <c r="J776" s="34"/>
      <c r="K776" s="34"/>
      <c r="L776" s="34"/>
      <c r="M776" s="34"/>
      <c r="N776" s="34"/>
      <c r="O776" s="34"/>
      <c r="P776" s="34"/>
      <c r="Q776" s="34"/>
      <c r="R776" s="34"/>
      <c r="S776" s="34"/>
      <c r="T776" s="34"/>
      <c r="U776" s="34"/>
      <c r="V776" s="34"/>
      <c r="W776" s="34"/>
      <c r="X776" s="34"/>
      <c r="Y776" s="34"/>
      <c r="Z776" s="34"/>
      <c r="AA776" s="34"/>
      <c r="AB776" s="34"/>
      <c r="AC776" s="34"/>
      <c r="AD776" s="34"/>
      <c r="AE776" s="34"/>
      <c r="AF776" s="34"/>
      <c r="AG776" s="34"/>
      <c r="AH776" s="34"/>
      <c r="AI776" s="34"/>
      <c r="AJ776" s="34"/>
      <c r="AK776" s="34"/>
      <c r="AL776" s="34"/>
      <c r="AM776" s="34"/>
      <c r="AN776" s="34"/>
      <c r="AO776" s="34"/>
      <c r="AP776" s="34"/>
      <c r="AQ776" s="34"/>
      <c r="AR776" s="34"/>
      <c r="AS776" s="34"/>
      <c r="AT776" s="34" t="s">
        <v>232</v>
      </c>
      <c r="AU776" s="34"/>
      <c r="AV776" s="34"/>
      <c r="AW776" s="34"/>
      <c r="AX776" s="63"/>
      <c r="AY776" s="34" t="s">
        <v>1973</v>
      </c>
      <c r="AZ776" s="63" t="s">
        <v>2635</v>
      </c>
      <c r="BB776" s="41"/>
    </row>
    <row r="777" spans="1:58" ht="78.75" hidden="1" customHeight="1">
      <c r="A777" s="193"/>
      <c r="B777" s="56" t="s">
        <v>1332</v>
      </c>
      <c r="C777" s="78"/>
      <c r="D777" s="103"/>
      <c r="E777" s="103"/>
      <c r="F777" s="103">
        <v>2.7</v>
      </c>
      <c r="G777" s="34"/>
      <c r="H777" s="34"/>
      <c r="I777" s="34"/>
      <c r="J777" s="34"/>
      <c r="K777" s="34"/>
      <c r="L777" s="34"/>
      <c r="M777" s="34"/>
      <c r="N777" s="34"/>
      <c r="O777" s="34"/>
      <c r="P777" s="34"/>
      <c r="Q777" s="34"/>
      <c r="R777" s="34"/>
      <c r="S777" s="34"/>
      <c r="T777" s="34"/>
      <c r="U777" s="34"/>
      <c r="V777" s="34"/>
      <c r="W777" s="34"/>
      <c r="X777" s="34"/>
      <c r="Y777" s="34"/>
      <c r="Z777" s="34"/>
      <c r="AA777" s="34"/>
      <c r="AB777" s="34"/>
      <c r="AC777" s="34"/>
      <c r="AD777" s="34"/>
      <c r="AE777" s="34"/>
      <c r="AF777" s="34"/>
      <c r="AG777" s="34"/>
      <c r="AH777" s="34"/>
      <c r="AI777" s="34"/>
      <c r="AJ777" s="34"/>
      <c r="AK777" s="34"/>
      <c r="AL777" s="34"/>
      <c r="AM777" s="34"/>
      <c r="AN777" s="34"/>
      <c r="AO777" s="34"/>
      <c r="AP777" s="34"/>
      <c r="AQ777" s="34"/>
      <c r="AR777" s="34"/>
      <c r="AS777" s="34"/>
      <c r="AT777" s="34" t="s">
        <v>233</v>
      </c>
      <c r="AU777" s="34"/>
      <c r="AV777" s="34"/>
      <c r="AW777" s="34"/>
      <c r="AX777" s="63"/>
      <c r="AY777" s="34" t="s">
        <v>1917</v>
      </c>
      <c r="AZ777" s="39" t="s">
        <v>1926</v>
      </c>
      <c r="BB777" s="41"/>
    </row>
    <row r="778" spans="1:58" ht="31.5" hidden="1" customHeight="1">
      <c r="A778" s="193"/>
      <c r="B778" s="33" t="s">
        <v>2636</v>
      </c>
      <c r="C778" s="78"/>
      <c r="D778" s="34"/>
      <c r="E778" s="34"/>
      <c r="F778" s="34">
        <v>1.3</v>
      </c>
      <c r="G778" s="34"/>
      <c r="H778" s="34"/>
      <c r="I778" s="34"/>
      <c r="J778" s="34"/>
      <c r="K778" s="34"/>
      <c r="L778" s="34"/>
      <c r="M778" s="34"/>
      <c r="N778" s="34"/>
      <c r="O778" s="34"/>
      <c r="P778" s="34"/>
      <c r="Q778" s="34"/>
      <c r="R778" s="34"/>
      <c r="S778" s="34"/>
      <c r="T778" s="34"/>
      <c r="U778" s="34"/>
      <c r="V778" s="34"/>
      <c r="W778" s="34"/>
      <c r="X778" s="34"/>
      <c r="Y778" s="34"/>
      <c r="Z778" s="34"/>
      <c r="AA778" s="34"/>
      <c r="AB778" s="34"/>
      <c r="AC778" s="34"/>
      <c r="AD778" s="34"/>
      <c r="AE778" s="34"/>
      <c r="AF778" s="34"/>
      <c r="AG778" s="34"/>
      <c r="AH778" s="34"/>
      <c r="AI778" s="34"/>
      <c r="AJ778" s="34"/>
      <c r="AK778" s="34"/>
      <c r="AL778" s="34"/>
      <c r="AM778" s="34"/>
      <c r="AN778" s="34"/>
      <c r="AO778" s="34"/>
      <c r="AP778" s="34"/>
      <c r="AQ778" s="34"/>
      <c r="AR778" s="34"/>
      <c r="AS778" s="34"/>
      <c r="AT778" s="34" t="s">
        <v>235</v>
      </c>
      <c r="AU778" s="34" t="s">
        <v>639</v>
      </c>
      <c r="AV778" s="34"/>
      <c r="AW778" s="148"/>
      <c r="AX778" s="63"/>
      <c r="AY778" s="148" t="s">
        <v>1986</v>
      </c>
      <c r="AZ778" s="63"/>
      <c r="BA778" s="249" t="s">
        <v>2637</v>
      </c>
      <c r="BB778" s="41"/>
    </row>
    <row r="779" spans="1:58" ht="78.75" hidden="1" customHeight="1">
      <c r="A779" s="193"/>
      <c r="B779" s="33" t="s">
        <v>1332</v>
      </c>
      <c r="C779" s="78"/>
      <c r="D779" s="34"/>
      <c r="E779" s="34"/>
      <c r="F779" s="34">
        <v>25.62</v>
      </c>
      <c r="G779" s="34"/>
      <c r="H779" s="34"/>
      <c r="I779" s="34"/>
      <c r="J779" s="34"/>
      <c r="K779" s="34"/>
      <c r="L779" s="34"/>
      <c r="M779" s="34"/>
      <c r="N779" s="34"/>
      <c r="O779" s="34"/>
      <c r="P779" s="34"/>
      <c r="Q779" s="34"/>
      <c r="R779" s="34"/>
      <c r="S779" s="34"/>
      <c r="T779" s="34"/>
      <c r="U779" s="34"/>
      <c r="V779" s="34"/>
      <c r="W779" s="34"/>
      <c r="X779" s="34"/>
      <c r="Y779" s="34"/>
      <c r="Z779" s="34"/>
      <c r="AA779" s="34"/>
      <c r="AB779" s="34"/>
      <c r="AC779" s="34"/>
      <c r="AD779" s="34"/>
      <c r="AE779" s="34"/>
      <c r="AF779" s="34"/>
      <c r="AG779" s="34"/>
      <c r="AH779" s="34"/>
      <c r="AI779" s="34"/>
      <c r="AJ779" s="34"/>
      <c r="AK779" s="34"/>
      <c r="AL779" s="34"/>
      <c r="AM779" s="34"/>
      <c r="AN779" s="34"/>
      <c r="AO779" s="34"/>
      <c r="AP779" s="34"/>
      <c r="AQ779" s="34"/>
      <c r="AR779" s="34"/>
      <c r="AS779" s="34"/>
      <c r="AT779" s="34" t="s">
        <v>2638</v>
      </c>
      <c r="AU779" s="34" t="s">
        <v>308</v>
      </c>
      <c r="AV779" s="34"/>
      <c r="AW779" s="148"/>
      <c r="AX779" s="63"/>
      <c r="AY779" s="148" t="s">
        <v>1986</v>
      </c>
      <c r="AZ779" s="63"/>
      <c r="BA779" s="249" t="s">
        <v>2639</v>
      </c>
      <c r="BB779" s="41"/>
    </row>
    <row r="780" spans="1:58" ht="78.75" hidden="1" customHeight="1">
      <c r="A780" s="193"/>
      <c r="B780" s="56" t="s">
        <v>1332</v>
      </c>
      <c r="C780" s="78"/>
      <c r="D780" s="103"/>
      <c r="E780" s="103"/>
      <c r="F780" s="103">
        <v>6.8</v>
      </c>
      <c r="G780" s="34"/>
      <c r="H780" s="34"/>
      <c r="I780" s="34"/>
      <c r="J780" s="34"/>
      <c r="K780" s="34"/>
      <c r="L780" s="34"/>
      <c r="M780" s="34"/>
      <c r="N780" s="34"/>
      <c r="O780" s="34"/>
      <c r="P780" s="34"/>
      <c r="Q780" s="34"/>
      <c r="R780" s="34"/>
      <c r="S780" s="34"/>
      <c r="T780" s="34"/>
      <c r="U780" s="34"/>
      <c r="V780" s="34"/>
      <c r="W780" s="34"/>
      <c r="X780" s="34"/>
      <c r="Y780" s="34"/>
      <c r="Z780" s="34"/>
      <c r="AA780" s="34"/>
      <c r="AB780" s="34"/>
      <c r="AC780" s="34"/>
      <c r="AD780" s="34"/>
      <c r="AE780" s="34"/>
      <c r="AF780" s="34"/>
      <c r="AG780" s="34"/>
      <c r="AH780" s="34"/>
      <c r="AI780" s="34"/>
      <c r="AJ780" s="34"/>
      <c r="AK780" s="34"/>
      <c r="AL780" s="34"/>
      <c r="AM780" s="34"/>
      <c r="AN780" s="34"/>
      <c r="AO780" s="34"/>
      <c r="AP780" s="34"/>
      <c r="AQ780" s="34"/>
      <c r="AR780" s="34"/>
      <c r="AS780" s="34"/>
      <c r="AT780" s="34" t="s">
        <v>237</v>
      </c>
      <c r="AU780" s="34"/>
      <c r="AV780" s="34"/>
      <c r="AW780" s="34"/>
      <c r="AX780" s="63"/>
      <c r="AY780" s="34" t="s">
        <v>1986</v>
      </c>
      <c r="AZ780" s="63"/>
      <c r="BA780" s="234"/>
      <c r="BB780" s="41"/>
    </row>
    <row r="781" spans="1:58" ht="78.75" hidden="1" customHeight="1">
      <c r="A781" s="220"/>
      <c r="B781" s="60" t="s">
        <v>1332</v>
      </c>
      <c r="C781" s="78"/>
      <c r="D781" s="103"/>
      <c r="E781" s="103"/>
      <c r="F781" s="103"/>
      <c r="G781" s="34">
        <v>3.04</v>
      </c>
      <c r="H781" s="34"/>
      <c r="I781" s="34">
        <v>0.6</v>
      </c>
      <c r="J781" s="34">
        <v>0.15</v>
      </c>
      <c r="K781" s="34"/>
      <c r="L781" s="34"/>
      <c r="M781" s="34">
        <v>1.5</v>
      </c>
      <c r="N781" s="34"/>
      <c r="O781" s="34"/>
      <c r="P781" s="34"/>
      <c r="Q781" s="34"/>
      <c r="R781" s="34"/>
      <c r="S781" s="34"/>
      <c r="T781" s="34"/>
      <c r="U781" s="34"/>
      <c r="V781" s="34"/>
      <c r="W781" s="34"/>
      <c r="X781" s="34"/>
      <c r="Y781" s="34"/>
      <c r="Z781" s="34"/>
      <c r="AA781" s="34">
        <v>0.45</v>
      </c>
      <c r="AB781" s="34">
        <v>0.05</v>
      </c>
      <c r="AC781" s="34"/>
      <c r="AD781" s="34"/>
      <c r="AE781" s="34"/>
      <c r="AF781" s="34"/>
      <c r="AG781" s="34"/>
      <c r="AH781" s="34"/>
      <c r="AI781" s="34"/>
      <c r="AJ781" s="34"/>
      <c r="AK781" s="34"/>
      <c r="AL781" s="34"/>
      <c r="AM781" s="34"/>
      <c r="AN781" s="34"/>
      <c r="AO781" s="34"/>
      <c r="AP781" s="34"/>
      <c r="AQ781" s="34"/>
      <c r="AR781" s="34"/>
      <c r="AS781" s="34"/>
      <c r="AT781" s="38" t="s">
        <v>238</v>
      </c>
      <c r="AU781" s="34"/>
      <c r="AV781" s="34"/>
      <c r="AW781" s="34"/>
      <c r="AX781" s="63"/>
      <c r="AY781" s="34" t="s">
        <v>1986</v>
      </c>
      <c r="AZ781" s="63"/>
      <c r="BA781" s="65" t="s">
        <v>2637</v>
      </c>
      <c r="BB781" s="41"/>
    </row>
    <row r="782" spans="1:58" ht="78.75" hidden="1" customHeight="1">
      <c r="A782" s="220"/>
      <c r="B782" s="60" t="s">
        <v>1332</v>
      </c>
      <c r="C782" s="78"/>
      <c r="D782" s="103"/>
      <c r="E782" s="103"/>
      <c r="F782" s="103">
        <v>0.95</v>
      </c>
      <c r="G782" s="34"/>
      <c r="H782" s="34"/>
      <c r="I782" s="34"/>
      <c r="J782" s="34"/>
      <c r="K782" s="34"/>
      <c r="L782" s="34"/>
      <c r="M782" s="34"/>
      <c r="N782" s="34"/>
      <c r="O782" s="34"/>
      <c r="P782" s="34"/>
      <c r="Q782" s="34"/>
      <c r="R782" s="34"/>
      <c r="S782" s="34"/>
      <c r="T782" s="34"/>
      <c r="U782" s="34"/>
      <c r="V782" s="34"/>
      <c r="W782" s="34"/>
      <c r="X782" s="34"/>
      <c r="Y782" s="34"/>
      <c r="Z782" s="34"/>
      <c r="AA782" s="34"/>
      <c r="AB782" s="34"/>
      <c r="AC782" s="34"/>
      <c r="AD782" s="34"/>
      <c r="AE782" s="34"/>
      <c r="AF782" s="34"/>
      <c r="AG782" s="34"/>
      <c r="AH782" s="34"/>
      <c r="AI782" s="34"/>
      <c r="AJ782" s="34"/>
      <c r="AK782" s="34"/>
      <c r="AL782" s="34"/>
      <c r="AM782" s="34"/>
      <c r="AN782" s="34"/>
      <c r="AO782" s="34"/>
      <c r="AP782" s="34"/>
      <c r="AQ782" s="34"/>
      <c r="AR782" s="34"/>
      <c r="AS782" s="34"/>
      <c r="AT782" s="38" t="s">
        <v>241</v>
      </c>
      <c r="AU782" s="34"/>
      <c r="AV782" s="34"/>
      <c r="AW782" s="34"/>
      <c r="AX782" s="63"/>
      <c r="AY782" s="34" t="s">
        <v>1986</v>
      </c>
      <c r="AZ782" s="63"/>
      <c r="BA782" s="65"/>
      <c r="BB782" s="41"/>
    </row>
    <row r="783" spans="1:58" s="97" customFormat="1" ht="24" customHeight="1">
      <c r="A783" s="250" t="s">
        <v>1300</v>
      </c>
      <c r="B783" s="251" t="s">
        <v>2640</v>
      </c>
      <c r="C783" s="247"/>
      <c r="D783" s="34"/>
      <c r="E783" s="34"/>
      <c r="F783" s="34"/>
      <c r="G783" s="34"/>
      <c r="H783" s="34"/>
      <c r="I783" s="34"/>
      <c r="J783" s="34"/>
      <c r="K783" s="34"/>
      <c r="L783" s="34"/>
      <c r="M783" s="34"/>
      <c r="N783" s="34"/>
      <c r="O783" s="34"/>
      <c r="P783" s="34"/>
      <c r="Q783" s="34"/>
      <c r="R783" s="34"/>
      <c r="S783" s="34"/>
      <c r="T783" s="34"/>
      <c r="U783" s="34"/>
      <c r="V783" s="34"/>
      <c r="W783" s="34"/>
      <c r="X783" s="34"/>
      <c r="Y783" s="34"/>
      <c r="Z783" s="34"/>
      <c r="AA783" s="34"/>
      <c r="AB783" s="34"/>
      <c r="AC783" s="34"/>
      <c r="AD783" s="34"/>
      <c r="AE783" s="34"/>
      <c r="AF783" s="34"/>
      <c r="AG783" s="34"/>
      <c r="AH783" s="34"/>
      <c r="AI783" s="34"/>
      <c r="AJ783" s="34"/>
      <c r="AK783" s="34"/>
      <c r="AL783" s="34"/>
      <c r="AM783" s="34"/>
      <c r="AN783" s="34"/>
      <c r="AO783" s="34"/>
      <c r="AP783" s="34"/>
      <c r="AQ783" s="34"/>
      <c r="AR783" s="34"/>
      <c r="AS783" s="34"/>
      <c r="AT783" s="247"/>
      <c r="AU783" s="247"/>
      <c r="AV783" s="29"/>
      <c r="AW783" s="29"/>
      <c r="AX783" s="250"/>
      <c r="AY783" s="29"/>
      <c r="AZ783" s="250"/>
    </row>
    <row r="784" spans="1:58" ht="20.100000000000001" customHeight="1">
      <c r="A784" s="1668">
        <v>119</v>
      </c>
      <c r="B784" s="1669" t="s">
        <v>2641</v>
      </c>
      <c r="C784" s="34" t="s">
        <v>59</v>
      </c>
      <c r="D784" s="34">
        <f>E784+F784</f>
        <v>0.95</v>
      </c>
      <c r="E784" s="34"/>
      <c r="F784" s="34">
        <f>SUM(G784:K784,O784:AR784)</f>
        <v>0.95</v>
      </c>
      <c r="G784" s="34"/>
      <c r="H784" s="34"/>
      <c r="I784" s="34"/>
      <c r="J784" s="34"/>
      <c r="K784" s="34"/>
      <c r="L784" s="34"/>
      <c r="M784" s="34"/>
      <c r="N784" s="34"/>
      <c r="O784" s="34"/>
      <c r="P784" s="34"/>
      <c r="Q784" s="34"/>
      <c r="R784" s="34">
        <v>0.95</v>
      </c>
      <c r="S784" s="34"/>
      <c r="T784" s="34"/>
      <c r="U784" s="34"/>
      <c r="V784" s="34"/>
      <c r="W784" s="34"/>
      <c r="X784" s="34"/>
      <c r="Y784" s="34"/>
      <c r="Z784" s="34"/>
      <c r="AA784" s="34"/>
      <c r="AB784" s="34"/>
      <c r="AC784" s="34"/>
      <c r="AD784" s="34"/>
      <c r="AE784" s="34"/>
      <c r="AF784" s="34"/>
      <c r="AG784" s="34"/>
      <c r="AH784" s="34"/>
      <c r="AI784" s="34"/>
      <c r="AJ784" s="34"/>
      <c r="AK784" s="34"/>
      <c r="AL784" s="34"/>
      <c r="AM784" s="34"/>
      <c r="AN784" s="34"/>
      <c r="AO784" s="34"/>
      <c r="AP784" s="34"/>
      <c r="AQ784" s="34"/>
      <c r="AR784" s="34"/>
      <c r="AS784" s="34"/>
      <c r="AT784" s="34" t="s">
        <v>232</v>
      </c>
      <c r="AU784" s="34" t="s">
        <v>425</v>
      </c>
      <c r="AV784" s="34"/>
      <c r="AW784" s="34"/>
      <c r="AX784" s="39" t="s">
        <v>1920</v>
      </c>
      <c r="AY784" s="34" t="s">
        <v>1923</v>
      </c>
      <c r="AZ784" s="39" t="s">
        <v>1924</v>
      </c>
      <c r="BB784" s="41"/>
      <c r="BE784" s="15">
        <v>1</v>
      </c>
    </row>
    <row r="785" spans="1:58" ht="20.100000000000001" customHeight="1">
      <c r="A785" s="1668"/>
      <c r="B785" s="1669"/>
      <c r="C785" s="34" t="s">
        <v>59</v>
      </c>
      <c r="D785" s="34">
        <f>E785+F785</f>
        <v>2.31</v>
      </c>
      <c r="E785" s="34"/>
      <c r="F785" s="34">
        <f>SUM(G785:K785,O785:AR785)</f>
        <v>2.31</v>
      </c>
      <c r="G785" s="34"/>
      <c r="H785" s="34"/>
      <c r="I785" s="34"/>
      <c r="J785" s="34"/>
      <c r="K785" s="34"/>
      <c r="L785" s="34"/>
      <c r="M785" s="34"/>
      <c r="N785" s="34"/>
      <c r="O785" s="34"/>
      <c r="P785" s="34"/>
      <c r="Q785" s="34"/>
      <c r="R785" s="34">
        <f>0.99+1.32</f>
        <v>2.31</v>
      </c>
      <c r="S785" s="34"/>
      <c r="T785" s="34"/>
      <c r="U785" s="34"/>
      <c r="V785" s="34"/>
      <c r="W785" s="34"/>
      <c r="X785" s="34"/>
      <c r="Y785" s="34"/>
      <c r="Z785" s="34"/>
      <c r="AA785" s="34"/>
      <c r="AB785" s="34"/>
      <c r="AC785" s="34"/>
      <c r="AD785" s="34"/>
      <c r="AE785" s="34"/>
      <c r="AF785" s="34"/>
      <c r="AG785" s="34"/>
      <c r="AH785" s="34"/>
      <c r="AI785" s="34"/>
      <c r="AJ785" s="34"/>
      <c r="AK785" s="34"/>
      <c r="AL785" s="34"/>
      <c r="AM785" s="34"/>
      <c r="AN785" s="34"/>
      <c r="AO785" s="34"/>
      <c r="AP785" s="34"/>
      <c r="AQ785" s="34"/>
      <c r="AR785" s="34"/>
      <c r="AS785" s="34"/>
      <c r="AT785" s="34" t="s">
        <v>225</v>
      </c>
      <c r="AU785" s="34" t="s">
        <v>1342</v>
      </c>
      <c r="AV785" s="34"/>
      <c r="AW785" s="34"/>
      <c r="AX785" s="39" t="s">
        <v>1920</v>
      </c>
      <c r="AY785" s="34" t="s">
        <v>1923</v>
      </c>
      <c r="AZ785" s="39" t="s">
        <v>1924</v>
      </c>
      <c r="BB785" s="41"/>
      <c r="BE785" s="15">
        <v>1</v>
      </c>
    </row>
    <row r="786" spans="1:58" ht="20.100000000000001" customHeight="1">
      <c r="A786" s="1668"/>
      <c r="B786" s="1669"/>
      <c r="C786" s="34" t="s">
        <v>57</v>
      </c>
      <c r="D786" s="34">
        <f>E786+F786</f>
        <v>1.998</v>
      </c>
      <c r="E786" s="34"/>
      <c r="F786" s="34">
        <f>SUM(G786:K786,O786:AR786)</f>
        <v>1.998</v>
      </c>
      <c r="G786" s="34">
        <v>1.05</v>
      </c>
      <c r="H786" s="34"/>
      <c r="I786" s="34">
        <v>0.2</v>
      </c>
      <c r="J786" s="34">
        <v>0.748</v>
      </c>
      <c r="K786" s="34"/>
      <c r="L786" s="34"/>
      <c r="M786" s="34"/>
      <c r="N786" s="34"/>
      <c r="O786" s="34"/>
      <c r="P786" s="34"/>
      <c r="Q786" s="34"/>
      <c r="R786" s="34"/>
      <c r="S786" s="34"/>
      <c r="T786" s="34"/>
      <c r="U786" s="34"/>
      <c r="V786" s="34"/>
      <c r="W786" s="34"/>
      <c r="X786" s="34"/>
      <c r="Y786" s="34"/>
      <c r="Z786" s="34"/>
      <c r="AA786" s="34"/>
      <c r="AB786" s="34"/>
      <c r="AC786" s="34"/>
      <c r="AD786" s="34"/>
      <c r="AE786" s="34"/>
      <c r="AF786" s="34"/>
      <c r="AG786" s="34"/>
      <c r="AH786" s="34"/>
      <c r="AI786" s="34"/>
      <c r="AJ786" s="34"/>
      <c r="AK786" s="34"/>
      <c r="AL786" s="34"/>
      <c r="AM786" s="34"/>
      <c r="AN786" s="34"/>
      <c r="AO786" s="34"/>
      <c r="AP786" s="34"/>
      <c r="AQ786" s="34"/>
      <c r="AR786" s="34"/>
      <c r="AS786" s="34"/>
      <c r="AT786" s="34" t="s">
        <v>317</v>
      </c>
      <c r="AU786" s="34"/>
      <c r="AV786" s="34"/>
      <c r="AW786" s="34" t="s">
        <v>1930</v>
      </c>
      <c r="AX786" s="39" t="s">
        <v>1920</v>
      </c>
      <c r="AY786" s="34" t="s">
        <v>1923</v>
      </c>
      <c r="AZ786" s="39" t="s">
        <v>1924</v>
      </c>
      <c r="BB786" s="41"/>
      <c r="BE786" s="15">
        <v>1</v>
      </c>
    </row>
    <row r="787" spans="1:58" ht="20.100000000000001" customHeight="1">
      <c r="A787" s="193">
        <v>120</v>
      </c>
      <c r="B787" s="56" t="s">
        <v>2642</v>
      </c>
      <c r="C787" s="78" t="s">
        <v>57</v>
      </c>
      <c r="D787" s="103">
        <f>E787+F787</f>
        <v>3</v>
      </c>
      <c r="E787" s="103"/>
      <c r="F787" s="103">
        <f>SUM(G787:K787,O787:AR787)</f>
        <v>3</v>
      </c>
      <c r="G787" s="103"/>
      <c r="H787" s="103"/>
      <c r="I787" s="103"/>
      <c r="J787" s="103">
        <v>3</v>
      </c>
      <c r="K787" s="103"/>
      <c r="L787" s="103"/>
      <c r="M787" s="103"/>
      <c r="N787" s="103"/>
      <c r="O787" s="103"/>
      <c r="P787" s="103"/>
      <c r="Q787" s="103"/>
      <c r="R787" s="103"/>
      <c r="S787" s="103"/>
      <c r="T787" s="103"/>
      <c r="U787" s="103"/>
      <c r="V787" s="103"/>
      <c r="W787" s="103"/>
      <c r="X787" s="103"/>
      <c r="Y787" s="103"/>
      <c r="Z787" s="103"/>
      <c r="AA787" s="103"/>
      <c r="AB787" s="103"/>
      <c r="AC787" s="103"/>
      <c r="AD787" s="103"/>
      <c r="AE787" s="103"/>
      <c r="AF787" s="103"/>
      <c r="AG787" s="103"/>
      <c r="AH787" s="103"/>
      <c r="AI787" s="103"/>
      <c r="AJ787" s="103"/>
      <c r="AK787" s="103"/>
      <c r="AL787" s="103"/>
      <c r="AM787" s="103"/>
      <c r="AN787" s="103"/>
      <c r="AO787" s="103"/>
      <c r="AP787" s="103"/>
      <c r="AQ787" s="103"/>
      <c r="AR787" s="103"/>
      <c r="AS787" s="103"/>
      <c r="AT787" s="159" t="s">
        <v>289</v>
      </c>
      <c r="AU787" s="159" t="s">
        <v>615</v>
      </c>
      <c r="AV787" s="34"/>
      <c r="AW787" s="34"/>
      <c r="AX787" s="39" t="s">
        <v>1920</v>
      </c>
      <c r="AY787" s="34" t="s">
        <v>1923</v>
      </c>
      <c r="AZ787" s="39" t="s">
        <v>1924</v>
      </c>
      <c r="BB787" s="41"/>
      <c r="BE787" s="15">
        <v>1</v>
      </c>
    </row>
    <row r="788" spans="1:58" ht="18.600000000000001" customHeight="1">
      <c r="A788" s="193">
        <v>121</v>
      </c>
      <c r="B788" s="56" t="s">
        <v>2643</v>
      </c>
      <c r="C788" s="78" t="s">
        <v>59</v>
      </c>
      <c r="D788" s="34">
        <f>E788+F788</f>
        <v>31.82</v>
      </c>
      <c r="E788" s="34"/>
      <c r="F788" s="34">
        <f>36.53-1.06-0.2-1-0.15-0.66-1.64</f>
        <v>31.82</v>
      </c>
      <c r="G788" s="34">
        <f>2.21-1-0.5</f>
        <v>0.71</v>
      </c>
      <c r="H788" s="34">
        <f>1-0.34</f>
        <v>0.65999999999999992</v>
      </c>
      <c r="I788" s="34">
        <f>0.567-0.06-0.15</f>
        <v>0.35699999999999987</v>
      </c>
      <c r="J788" s="34">
        <f>15+16.93-1-0.3-1-0.92-0.15-0.36</f>
        <v>28.2</v>
      </c>
      <c r="K788" s="34">
        <v>0.8</v>
      </c>
      <c r="L788" s="34">
        <v>0</v>
      </c>
      <c r="M788" s="34">
        <v>0.8</v>
      </c>
      <c r="N788" s="34"/>
      <c r="O788" s="34"/>
      <c r="P788" s="34"/>
      <c r="Q788" s="34"/>
      <c r="R788" s="34"/>
      <c r="S788" s="34"/>
      <c r="T788" s="34"/>
      <c r="U788" s="34"/>
      <c r="V788" s="34"/>
      <c r="W788" s="34"/>
      <c r="X788" s="34"/>
      <c r="Y788" s="34"/>
      <c r="Z788" s="34"/>
      <c r="AA788" s="34"/>
      <c r="AB788" s="34"/>
      <c r="AC788" s="34"/>
      <c r="AD788" s="34"/>
      <c r="AE788" s="34"/>
      <c r="AF788" s="34"/>
      <c r="AG788" s="34"/>
      <c r="AH788" s="34"/>
      <c r="AI788" s="34"/>
      <c r="AJ788" s="34"/>
      <c r="AK788" s="34"/>
      <c r="AL788" s="34"/>
      <c r="AM788" s="34"/>
      <c r="AN788" s="34">
        <v>1.9E-2</v>
      </c>
      <c r="AO788" s="34"/>
      <c r="AP788" s="34"/>
      <c r="AQ788" s="34"/>
      <c r="AR788" s="34"/>
      <c r="AS788" s="34"/>
      <c r="AT788" s="34" t="s">
        <v>880</v>
      </c>
      <c r="AU788" s="159" t="s">
        <v>615</v>
      </c>
      <c r="AV788" s="34"/>
      <c r="AW788" s="34"/>
      <c r="AX788" s="63" t="s">
        <v>1970</v>
      </c>
      <c r="AY788" s="34" t="s">
        <v>1917</v>
      </c>
      <c r="AZ788" s="63" t="s">
        <v>1924</v>
      </c>
      <c r="BB788" s="41"/>
      <c r="BF788" s="15">
        <v>1</v>
      </c>
    </row>
    <row r="789" spans="1:58" ht="31.5" hidden="1" customHeight="1">
      <c r="A789" s="193"/>
      <c r="B789" s="56" t="s">
        <v>2644</v>
      </c>
      <c r="C789" s="78"/>
      <c r="D789" s="34"/>
      <c r="E789" s="34"/>
      <c r="F789" s="34">
        <v>0.7</v>
      </c>
      <c r="G789" s="34"/>
      <c r="H789" s="34"/>
      <c r="I789" s="34"/>
      <c r="J789" s="34"/>
      <c r="K789" s="34"/>
      <c r="L789" s="34"/>
      <c r="M789" s="34"/>
      <c r="N789" s="34"/>
      <c r="O789" s="34"/>
      <c r="P789" s="34"/>
      <c r="Q789" s="34"/>
      <c r="R789" s="34"/>
      <c r="S789" s="34"/>
      <c r="T789" s="34"/>
      <c r="U789" s="34"/>
      <c r="V789" s="34"/>
      <c r="W789" s="34"/>
      <c r="X789" s="34"/>
      <c r="Y789" s="34"/>
      <c r="Z789" s="34"/>
      <c r="AA789" s="34"/>
      <c r="AB789" s="34"/>
      <c r="AC789" s="34"/>
      <c r="AD789" s="34"/>
      <c r="AE789" s="34"/>
      <c r="AF789" s="34"/>
      <c r="AG789" s="34"/>
      <c r="AH789" s="34"/>
      <c r="AI789" s="34"/>
      <c r="AJ789" s="34"/>
      <c r="AK789" s="34"/>
      <c r="AL789" s="34"/>
      <c r="AM789" s="34"/>
      <c r="AN789" s="34"/>
      <c r="AO789" s="34"/>
      <c r="AP789" s="34"/>
      <c r="AQ789" s="34"/>
      <c r="AR789" s="34"/>
      <c r="AS789" s="34"/>
      <c r="AT789" s="34" t="s">
        <v>221</v>
      </c>
      <c r="AU789" s="159" t="s">
        <v>1857</v>
      </c>
      <c r="AV789" s="34"/>
      <c r="AW789" s="34"/>
      <c r="AX789" s="63"/>
      <c r="AY789" s="34" t="s">
        <v>1923</v>
      </c>
      <c r="AZ789" s="63" t="s">
        <v>1924</v>
      </c>
      <c r="BB789" s="41"/>
    </row>
    <row r="790" spans="1:58" ht="15.75" hidden="1" customHeight="1">
      <c r="A790" s="193"/>
      <c r="B790" s="56" t="s">
        <v>1277</v>
      </c>
      <c r="C790" s="78"/>
      <c r="D790" s="34"/>
      <c r="E790" s="34"/>
      <c r="F790" s="34">
        <v>0.12</v>
      </c>
      <c r="G790" s="34"/>
      <c r="H790" s="34"/>
      <c r="I790" s="34"/>
      <c r="J790" s="34"/>
      <c r="K790" s="34"/>
      <c r="L790" s="34"/>
      <c r="M790" s="34"/>
      <c r="N790" s="34"/>
      <c r="O790" s="34"/>
      <c r="P790" s="34"/>
      <c r="Q790" s="34"/>
      <c r="R790" s="34"/>
      <c r="S790" s="34"/>
      <c r="T790" s="34"/>
      <c r="U790" s="34"/>
      <c r="V790" s="34"/>
      <c r="W790" s="34"/>
      <c r="X790" s="34"/>
      <c r="Y790" s="34"/>
      <c r="Z790" s="34"/>
      <c r="AA790" s="34"/>
      <c r="AB790" s="34"/>
      <c r="AC790" s="34"/>
      <c r="AD790" s="34"/>
      <c r="AE790" s="34"/>
      <c r="AF790" s="34"/>
      <c r="AG790" s="34"/>
      <c r="AH790" s="34"/>
      <c r="AI790" s="34"/>
      <c r="AJ790" s="34"/>
      <c r="AK790" s="34"/>
      <c r="AL790" s="34"/>
      <c r="AM790" s="34"/>
      <c r="AN790" s="34"/>
      <c r="AO790" s="34"/>
      <c r="AP790" s="34"/>
      <c r="AQ790" s="34"/>
      <c r="AR790" s="34"/>
      <c r="AS790" s="34"/>
      <c r="AT790" s="34" t="s">
        <v>221</v>
      </c>
      <c r="AU790" s="159" t="s">
        <v>389</v>
      </c>
      <c r="AV790" s="34"/>
      <c r="AW790" s="34"/>
      <c r="AX790" s="63"/>
      <c r="AY790" s="34" t="s">
        <v>1923</v>
      </c>
      <c r="AZ790" s="63" t="s">
        <v>1924</v>
      </c>
      <c r="BB790" s="41"/>
    </row>
    <row r="791" spans="1:58" ht="31.5" hidden="1" customHeight="1">
      <c r="A791" s="193"/>
      <c r="B791" s="56" t="s">
        <v>1279</v>
      </c>
      <c r="C791" s="78"/>
      <c r="D791" s="34"/>
      <c r="E791" s="34"/>
      <c r="F791" s="34">
        <v>0.04</v>
      </c>
      <c r="G791" s="34"/>
      <c r="H791" s="34"/>
      <c r="I791" s="34"/>
      <c r="J791" s="34"/>
      <c r="K791" s="34"/>
      <c r="L791" s="34"/>
      <c r="M791" s="34"/>
      <c r="N791" s="34"/>
      <c r="O791" s="34"/>
      <c r="P791" s="34"/>
      <c r="Q791" s="34"/>
      <c r="R791" s="34"/>
      <c r="S791" s="34"/>
      <c r="T791" s="34"/>
      <c r="U791" s="34"/>
      <c r="V791" s="34"/>
      <c r="W791" s="34"/>
      <c r="X791" s="34"/>
      <c r="Y791" s="34"/>
      <c r="Z791" s="34"/>
      <c r="AA791" s="34"/>
      <c r="AB791" s="34"/>
      <c r="AC791" s="34"/>
      <c r="AD791" s="34"/>
      <c r="AE791" s="34"/>
      <c r="AF791" s="34"/>
      <c r="AG791" s="34"/>
      <c r="AH791" s="34"/>
      <c r="AI791" s="34"/>
      <c r="AJ791" s="34"/>
      <c r="AK791" s="34"/>
      <c r="AL791" s="34"/>
      <c r="AM791" s="34"/>
      <c r="AN791" s="34"/>
      <c r="AO791" s="34"/>
      <c r="AP791" s="34"/>
      <c r="AQ791" s="34"/>
      <c r="AR791" s="34"/>
      <c r="AS791" s="34"/>
      <c r="AT791" s="34" t="s">
        <v>221</v>
      </c>
      <c r="AU791" s="159" t="s">
        <v>387</v>
      </c>
      <c r="AV791" s="34"/>
      <c r="AW791" s="34"/>
      <c r="AX791" s="63"/>
      <c r="AY791" s="34" t="s">
        <v>1923</v>
      </c>
      <c r="AZ791" s="63" t="s">
        <v>1924</v>
      </c>
      <c r="BB791" s="41"/>
    </row>
    <row r="792" spans="1:58" ht="15.75" hidden="1" customHeight="1">
      <c r="A792" s="193"/>
      <c r="B792" s="56" t="s">
        <v>1282</v>
      </c>
      <c r="C792" s="78"/>
      <c r="D792" s="34"/>
      <c r="E792" s="34"/>
      <c r="F792" s="34">
        <v>0.5</v>
      </c>
      <c r="G792" s="34"/>
      <c r="H792" s="34"/>
      <c r="I792" s="34"/>
      <c r="J792" s="34"/>
      <c r="K792" s="34"/>
      <c r="L792" s="34"/>
      <c r="M792" s="34"/>
      <c r="N792" s="34"/>
      <c r="O792" s="34"/>
      <c r="P792" s="34"/>
      <c r="Q792" s="34"/>
      <c r="R792" s="34"/>
      <c r="S792" s="34"/>
      <c r="T792" s="34"/>
      <c r="U792" s="34"/>
      <c r="V792" s="34"/>
      <c r="W792" s="34"/>
      <c r="X792" s="34"/>
      <c r="Y792" s="34"/>
      <c r="Z792" s="34"/>
      <c r="AA792" s="34"/>
      <c r="AB792" s="34"/>
      <c r="AC792" s="34"/>
      <c r="AD792" s="34"/>
      <c r="AE792" s="34"/>
      <c r="AF792" s="34"/>
      <c r="AG792" s="34"/>
      <c r="AH792" s="34"/>
      <c r="AI792" s="34"/>
      <c r="AJ792" s="34"/>
      <c r="AK792" s="34"/>
      <c r="AL792" s="34"/>
      <c r="AM792" s="34"/>
      <c r="AN792" s="34"/>
      <c r="AO792" s="34"/>
      <c r="AP792" s="34"/>
      <c r="AQ792" s="34"/>
      <c r="AR792" s="34"/>
      <c r="AS792" s="34"/>
      <c r="AT792" s="34" t="s">
        <v>221</v>
      </c>
      <c r="AU792" s="159" t="s">
        <v>387</v>
      </c>
      <c r="AV792" s="34"/>
      <c r="AW792" s="34"/>
      <c r="AX792" s="63"/>
      <c r="AY792" s="34" t="s">
        <v>1923</v>
      </c>
      <c r="AZ792" s="63" t="s">
        <v>1924</v>
      </c>
      <c r="BB792" s="41"/>
    </row>
    <row r="793" spans="1:58" ht="31.5" hidden="1" customHeight="1">
      <c r="A793" s="193"/>
      <c r="B793" s="60"/>
      <c r="C793" s="78"/>
      <c r="D793" s="34"/>
      <c r="E793" s="34"/>
      <c r="F793" s="34">
        <f>0.35+0.7</f>
        <v>1.0499999999999998</v>
      </c>
      <c r="G793" s="34"/>
      <c r="H793" s="34"/>
      <c r="I793" s="34"/>
      <c r="J793" s="34"/>
      <c r="K793" s="34"/>
      <c r="L793" s="34"/>
      <c r="M793" s="34"/>
      <c r="N793" s="34"/>
      <c r="O793" s="34"/>
      <c r="P793" s="34"/>
      <c r="Q793" s="34"/>
      <c r="R793" s="34"/>
      <c r="S793" s="34"/>
      <c r="T793" s="34"/>
      <c r="U793" s="34"/>
      <c r="V793" s="34"/>
      <c r="W793" s="34"/>
      <c r="X793" s="34"/>
      <c r="Y793" s="34"/>
      <c r="Z793" s="34"/>
      <c r="AA793" s="34"/>
      <c r="AB793" s="34"/>
      <c r="AC793" s="34"/>
      <c r="AD793" s="34"/>
      <c r="AE793" s="34"/>
      <c r="AF793" s="34"/>
      <c r="AG793" s="34"/>
      <c r="AH793" s="34"/>
      <c r="AI793" s="34"/>
      <c r="AJ793" s="34"/>
      <c r="AK793" s="34"/>
      <c r="AL793" s="34"/>
      <c r="AM793" s="34"/>
      <c r="AN793" s="34"/>
      <c r="AO793" s="34"/>
      <c r="AP793" s="34"/>
      <c r="AQ793" s="34"/>
      <c r="AR793" s="34"/>
      <c r="AS793" s="34"/>
      <c r="AT793" s="34" t="s">
        <v>222</v>
      </c>
      <c r="AU793" s="159"/>
      <c r="AV793" s="34"/>
      <c r="AW793" s="34"/>
      <c r="AX793" s="63"/>
      <c r="AY793" s="34" t="s">
        <v>1973</v>
      </c>
      <c r="AZ793" s="39" t="s">
        <v>2645</v>
      </c>
      <c r="BA793" s="218"/>
      <c r="BB793" s="41">
        <f>0.13+0.07</f>
        <v>0.2</v>
      </c>
    </row>
    <row r="794" spans="1:58" s="61" customFormat="1" ht="15.75" hidden="1" customHeight="1">
      <c r="A794" s="220"/>
      <c r="B794" s="60" t="s">
        <v>2646</v>
      </c>
      <c r="C794" s="78" t="s">
        <v>59</v>
      </c>
      <c r="D794" s="34">
        <v>1.7</v>
      </c>
      <c r="E794" s="34"/>
      <c r="F794" s="34">
        <v>1.7</v>
      </c>
      <c r="G794" s="34">
        <v>1.7</v>
      </c>
      <c r="H794" s="34"/>
      <c r="I794" s="34"/>
      <c r="J794" s="34"/>
      <c r="K794" s="34"/>
      <c r="L794" s="34"/>
      <c r="M794" s="34"/>
      <c r="N794" s="34"/>
      <c r="O794" s="34"/>
      <c r="P794" s="34"/>
      <c r="Q794" s="34"/>
      <c r="R794" s="34"/>
      <c r="S794" s="34"/>
      <c r="T794" s="34"/>
      <c r="U794" s="34"/>
      <c r="V794" s="34"/>
      <c r="W794" s="34"/>
      <c r="X794" s="34"/>
      <c r="Y794" s="34"/>
      <c r="Z794" s="34"/>
      <c r="AA794" s="34"/>
      <c r="AB794" s="34"/>
      <c r="AC794" s="34"/>
      <c r="AD794" s="34"/>
      <c r="AE794" s="34"/>
      <c r="AF794" s="34"/>
      <c r="AG794" s="34"/>
      <c r="AH794" s="34"/>
      <c r="AI794" s="34"/>
      <c r="AJ794" s="34"/>
      <c r="AK794" s="34"/>
      <c r="AL794" s="34"/>
      <c r="AM794" s="34"/>
      <c r="AN794" s="34"/>
      <c r="AO794" s="34"/>
      <c r="AP794" s="34"/>
      <c r="AQ794" s="34"/>
      <c r="AR794" s="34"/>
      <c r="AS794" s="34"/>
      <c r="AT794" s="34" t="s">
        <v>223</v>
      </c>
      <c r="AU794" s="159"/>
      <c r="AV794" s="34"/>
      <c r="AW794" s="34"/>
      <c r="AX794" s="63"/>
      <c r="AY794" s="34" t="s">
        <v>1917</v>
      </c>
      <c r="AZ794" s="63" t="s">
        <v>1924</v>
      </c>
      <c r="BA794" s="65"/>
      <c r="BB794" s="202"/>
    </row>
    <row r="795" spans="1:58" s="61" customFormat="1" ht="15.75" hidden="1" customHeight="1">
      <c r="A795" s="220"/>
      <c r="B795" s="60" t="s">
        <v>1299</v>
      </c>
      <c r="C795" s="78" t="s">
        <v>59</v>
      </c>
      <c r="D795" s="34">
        <v>0.24</v>
      </c>
      <c r="E795" s="34"/>
      <c r="F795" s="34">
        <v>0.24</v>
      </c>
      <c r="G795" s="34"/>
      <c r="H795" s="34"/>
      <c r="I795" s="34"/>
      <c r="J795" s="34">
        <v>0.24</v>
      </c>
      <c r="K795" s="34"/>
      <c r="L795" s="34"/>
      <c r="M795" s="34"/>
      <c r="N795" s="34"/>
      <c r="O795" s="34"/>
      <c r="P795" s="34"/>
      <c r="Q795" s="34"/>
      <c r="R795" s="34"/>
      <c r="S795" s="34"/>
      <c r="T795" s="34"/>
      <c r="U795" s="34"/>
      <c r="V795" s="34"/>
      <c r="W795" s="34"/>
      <c r="X795" s="34"/>
      <c r="Y795" s="34"/>
      <c r="Z795" s="34"/>
      <c r="AA795" s="34"/>
      <c r="AB795" s="34"/>
      <c r="AC795" s="34"/>
      <c r="AD795" s="34"/>
      <c r="AE795" s="34"/>
      <c r="AF795" s="34"/>
      <c r="AG795" s="34"/>
      <c r="AH795" s="34"/>
      <c r="AI795" s="34"/>
      <c r="AJ795" s="34"/>
      <c r="AK795" s="34"/>
      <c r="AL795" s="34"/>
      <c r="AM795" s="34"/>
      <c r="AN795" s="34"/>
      <c r="AO795" s="34"/>
      <c r="AP795" s="34"/>
      <c r="AQ795" s="34"/>
      <c r="AR795" s="34"/>
      <c r="AS795" s="34"/>
      <c r="AT795" s="34" t="s">
        <v>223</v>
      </c>
      <c r="AU795" s="159"/>
      <c r="AV795" s="34"/>
      <c r="AW795" s="34"/>
      <c r="AX795" s="63"/>
      <c r="AY795" s="34" t="s">
        <v>1917</v>
      </c>
      <c r="AZ795" s="63" t="s">
        <v>1924</v>
      </c>
      <c r="BA795" s="65"/>
      <c r="BB795" s="202"/>
    </row>
    <row r="796" spans="1:58" ht="31.5" hidden="1" customHeight="1">
      <c r="A796" s="193"/>
      <c r="B796" s="60" t="s">
        <v>2647</v>
      </c>
      <c r="C796" s="38" t="s">
        <v>59</v>
      </c>
      <c r="D796" s="231">
        <v>0.7</v>
      </c>
      <c r="E796" s="103"/>
      <c r="F796" s="231">
        <v>0.7</v>
      </c>
      <c r="G796" s="34"/>
      <c r="H796" s="34"/>
      <c r="I796" s="34"/>
      <c r="J796" s="34"/>
      <c r="K796" s="34"/>
      <c r="L796" s="34"/>
      <c r="M796" s="34"/>
      <c r="N796" s="34"/>
      <c r="O796" s="34"/>
      <c r="P796" s="34"/>
      <c r="Q796" s="34"/>
      <c r="R796" s="34"/>
      <c r="S796" s="34"/>
      <c r="T796" s="34"/>
      <c r="U796" s="34"/>
      <c r="V796" s="34"/>
      <c r="W796" s="34"/>
      <c r="X796" s="34"/>
      <c r="Y796" s="34"/>
      <c r="Z796" s="34"/>
      <c r="AA796" s="34"/>
      <c r="AB796" s="34"/>
      <c r="AC796" s="34"/>
      <c r="AD796" s="34"/>
      <c r="AE796" s="34"/>
      <c r="AF796" s="34"/>
      <c r="AG796" s="34"/>
      <c r="AH796" s="34"/>
      <c r="AI796" s="34"/>
      <c r="AJ796" s="34"/>
      <c r="AK796" s="34"/>
      <c r="AL796" s="34"/>
      <c r="AM796" s="34"/>
      <c r="AN796" s="34"/>
      <c r="AO796" s="34"/>
      <c r="AP796" s="34"/>
      <c r="AQ796" s="34"/>
      <c r="AR796" s="34"/>
      <c r="AS796" s="34"/>
      <c r="AT796" s="34" t="s">
        <v>224</v>
      </c>
      <c r="AU796" s="34" t="s">
        <v>615</v>
      </c>
      <c r="AV796" s="34"/>
      <c r="AW796" s="34"/>
      <c r="AX796" s="63"/>
      <c r="AY796" s="34" t="s">
        <v>1917</v>
      </c>
      <c r="AZ796" s="39" t="s">
        <v>1924</v>
      </c>
      <c r="BA796" s="58" t="s">
        <v>2648</v>
      </c>
    </row>
    <row r="797" spans="1:58" ht="31.5" hidden="1" customHeight="1">
      <c r="A797" s="193"/>
      <c r="B797" s="56"/>
      <c r="C797" s="78"/>
      <c r="D797" s="34"/>
      <c r="E797" s="34"/>
      <c r="F797" s="34">
        <v>2.2000000000000002</v>
      </c>
      <c r="G797" s="34"/>
      <c r="H797" s="34"/>
      <c r="I797" s="34"/>
      <c r="J797" s="34"/>
      <c r="K797" s="34"/>
      <c r="L797" s="34"/>
      <c r="M797" s="34"/>
      <c r="N797" s="34"/>
      <c r="O797" s="34"/>
      <c r="P797" s="34"/>
      <c r="Q797" s="34"/>
      <c r="R797" s="34"/>
      <c r="S797" s="34"/>
      <c r="T797" s="34"/>
      <c r="U797" s="34"/>
      <c r="V797" s="34"/>
      <c r="W797" s="34"/>
      <c r="X797" s="34"/>
      <c r="Y797" s="34"/>
      <c r="Z797" s="34"/>
      <c r="AA797" s="34"/>
      <c r="AB797" s="34"/>
      <c r="AC797" s="34"/>
      <c r="AD797" s="34"/>
      <c r="AE797" s="34"/>
      <c r="AF797" s="34"/>
      <c r="AG797" s="34"/>
      <c r="AH797" s="34"/>
      <c r="AI797" s="34"/>
      <c r="AJ797" s="34"/>
      <c r="AK797" s="34"/>
      <c r="AL797" s="34"/>
      <c r="AM797" s="34"/>
      <c r="AN797" s="34"/>
      <c r="AO797" s="34"/>
      <c r="AP797" s="34"/>
      <c r="AQ797" s="34"/>
      <c r="AR797" s="34"/>
      <c r="AS797" s="34"/>
      <c r="AT797" s="34" t="s">
        <v>225</v>
      </c>
      <c r="AU797" s="159" t="s">
        <v>615</v>
      </c>
      <c r="AV797" s="34"/>
      <c r="AW797" s="34"/>
      <c r="AX797" s="63"/>
      <c r="AY797" s="34" t="s">
        <v>1973</v>
      </c>
      <c r="AZ797" s="63" t="s">
        <v>2649</v>
      </c>
      <c r="BA797" s="15">
        <f>2.2-0.38</f>
        <v>1.8200000000000003</v>
      </c>
      <c r="BB797" s="41"/>
    </row>
    <row r="798" spans="1:58" ht="31.5" hidden="1" customHeight="1">
      <c r="A798" s="193"/>
      <c r="B798" s="56"/>
      <c r="C798" s="78"/>
      <c r="D798" s="34"/>
      <c r="E798" s="34"/>
      <c r="F798" s="34">
        <v>0.86</v>
      </c>
      <c r="G798" s="34"/>
      <c r="H798" s="34"/>
      <c r="I798" s="34"/>
      <c r="J798" s="34"/>
      <c r="K798" s="34"/>
      <c r="L798" s="34"/>
      <c r="M798" s="34"/>
      <c r="N798" s="34"/>
      <c r="O798" s="34"/>
      <c r="P798" s="34"/>
      <c r="Q798" s="34"/>
      <c r="R798" s="34"/>
      <c r="S798" s="34"/>
      <c r="T798" s="34"/>
      <c r="U798" s="34"/>
      <c r="V798" s="34"/>
      <c r="W798" s="34"/>
      <c r="X798" s="34"/>
      <c r="Y798" s="34"/>
      <c r="Z798" s="34"/>
      <c r="AA798" s="34"/>
      <c r="AB798" s="34"/>
      <c r="AC798" s="34"/>
      <c r="AD798" s="34"/>
      <c r="AE798" s="34"/>
      <c r="AF798" s="34"/>
      <c r="AG798" s="34"/>
      <c r="AH798" s="34"/>
      <c r="AI798" s="34"/>
      <c r="AJ798" s="34"/>
      <c r="AK798" s="34"/>
      <c r="AL798" s="34"/>
      <c r="AM798" s="34"/>
      <c r="AN798" s="34"/>
      <c r="AO798" s="34"/>
      <c r="AP798" s="34"/>
      <c r="AQ798" s="34"/>
      <c r="AR798" s="34"/>
      <c r="AS798" s="34"/>
      <c r="AT798" s="148" t="s">
        <v>983</v>
      </c>
      <c r="AU798" s="159"/>
      <c r="AV798" s="34"/>
      <c r="AW798" s="34"/>
      <c r="AX798" s="63"/>
      <c r="AY798" s="34" t="s">
        <v>1917</v>
      </c>
      <c r="AZ798" s="63" t="s">
        <v>2650</v>
      </c>
      <c r="BA798" s="252"/>
      <c r="BC798" s="41"/>
    </row>
    <row r="799" spans="1:58" s="61" customFormat="1" ht="31.5" hidden="1" customHeight="1">
      <c r="A799" s="220"/>
      <c r="B799" s="56" t="s">
        <v>2643</v>
      </c>
      <c r="C799" s="78"/>
      <c r="D799" s="34"/>
      <c r="E799" s="34"/>
      <c r="F799" s="34">
        <v>0.95</v>
      </c>
      <c r="G799" s="34"/>
      <c r="H799" s="34"/>
      <c r="I799" s="34"/>
      <c r="J799" s="34"/>
      <c r="K799" s="34"/>
      <c r="L799" s="34"/>
      <c r="M799" s="34"/>
      <c r="N799" s="34"/>
      <c r="O799" s="34"/>
      <c r="P799" s="34"/>
      <c r="Q799" s="34"/>
      <c r="R799" s="34"/>
      <c r="S799" s="34"/>
      <c r="T799" s="34"/>
      <c r="U799" s="34"/>
      <c r="V799" s="34"/>
      <c r="W799" s="34"/>
      <c r="X799" s="34"/>
      <c r="Y799" s="34"/>
      <c r="Z799" s="34"/>
      <c r="AA799" s="34"/>
      <c r="AB799" s="34"/>
      <c r="AC799" s="34"/>
      <c r="AD799" s="34"/>
      <c r="AE799" s="34"/>
      <c r="AF799" s="34"/>
      <c r="AG799" s="34"/>
      <c r="AH799" s="34"/>
      <c r="AI799" s="34"/>
      <c r="AJ799" s="34"/>
      <c r="AK799" s="34"/>
      <c r="AL799" s="34"/>
      <c r="AM799" s="34"/>
      <c r="AN799" s="34"/>
      <c r="AO799" s="34"/>
      <c r="AP799" s="34"/>
      <c r="AQ799" s="34"/>
      <c r="AR799" s="34"/>
      <c r="AS799" s="34"/>
      <c r="AT799" s="34" t="s">
        <v>227</v>
      </c>
      <c r="AU799" s="159" t="s">
        <v>615</v>
      </c>
      <c r="AV799" s="34"/>
      <c r="AW799" s="34"/>
      <c r="AX799" s="63"/>
      <c r="AY799" s="34" t="s">
        <v>1917</v>
      </c>
      <c r="AZ799" s="39" t="s">
        <v>2651</v>
      </c>
      <c r="BA799" s="58">
        <f>F799-0.13</f>
        <v>0.82</v>
      </c>
      <c r="BB799" s="202"/>
    </row>
    <row r="800" spans="1:58" ht="15.75" hidden="1" customHeight="1">
      <c r="A800" s="193"/>
      <c r="B800" s="56" t="s">
        <v>1299</v>
      </c>
      <c r="C800" s="78"/>
      <c r="D800" s="34"/>
      <c r="E800" s="34"/>
      <c r="F800" s="34">
        <v>2.2000000000000002</v>
      </c>
      <c r="G800" s="34"/>
      <c r="H800" s="34"/>
      <c r="I800" s="34"/>
      <c r="J800" s="34"/>
      <c r="K800" s="34"/>
      <c r="L800" s="34"/>
      <c r="M800" s="34"/>
      <c r="N800" s="34"/>
      <c r="O800" s="34"/>
      <c r="P800" s="34"/>
      <c r="Q800" s="34"/>
      <c r="R800" s="34"/>
      <c r="S800" s="34"/>
      <c r="T800" s="34"/>
      <c r="U800" s="34"/>
      <c r="V800" s="34"/>
      <c r="W800" s="34"/>
      <c r="X800" s="34"/>
      <c r="Y800" s="34"/>
      <c r="Z800" s="34"/>
      <c r="AA800" s="34"/>
      <c r="AB800" s="34"/>
      <c r="AC800" s="34"/>
      <c r="AD800" s="34"/>
      <c r="AE800" s="34"/>
      <c r="AF800" s="34"/>
      <c r="AG800" s="34"/>
      <c r="AH800" s="34"/>
      <c r="AI800" s="34"/>
      <c r="AJ800" s="34"/>
      <c r="AK800" s="34"/>
      <c r="AL800" s="34"/>
      <c r="AM800" s="34"/>
      <c r="AN800" s="34"/>
      <c r="AO800" s="34"/>
      <c r="AP800" s="34"/>
      <c r="AQ800" s="34"/>
      <c r="AR800" s="34"/>
      <c r="AS800" s="34"/>
      <c r="AT800" s="34" t="s">
        <v>228</v>
      </c>
      <c r="AU800" s="159"/>
      <c r="AV800" s="34"/>
      <c r="AW800" s="34"/>
      <c r="AX800" s="63"/>
      <c r="AY800" s="140" t="s">
        <v>1923</v>
      </c>
      <c r="AZ800" s="63" t="s">
        <v>1924</v>
      </c>
      <c r="BB800" s="41"/>
    </row>
    <row r="801" spans="1:54" ht="15.75" hidden="1" customHeight="1">
      <c r="A801" s="193"/>
      <c r="B801" s="60" t="s">
        <v>1299</v>
      </c>
      <c r="C801" s="78" t="s">
        <v>59</v>
      </c>
      <c r="D801" s="238">
        <v>0.6</v>
      </c>
      <c r="E801" s="238"/>
      <c r="F801" s="238">
        <v>1.3</v>
      </c>
      <c r="G801" s="34"/>
      <c r="H801" s="34"/>
      <c r="I801" s="34"/>
      <c r="J801" s="34"/>
      <c r="K801" s="34"/>
      <c r="L801" s="34"/>
      <c r="M801" s="34"/>
      <c r="N801" s="34"/>
      <c r="O801" s="34"/>
      <c r="P801" s="34"/>
      <c r="Q801" s="34"/>
      <c r="R801" s="34"/>
      <c r="S801" s="34"/>
      <c r="T801" s="34"/>
      <c r="U801" s="34"/>
      <c r="V801" s="34"/>
      <c r="W801" s="34"/>
      <c r="X801" s="34"/>
      <c r="Y801" s="34"/>
      <c r="Z801" s="34"/>
      <c r="AA801" s="34"/>
      <c r="AB801" s="34"/>
      <c r="AC801" s="34"/>
      <c r="AD801" s="34"/>
      <c r="AE801" s="34"/>
      <c r="AF801" s="34"/>
      <c r="AG801" s="34"/>
      <c r="AH801" s="34"/>
      <c r="AI801" s="34"/>
      <c r="AJ801" s="34"/>
      <c r="AK801" s="34"/>
      <c r="AL801" s="34"/>
      <c r="AM801" s="34"/>
      <c r="AN801" s="34"/>
      <c r="AO801" s="34"/>
      <c r="AP801" s="34"/>
      <c r="AQ801" s="34"/>
      <c r="AR801" s="34"/>
      <c r="AS801" s="34"/>
      <c r="AT801" s="34" t="s">
        <v>229</v>
      </c>
      <c r="AU801" s="159"/>
      <c r="AV801" s="34"/>
      <c r="AW801" s="34"/>
      <c r="AX801" s="63"/>
      <c r="AY801" s="34" t="s">
        <v>1917</v>
      </c>
      <c r="AZ801" s="39" t="s">
        <v>1926</v>
      </c>
      <c r="BB801" s="41"/>
    </row>
    <row r="802" spans="1:54" ht="31.5" hidden="1" customHeight="1">
      <c r="A802" s="193"/>
      <c r="B802" s="56" t="s">
        <v>2643</v>
      </c>
      <c r="C802" s="78"/>
      <c r="D802" s="34"/>
      <c r="E802" s="34"/>
      <c r="F802" s="34">
        <v>0.8</v>
      </c>
      <c r="G802" s="34"/>
      <c r="H802" s="34"/>
      <c r="I802" s="34"/>
      <c r="J802" s="34"/>
      <c r="K802" s="34"/>
      <c r="L802" s="34"/>
      <c r="M802" s="34"/>
      <c r="N802" s="34"/>
      <c r="O802" s="34"/>
      <c r="P802" s="34"/>
      <c r="Q802" s="34"/>
      <c r="R802" s="34"/>
      <c r="S802" s="34"/>
      <c r="T802" s="34"/>
      <c r="U802" s="34"/>
      <c r="V802" s="34"/>
      <c r="W802" s="34"/>
      <c r="X802" s="34"/>
      <c r="Y802" s="34"/>
      <c r="Z802" s="34"/>
      <c r="AA802" s="34"/>
      <c r="AB802" s="34"/>
      <c r="AC802" s="34"/>
      <c r="AD802" s="34"/>
      <c r="AE802" s="34"/>
      <c r="AF802" s="34"/>
      <c r="AG802" s="34"/>
      <c r="AH802" s="34"/>
      <c r="AI802" s="34"/>
      <c r="AJ802" s="34"/>
      <c r="AK802" s="34"/>
      <c r="AL802" s="34"/>
      <c r="AM802" s="34"/>
      <c r="AN802" s="34"/>
      <c r="AO802" s="34"/>
      <c r="AP802" s="34"/>
      <c r="AQ802" s="34"/>
      <c r="AR802" s="34"/>
      <c r="AS802" s="34"/>
      <c r="AT802" s="34" t="s">
        <v>230</v>
      </c>
      <c r="AU802" s="159"/>
      <c r="AV802" s="34"/>
      <c r="AW802" s="34"/>
      <c r="AX802" s="63"/>
      <c r="AY802" s="34" t="s">
        <v>1923</v>
      </c>
      <c r="AZ802" s="63" t="s">
        <v>2652</v>
      </c>
      <c r="BB802" s="41"/>
    </row>
    <row r="803" spans="1:54" ht="15.75" hidden="1" customHeight="1">
      <c r="A803" s="193"/>
      <c r="B803" s="56" t="s">
        <v>2643</v>
      </c>
      <c r="C803" s="78"/>
      <c r="D803" s="34"/>
      <c r="E803" s="34"/>
      <c r="F803" s="34">
        <v>1.36</v>
      </c>
      <c r="G803" s="34"/>
      <c r="H803" s="34"/>
      <c r="I803" s="34"/>
      <c r="J803" s="34"/>
      <c r="K803" s="34"/>
      <c r="L803" s="34"/>
      <c r="M803" s="34"/>
      <c r="N803" s="34"/>
      <c r="O803" s="34"/>
      <c r="P803" s="34"/>
      <c r="Q803" s="34"/>
      <c r="R803" s="34"/>
      <c r="S803" s="34"/>
      <c r="T803" s="34"/>
      <c r="U803" s="34"/>
      <c r="V803" s="34"/>
      <c r="W803" s="34"/>
      <c r="X803" s="34"/>
      <c r="Y803" s="34"/>
      <c r="Z803" s="34"/>
      <c r="AA803" s="34"/>
      <c r="AB803" s="34"/>
      <c r="AC803" s="34"/>
      <c r="AD803" s="34"/>
      <c r="AE803" s="34"/>
      <c r="AF803" s="34"/>
      <c r="AG803" s="34"/>
      <c r="AH803" s="34"/>
      <c r="AI803" s="34"/>
      <c r="AJ803" s="34"/>
      <c r="AK803" s="34"/>
      <c r="AL803" s="34"/>
      <c r="AM803" s="34"/>
      <c r="AN803" s="34"/>
      <c r="AO803" s="34"/>
      <c r="AP803" s="34"/>
      <c r="AQ803" s="34"/>
      <c r="AR803" s="34"/>
      <c r="AS803" s="34"/>
      <c r="AT803" s="34" t="s">
        <v>231</v>
      </c>
      <c r="AU803" s="159"/>
      <c r="AV803" s="34"/>
      <c r="AW803" s="34"/>
      <c r="AX803" s="63"/>
      <c r="AY803" s="34" t="s">
        <v>1923</v>
      </c>
      <c r="AZ803" s="39" t="s">
        <v>1924</v>
      </c>
      <c r="BB803" s="41"/>
    </row>
    <row r="804" spans="1:54" ht="31.5" hidden="1" customHeight="1">
      <c r="A804" s="193"/>
      <c r="B804" s="56"/>
      <c r="C804" s="78"/>
      <c r="D804" s="34"/>
      <c r="E804" s="34"/>
      <c r="F804" s="34">
        <v>0.7</v>
      </c>
      <c r="G804" s="34"/>
      <c r="H804" s="34"/>
      <c r="I804" s="34"/>
      <c r="J804" s="34"/>
      <c r="K804" s="34"/>
      <c r="L804" s="34"/>
      <c r="M804" s="34"/>
      <c r="N804" s="34"/>
      <c r="O804" s="34"/>
      <c r="P804" s="34"/>
      <c r="Q804" s="34"/>
      <c r="R804" s="34"/>
      <c r="S804" s="34"/>
      <c r="T804" s="34"/>
      <c r="U804" s="34"/>
      <c r="V804" s="34"/>
      <c r="W804" s="34"/>
      <c r="X804" s="34"/>
      <c r="Y804" s="34"/>
      <c r="Z804" s="34"/>
      <c r="AA804" s="34"/>
      <c r="AB804" s="34"/>
      <c r="AC804" s="34"/>
      <c r="AD804" s="34"/>
      <c r="AE804" s="34"/>
      <c r="AF804" s="34"/>
      <c r="AG804" s="34"/>
      <c r="AH804" s="34"/>
      <c r="AI804" s="34"/>
      <c r="AJ804" s="34"/>
      <c r="AK804" s="34"/>
      <c r="AL804" s="34"/>
      <c r="AM804" s="34"/>
      <c r="AN804" s="34"/>
      <c r="AO804" s="34"/>
      <c r="AP804" s="34"/>
      <c r="AQ804" s="34"/>
      <c r="AR804" s="34"/>
      <c r="AS804" s="34"/>
      <c r="AT804" s="34" t="s">
        <v>232</v>
      </c>
      <c r="AU804" s="159"/>
      <c r="AV804" s="34"/>
      <c r="AW804" s="34"/>
      <c r="AX804" s="63"/>
      <c r="AY804" s="34" t="s">
        <v>1973</v>
      </c>
      <c r="AZ804" s="63" t="s">
        <v>2653</v>
      </c>
      <c r="BB804" s="41"/>
    </row>
    <row r="805" spans="1:54" ht="15.75" hidden="1" customHeight="1">
      <c r="A805" s="193"/>
      <c r="B805" s="60" t="s">
        <v>1299</v>
      </c>
      <c r="C805" s="78"/>
      <c r="D805" s="34"/>
      <c r="E805" s="34"/>
      <c r="F805" s="34">
        <v>1.6</v>
      </c>
      <c r="G805" s="34"/>
      <c r="H805" s="34"/>
      <c r="I805" s="34"/>
      <c r="J805" s="34"/>
      <c r="K805" s="34"/>
      <c r="L805" s="34"/>
      <c r="M805" s="34"/>
      <c r="N805" s="34"/>
      <c r="O805" s="34"/>
      <c r="P805" s="34"/>
      <c r="Q805" s="34"/>
      <c r="R805" s="34"/>
      <c r="S805" s="34"/>
      <c r="T805" s="34"/>
      <c r="U805" s="34"/>
      <c r="V805" s="34"/>
      <c r="W805" s="34"/>
      <c r="X805" s="34"/>
      <c r="Y805" s="34"/>
      <c r="Z805" s="34"/>
      <c r="AA805" s="34"/>
      <c r="AB805" s="34"/>
      <c r="AC805" s="34"/>
      <c r="AD805" s="34"/>
      <c r="AE805" s="34"/>
      <c r="AF805" s="34"/>
      <c r="AG805" s="34"/>
      <c r="AH805" s="34"/>
      <c r="AI805" s="34"/>
      <c r="AJ805" s="34"/>
      <c r="AK805" s="34"/>
      <c r="AL805" s="34"/>
      <c r="AM805" s="34"/>
      <c r="AN805" s="34"/>
      <c r="AO805" s="34"/>
      <c r="AP805" s="34"/>
      <c r="AQ805" s="34"/>
      <c r="AR805" s="34"/>
      <c r="AS805" s="34"/>
      <c r="AT805" s="34" t="s">
        <v>2654</v>
      </c>
      <c r="AU805" s="159"/>
      <c r="AV805" s="34"/>
      <c r="AW805" s="34"/>
      <c r="AX805" s="63"/>
      <c r="AY805" s="34" t="s">
        <v>1917</v>
      </c>
      <c r="AZ805" s="39" t="s">
        <v>1926</v>
      </c>
      <c r="BB805" s="41"/>
    </row>
    <row r="806" spans="1:54" ht="31.5" hidden="1" customHeight="1">
      <c r="A806" s="220"/>
      <c r="B806" s="56" t="s">
        <v>1299</v>
      </c>
      <c r="C806" s="78"/>
      <c r="D806" s="34"/>
      <c r="E806" s="34"/>
      <c r="F806" s="34">
        <v>1.25</v>
      </c>
      <c r="G806" s="34"/>
      <c r="H806" s="34"/>
      <c r="I806" s="34"/>
      <c r="J806" s="34"/>
      <c r="K806" s="34"/>
      <c r="L806" s="34"/>
      <c r="M806" s="34"/>
      <c r="N806" s="34"/>
      <c r="O806" s="34"/>
      <c r="P806" s="34"/>
      <c r="Q806" s="34"/>
      <c r="R806" s="34"/>
      <c r="S806" s="34"/>
      <c r="T806" s="34"/>
      <c r="U806" s="34"/>
      <c r="V806" s="34"/>
      <c r="W806" s="34"/>
      <c r="X806" s="34"/>
      <c r="Y806" s="34"/>
      <c r="Z806" s="34"/>
      <c r="AA806" s="34"/>
      <c r="AB806" s="34"/>
      <c r="AC806" s="34"/>
      <c r="AD806" s="34"/>
      <c r="AE806" s="34"/>
      <c r="AF806" s="34"/>
      <c r="AG806" s="34"/>
      <c r="AH806" s="34"/>
      <c r="AI806" s="34"/>
      <c r="AJ806" s="34"/>
      <c r="AK806" s="34"/>
      <c r="AL806" s="34"/>
      <c r="AM806" s="34"/>
      <c r="AN806" s="34"/>
      <c r="AO806" s="34"/>
      <c r="AP806" s="34"/>
      <c r="AQ806" s="34"/>
      <c r="AR806" s="34"/>
      <c r="AS806" s="34"/>
      <c r="AT806" s="34" t="s">
        <v>234</v>
      </c>
      <c r="AU806" s="159" t="s">
        <v>615</v>
      </c>
      <c r="AV806" s="34"/>
      <c r="AW806" s="34"/>
      <c r="AX806" s="63"/>
      <c r="AY806" s="34" t="s">
        <v>1917</v>
      </c>
      <c r="AZ806" s="63" t="s">
        <v>2655</v>
      </c>
      <c r="BA806" s="15" t="s">
        <v>14</v>
      </c>
      <c r="BB806" s="41"/>
    </row>
    <row r="807" spans="1:54" ht="31.5" hidden="1" customHeight="1">
      <c r="A807" s="193"/>
      <c r="B807" s="56" t="s">
        <v>2643</v>
      </c>
      <c r="C807" s="78" t="s">
        <v>59</v>
      </c>
      <c r="D807" s="34">
        <f>E807+F807</f>
        <v>0.8</v>
      </c>
      <c r="E807" s="34"/>
      <c r="F807" s="34">
        <v>0.8</v>
      </c>
      <c r="G807" s="34">
        <f>2.21-1-0.5</f>
        <v>0.71</v>
      </c>
      <c r="H807" s="34">
        <f>1-0.34</f>
        <v>0.65999999999999992</v>
      </c>
      <c r="I807" s="34">
        <f>0.567-0.06-0.15</f>
        <v>0.35699999999999987</v>
      </c>
      <c r="J807" s="34">
        <f>15+16.93-1-0.3-1-0.92-0.15-0.36</f>
        <v>28.2</v>
      </c>
      <c r="K807" s="34">
        <v>0.8</v>
      </c>
      <c r="L807" s="34">
        <v>0</v>
      </c>
      <c r="M807" s="34">
        <v>0.8</v>
      </c>
      <c r="N807" s="34"/>
      <c r="O807" s="34"/>
      <c r="P807" s="34"/>
      <c r="Q807" s="34"/>
      <c r="R807" s="34"/>
      <c r="S807" s="34"/>
      <c r="T807" s="34"/>
      <c r="U807" s="34"/>
      <c r="V807" s="34"/>
      <c r="W807" s="34"/>
      <c r="X807" s="34"/>
      <c r="Y807" s="34"/>
      <c r="Z807" s="34"/>
      <c r="AA807" s="34"/>
      <c r="AB807" s="34"/>
      <c r="AC807" s="34"/>
      <c r="AD807" s="34"/>
      <c r="AE807" s="34"/>
      <c r="AF807" s="34"/>
      <c r="AG807" s="34"/>
      <c r="AH807" s="34"/>
      <c r="AI807" s="34"/>
      <c r="AJ807" s="34"/>
      <c r="AK807" s="34"/>
      <c r="AL807" s="34"/>
      <c r="AM807" s="34"/>
      <c r="AN807" s="34">
        <v>1.9E-2</v>
      </c>
      <c r="AO807" s="34"/>
      <c r="AP807" s="34"/>
      <c r="AQ807" s="34"/>
      <c r="AR807" s="34"/>
      <c r="AS807" s="34"/>
      <c r="AT807" s="34" t="s">
        <v>235</v>
      </c>
      <c r="AU807" s="159" t="s">
        <v>615</v>
      </c>
      <c r="AV807" s="34"/>
      <c r="AW807" s="34"/>
      <c r="AX807" s="63" t="s">
        <v>1970</v>
      </c>
      <c r="AY807" s="148" t="s">
        <v>1986</v>
      </c>
      <c r="AZ807" s="63"/>
      <c r="BA807" s="234" t="s">
        <v>2656</v>
      </c>
      <c r="BB807" s="41"/>
    </row>
    <row r="808" spans="1:54" ht="47.25" hidden="1" customHeight="1">
      <c r="A808" s="193"/>
      <c r="B808" s="33" t="s">
        <v>2657</v>
      </c>
      <c r="C808" s="78"/>
      <c r="D808" s="34"/>
      <c r="E808" s="34"/>
      <c r="F808" s="34">
        <v>0.3</v>
      </c>
      <c r="G808" s="34"/>
      <c r="H808" s="34"/>
      <c r="I808" s="34"/>
      <c r="J808" s="34"/>
      <c r="K808" s="34"/>
      <c r="L808" s="34"/>
      <c r="M808" s="34"/>
      <c r="N808" s="34"/>
      <c r="O808" s="34"/>
      <c r="P808" s="34"/>
      <c r="Q808" s="34"/>
      <c r="R808" s="34"/>
      <c r="S808" s="34"/>
      <c r="T808" s="34"/>
      <c r="U808" s="34"/>
      <c r="V808" s="34"/>
      <c r="W808" s="34"/>
      <c r="X808" s="34"/>
      <c r="Y808" s="34"/>
      <c r="Z808" s="34"/>
      <c r="AA808" s="34"/>
      <c r="AB808" s="34"/>
      <c r="AC808" s="34"/>
      <c r="AD808" s="34"/>
      <c r="AE808" s="34"/>
      <c r="AF808" s="34"/>
      <c r="AG808" s="34"/>
      <c r="AH808" s="34"/>
      <c r="AI808" s="34"/>
      <c r="AJ808" s="34"/>
      <c r="AK808" s="34"/>
      <c r="AL808" s="34"/>
      <c r="AM808" s="34"/>
      <c r="AN808" s="34"/>
      <c r="AO808" s="34"/>
      <c r="AP808" s="34"/>
      <c r="AQ808" s="34"/>
      <c r="AR808" s="34"/>
      <c r="AS808" s="34"/>
      <c r="AT808" s="34" t="s">
        <v>235</v>
      </c>
      <c r="AU808" s="34"/>
      <c r="AV808" s="34"/>
      <c r="AW808" s="148"/>
      <c r="AX808" s="63"/>
      <c r="AY808" s="148" t="s">
        <v>1923</v>
      </c>
      <c r="AZ808" s="63" t="s">
        <v>2613</v>
      </c>
      <c r="BB808" s="41"/>
    </row>
    <row r="809" spans="1:54" ht="47.25" hidden="1" customHeight="1">
      <c r="A809" s="193"/>
      <c r="B809" s="33" t="s">
        <v>2657</v>
      </c>
      <c r="C809" s="38" t="s">
        <v>2607</v>
      </c>
      <c r="D809" s="103">
        <f>E809+F809</f>
        <v>0.06</v>
      </c>
      <c r="E809" s="103"/>
      <c r="F809" s="103">
        <v>0.06</v>
      </c>
      <c r="G809" s="34">
        <v>8.09</v>
      </c>
      <c r="H809" s="34">
        <v>1.23</v>
      </c>
      <c r="I809" s="34">
        <v>1.21</v>
      </c>
      <c r="J809" s="34">
        <v>4.3499999999999996</v>
      </c>
      <c r="K809" s="34">
        <v>0</v>
      </c>
      <c r="L809" s="34">
        <v>0</v>
      </c>
      <c r="M809" s="34">
        <v>0</v>
      </c>
      <c r="N809" s="34">
        <v>0</v>
      </c>
      <c r="O809" s="34">
        <v>0</v>
      </c>
      <c r="P809" s="34">
        <v>0.46</v>
      </c>
      <c r="Q809" s="34">
        <v>0</v>
      </c>
      <c r="R809" s="34">
        <v>0</v>
      </c>
      <c r="S809" s="34">
        <v>0</v>
      </c>
      <c r="T809" s="34">
        <v>0</v>
      </c>
      <c r="U809" s="34">
        <v>0</v>
      </c>
      <c r="V809" s="34">
        <v>0</v>
      </c>
      <c r="W809" s="34">
        <v>0</v>
      </c>
      <c r="X809" s="34">
        <v>0</v>
      </c>
      <c r="Y809" s="34">
        <v>0</v>
      </c>
      <c r="Z809" s="34">
        <v>0</v>
      </c>
      <c r="AA809" s="34">
        <v>0.1</v>
      </c>
      <c r="AB809" s="34">
        <v>0.43000000000000005</v>
      </c>
      <c r="AC809" s="34">
        <v>0</v>
      </c>
      <c r="AD809" s="34">
        <v>0</v>
      </c>
      <c r="AE809" s="34">
        <v>0</v>
      </c>
      <c r="AF809" s="34">
        <v>0</v>
      </c>
      <c r="AG809" s="34">
        <v>0</v>
      </c>
      <c r="AH809" s="34">
        <v>0</v>
      </c>
      <c r="AI809" s="34">
        <v>0</v>
      </c>
      <c r="AJ809" s="34">
        <v>0</v>
      </c>
      <c r="AK809" s="34">
        <v>0</v>
      </c>
      <c r="AL809" s="34">
        <v>0</v>
      </c>
      <c r="AM809" s="34">
        <v>0</v>
      </c>
      <c r="AN809" s="34">
        <v>0</v>
      </c>
      <c r="AO809" s="34">
        <v>0</v>
      </c>
      <c r="AP809" s="34">
        <v>0</v>
      </c>
      <c r="AQ809" s="34">
        <v>0.27</v>
      </c>
      <c r="AR809" s="34">
        <v>0</v>
      </c>
      <c r="AS809" s="34">
        <v>0.06</v>
      </c>
      <c r="AT809" s="34" t="s">
        <v>235</v>
      </c>
      <c r="AU809" s="38"/>
      <c r="AV809" s="38"/>
      <c r="AW809" s="38"/>
      <c r="AX809" s="63" t="s">
        <v>1970</v>
      </c>
      <c r="AY809" s="148" t="s">
        <v>1923</v>
      </c>
      <c r="AZ809" s="63" t="s">
        <v>2613</v>
      </c>
      <c r="BB809" s="41"/>
    </row>
    <row r="810" spans="1:54" ht="31.5" hidden="1" customHeight="1">
      <c r="A810" s="193"/>
      <c r="B810" s="60"/>
      <c r="C810" s="78"/>
      <c r="D810" s="34"/>
      <c r="E810" s="34"/>
      <c r="F810" s="34">
        <v>3.2</v>
      </c>
      <c r="G810" s="34"/>
      <c r="H810" s="34"/>
      <c r="I810" s="34"/>
      <c r="J810" s="34"/>
      <c r="K810" s="34"/>
      <c r="L810" s="34"/>
      <c r="M810" s="34"/>
      <c r="N810" s="34"/>
      <c r="O810" s="34"/>
      <c r="P810" s="34"/>
      <c r="Q810" s="34"/>
      <c r="R810" s="34"/>
      <c r="S810" s="34"/>
      <c r="T810" s="34"/>
      <c r="U810" s="34"/>
      <c r="V810" s="34"/>
      <c r="W810" s="34"/>
      <c r="X810" s="34"/>
      <c r="Y810" s="34"/>
      <c r="Z810" s="34"/>
      <c r="AA810" s="34"/>
      <c r="AB810" s="34"/>
      <c r="AC810" s="34"/>
      <c r="AD810" s="34"/>
      <c r="AE810" s="34"/>
      <c r="AF810" s="34"/>
      <c r="AG810" s="34"/>
      <c r="AH810" s="34"/>
      <c r="AI810" s="34"/>
      <c r="AJ810" s="34"/>
      <c r="AK810" s="34"/>
      <c r="AL810" s="34"/>
      <c r="AM810" s="34"/>
      <c r="AN810" s="34"/>
      <c r="AO810" s="34"/>
      <c r="AP810" s="34"/>
      <c r="AQ810" s="34"/>
      <c r="AR810" s="34"/>
      <c r="AS810" s="34"/>
      <c r="AT810" s="34" t="s">
        <v>429</v>
      </c>
      <c r="AU810" s="159"/>
      <c r="AV810" s="34"/>
      <c r="AW810" s="34"/>
      <c r="AX810" s="63"/>
      <c r="AY810" s="34" t="s">
        <v>1973</v>
      </c>
      <c r="AZ810" s="63" t="s">
        <v>2658</v>
      </c>
      <c r="BB810" s="41"/>
    </row>
    <row r="811" spans="1:54" ht="15.75" hidden="1" customHeight="1">
      <c r="A811" s="193"/>
      <c r="B811" s="56" t="s">
        <v>2643</v>
      </c>
      <c r="C811" s="78"/>
      <c r="D811" s="34"/>
      <c r="E811" s="34"/>
      <c r="F811" s="34">
        <v>2.85</v>
      </c>
      <c r="G811" s="34"/>
      <c r="H811" s="34"/>
      <c r="I811" s="34"/>
      <c r="J811" s="34"/>
      <c r="K811" s="34"/>
      <c r="L811" s="34"/>
      <c r="M811" s="34"/>
      <c r="N811" s="34"/>
      <c r="O811" s="34"/>
      <c r="P811" s="34"/>
      <c r="Q811" s="34"/>
      <c r="R811" s="34"/>
      <c r="S811" s="34"/>
      <c r="T811" s="34"/>
      <c r="U811" s="34"/>
      <c r="V811" s="34"/>
      <c r="W811" s="34"/>
      <c r="X811" s="34"/>
      <c r="Y811" s="34"/>
      <c r="Z811" s="34"/>
      <c r="AA811" s="34"/>
      <c r="AB811" s="34"/>
      <c r="AC811" s="34"/>
      <c r="AD811" s="34"/>
      <c r="AE811" s="34"/>
      <c r="AF811" s="34"/>
      <c r="AG811" s="34"/>
      <c r="AH811" s="34"/>
      <c r="AI811" s="34"/>
      <c r="AJ811" s="34"/>
      <c r="AK811" s="34"/>
      <c r="AL811" s="34"/>
      <c r="AM811" s="34"/>
      <c r="AN811" s="34"/>
      <c r="AO811" s="34"/>
      <c r="AP811" s="34"/>
      <c r="AQ811" s="34"/>
      <c r="AR811" s="34"/>
      <c r="AS811" s="34"/>
      <c r="AT811" s="34" t="s">
        <v>237</v>
      </c>
      <c r="AU811" s="159"/>
      <c r="AV811" s="34"/>
      <c r="AW811" s="34"/>
      <c r="AX811" s="63"/>
      <c r="AY811" s="34" t="s">
        <v>1917</v>
      </c>
      <c r="AZ811" s="63" t="s">
        <v>1924</v>
      </c>
      <c r="BA811" s="234"/>
      <c r="BB811" s="41"/>
    </row>
    <row r="812" spans="1:54" ht="15.75" hidden="1" customHeight="1">
      <c r="A812" s="220"/>
      <c r="B812" s="60" t="s">
        <v>1299</v>
      </c>
      <c r="C812" s="78"/>
      <c r="D812" s="34"/>
      <c r="E812" s="34"/>
      <c r="F812" s="34"/>
      <c r="G812" s="34"/>
      <c r="H812" s="34"/>
      <c r="I812" s="34"/>
      <c r="J812" s="34">
        <v>0.52</v>
      </c>
      <c r="K812" s="34"/>
      <c r="L812" s="34"/>
      <c r="M812" s="34"/>
      <c r="N812" s="34"/>
      <c r="O812" s="34"/>
      <c r="P812" s="34"/>
      <c r="Q812" s="34"/>
      <c r="R812" s="34"/>
      <c r="S812" s="34"/>
      <c r="T812" s="34"/>
      <c r="U812" s="34"/>
      <c r="V812" s="34"/>
      <c r="W812" s="34"/>
      <c r="X812" s="34"/>
      <c r="Y812" s="34"/>
      <c r="Z812" s="34"/>
      <c r="AA812" s="34"/>
      <c r="AB812" s="34"/>
      <c r="AC812" s="34"/>
      <c r="AD812" s="34"/>
      <c r="AE812" s="34"/>
      <c r="AF812" s="34"/>
      <c r="AG812" s="34"/>
      <c r="AH812" s="34"/>
      <c r="AI812" s="34"/>
      <c r="AJ812" s="34"/>
      <c r="AK812" s="34"/>
      <c r="AL812" s="34"/>
      <c r="AM812" s="34"/>
      <c r="AN812" s="34"/>
      <c r="AO812" s="34"/>
      <c r="AP812" s="34"/>
      <c r="AQ812" s="34"/>
      <c r="AR812" s="34"/>
      <c r="AS812" s="34"/>
      <c r="AT812" s="38" t="s">
        <v>238</v>
      </c>
      <c r="AU812" s="159"/>
      <c r="AV812" s="34"/>
      <c r="AW812" s="34"/>
      <c r="AX812" s="63"/>
      <c r="AY812" s="34" t="s">
        <v>1973</v>
      </c>
      <c r="AZ812" s="63" t="s">
        <v>1924</v>
      </c>
      <c r="BA812" s="65"/>
      <c r="BB812" s="41"/>
    </row>
    <row r="813" spans="1:54" ht="15.75" hidden="1" customHeight="1">
      <c r="A813" s="193"/>
      <c r="B813" s="56"/>
      <c r="C813" s="78"/>
      <c r="D813" s="34"/>
      <c r="E813" s="34"/>
      <c r="F813" s="34">
        <v>2.2000000000000002</v>
      </c>
      <c r="G813" s="34"/>
      <c r="H813" s="34"/>
      <c r="I813" s="34"/>
      <c r="J813" s="34"/>
      <c r="K813" s="34"/>
      <c r="L813" s="34"/>
      <c r="M813" s="34"/>
      <c r="N813" s="34"/>
      <c r="O813" s="34"/>
      <c r="P813" s="34"/>
      <c r="Q813" s="34"/>
      <c r="R813" s="34"/>
      <c r="S813" s="34"/>
      <c r="T813" s="34"/>
      <c r="U813" s="34"/>
      <c r="V813" s="34"/>
      <c r="W813" s="34"/>
      <c r="X813" s="34"/>
      <c r="Y813" s="34"/>
      <c r="Z813" s="34"/>
      <c r="AA813" s="34"/>
      <c r="AB813" s="34"/>
      <c r="AC813" s="34"/>
      <c r="AD813" s="34"/>
      <c r="AE813" s="34"/>
      <c r="AF813" s="34"/>
      <c r="AG813" s="34"/>
      <c r="AH813" s="34"/>
      <c r="AI813" s="34"/>
      <c r="AJ813" s="34"/>
      <c r="AK813" s="34"/>
      <c r="AL813" s="34"/>
      <c r="AM813" s="34"/>
      <c r="AN813" s="34"/>
      <c r="AO813" s="34"/>
      <c r="AP813" s="34"/>
      <c r="AQ813" s="34"/>
      <c r="AR813" s="34"/>
      <c r="AS813" s="34"/>
      <c r="AT813" s="34" t="s">
        <v>239</v>
      </c>
      <c r="AU813" s="159" t="s">
        <v>615</v>
      </c>
      <c r="AV813" s="34"/>
      <c r="AW813" s="34"/>
      <c r="AX813" s="63"/>
      <c r="AY813" s="34" t="s">
        <v>1923</v>
      </c>
      <c r="AZ813" s="63" t="s">
        <v>1924</v>
      </c>
      <c r="BB813" s="41"/>
    </row>
    <row r="814" spans="1:54" ht="31.5" hidden="1" customHeight="1">
      <c r="A814" s="193"/>
      <c r="B814" s="56"/>
      <c r="C814" s="78"/>
      <c r="D814" s="34"/>
      <c r="E814" s="34"/>
      <c r="F814" s="34">
        <v>2.2000000000000002</v>
      </c>
      <c r="G814" s="34"/>
      <c r="H814" s="34"/>
      <c r="I814" s="34"/>
      <c r="J814" s="34"/>
      <c r="K814" s="34"/>
      <c r="L814" s="34"/>
      <c r="M814" s="34"/>
      <c r="N814" s="34"/>
      <c r="O814" s="34"/>
      <c r="P814" s="34"/>
      <c r="Q814" s="34"/>
      <c r="R814" s="34"/>
      <c r="S814" s="34"/>
      <c r="T814" s="34"/>
      <c r="U814" s="34"/>
      <c r="V814" s="34"/>
      <c r="W814" s="34"/>
      <c r="X814" s="34"/>
      <c r="Y814" s="34"/>
      <c r="Z814" s="34"/>
      <c r="AA814" s="34"/>
      <c r="AB814" s="34"/>
      <c r="AC814" s="34"/>
      <c r="AD814" s="34"/>
      <c r="AE814" s="34"/>
      <c r="AF814" s="34"/>
      <c r="AG814" s="34"/>
      <c r="AH814" s="34"/>
      <c r="AI814" s="34"/>
      <c r="AJ814" s="34"/>
      <c r="AK814" s="34"/>
      <c r="AL814" s="34"/>
      <c r="AM814" s="34"/>
      <c r="AN814" s="34"/>
      <c r="AO814" s="34"/>
      <c r="AP814" s="34"/>
      <c r="AQ814" s="34"/>
      <c r="AR814" s="34"/>
      <c r="AS814" s="34"/>
      <c r="AT814" s="34" t="s">
        <v>240</v>
      </c>
      <c r="AU814" s="159" t="s">
        <v>615</v>
      </c>
      <c r="AV814" s="34"/>
      <c r="AW814" s="34"/>
      <c r="AX814" s="63"/>
      <c r="AY814" s="34" t="s">
        <v>1917</v>
      </c>
      <c r="AZ814" s="63" t="s">
        <v>2659</v>
      </c>
      <c r="BB814" s="41"/>
    </row>
    <row r="815" spans="1:54" ht="31.5" hidden="1" customHeight="1">
      <c r="A815" s="193"/>
      <c r="B815" s="56" t="s">
        <v>2660</v>
      </c>
      <c r="C815" s="78" t="s">
        <v>59</v>
      </c>
      <c r="D815" s="34">
        <v>0.47</v>
      </c>
      <c r="E815" s="34"/>
      <c r="F815" s="34">
        <v>0.47</v>
      </c>
      <c r="G815" s="34"/>
      <c r="H815" s="34"/>
      <c r="I815" s="34"/>
      <c r="J815" s="34"/>
      <c r="K815" s="34"/>
      <c r="L815" s="34"/>
      <c r="M815" s="34"/>
      <c r="N815" s="34"/>
      <c r="O815" s="34"/>
      <c r="P815" s="34"/>
      <c r="Q815" s="34"/>
      <c r="R815" s="34"/>
      <c r="S815" s="34"/>
      <c r="T815" s="34"/>
      <c r="U815" s="34"/>
      <c r="V815" s="34"/>
      <c r="W815" s="34"/>
      <c r="X815" s="34"/>
      <c r="Y815" s="34"/>
      <c r="Z815" s="34"/>
      <c r="AA815" s="34"/>
      <c r="AB815" s="34"/>
      <c r="AC815" s="34"/>
      <c r="AD815" s="34"/>
      <c r="AE815" s="34"/>
      <c r="AF815" s="34"/>
      <c r="AG815" s="34"/>
      <c r="AH815" s="34"/>
      <c r="AI815" s="34"/>
      <c r="AJ815" s="34"/>
      <c r="AK815" s="34"/>
      <c r="AL815" s="34"/>
      <c r="AM815" s="34"/>
      <c r="AN815" s="34"/>
      <c r="AO815" s="34"/>
      <c r="AP815" s="34"/>
      <c r="AQ815" s="34"/>
      <c r="AR815" s="34"/>
      <c r="AS815" s="34"/>
      <c r="AT815" s="34" t="s">
        <v>241</v>
      </c>
      <c r="AU815" s="159"/>
      <c r="AV815" s="34"/>
      <c r="AW815" s="34"/>
      <c r="AX815" s="63"/>
      <c r="AY815" s="34" t="s">
        <v>1917</v>
      </c>
      <c r="AZ815" s="63" t="s">
        <v>1924</v>
      </c>
      <c r="BB815" s="41"/>
    </row>
    <row r="816" spans="1:54" ht="15.75" hidden="1" customHeight="1">
      <c r="A816" s="193"/>
      <c r="B816" s="56" t="s">
        <v>1299</v>
      </c>
      <c r="C816" s="78" t="s">
        <v>59</v>
      </c>
      <c r="D816" s="34">
        <v>1</v>
      </c>
      <c r="E816" s="34"/>
      <c r="F816" s="34">
        <v>1</v>
      </c>
      <c r="G816" s="34"/>
      <c r="H816" s="34"/>
      <c r="I816" s="34"/>
      <c r="J816" s="34"/>
      <c r="K816" s="34"/>
      <c r="L816" s="34"/>
      <c r="M816" s="34"/>
      <c r="N816" s="34"/>
      <c r="O816" s="34"/>
      <c r="P816" s="34"/>
      <c r="Q816" s="34"/>
      <c r="R816" s="34"/>
      <c r="S816" s="34"/>
      <c r="T816" s="34"/>
      <c r="U816" s="34"/>
      <c r="V816" s="34"/>
      <c r="W816" s="34"/>
      <c r="X816" s="34"/>
      <c r="Y816" s="34"/>
      <c r="Z816" s="34"/>
      <c r="AA816" s="34"/>
      <c r="AB816" s="34"/>
      <c r="AC816" s="34"/>
      <c r="AD816" s="34"/>
      <c r="AE816" s="34"/>
      <c r="AF816" s="34"/>
      <c r="AG816" s="34"/>
      <c r="AH816" s="34"/>
      <c r="AI816" s="34"/>
      <c r="AJ816" s="34"/>
      <c r="AK816" s="34"/>
      <c r="AL816" s="34"/>
      <c r="AM816" s="34"/>
      <c r="AN816" s="34"/>
      <c r="AO816" s="34"/>
      <c r="AP816" s="34"/>
      <c r="AQ816" s="34"/>
      <c r="AR816" s="34"/>
      <c r="AS816" s="34"/>
      <c r="AT816" s="34" t="s">
        <v>241</v>
      </c>
      <c r="AU816" s="159"/>
      <c r="AV816" s="34"/>
      <c r="AW816" s="34"/>
      <c r="AX816" s="63"/>
      <c r="AY816" s="34" t="s">
        <v>1917</v>
      </c>
      <c r="AZ816" s="63" t="s">
        <v>1924</v>
      </c>
      <c r="BB816" s="41"/>
    </row>
    <row r="817" spans="1:58" ht="31.5" hidden="1" customHeight="1">
      <c r="A817" s="193"/>
      <c r="B817" s="56" t="s">
        <v>1756</v>
      </c>
      <c r="C817" s="78" t="s">
        <v>59</v>
      </c>
      <c r="D817" s="34">
        <v>0.68</v>
      </c>
      <c r="E817" s="34"/>
      <c r="F817" s="34">
        <v>0.68</v>
      </c>
      <c r="G817" s="34"/>
      <c r="H817" s="34"/>
      <c r="I817" s="34"/>
      <c r="J817" s="34"/>
      <c r="K817" s="34"/>
      <c r="L817" s="34"/>
      <c r="M817" s="34"/>
      <c r="N817" s="34"/>
      <c r="O817" s="34"/>
      <c r="P817" s="34"/>
      <c r="Q817" s="34"/>
      <c r="R817" s="34"/>
      <c r="S817" s="34"/>
      <c r="T817" s="34"/>
      <c r="U817" s="34"/>
      <c r="V817" s="34"/>
      <c r="W817" s="34"/>
      <c r="X817" s="34"/>
      <c r="Y817" s="34"/>
      <c r="Z817" s="34"/>
      <c r="AA817" s="34"/>
      <c r="AB817" s="34"/>
      <c r="AC817" s="34"/>
      <c r="AD817" s="34"/>
      <c r="AE817" s="34"/>
      <c r="AF817" s="34"/>
      <c r="AG817" s="34"/>
      <c r="AH817" s="34"/>
      <c r="AI817" s="34"/>
      <c r="AJ817" s="34"/>
      <c r="AK817" s="34"/>
      <c r="AL817" s="34"/>
      <c r="AM817" s="34"/>
      <c r="AN817" s="34"/>
      <c r="AO817" s="34"/>
      <c r="AP817" s="34"/>
      <c r="AQ817" s="34"/>
      <c r="AR817" s="34"/>
      <c r="AS817" s="34"/>
      <c r="AT817" s="34" t="s">
        <v>241</v>
      </c>
      <c r="AU817" s="159"/>
      <c r="AV817" s="34"/>
      <c r="AW817" s="34"/>
      <c r="AX817" s="63"/>
      <c r="AY817" s="34" t="s">
        <v>1923</v>
      </c>
      <c r="AZ817" s="63" t="s">
        <v>1924</v>
      </c>
      <c r="BB817" s="41"/>
    </row>
    <row r="818" spans="1:58" s="24" customFormat="1" ht="23.1" customHeight="1">
      <c r="A818" s="189" t="s">
        <v>1759</v>
      </c>
      <c r="B818" s="25" t="s">
        <v>95</v>
      </c>
      <c r="C818" s="26" t="s">
        <v>24</v>
      </c>
      <c r="D818" s="29">
        <f t="shared" ref="D818:D823" si="41">E818+F818</f>
        <v>6.351</v>
      </c>
      <c r="E818" s="192">
        <f>SUM(E819:E823)</f>
        <v>0</v>
      </c>
      <c r="F818" s="29">
        <f t="shared" ref="F818:F823" si="42">SUM(G818:K818,O818:AR818)</f>
        <v>6.351</v>
      </c>
      <c r="G818" s="192">
        <f>SUM(G819:G823)</f>
        <v>1.1200000000000001</v>
      </c>
      <c r="H818" s="192">
        <f>SUM(H819:H823)</f>
        <v>0</v>
      </c>
      <c r="I818" s="192">
        <f t="shared" ref="I818:AS818" si="43">SUM(I819:I823)</f>
        <v>1.2010000000000001</v>
      </c>
      <c r="J818" s="192">
        <f t="shared" si="43"/>
        <v>1.4</v>
      </c>
      <c r="K818" s="192">
        <f t="shared" si="43"/>
        <v>0.85</v>
      </c>
      <c r="L818" s="192">
        <f t="shared" si="43"/>
        <v>0</v>
      </c>
      <c r="M818" s="192">
        <f t="shared" si="43"/>
        <v>0.85</v>
      </c>
      <c r="N818" s="192">
        <f t="shared" si="43"/>
        <v>0</v>
      </c>
      <c r="O818" s="192">
        <f t="shared" si="43"/>
        <v>0</v>
      </c>
      <c r="P818" s="192">
        <f t="shared" si="43"/>
        <v>0.1</v>
      </c>
      <c r="Q818" s="192">
        <f t="shared" si="43"/>
        <v>0</v>
      </c>
      <c r="R818" s="192">
        <f t="shared" si="43"/>
        <v>0</v>
      </c>
      <c r="S818" s="192">
        <f t="shared" si="43"/>
        <v>0</v>
      </c>
      <c r="T818" s="192">
        <f t="shared" si="43"/>
        <v>0</v>
      </c>
      <c r="U818" s="192">
        <f t="shared" si="43"/>
        <v>0</v>
      </c>
      <c r="V818" s="192">
        <f t="shared" si="43"/>
        <v>0</v>
      </c>
      <c r="W818" s="192">
        <f t="shared" si="43"/>
        <v>0</v>
      </c>
      <c r="X818" s="192">
        <f t="shared" si="43"/>
        <v>0</v>
      </c>
      <c r="Y818" s="192">
        <f t="shared" si="43"/>
        <v>0.11</v>
      </c>
      <c r="Z818" s="192">
        <f t="shared" si="43"/>
        <v>0</v>
      </c>
      <c r="AA818" s="192">
        <f t="shared" si="43"/>
        <v>0</v>
      </c>
      <c r="AB818" s="192">
        <f t="shared" si="43"/>
        <v>0</v>
      </c>
      <c r="AC818" s="192">
        <f t="shared" si="43"/>
        <v>0</v>
      </c>
      <c r="AD818" s="192">
        <f t="shared" si="43"/>
        <v>0</v>
      </c>
      <c r="AE818" s="192">
        <f t="shared" si="43"/>
        <v>0</v>
      </c>
      <c r="AF818" s="192">
        <f t="shared" si="43"/>
        <v>0</v>
      </c>
      <c r="AG818" s="192">
        <f t="shared" si="43"/>
        <v>0</v>
      </c>
      <c r="AH818" s="192">
        <f t="shared" si="43"/>
        <v>0</v>
      </c>
      <c r="AI818" s="192">
        <f t="shared" si="43"/>
        <v>1.57</v>
      </c>
      <c r="AJ818" s="192">
        <f t="shared" si="43"/>
        <v>0</v>
      </c>
      <c r="AK818" s="192">
        <f t="shared" si="43"/>
        <v>0</v>
      </c>
      <c r="AL818" s="192">
        <f t="shared" si="43"/>
        <v>0</v>
      </c>
      <c r="AM818" s="192">
        <f t="shared" si="43"/>
        <v>0</v>
      </c>
      <c r="AN818" s="192">
        <f t="shared" si="43"/>
        <v>0</v>
      </c>
      <c r="AO818" s="192">
        <f t="shared" si="43"/>
        <v>0</v>
      </c>
      <c r="AP818" s="192">
        <f t="shared" si="43"/>
        <v>0</v>
      </c>
      <c r="AQ818" s="192">
        <f t="shared" si="43"/>
        <v>0</v>
      </c>
      <c r="AR818" s="192">
        <f t="shared" si="43"/>
        <v>0</v>
      </c>
      <c r="AS818" s="192">
        <f t="shared" si="43"/>
        <v>0</v>
      </c>
      <c r="AT818" s="29"/>
      <c r="AU818" s="29"/>
      <c r="AV818" s="29"/>
      <c r="AW818" s="29"/>
      <c r="AX818" s="30"/>
      <c r="AY818" s="29"/>
      <c r="AZ818" s="30"/>
    </row>
    <row r="819" spans="1:58" ht="20.100000000000001" customHeight="1">
      <c r="A819" s="193">
        <v>122</v>
      </c>
      <c r="B819" s="216" t="s">
        <v>1805</v>
      </c>
      <c r="C819" s="38" t="s">
        <v>24</v>
      </c>
      <c r="D819" s="103">
        <f t="shared" si="41"/>
        <v>1.321</v>
      </c>
      <c r="E819" s="103"/>
      <c r="F819" s="103">
        <f t="shared" si="42"/>
        <v>1.321</v>
      </c>
      <c r="G819" s="103">
        <v>0.82</v>
      </c>
      <c r="H819" s="103"/>
      <c r="I819" s="103">
        <v>0.501</v>
      </c>
      <c r="J819" s="103"/>
      <c r="K819" s="103"/>
      <c r="L819" s="103"/>
      <c r="M819" s="103"/>
      <c r="N819" s="103"/>
      <c r="O819" s="103"/>
      <c r="P819" s="103"/>
      <c r="Q819" s="103"/>
      <c r="R819" s="103"/>
      <c r="S819" s="103"/>
      <c r="T819" s="103"/>
      <c r="U819" s="103"/>
      <c r="V819" s="103"/>
      <c r="W819" s="103"/>
      <c r="X819" s="103"/>
      <c r="Y819" s="103"/>
      <c r="Z819" s="103"/>
      <c r="AA819" s="103"/>
      <c r="AB819" s="103"/>
      <c r="AC819" s="103"/>
      <c r="AD819" s="103"/>
      <c r="AE819" s="103"/>
      <c r="AF819" s="103"/>
      <c r="AG819" s="103"/>
      <c r="AH819" s="103"/>
      <c r="AI819" s="103"/>
      <c r="AJ819" s="103"/>
      <c r="AK819" s="103"/>
      <c r="AL819" s="103"/>
      <c r="AM819" s="103"/>
      <c r="AN819" s="103"/>
      <c r="AO819" s="103"/>
      <c r="AP819" s="103"/>
      <c r="AQ819" s="103"/>
      <c r="AR819" s="103"/>
      <c r="AS819" s="103"/>
      <c r="AT819" s="34" t="s">
        <v>289</v>
      </c>
      <c r="AU819" s="34" t="s">
        <v>315</v>
      </c>
      <c r="AV819" s="159"/>
      <c r="AW819" s="159"/>
      <c r="AX819" s="39" t="s">
        <v>1920</v>
      </c>
      <c r="AY819" s="159" t="s">
        <v>1923</v>
      </c>
      <c r="AZ819" s="39" t="s">
        <v>1924</v>
      </c>
      <c r="BE819" s="15">
        <v>1</v>
      </c>
    </row>
    <row r="820" spans="1:58" ht="20.100000000000001" customHeight="1">
      <c r="A820" s="193">
        <v>123</v>
      </c>
      <c r="B820" s="216" t="s">
        <v>2661</v>
      </c>
      <c r="C820" s="38" t="s">
        <v>24</v>
      </c>
      <c r="D820" s="103">
        <f t="shared" si="41"/>
        <v>0.5</v>
      </c>
      <c r="E820" s="103"/>
      <c r="F820" s="103">
        <f t="shared" si="42"/>
        <v>0.5</v>
      </c>
      <c r="G820" s="103"/>
      <c r="H820" s="103"/>
      <c r="I820" s="103"/>
      <c r="J820" s="103"/>
      <c r="K820" s="103"/>
      <c r="L820" s="103"/>
      <c r="M820" s="103"/>
      <c r="N820" s="103"/>
      <c r="O820" s="103"/>
      <c r="P820" s="103"/>
      <c r="Q820" s="103"/>
      <c r="R820" s="103"/>
      <c r="S820" s="103"/>
      <c r="T820" s="103"/>
      <c r="U820" s="103"/>
      <c r="V820" s="103"/>
      <c r="W820" s="103"/>
      <c r="X820" s="103"/>
      <c r="Y820" s="103"/>
      <c r="Z820" s="103"/>
      <c r="AA820" s="103"/>
      <c r="AB820" s="103"/>
      <c r="AC820" s="103"/>
      <c r="AD820" s="103"/>
      <c r="AE820" s="103"/>
      <c r="AF820" s="103"/>
      <c r="AG820" s="103"/>
      <c r="AH820" s="103"/>
      <c r="AI820" s="103">
        <v>0.5</v>
      </c>
      <c r="AJ820" s="103"/>
      <c r="AK820" s="103"/>
      <c r="AL820" s="103"/>
      <c r="AM820" s="103"/>
      <c r="AN820" s="103"/>
      <c r="AO820" s="103"/>
      <c r="AP820" s="103"/>
      <c r="AQ820" s="103"/>
      <c r="AR820" s="103"/>
      <c r="AS820" s="103"/>
      <c r="AT820" s="34" t="s">
        <v>289</v>
      </c>
      <c r="AU820" s="34" t="s">
        <v>2662</v>
      </c>
      <c r="AV820" s="159"/>
      <c r="AW820" s="159"/>
      <c r="AX820" s="39" t="s">
        <v>1920</v>
      </c>
      <c r="AY820" s="159" t="s">
        <v>1923</v>
      </c>
      <c r="AZ820" s="39" t="s">
        <v>1924</v>
      </c>
      <c r="BE820" s="15">
        <v>1</v>
      </c>
    </row>
    <row r="821" spans="1:58" ht="20.100000000000001" customHeight="1">
      <c r="A821" s="193">
        <v>124</v>
      </c>
      <c r="B821" s="216" t="s">
        <v>2663</v>
      </c>
      <c r="C821" s="38" t="s">
        <v>24</v>
      </c>
      <c r="D821" s="103">
        <f t="shared" si="41"/>
        <v>0.17</v>
      </c>
      <c r="E821" s="103"/>
      <c r="F821" s="103">
        <f t="shared" si="42"/>
        <v>0.17</v>
      </c>
      <c r="G821" s="103"/>
      <c r="H821" s="103"/>
      <c r="I821" s="103"/>
      <c r="J821" s="103"/>
      <c r="K821" s="103"/>
      <c r="L821" s="103"/>
      <c r="M821" s="103"/>
      <c r="N821" s="103"/>
      <c r="O821" s="103"/>
      <c r="P821" s="103"/>
      <c r="Q821" s="103"/>
      <c r="R821" s="103"/>
      <c r="S821" s="103"/>
      <c r="T821" s="103"/>
      <c r="U821" s="103"/>
      <c r="V821" s="103"/>
      <c r="W821" s="103"/>
      <c r="X821" s="103"/>
      <c r="Y821" s="103"/>
      <c r="Z821" s="103"/>
      <c r="AA821" s="103"/>
      <c r="AB821" s="103"/>
      <c r="AC821" s="103"/>
      <c r="AD821" s="103"/>
      <c r="AE821" s="103"/>
      <c r="AF821" s="103"/>
      <c r="AG821" s="103"/>
      <c r="AH821" s="103"/>
      <c r="AI821" s="103">
        <v>0.17</v>
      </c>
      <c r="AJ821" s="103"/>
      <c r="AK821" s="103"/>
      <c r="AL821" s="103"/>
      <c r="AM821" s="103"/>
      <c r="AN821" s="103"/>
      <c r="AO821" s="103"/>
      <c r="AP821" s="103"/>
      <c r="AQ821" s="103"/>
      <c r="AR821" s="103"/>
      <c r="AS821" s="103"/>
      <c r="AT821" s="34" t="s">
        <v>289</v>
      </c>
      <c r="AU821" s="34"/>
      <c r="AV821" s="159"/>
      <c r="AW821" s="159"/>
      <c r="AX821" s="39" t="s">
        <v>1920</v>
      </c>
      <c r="AY821" s="159" t="s">
        <v>1923</v>
      </c>
      <c r="AZ821" s="39" t="s">
        <v>1924</v>
      </c>
      <c r="BE821" s="15">
        <v>1</v>
      </c>
    </row>
    <row r="822" spans="1:58" ht="20.100000000000001" customHeight="1">
      <c r="A822" s="193">
        <v>125</v>
      </c>
      <c r="B822" s="88" t="s">
        <v>1817</v>
      </c>
      <c r="C822" s="78" t="s">
        <v>24</v>
      </c>
      <c r="D822" s="103">
        <f t="shared" si="41"/>
        <v>0.2</v>
      </c>
      <c r="E822" s="103"/>
      <c r="F822" s="103">
        <f t="shared" si="42"/>
        <v>0.2</v>
      </c>
      <c r="G822" s="103">
        <v>0.2</v>
      </c>
      <c r="H822" s="103"/>
      <c r="I822" s="103"/>
      <c r="J822" s="103"/>
      <c r="K822" s="103"/>
      <c r="L822" s="103"/>
      <c r="M822" s="103"/>
      <c r="N822" s="103"/>
      <c r="O822" s="103"/>
      <c r="P822" s="103"/>
      <c r="Q822" s="103"/>
      <c r="R822" s="103"/>
      <c r="S822" s="103"/>
      <c r="T822" s="103"/>
      <c r="U822" s="103"/>
      <c r="V822" s="103"/>
      <c r="W822" s="103"/>
      <c r="X822" s="103"/>
      <c r="Y822" s="103"/>
      <c r="Z822" s="103"/>
      <c r="AA822" s="103"/>
      <c r="AB822" s="103"/>
      <c r="AC822" s="103"/>
      <c r="AD822" s="103"/>
      <c r="AE822" s="103"/>
      <c r="AF822" s="103"/>
      <c r="AG822" s="103"/>
      <c r="AH822" s="103"/>
      <c r="AI822" s="103"/>
      <c r="AJ822" s="103"/>
      <c r="AK822" s="103"/>
      <c r="AL822" s="103"/>
      <c r="AM822" s="103"/>
      <c r="AN822" s="103"/>
      <c r="AO822" s="103"/>
      <c r="AP822" s="103"/>
      <c r="AQ822" s="103"/>
      <c r="AR822" s="103"/>
      <c r="AS822" s="103"/>
      <c r="AT822" s="34" t="s">
        <v>235</v>
      </c>
      <c r="AU822" s="34"/>
      <c r="AV822" s="159"/>
      <c r="AW822" s="159" t="s">
        <v>2664</v>
      </c>
      <c r="AX822" s="39" t="s">
        <v>1920</v>
      </c>
      <c r="AY822" s="159" t="s">
        <v>1923</v>
      </c>
      <c r="AZ822" s="39" t="s">
        <v>1924</v>
      </c>
      <c r="BE822" s="15">
        <v>1</v>
      </c>
    </row>
    <row r="823" spans="1:58" ht="20.100000000000001" customHeight="1">
      <c r="A823" s="193">
        <v>126</v>
      </c>
      <c r="B823" s="88" t="s">
        <v>2665</v>
      </c>
      <c r="C823" s="78" t="s">
        <v>24</v>
      </c>
      <c r="D823" s="103">
        <f t="shared" si="41"/>
        <v>4.16</v>
      </c>
      <c r="E823" s="103"/>
      <c r="F823" s="103">
        <f t="shared" si="42"/>
        <v>4.16</v>
      </c>
      <c r="G823" s="103">
        <v>0.1</v>
      </c>
      <c r="H823" s="103">
        <v>0</v>
      </c>
      <c r="I823" s="103">
        <v>0.7</v>
      </c>
      <c r="J823" s="103">
        <v>1.4</v>
      </c>
      <c r="K823" s="103">
        <v>0.85</v>
      </c>
      <c r="L823" s="103">
        <v>0</v>
      </c>
      <c r="M823" s="103">
        <v>0.85</v>
      </c>
      <c r="N823" s="103">
        <v>0</v>
      </c>
      <c r="O823" s="103">
        <v>0</v>
      </c>
      <c r="P823" s="103">
        <v>0.1</v>
      </c>
      <c r="Q823" s="103">
        <v>0</v>
      </c>
      <c r="R823" s="103">
        <v>0</v>
      </c>
      <c r="S823" s="103">
        <v>0</v>
      </c>
      <c r="T823" s="103">
        <v>0</v>
      </c>
      <c r="U823" s="103">
        <v>0</v>
      </c>
      <c r="V823" s="103">
        <v>0</v>
      </c>
      <c r="W823" s="103">
        <v>0</v>
      </c>
      <c r="X823" s="103">
        <v>0</v>
      </c>
      <c r="Y823" s="103">
        <v>0.11</v>
      </c>
      <c r="Z823" s="103">
        <v>0</v>
      </c>
      <c r="AA823" s="103">
        <v>0</v>
      </c>
      <c r="AB823" s="103">
        <v>0</v>
      </c>
      <c r="AC823" s="103">
        <v>0</v>
      </c>
      <c r="AD823" s="103">
        <v>0</v>
      </c>
      <c r="AE823" s="103">
        <v>0</v>
      </c>
      <c r="AF823" s="103">
        <v>0</v>
      </c>
      <c r="AG823" s="103">
        <v>0</v>
      </c>
      <c r="AH823" s="103">
        <v>0</v>
      </c>
      <c r="AI823" s="103">
        <v>0.9</v>
      </c>
      <c r="AJ823" s="103">
        <v>0</v>
      </c>
      <c r="AK823" s="103">
        <v>0</v>
      </c>
      <c r="AL823" s="103">
        <v>0</v>
      </c>
      <c r="AM823" s="103">
        <v>0</v>
      </c>
      <c r="AN823" s="103">
        <v>0</v>
      </c>
      <c r="AO823" s="103">
        <v>0</v>
      </c>
      <c r="AP823" s="103">
        <v>0</v>
      </c>
      <c r="AQ823" s="103">
        <v>0</v>
      </c>
      <c r="AR823" s="103">
        <v>0</v>
      </c>
      <c r="AS823" s="103">
        <v>0</v>
      </c>
      <c r="AT823" s="34" t="s">
        <v>880</v>
      </c>
      <c r="AU823" s="34" t="s">
        <v>615</v>
      </c>
      <c r="AV823" s="159"/>
      <c r="AW823" s="159"/>
      <c r="AX823" s="156" t="s">
        <v>1970</v>
      </c>
      <c r="AY823" s="159" t="s">
        <v>1917</v>
      </c>
      <c r="AZ823" s="156" t="s">
        <v>1924</v>
      </c>
      <c r="BF823" s="15">
        <v>1</v>
      </c>
    </row>
    <row r="824" spans="1:58" s="61" customFormat="1" ht="31.5" hidden="1" customHeight="1">
      <c r="A824" s="220"/>
      <c r="B824" s="88" t="s">
        <v>2666</v>
      </c>
      <c r="C824" s="78" t="s">
        <v>24</v>
      </c>
      <c r="D824" s="103">
        <v>1</v>
      </c>
      <c r="E824" s="103"/>
      <c r="F824" s="103">
        <v>1</v>
      </c>
      <c r="G824" s="103"/>
      <c r="H824" s="103"/>
      <c r="I824" s="103"/>
      <c r="J824" s="103">
        <v>1</v>
      </c>
      <c r="K824" s="103"/>
      <c r="L824" s="103"/>
      <c r="M824" s="103"/>
      <c r="N824" s="103"/>
      <c r="O824" s="103"/>
      <c r="P824" s="103"/>
      <c r="Q824" s="103"/>
      <c r="R824" s="103"/>
      <c r="S824" s="103"/>
      <c r="T824" s="103"/>
      <c r="U824" s="103"/>
      <c r="V824" s="103"/>
      <c r="W824" s="103"/>
      <c r="X824" s="103"/>
      <c r="Y824" s="103"/>
      <c r="Z824" s="103"/>
      <c r="AA824" s="103"/>
      <c r="AB824" s="103"/>
      <c r="AC824" s="103"/>
      <c r="AD824" s="103"/>
      <c r="AE824" s="103"/>
      <c r="AF824" s="103"/>
      <c r="AG824" s="103"/>
      <c r="AH824" s="103"/>
      <c r="AI824" s="103"/>
      <c r="AJ824" s="103"/>
      <c r="AK824" s="103"/>
      <c r="AL824" s="103"/>
      <c r="AM824" s="103"/>
      <c r="AN824" s="103"/>
      <c r="AO824" s="103"/>
      <c r="AP824" s="103"/>
      <c r="AQ824" s="103"/>
      <c r="AR824" s="103"/>
      <c r="AS824" s="103"/>
      <c r="AT824" s="34" t="s">
        <v>223</v>
      </c>
      <c r="AU824" s="34" t="s">
        <v>451</v>
      </c>
      <c r="AV824" s="159"/>
      <c r="AW824" s="159"/>
      <c r="AX824" s="156"/>
      <c r="AY824" s="140" t="s">
        <v>1923</v>
      </c>
      <c r="AZ824" s="63" t="s">
        <v>2667</v>
      </c>
      <c r="BA824" s="65" t="s">
        <v>825</v>
      </c>
    </row>
    <row r="825" spans="1:58" ht="31.5" hidden="1" customHeight="1">
      <c r="A825" s="220"/>
      <c r="B825" s="88" t="s">
        <v>2668</v>
      </c>
      <c r="C825" s="78"/>
      <c r="D825" s="103"/>
      <c r="E825" s="103"/>
      <c r="F825" s="103">
        <v>1.1000000000000001</v>
      </c>
      <c r="G825" s="103"/>
      <c r="H825" s="103"/>
      <c r="I825" s="103"/>
      <c r="J825" s="103"/>
      <c r="K825" s="103"/>
      <c r="L825" s="103"/>
      <c r="M825" s="103"/>
      <c r="N825" s="103"/>
      <c r="O825" s="103"/>
      <c r="P825" s="103"/>
      <c r="Q825" s="103"/>
      <c r="R825" s="103"/>
      <c r="S825" s="103"/>
      <c r="T825" s="103"/>
      <c r="U825" s="103"/>
      <c r="V825" s="103"/>
      <c r="W825" s="103"/>
      <c r="X825" s="103"/>
      <c r="Y825" s="103"/>
      <c r="Z825" s="103"/>
      <c r="AA825" s="103"/>
      <c r="AB825" s="103"/>
      <c r="AC825" s="103"/>
      <c r="AD825" s="103"/>
      <c r="AE825" s="103"/>
      <c r="AF825" s="103"/>
      <c r="AG825" s="103"/>
      <c r="AH825" s="103"/>
      <c r="AI825" s="103"/>
      <c r="AJ825" s="103"/>
      <c r="AK825" s="103"/>
      <c r="AL825" s="103"/>
      <c r="AM825" s="103"/>
      <c r="AN825" s="103"/>
      <c r="AO825" s="103"/>
      <c r="AP825" s="103"/>
      <c r="AQ825" s="103"/>
      <c r="AR825" s="103"/>
      <c r="AS825" s="103"/>
      <c r="AT825" s="34" t="s">
        <v>225</v>
      </c>
      <c r="AU825" s="34" t="s">
        <v>1349</v>
      </c>
      <c r="AV825" s="159"/>
      <c r="AW825" s="159"/>
      <c r="AX825" s="156"/>
      <c r="AY825" s="34" t="s">
        <v>1973</v>
      </c>
      <c r="AZ825" s="63" t="s">
        <v>2102</v>
      </c>
    </row>
    <row r="826" spans="1:58" ht="15.75" hidden="1" customHeight="1">
      <c r="A826" s="193"/>
      <c r="B826" s="88" t="s">
        <v>1814</v>
      </c>
      <c r="C826" s="78"/>
      <c r="D826" s="103"/>
      <c r="E826" s="103"/>
      <c r="F826" s="103">
        <v>0.1</v>
      </c>
      <c r="G826" s="103"/>
      <c r="H826" s="103"/>
      <c r="I826" s="103"/>
      <c r="J826" s="103"/>
      <c r="K826" s="103"/>
      <c r="L826" s="103"/>
      <c r="M826" s="103"/>
      <c r="N826" s="103"/>
      <c r="O826" s="103"/>
      <c r="P826" s="103"/>
      <c r="Q826" s="103"/>
      <c r="R826" s="103"/>
      <c r="S826" s="103"/>
      <c r="T826" s="103"/>
      <c r="U826" s="103"/>
      <c r="V826" s="103"/>
      <c r="W826" s="103"/>
      <c r="X826" s="103"/>
      <c r="Y826" s="103"/>
      <c r="Z826" s="103"/>
      <c r="AA826" s="103"/>
      <c r="AB826" s="103"/>
      <c r="AC826" s="103"/>
      <c r="AD826" s="103"/>
      <c r="AE826" s="103"/>
      <c r="AF826" s="103"/>
      <c r="AG826" s="103"/>
      <c r="AH826" s="103"/>
      <c r="AI826" s="103"/>
      <c r="AJ826" s="103"/>
      <c r="AK826" s="103"/>
      <c r="AL826" s="103"/>
      <c r="AM826" s="103"/>
      <c r="AN826" s="103"/>
      <c r="AO826" s="103"/>
      <c r="AP826" s="103"/>
      <c r="AQ826" s="103"/>
      <c r="AR826" s="103"/>
      <c r="AS826" s="103"/>
      <c r="AT826" s="34" t="s">
        <v>228</v>
      </c>
      <c r="AU826" s="159" t="s">
        <v>731</v>
      </c>
      <c r="AV826" s="34"/>
      <c r="AW826" s="34"/>
      <c r="AX826" s="63"/>
      <c r="AY826" s="140" t="s">
        <v>1923</v>
      </c>
      <c r="AZ826" s="63" t="s">
        <v>1924</v>
      </c>
    </row>
    <row r="827" spans="1:58" ht="15.75" hidden="1" customHeight="1">
      <c r="A827" s="193"/>
      <c r="B827" s="216" t="s">
        <v>1827</v>
      </c>
      <c r="C827" s="38" t="s">
        <v>39</v>
      </c>
      <c r="D827" s="222">
        <f>E827+F827</f>
        <v>0.03</v>
      </c>
      <c r="E827" s="222">
        <v>0.01</v>
      </c>
      <c r="F827" s="222">
        <f>SUM(G827:K827,O827:AR827)</f>
        <v>0.02</v>
      </c>
      <c r="G827" s="103"/>
      <c r="H827" s="103">
        <v>0.02</v>
      </c>
      <c r="I827" s="103"/>
      <c r="J827" s="103"/>
      <c r="K827" s="103"/>
      <c r="L827" s="103"/>
      <c r="M827" s="103"/>
      <c r="N827" s="103"/>
      <c r="O827" s="103"/>
      <c r="P827" s="103"/>
      <c r="Q827" s="103"/>
      <c r="R827" s="103"/>
      <c r="S827" s="103"/>
      <c r="T827" s="103"/>
      <c r="U827" s="103"/>
      <c r="V827" s="103"/>
      <c r="W827" s="103"/>
      <c r="X827" s="103"/>
      <c r="Y827" s="103"/>
      <c r="Z827" s="103"/>
      <c r="AA827" s="103"/>
      <c r="AB827" s="103"/>
      <c r="AC827" s="103"/>
      <c r="AD827" s="103"/>
      <c r="AE827" s="103"/>
      <c r="AF827" s="103"/>
      <c r="AG827" s="103"/>
      <c r="AH827" s="103"/>
      <c r="AI827" s="103"/>
      <c r="AJ827" s="103"/>
      <c r="AK827" s="103"/>
      <c r="AL827" s="103"/>
      <c r="AM827" s="103"/>
      <c r="AN827" s="103"/>
      <c r="AO827" s="103"/>
      <c r="AP827" s="103"/>
      <c r="AQ827" s="103"/>
      <c r="AR827" s="103"/>
      <c r="AS827" s="103"/>
      <c r="AT827" s="34" t="s">
        <v>229</v>
      </c>
      <c r="AU827" s="34" t="s">
        <v>417</v>
      </c>
      <c r="AV827" s="159"/>
      <c r="AW827" s="159" t="s">
        <v>2022</v>
      </c>
      <c r="AX827" s="39" t="s">
        <v>1920</v>
      </c>
      <c r="AY827" s="34" t="s">
        <v>1923</v>
      </c>
      <c r="AZ827" s="39" t="s">
        <v>1926</v>
      </c>
    </row>
    <row r="828" spans="1:58" ht="15.75" hidden="1" customHeight="1">
      <c r="A828" s="193"/>
      <c r="B828" s="216" t="s">
        <v>2669</v>
      </c>
      <c r="C828" s="38" t="s">
        <v>39</v>
      </c>
      <c r="D828" s="222">
        <f>E828+F828</f>
        <v>0.05</v>
      </c>
      <c r="E828" s="222"/>
      <c r="F828" s="222">
        <f>SUM(G828:K828,O828:AR828)</f>
        <v>0.05</v>
      </c>
      <c r="G828" s="103">
        <v>0.05</v>
      </c>
      <c r="H828" s="103"/>
      <c r="I828" s="103"/>
      <c r="J828" s="103"/>
      <c r="K828" s="103"/>
      <c r="L828" s="103"/>
      <c r="M828" s="103"/>
      <c r="N828" s="103"/>
      <c r="O828" s="103"/>
      <c r="P828" s="103"/>
      <c r="Q828" s="103"/>
      <c r="R828" s="103"/>
      <c r="S828" s="103"/>
      <c r="T828" s="103"/>
      <c r="U828" s="103"/>
      <c r="V828" s="103"/>
      <c r="W828" s="103"/>
      <c r="X828" s="103"/>
      <c r="Y828" s="103"/>
      <c r="Z828" s="103"/>
      <c r="AA828" s="103"/>
      <c r="AB828" s="103"/>
      <c r="AC828" s="103"/>
      <c r="AD828" s="103"/>
      <c r="AE828" s="103"/>
      <c r="AF828" s="103"/>
      <c r="AG828" s="103"/>
      <c r="AH828" s="103"/>
      <c r="AI828" s="103"/>
      <c r="AJ828" s="103"/>
      <c r="AK828" s="103"/>
      <c r="AL828" s="103"/>
      <c r="AM828" s="103"/>
      <c r="AN828" s="103"/>
      <c r="AO828" s="103"/>
      <c r="AP828" s="103"/>
      <c r="AQ828" s="103"/>
      <c r="AR828" s="103"/>
      <c r="AS828" s="103"/>
      <c r="AT828" s="34" t="s">
        <v>229</v>
      </c>
      <c r="AU828" s="34" t="s">
        <v>305</v>
      </c>
      <c r="AV828" s="159"/>
      <c r="AW828" s="159" t="s">
        <v>2022</v>
      </c>
      <c r="AX828" s="39" t="s">
        <v>1920</v>
      </c>
      <c r="AY828" s="34" t="s">
        <v>1923</v>
      </c>
      <c r="AZ828" s="39" t="s">
        <v>1926</v>
      </c>
    </row>
    <row r="829" spans="1:58" ht="15.75" hidden="1" customHeight="1">
      <c r="A829" s="193"/>
      <c r="B829" s="88" t="s">
        <v>2670</v>
      </c>
      <c r="C829" s="78"/>
      <c r="D829" s="103"/>
      <c r="E829" s="103"/>
      <c r="F829" s="103">
        <v>0.85</v>
      </c>
      <c r="G829" s="103"/>
      <c r="H829" s="103"/>
      <c r="I829" s="103"/>
      <c r="J829" s="103"/>
      <c r="K829" s="103"/>
      <c r="L829" s="103"/>
      <c r="M829" s="103"/>
      <c r="N829" s="103"/>
      <c r="O829" s="103"/>
      <c r="P829" s="103"/>
      <c r="Q829" s="103"/>
      <c r="R829" s="103"/>
      <c r="S829" s="103"/>
      <c r="T829" s="103"/>
      <c r="U829" s="103"/>
      <c r="V829" s="103"/>
      <c r="W829" s="103"/>
      <c r="X829" s="103"/>
      <c r="Y829" s="103"/>
      <c r="Z829" s="103"/>
      <c r="AA829" s="103"/>
      <c r="AB829" s="103"/>
      <c r="AC829" s="103"/>
      <c r="AD829" s="103"/>
      <c r="AE829" s="103"/>
      <c r="AF829" s="103"/>
      <c r="AG829" s="103"/>
      <c r="AH829" s="103"/>
      <c r="AI829" s="103"/>
      <c r="AJ829" s="103"/>
      <c r="AK829" s="103"/>
      <c r="AL829" s="103"/>
      <c r="AM829" s="103"/>
      <c r="AN829" s="103"/>
      <c r="AO829" s="103"/>
      <c r="AP829" s="103"/>
      <c r="AQ829" s="103"/>
      <c r="AR829" s="103"/>
      <c r="AS829" s="103"/>
      <c r="AT829" s="34" t="s">
        <v>233</v>
      </c>
      <c r="AU829" s="34"/>
      <c r="AV829" s="159"/>
      <c r="AW829" s="159"/>
      <c r="AX829" s="156"/>
      <c r="AY829" s="34" t="s">
        <v>1923</v>
      </c>
      <c r="AZ829" s="39" t="s">
        <v>1926</v>
      </c>
    </row>
    <row r="830" spans="1:58" ht="15.75" hidden="1" customHeight="1">
      <c r="A830" s="220"/>
      <c r="B830" s="88" t="s">
        <v>1816</v>
      </c>
      <c r="C830" s="78"/>
      <c r="D830" s="103"/>
      <c r="E830" s="103"/>
      <c r="F830" s="103">
        <v>0.11</v>
      </c>
      <c r="G830" s="103"/>
      <c r="H830" s="103"/>
      <c r="I830" s="103"/>
      <c r="J830" s="103"/>
      <c r="K830" s="103"/>
      <c r="L830" s="103"/>
      <c r="M830" s="103"/>
      <c r="N830" s="103"/>
      <c r="O830" s="103"/>
      <c r="P830" s="103"/>
      <c r="Q830" s="103"/>
      <c r="R830" s="103"/>
      <c r="S830" s="103"/>
      <c r="T830" s="103"/>
      <c r="U830" s="103"/>
      <c r="V830" s="103"/>
      <c r="W830" s="103"/>
      <c r="X830" s="103"/>
      <c r="Y830" s="103"/>
      <c r="Z830" s="103"/>
      <c r="AA830" s="103"/>
      <c r="AB830" s="103"/>
      <c r="AC830" s="103"/>
      <c r="AD830" s="103"/>
      <c r="AE830" s="103"/>
      <c r="AF830" s="103"/>
      <c r="AG830" s="103"/>
      <c r="AH830" s="103"/>
      <c r="AI830" s="103"/>
      <c r="AJ830" s="103"/>
      <c r="AK830" s="103"/>
      <c r="AL830" s="103"/>
      <c r="AM830" s="103"/>
      <c r="AN830" s="103"/>
      <c r="AO830" s="103"/>
      <c r="AP830" s="103"/>
      <c r="AQ830" s="103"/>
      <c r="AR830" s="103"/>
      <c r="AS830" s="103"/>
      <c r="AT830" s="34" t="s">
        <v>234</v>
      </c>
      <c r="AU830" s="34" t="s">
        <v>328</v>
      </c>
      <c r="AV830" s="159"/>
      <c r="AW830" s="159"/>
      <c r="AX830" s="156"/>
      <c r="AY830" s="159" t="s">
        <v>1923</v>
      </c>
      <c r="AZ830" s="63" t="s">
        <v>1924</v>
      </c>
      <c r="BA830" s="15" t="s">
        <v>50</v>
      </c>
    </row>
    <row r="831" spans="1:58" ht="15.75" hidden="1" customHeight="1">
      <c r="A831" s="220"/>
      <c r="B831" s="60" t="s">
        <v>2671</v>
      </c>
      <c r="C831" s="78" t="s">
        <v>24</v>
      </c>
      <c r="D831" s="103">
        <v>0.1</v>
      </c>
      <c r="E831" s="103"/>
      <c r="F831" s="103">
        <v>0.1</v>
      </c>
      <c r="G831" s="103">
        <v>0.1</v>
      </c>
      <c r="H831" s="103"/>
      <c r="I831" s="103"/>
      <c r="J831" s="103"/>
      <c r="K831" s="103"/>
      <c r="L831" s="103"/>
      <c r="M831" s="103"/>
      <c r="N831" s="103"/>
      <c r="O831" s="103"/>
      <c r="P831" s="103"/>
      <c r="Q831" s="103"/>
      <c r="R831" s="103"/>
      <c r="S831" s="103"/>
      <c r="T831" s="103"/>
      <c r="U831" s="103"/>
      <c r="V831" s="103"/>
      <c r="W831" s="103"/>
      <c r="X831" s="103"/>
      <c r="Y831" s="103"/>
      <c r="Z831" s="103"/>
      <c r="AA831" s="103"/>
      <c r="AB831" s="103"/>
      <c r="AC831" s="103"/>
      <c r="AD831" s="103"/>
      <c r="AE831" s="103"/>
      <c r="AF831" s="103"/>
      <c r="AG831" s="103"/>
      <c r="AH831" s="103"/>
      <c r="AI831" s="103"/>
      <c r="AJ831" s="103"/>
      <c r="AK831" s="103"/>
      <c r="AL831" s="103"/>
      <c r="AM831" s="103"/>
      <c r="AN831" s="103"/>
      <c r="AO831" s="103"/>
      <c r="AP831" s="103"/>
      <c r="AQ831" s="103"/>
      <c r="AR831" s="103"/>
      <c r="AS831" s="103"/>
      <c r="AT831" s="38" t="s">
        <v>238</v>
      </c>
      <c r="AU831" s="34"/>
      <c r="AV831" s="159"/>
      <c r="AW831" s="159"/>
      <c r="AX831" s="156"/>
      <c r="AY831" s="159" t="s">
        <v>1923</v>
      </c>
      <c r="AZ831" s="156" t="s">
        <v>1971</v>
      </c>
      <c r="BA831" s="65" t="s">
        <v>2672</v>
      </c>
    </row>
    <row r="832" spans="1:58" ht="31.5" hidden="1" customHeight="1">
      <c r="A832" s="193"/>
      <c r="B832" s="88" t="s">
        <v>1820</v>
      </c>
      <c r="C832" s="78"/>
      <c r="D832" s="103"/>
      <c r="E832" s="103"/>
      <c r="F832" s="103">
        <v>0.9</v>
      </c>
      <c r="G832" s="103"/>
      <c r="H832" s="103"/>
      <c r="I832" s="103"/>
      <c r="J832" s="103"/>
      <c r="K832" s="103"/>
      <c r="L832" s="103"/>
      <c r="M832" s="103"/>
      <c r="N832" s="103"/>
      <c r="O832" s="103"/>
      <c r="P832" s="103"/>
      <c r="Q832" s="103"/>
      <c r="R832" s="103"/>
      <c r="S832" s="103"/>
      <c r="T832" s="103"/>
      <c r="U832" s="103"/>
      <c r="V832" s="103"/>
      <c r="W832" s="103"/>
      <c r="X832" s="103"/>
      <c r="Y832" s="103"/>
      <c r="Z832" s="103"/>
      <c r="AA832" s="103"/>
      <c r="AB832" s="103"/>
      <c r="AC832" s="103"/>
      <c r="AD832" s="103"/>
      <c r="AE832" s="103"/>
      <c r="AF832" s="103"/>
      <c r="AG832" s="103"/>
      <c r="AH832" s="103"/>
      <c r="AI832" s="103"/>
      <c r="AJ832" s="103"/>
      <c r="AK832" s="103"/>
      <c r="AL832" s="103"/>
      <c r="AM832" s="103"/>
      <c r="AN832" s="103"/>
      <c r="AO832" s="103"/>
      <c r="AP832" s="103"/>
      <c r="AQ832" s="103"/>
      <c r="AR832" s="103"/>
      <c r="AS832" s="103"/>
      <c r="AT832" s="34" t="s">
        <v>240</v>
      </c>
      <c r="AU832" s="34" t="s">
        <v>305</v>
      </c>
      <c r="AV832" s="159"/>
      <c r="AW832" s="159"/>
      <c r="AX832" s="156"/>
      <c r="AY832" s="159" t="s">
        <v>1917</v>
      </c>
      <c r="AZ832" s="63" t="s">
        <v>2673</v>
      </c>
      <c r="BA832" s="15" t="s">
        <v>1821</v>
      </c>
    </row>
    <row r="833" spans="1:58" s="24" customFormat="1" ht="20.100000000000001" customHeight="1">
      <c r="A833" s="189" t="s">
        <v>1804</v>
      </c>
      <c r="B833" s="25" t="s">
        <v>114</v>
      </c>
      <c r="C833" s="29" t="s">
        <v>39</v>
      </c>
      <c r="D833" s="191">
        <f t="shared" ref="D833:D847" si="44">E833+F833</f>
        <v>1.2349999999999999</v>
      </c>
      <c r="E833" s="191">
        <f>SUM(E834:E842)</f>
        <v>0.69</v>
      </c>
      <c r="F833" s="192">
        <f>SUM(G833:K833,O833:AS833)</f>
        <v>0.54500000000000004</v>
      </c>
      <c r="G833" s="191">
        <f>SUM(G834:G842)</f>
        <v>0.2</v>
      </c>
      <c r="H833" s="191">
        <f>SUM(H834:H842)</f>
        <v>0.02</v>
      </c>
      <c r="I833" s="191">
        <f t="shared" ref="I833:AS833" si="45">SUM(I834:I842)</f>
        <v>1.0999999999999999E-2</v>
      </c>
      <c r="J833" s="191">
        <f t="shared" si="45"/>
        <v>1.9E-2</v>
      </c>
      <c r="K833" s="191">
        <f t="shared" si="45"/>
        <v>0.05</v>
      </c>
      <c r="L833" s="191">
        <f t="shared" si="45"/>
        <v>0</v>
      </c>
      <c r="M833" s="191">
        <f t="shared" si="45"/>
        <v>0.05</v>
      </c>
      <c r="N833" s="191">
        <f t="shared" si="45"/>
        <v>0</v>
      </c>
      <c r="O833" s="191">
        <f t="shared" si="45"/>
        <v>0</v>
      </c>
      <c r="P833" s="191">
        <f t="shared" si="45"/>
        <v>0</v>
      </c>
      <c r="Q833" s="191">
        <f t="shared" si="45"/>
        <v>0</v>
      </c>
      <c r="R833" s="191">
        <f t="shared" si="45"/>
        <v>0</v>
      </c>
      <c r="S833" s="191">
        <f t="shared" si="45"/>
        <v>0</v>
      </c>
      <c r="T833" s="191">
        <f t="shared" si="45"/>
        <v>0</v>
      </c>
      <c r="U833" s="191">
        <f t="shared" si="45"/>
        <v>0</v>
      </c>
      <c r="V833" s="191">
        <f t="shared" si="45"/>
        <v>0</v>
      </c>
      <c r="W833" s="191">
        <f t="shared" si="45"/>
        <v>0</v>
      </c>
      <c r="X833" s="191">
        <f t="shared" si="45"/>
        <v>0.08</v>
      </c>
      <c r="Y833" s="191">
        <f t="shared" si="45"/>
        <v>0</v>
      </c>
      <c r="Z833" s="191">
        <f t="shared" si="45"/>
        <v>0</v>
      </c>
      <c r="AA833" s="191">
        <f t="shared" si="45"/>
        <v>0</v>
      </c>
      <c r="AB833" s="191">
        <f t="shared" si="45"/>
        <v>0</v>
      </c>
      <c r="AC833" s="191">
        <f t="shared" si="45"/>
        <v>0</v>
      </c>
      <c r="AD833" s="191">
        <f t="shared" si="45"/>
        <v>0</v>
      </c>
      <c r="AE833" s="191">
        <f t="shared" si="45"/>
        <v>0</v>
      </c>
      <c r="AF833" s="191">
        <f t="shared" si="45"/>
        <v>0</v>
      </c>
      <c r="AG833" s="191">
        <f t="shared" si="45"/>
        <v>0.03</v>
      </c>
      <c r="AH833" s="191">
        <f t="shared" si="45"/>
        <v>0</v>
      </c>
      <c r="AI833" s="191">
        <f t="shared" si="45"/>
        <v>0</v>
      </c>
      <c r="AJ833" s="191">
        <f t="shared" si="45"/>
        <v>0</v>
      </c>
      <c r="AK833" s="191">
        <f t="shared" si="45"/>
        <v>0</v>
      </c>
      <c r="AL833" s="191">
        <f t="shared" si="45"/>
        <v>0</v>
      </c>
      <c r="AM833" s="191">
        <f t="shared" si="45"/>
        <v>0</v>
      </c>
      <c r="AN833" s="191">
        <f t="shared" si="45"/>
        <v>0.13500000000000001</v>
      </c>
      <c r="AO833" s="191">
        <f t="shared" si="45"/>
        <v>0</v>
      </c>
      <c r="AP833" s="191">
        <f t="shared" si="45"/>
        <v>0</v>
      </c>
      <c r="AQ833" s="191">
        <f t="shared" si="45"/>
        <v>0</v>
      </c>
      <c r="AR833" s="191">
        <f t="shared" si="45"/>
        <v>0</v>
      </c>
      <c r="AS833" s="191">
        <f t="shared" si="45"/>
        <v>0</v>
      </c>
      <c r="AT833" s="21"/>
      <c r="AU833" s="21"/>
      <c r="AV833" s="21"/>
      <c r="AW833" s="21"/>
      <c r="AX833" s="145"/>
      <c r="AY833" s="21"/>
      <c r="AZ833" s="145"/>
      <c r="BB833" s="59"/>
      <c r="BC833" s="59"/>
    </row>
    <row r="834" spans="1:58" ht="32.450000000000003" customHeight="1">
      <c r="A834" s="193">
        <v>127</v>
      </c>
      <c r="B834" s="56" t="s">
        <v>1824</v>
      </c>
      <c r="C834" s="34" t="s">
        <v>39</v>
      </c>
      <c r="D834" s="194">
        <f t="shared" si="44"/>
        <v>0.24</v>
      </c>
      <c r="E834" s="194">
        <v>0.19</v>
      </c>
      <c r="F834" s="103">
        <f t="shared" ref="F834:F842" si="46">SUM(G834:K834,O834:AR834)</f>
        <v>0.05</v>
      </c>
      <c r="G834" s="194"/>
      <c r="H834" s="194"/>
      <c r="I834" s="102"/>
      <c r="J834" s="102"/>
      <c r="K834" s="194">
        <v>0.05</v>
      </c>
      <c r="L834" s="194"/>
      <c r="M834" s="194">
        <v>0.05</v>
      </c>
      <c r="N834" s="194"/>
      <c r="O834" s="194"/>
      <c r="P834" s="194"/>
      <c r="Q834" s="194"/>
      <c r="R834" s="194"/>
      <c r="S834" s="194"/>
      <c r="T834" s="194"/>
      <c r="U834" s="194"/>
      <c r="V834" s="194"/>
      <c r="W834" s="194"/>
      <c r="X834" s="194"/>
      <c r="Y834" s="194"/>
      <c r="Z834" s="194"/>
      <c r="AA834" s="194"/>
      <c r="AB834" s="194"/>
      <c r="AC834" s="194"/>
      <c r="AD834" s="194"/>
      <c r="AE834" s="194"/>
      <c r="AF834" s="194"/>
      <c r="AG834" s="194"/>
      <c r="AH834" s="194"/>
      <c r="AI834" s="194"/>
      <c r="AJ834" s="194"/>
      <c r="AK834" s="194"/>
      <c r="AL834" s="194"/>
      <c r="AM834" s="194"/>
      <c r="AN834" s="194"/>
      <c r="AO834" s="194"/>
      <c r="AP834" s="194"/>
      <c r="AQ834" s="194"/>
      <c r="AR834" s="194"/>
      <c r="AS834" s="194"/>
      <c r="AT834" s="38" t="s">
        <v>487</v>
      </c>
      <c r="AU834" s="38" t="s">
        <v>1825</v>
      </c>
      <c r="AV834" s="38"/>
      <c r="AW834" s="38" t="s">
        <v>2132</v>
      </c>
      <c r="AX834" s="39" t="s">
        <v>1920</v>
      </c>
      <c r="AY834" s="38" t="s">
        <v>1923</v>
      </c>
      <c r="AZ834" s="39" t="s">
        <v>1924</v>
      </c>
      <c r="BB834" s="41"/>
      <c r="BC834" s="41"/>
      <c r="BE834" s="15">
        <v>1</v>
      </c>
    </row>
    <row r="835" spans="1:58" ht="19.350000000000001" customHeight="1">
      <c r="A835" s="193">
        <v>128</v>
      </c>
      <c r="B835" s="56" t="s">
        <v>1826</v>
      </c>
      <c r="C835" s="34" t="s">
        <v>39</v>
      </c>
      <c r="D835" s="194">
        <f t="shared" si="44"/>
        <v>0.18</v>
      </c>
      <c r="E835" s="194">
        <v>0.15</v>
      </c>
      <c r="F835" s="103">
        <f t="shared" si="46"/>
        <v>0.03</v>
      </c>
      <c r="G835" s="194"/>
      <c r="H835" s="194"/>
      <c r="I835" s="102"/>
      <c r="J835" s="102"/>
      <c r="K835" s="194"/>
      <c r="L835" s="194"/>
      <c r="M835" s="194"/>
      <c r="N835" s="194"/>
      <c r="O835" s="194"/>
      <c r="P835" s="194"/>
      <c r="Q835" s="194"/>
      <c r="R835" s="194"/>
      <c r="S835" s="194"/>
      <c r="T835" s="194"/>
      <c r="U835" s="194"/>
      <c r="V835" s="194"/>
      <c r="W835" s="194"/>
      <c r="X835" s="194"/>
      <c r="Y835" s="194"/>
      <c r="Z835" s="194"/>
      <c r="AA835" s="194"/>
      <c r="AB835" s="194"/>
      <c r="AC835" s="194"/>
      <c r="AD835" s="194"/>
      <c r="AE835" s="194"/>
      <c r="AF835" s="194"/>
      <c r="AG835" s="194">
        <v>0.03</v>
      </c>
      <c r="AH835" s="194"/>
      <c r="AI835" s="194"/>
      <c r="AJ835" s="194"/>
      <c r="AK835" s="194"/>
      <c r="AL835" s="194"/>
      <c r="AM835" s="194"/>
      <c r="AN835" s="194"/>
      <c r="AO835" s="194"/>
      <c r="AP835" s="194"/>
      <c r="AQ835" s="194"/>
      <c r="AR835" s="194"/>
      <c r="AS835" s="194"/>
      <c r="AT835" s="38" t="s">
        <v>487</v>
      </c>
      <c r="AU835" s="38" t="s">
        <v>945</v>
      </c>
      <c r="AV835" s="38"/>
      <c r="AW835" s="38"/>
      <c r="AX835" s="39" t="s">
        <v>1920</v>
      </c>
      <c r="AY835" s="38" t="s">
        <v>1923</v>
      </c>
      <c r="AZ835" s="39" t="s">
        <v>1924</v>
      </c>
      <c r="BB835" s="41"/>
      <c r="BC835" s="41"/>
      <c r="BE835" s="15">
        <v>1</v>
      </c>
    </row>
    <row r="836" spans="1:58" ht="19.350000000000001" customHeight="1">
      <c r="A836" s="193">
        <v>129</v>
      </c>
      <c r="B836" s="216" t="s">
        <v>1827</v>
      </c>
      <c r="C836" s="38" t="s">
        <v>39</v>
      </c>
      <c r="D836" s="103">
        <f t="shared" si="44"/>
        <v>0.03</v>
      </c>
      <c r="E836" s="103">
        <v>0.01</v>
      </c>
      <c r="F836" s="103">
        <f t="shared" si="46"/>
        <v>0.02</v>
      </c>
      <c r="G836" s="103"/>
      <c r="H836" s="103">
        <v>0.02</v>
      </c>
      <c r="I836" s="103"/>
      <c r="J836" s="103"/>
      <c r="K836" s="103"/>
      <c r="L836" s="103"/>
      <c r="M836" s="103"/>
      <c r="N836" s="103"/>
      <c r="O836" s="103"/>
      <c r="P836" s="103"/>
      <c r="Q836" s="103"/>
      <c r="R836" s="103"/>
      <c r="S836" s="103"/>
      <c r="T836" s="103"/>
      <c r="U836" s="103"/>
      <c r="V836" s="103"/>
      <c r="W836" s="103"/>
      <c r="X836" s="103"/>
      <c r="Y836" s="103"/>
      <c r="Z836" s="103"/>
      <c r="AA836" s="103"/>
      <c r="AB836" s="103"/>
      <c r="AC836" s="103"/>
      <c r="AD836" s="103"/>
      <c r="AE836" s="103"/>
      <c r="AF836" s="103"/>
      <c r="AG836" s="103"/>
      <c r="AH836" s="103"/>
      <c r="AI836" s="103"/>
      <c r="AJ836" s="103"/>
      <c r="AK836" s="103"/>
      <c r="AL836" s="103"/>
      <c r="AM836" s="103"/>
      <c r="AN836" s="103"/>
      <c r="AO836" s="103"/>
      <c r="AP836" s="103"/>
      <c r="AQ836" s="103"/>
      <c r="AR836" s="103"/>
      <c r="AS836" s="103"/>
      <c r="AT836" s="34" t="s">
        <v>229</v>
      </c>
      <c r="AU836" s="34" t="s">
        <v>417</v>
      </c>
      <c r="AV836" s="159"/>
      <c r="AW836" s="159" t="s">
        <v>2022</v>
      </c>
      <c r="AX836" s="39" t="s">
        <v>1920</v>
      </c>
      <c r="AY836" s="159" t="s">
        <v>1923</v>
      </c>
      <c r="AZ836" s="39" t="s">
        <v>2674</v>
      </c>
      <c r="BE836" s="15">
        <v>1</v>
      </c>
    </row>
    <row r="837" spans="1:58" ht="19.350000000000001" customHeight="1">
      <c r="A837" s="193">
        <v>130</v>
      </c>
      <c r="B837" s="216" t="s">
        <v>2669</v>
      </c>
      <c r="C837" s="38" t="s">
        <v>39</v>
      </c>
      <c r="D837" s="103">
        <f t="shared" si="44"/>
        <v>0.05</v>
      </c>
      <c r="E837" s="103"/>
      <c r="F837" s="103">
        <f t="shared" si="46"/>
        <v>0.05</v>
      </c>
      <c r="G837" s="103">
        <v>0.05</v>
      </c>
      <c r="H837" s="103"/>
      <c r="I837" s="103"/>
      <c r="J837" s="103"/>
      <c r="K837" s="103"/>
      <c r="L837" s="103"/>
      <c r="M837" s="103"/>
      <c r="N837" s="103"/>
      <c r="O837" s="103"/>
      <c r="P837" s="103"/>
      <c r="Q837" s="103"/>
      <c r="R837" s="103"/>
      <c r="S837" s="103"/>
      <c r="T837" s="103"/>
      <c r="U837" s="103"/>
      <c r="V837" s="103"/>
      <c r="W837" s="103"/>
      <c r="X837" s="103"/>
      <c r="Y837" s="103"/>
      <c r="Z837" s="103"/>
      <c r="AA837" s="103"/>
      <c r="AB837" s="103"/>
      <c r="AC837" s="103"/>
      <c r="AD837" s="103"/>
      <c r="AE837" s="103"/>
      <c r="AF837" s="103"/>
      <c r="AG837" s="103"/>
      <c r="AH837" s="103"/>
      <c r="AI837" s="103"/>
      <c r="AJ837" s="103"/>
      <c r="AK837" s="103"/>
      <c r="AL837" s="103"/>
      <c r="AM837" s="103"/>
      <c r="AN837" s="103"/>
      <c r="AO837" s="103"/>
      <c r="AP837" s="103"/>
      <c r="AQ837" s="103"/>
      <c r="AR837" s="103"/>
      <c r="AS837" s="103"/>
      <c r="AT837" s="34" t="s">
        <v>229</v>
      </c>
      <c r="AU837" s="34" t="s">
        <v>305</v>
      </c>
      <c r="AV837" s="159"/>
      <c r="AW837" s="159" t="s">
        <v>2022</v>
      </c>
      <c r="AX837" s="39" t="s">
        <v>1920</v>
      </c>
      <c r="AY837" s="159" t="s">
        <v>1923</v>
      </c>
      <c r="AZ837" s="39" t="s">
        <v>1971</v>
      </c>
      <c r="BD837" s="15">
        <v>1</v>
      </c>
    </row>
    <row r="838" spans="1:58" ht="19.350000000000001" customHeight="1">
      <c r="A838" s="193">
        <v>131</v>
      </c>
      <c r="B838" s="216" t="s">
        <v>1835</v>
      </c>
      <c r="C838" s="38" t="s">
        <v>39</v>
      </c>
      <c r="D838" s="103">
        <f t="shared" si="44"/>
        <v>1.0999999999999999E-2</v>
      </c>
      <c r="E838" s="103"/>
      <c r="F838" s="103">
        <f t="shared" si="46"/>
        <v>1.0999999999999999E-2</v>
      </c>
      <c r="G838" s="103"/>
      <c r="H838" s="103"/>
      <c r="I838" s="103">
        <v>1.0999999999999999E-2</v>
      </c>
      <c r="J838" s="103"/>
      <c r="K838" s="103"/>
      <c r="L838" s="103"/>
      <c r="M838" s="103"/>
      <c r="N838" s="103"/>
      <c r="O838" s="103"/>
      <c r="P838" s="103"/>
      <c r="Q838" s="103"/>
      <c r="R838" s="103"/>
      <c r="S838" s="103"/>
      <c r="T838" s="103"/>
      <c r="U838" s="103"/>
      <c r="V838" s="103"/>
      <c r="W838" s="103"/>
      <c r="X838" s="103"/>
      <c r="Y838" s="103"/>
      <c r="Z838" s="103"/>
      <c r="AA838" s="103"/>
      <c r="AB838" s="103"/>
      <c r="AC838" s="103"/>
      <c r="AD838" s="103"/>
      <c r="AE838" s="103"/>
      <c r="AF838" s="103"/>
      <c r="AG838" s="103"/>
      <c r="AH838" s="103"/>
      <c r="AI838" s="103"/>
      <c r="AJ838" s="103"/>
      <c r="AK838" s="103"/>
      <c r="AL838" s="103"/>
      <c r="AM838" s="103"/>
      <c r="AN838" s="103"/>
      <c r="AO838" s="103"/>
      <c r="AP838" s="103"/>
      <c r="AQ838" s="103"/>
      <c r="AR838" s="103"/>
      <c r="AS838" s="103"/>
      <c r="AT838" s="34" t="s">
        <v>233</v>
      </c>
      <c r="AU838" s="34" t="s">
        <v>1174</v>
      </c>
      <c r="AV838" s="159"/>
      <c r="AW838" s="159"/>
      <c r="AX838" s="39" t="s">
        <v>1920</v>
      </c>
      <c r="AY838" s="159" t="s">
        <v>1923</v>
      </c>
      <c r="AZ838" s="39" t="s">
        <v>1926</v>
      </c>
      <c r="BE838" s="15">
        <v>1</v>
      </c>
    </row>
    <row r="839" spans="1:58" ht="19.350000000000001" customHeight="1">
      <c r="A839" s="193">
        <v>132</v>
      </c>
      <c r="B839" s="56" t="s">
        <v>2675</v>
      </c>
      <c r="C839" s="34" t="s">
        <v>39</v>
      </c>
      <c r="D839" s="194">
        <f t="shared" si="44"/>
        <v>3.9E-2</v>
      </c>
      <c r="E839" s="194">
        <v>0.02</v>
      </c>
      <c r="F839" s="103">
        <f t="shared" si="46"/>
        <v>1.9E-2</v>
      </c>
      <c r="G839" s="194"/>
      <c r="H839" s="194"/>
      <c r="I839" s="102"/>
      <c r="J839" s="102">
        <v>1.9E-2</v>
      </c>
      <c r="K839" s="194"/>
      <c r="L839" s="194"/>
      <c r="M839" s="194"/>
      <c r="N839" s="194"/>
      <c r="O839" s="194"/>
      <c r="P839" s="194"/>
      <c r="Q839" s="194"/>
      <c r="R839" s="194"/>
      <c r="S839" s="194"/>
      <c r="T839" s="194"/>
      <c r="U839" s="194"/>
      <c r="V839" s="194"/>
      <c r="W839" s="194"/>
      <c r="X839" s="194"/>
      <c r="Y839" s="194"/>
      <c r="Z839" s="194"/>
      <c r="AA839" s="194"/>
      <c r="AB839" s="194"/>
      <c r="AC839" s="194"/>
      <c r="AD839" s="194"/>
      <c r="AE839" s="194"/>
      <c r="AF839" s="194"/>
      <c r="AG839" s="194"/>
      <c r="AH839" s="194"/>
      <c r="AI839" s="194"/>
      <c r="AJ839" s="194"/>
      <c r="AK839" s="194"/>
      <c r="AL839" s="194"/>
      <c r="AM839" s="194"/>
      <c r="AN839" s="194"/>
      <c r="AO839" s="194"/>
      <c r="AP839" s="194"/>
      <c r="AQ839" s="194"/>
      <c r="AR839" s="194"/>
      <c r="AS839" s="194"/>
      <c r="AT839" s="38" t="s">
        <v>233</v>
      </c>
      <c r="AU839" s="38" t="s">
        <v>2676</v>
      </c>
      <c r="AV839" s="38"/>
      <c r="AW839" s="38"/>
      <c r="AX839" s="39">
        <v>2021</v>
      </c>
      <c r="AY839" s="38" t="s">
        <v>1923</v>
      </c>
      <c r="AZ839" s="39" t="s">
        <v>1971</v>
      </c>
      <c r="BB839" s="41"/>
      <c r="BC839" s="41"/>
      <c r="BD839" s="15">
        <v>1</v>
      </c>
    </row>
    <row r="840" spans="1:58" ht="19.350000000000001" customHeight="1">
      <c r="A840" s="193">
        <v>133</v>
      </c>
      <c r="B840" s="216" t="s">
        <v>2677</v>
      </c>
      <c r="C840" s="38" t="s">
        <v>39</v>
      </c>
      <c r="D840" s="103">
        <f t="shared" si="44"/>
        <v>3.5000000000000003E-2</v>
      </c>
      <c r="E840" s="103"/>
      <c r="F840" s="103">
        <f t="shared" si="46"/>
        <v>3.5000000000000003E-2</v>
      </c>
      <c r="G840" s="103"/>
      <c r="H840" s="103"/>
      <c r="I840" s="103"/>
      <c r="J840" s="103"/>
      <c r="K840" s="103"/>
      <c r="L840" s="103"/>
      <c r="M840" s="103"/>
      <c r="N840" s="103"/>
      <c r="O840" s="103"/>
      <c r="P840" s="103"/>
      <c r="Q840" s="103"/>
      <c r="R840" s="103"/>
      <c r="S840" s="103"/>
      <c r="T840" s="103"/>
      <c r="U840" s="103"/>
      <c r="V840" s="103"/>
      <c r="W840" s="103"/>
      <c r="X840" s="103"/>
      <c r="Y840" s="103"/>
      <c r="Z840" s="103"/>
      <c r="AA840" s="103"/>
      <c r="AB840" s="103"/>
      <c r="AC840" s="103"/>
      <c r="AD840" s="103"/>
      <c r="AE840" s="103"/>
      <c r="AF840" s="103"/>
      <c r="AG840" s="103"/>
      <c r="AH840" s="103"/>
      <c r="AI840" s="103"/>
      <c r="AJ840" s="103"/>
      <c r="AK840" s="103"/>
      <c r="AL840" s="103"/>
      <c r="AM840" s="103"/>
      <c r="AN840" s="103">
        <v>3.5000000000000003E-2</v>
      </c>
      <c r="AO840" s="103"/>
      <c r="AP840" s="103"/>
      <c r="AQ840" s="103"/>
      <c r="AR840" s="103"/>
      <c r="AS840" s="103"/>
      <c r="AT840" s="34" t="s">
        <v>234</v>
      </c>
      <c r="AU840" s="34" t="s">
        <v>451</v>
      </c>
      <c r="AV840" s="159"/>
      <c r="AW840" s="159"/>
      <c r="AX840" s="39" t="s">
        <v>1920</v>
      </c>
      <c r="AY840" s="159" t="s">
        <v>1923</v>
      </c>
      <c r="AZ840" s="39" t="s">
        <v>1924</v>
      </c>
      <c r="BE840" s="15">
        <v>1</v>
      </c>
    </row>
    <row r="841" spans="1:58" ht="19.350000000000001" customHeight="1">
      <c r="A841" s="193">
        <v>134</v>
      </c>
      <c r="B841" s="216" t="s">
        <v>2678</v>
      </c>
      <c r="C841" s="38" t="s">
        <v>39</v>
      </c>
      <c r="D841" s="103">
        <f t="shared" si="44"/>
        <v>0.18</v>
      </c>
      <c r="E841" s="103"/>
      <c r="F841" s="103">
        <f t="shared" si="46"/>
        <v>0.18</v>
      </c>
      <c r="G841" s="103"/>
      <c r="H841" s="103"/>
      <c r="I841" s="103"/>
      <c r="J841" s="103"/>
      <c r="K841" s="103"/>
      <c r="L841" s="103"/>
      <c r="M841" s="103"/>
      <c r="N841" s="103"/>
      <c r="O841" s="103"/>
      <c r="P841" s="103"/>
      <c r="Q841" s="103"/>
      <c r="R841" s="103"/>
      <c r="S841" s="103"/>
      <c r="T841" s="103"/>
      <c r="U841" s="103"/>
      <c r="V841" s="103"/>
      <c r="W841" s="103"/>
      <c r="X841" s="103">
        <v>0.08</v>
      </c>
      <c r="Y841" s="103"/>
      <c r="Z841" s="103"/>
      <c r="AA841" s="103"/>
      <c r="AB841" s="103"/>
      <c r="AC841" s="103"/>
      <c r="AD841" s="103"/>
      <c r="AE841" s="103"/>
      <c r="AF841" s="103"/>
      <c r="AG841" s="103"/>
      <c r="AH841" s="103"/>
      <c r="AI841" s="103"/>
      <c r="AJ841" s="103"/>
      <c r="AK841" s="103"/>
      <c r="AL841" s="103"/>
      <c r="AM841" s="103"/>
      <c r="AN841" s="103">
        <v>0.1</v>
      </c>
      <c r="AO841" s="103"/>
      <c r="AP841" s="103"/>
      <c r="AQ841" s="103"/>
      <c r="AR841" s="103"/>
      <c r="AS841" s="103"/>
      <c r="AT841" s="34" t="s">
        <v>429</v>
      </c>
      <c r="AU841" s="34" t="s">
        <v>430</v>
      </c>
      <c r="AV841" s="159"/>
      <c r="AW841" s="159" t="s">
        <v>1995</v>
      </c>
      <c r="AX841" s="156">
        <v>2021</v>
      </c>
      <c r="AY841" s="159" t="s">
        <v>1917</v>
      </c>
      <c r="AZ841" s="156" t="s">
        <v>1924</v>
      </c>
      <c r="BF841" s="15">
        <v>1</v>
      </c>
    </row>
    <row r="842" spans="1:58" ht="19.350000000000001" customHeight="1">
      <c r="A842" s="193">
        <v>135</v>
      </c>
      <c r="B842" s="56" t="s">
        <v>1840</v>
      </c>
      <c r="C842" s="34" t="s">
        <v>39</v>
      </c>
      <c r="D842" s="194">
        <f t="shared" si="44"/>
        <v>0.47</v>
      </c>
      <c r="E842" s="194">
        <v>0.32</v>
      </c>
      <c r="F842" s="103">
        <f t="shared" si="46"/>
        <v>0.15</v>
      </c>
      <c r="G842" s="103">
        <v>0.15</v>
      </c>
      <c r="H842" s="194"/>
      <c r="I842" s="102"/>
      <c r="J842" s="102"/>
      <c r="K842" s="194"/>
      <c r="L842" s="194"/>
      <c r="M842" s="194"/>
      <c r="N842" s="194"/>
      <c r="O842" s="194"/>
      <c r="P842" s="194"/>
      <c r="Q842" s="194"/>
      <c r="R842" s="194"/>
      <c r="S842" s="194"/>
      <c r="T842" s="194"/>
      <c r="U842" s="194"/>
      <c r="V842" s="194"/>
      <c r="W842" s="194"/>
      <c r="X842" s="194"/>
      <c r="Y842" s="194"/>
      <c r="Z842" s="194"/>
      <c r="AA842" s="194"/>
      <c r="AB842" s="194"/>
      <c r="AC842" s="194"/>
      <c r="AD842" s="194"/>
      <c r="AE842" s="194"/>
      <c r="AF842" s="194"/>
      <c r="AG842" s="194"/>
      <c r="AH842" s="194"/>
      <c r="AI842" s="194"/>
      <c r="AJ842" s="194"/>
      <c r="AK842" s="194"/>
      <c r="AL842" s="194"/>
      <c r="AM842" s="194"/>
      <c r="AN842" s="194"/>
      <c r="AO842" s="194"/>
      <c r="AP842" s="194"/>
      <c r="AQ842" s="194"/>
      <c r="AR842" s="194"/>
      <c r="AS842" s="194"/>
      <c r="AT842" s="38" t="s">
        <v>239</v>
      </c>
      <c r="AU842" s="38" t="s">
        <v>389</v>
      </c>
      <c r="AV842" s="38"/>
      <c r="AW842" s="38"/>
      <c r="AX842" s="39" t="s">
        <v>1920</v>
      </c>
      <c r="AY842" s="38" t="s">
        <v>1923</v>
      </c>
      <c r="AZ842" s="39" t="s">
        <v>1924</v>
      </c>
      <c r="BB842" s="41"/>
      <c r="BC842" s="41"/>
      <c r="BE842" s="15">
        <v>1</v>
      </c>
    </row>
    <row r="843" spans="1:58" s="24" customFormat="1" ht="21.6" customHeight="1">
      <c r="A843" s="189" t="s">
        <v>1822</v>
      </c>
      <c r="B843" s="25" t="s">
        <v>77</v>
      </c>
      <c r="C843" s="173" t="s">
        <v>41</v>
      </c>
      <c r="D843" s="253">
        <f t="shared" si="44"/>
        <v>53.019999999999996</v>
      </c>
      <c r="E843" s="191">
        <f>SUM(E844:E849)</f>
        <v>0</v>
      </c>
      <c r="F843" s="192">
        <f>SUM(G843:K843,O843:AS843)</f>
        <v>53.019999999999996</v>
      </c>
      <c r="G843" s="191">
        <f>SUM(G844:G852)</f>
        <v>7.0000000000000009</v>
      </c>
      <c r="H843" s="191">
        <f>SUM(H844:H852)</f>
        <v>0.31</v>
      </c>
      <c r="I843" s="191">
        <f t="shared" ref="I843:AS843" si="47">SUM(I844:I852)</f>
        <v>17.239999999999998</v>
      </c>
      <c r="J843" s="191">
        <f t="shared" si="47"/>
        <v>14.399999999999999</v>
      </c>
      <c r="K843" s="191">
        <f t="shared" si="47"/>
        <v>14.07</v>
      </c>
      <c r="L843" s="191">
        <f t="shared" si="47"/>
        <v>0</v>
      </c>
      <c r="M843" s="191">
        <f t="shared" si="47"/>
        <v>14.07</v>
      </c>
      <c r="N843" s="191">
        <f t="shared" si="47"/>
        <v>0</v>
      </c>
      <c r="O843" s="191">
        <f t="shared" si="47"/>
        <v>0</v>
      </c>
      <c r="P843" s="191">
        <f t="shared" si="47"/>
        <v>0</v>
      </c>
      <c r="Q843" s="191">
        <f t="shared" si="47"/>
        <v>0</v>
      </c>
      <c r="R843" s="191">
        <f t="shared" si="47"/>
        <v>0</v>
      </c>
      <c r="S843" s="191">
        <f t="shared" si="47"/>
        <v>0</v>
      </c>
      <c r="T843" s="191">
        <f t="shared" si="47"/>
        <v>0</v>
      </c>
      <c r="U843" s="191">
        <f t="shared" si="47"/>
        <v>0</v>
      </c>
      <c r="V843" s="191">
        <f t="shared" si="47"/>
        <v>0</v>
      </c>
      <c r="W843" s="191">
        <f t="shared" si="47"/>
        <v>0</v>
      </c>
      <c r="X843" s="191">
        <f t="shared" si="47"/>
        <v>0</v>
      </c>
      <c r="Y843" s="191">
        <f t="shared" si="47"/>
        <v>0</v>
      </c>
      <c r="Z843" s="191">
        <f t="shared" si="47"/>
        <v>0</v>
      </c>
      <c r="AA843" s="191">
        <f t="shared" si="47"/>
        <v>0</v>
      </c>
      <c r="AB843" s="191">
        <f t="shared" si="47"/>
        <v>0</v>
      </c>
      <c r="AC843" s="191">
        <f t="shared" si="47"/>
        <v>0</v>
      </c>
      <c r="AD843" s="191">
        <f t="shared" si="47"/>
        <v>0</v>
      </c>
      <c r="AE843" s="191">
        <f t="shared" si="47"/>
        <v>0</v>
      </c>
      <c r="AF843" s="191">
        <f t="shared" si="47"/>
        <v>0</v>
      </c>
      <c r="AG843" s="191">
        <f t="shared" si="47"/>
        <v>0</v>
      </c>
      <c r="AH843" s="191">
        <f t="shared" si="47"/>
        <v>0</v>
      </c>
      <c r="AI843" s="191">
        <f t="shared" si="47"/>
        <v>0</v>
      </c>
      <c r="AJ843" s="191">
        <f t="shared" si="47"/>
        <v>0</v>
      </c>
      <c r="AK843" s="191">
        <f t="shared" si="47"/>
        <v>0</v>
      </c>
      <c r="AL843" s="191">
        <f t="shared" si="47"/>
        <v>0</v>
      </c>
      <c r="AM843" s="191">
        <f t="shared" si="47"/>
        <v>0</v>
      </c>
      <c r="AN843" s="191">
        <f t="shared" si="47"/>
        <v>0</v>
      </c>
      <c r="AO843" s="191">
        <f t="shared" si="47"/>
        <v>0</v>
      </c>
      <c r="AP843" s="191">
        <f t="shared" si="47"/>
        <v>0</v>
      </c>
      <c r="AQ843" s="191">
        <f t="shared" si="47"/>
        <v>0</v>
      </c>
      <c r="AR843" s="191">
        <f t="shared" si="47"/>
        <v>0</v>
      </c>
      <c r="AS843" s="191">
        <f t="shared" si="47"/>
        <v>0</v>
      </c>
      <c r="AT843" s="21"/>
      <c r="AU843" s="21"/>
      <c r="AV843" s="21"/>
      <c r="AW843" s="21"/>
      <c r="AX843" s="145"/>
      <c r="AY843" s="21"/>
      <c r="AZ843" s="145"/>
      <c r="BB843" s="59"/>
      <c r="BC843" s="59"/>
    </row>
    <row r="844" spans="1:58" ht="21.6" customHeight="1">
      <c r="A844" s="193">
        <v>136</v>
      </c>
      <c r="B844" s="56" t="s">
        <v>2679</v>
      </c>
      <c r="C844" s="34" t="s">
        <v>41</v>
      </c>
      <c r="D844" s="194">
        <f t="shared" si="44"/>
        <v>1.44</v>
      </c>
      <c r="E844" s="194"/>
      <c r="F844" s="103">
        <f>SUM(G844:K844,O844:AR844)</f>
        <v>1.44</v>
      </c>
      <c r="G844" s="194">
        <v>1.44</v>
      </c>
      <c r="H844" s="194"/>
      <c r="I844" s="102"/>
      <c r="J844" s="102"/>
      <c r="K844" s="194"/>
      <c r="L844" s="194"/>
      <c r="M844" s="194"/>
      <c r="N844" s="194"/>
      <c r="O844" s="194"/>
      <c r="P844" s="194"/>
      <c r="Q844" s="194"/>
      <c r="R844" s="194"/>
      <c r="S844" s="194"/>
      <c r="T844" s="194"/>
      <c r="U844" s="194"/>
      <c r="V844" s="194"/>
      <c r="W844" s="194"/>
      <c r="X844" s="194"/>
      <c r="Y844" s="194"/>
      <c r="Z844" s="194"/>
      <c r="AA844" s="194"/>
      <c r="AB844" s="194"/>
      <c r="AC844" s="194"/>
      <c r="AD844" s="194"/>
      <c r="AE844" s="194"/>
      <c r="AF844" s="194"/>
      <c r="AG844" s="194"/>
      <c r="AH844" s="194"/>
      <c r="AI844" s="194"/>
      <c r="AJ844" s="194"/>
      <c r="AK844" s="194"/>
      <c r="AL844" s="194"/>
      <c r="AM844" s="194"/>
      <c r="AN844" s="194"/>
      <c r="AO844" s="194"/>
      <c r="AP844" s="194"/>
      <c r="AQ844" s="194"/>
      <c r="AR844" s="194"/>
      <c r="AS844" s="194"/>
      <c r="AT844" s="38" t="s">
        <v>234</v>
      </c>
      <c r="AU844" s="38" t="s">
        <v>305</v>
      </c>
      <c r="AV844" s="38"/>
      <c r="AW844" s="38"/>
      <c r="AX844" s="39" t="s">
        <v>1920</v>
      </c>
      <c r="AY844" s="38" t="s">
        <v>1923</v>
      </c>
      <c r="AZ844" s="39" t="s">
        <v>1924</v>
      </c>
      <c r="BB844" s="15" t="s">
        <v>2680</v>
      </c>
      <c r="BC844" s="41"/>
      <c r="BE844" s="15">
        <v>1</v>
      </c>
    </row>
    <row r="845" spans="1:58" ht="36" customHeight="1">
      <c r="A845" s="193">
        <v>137</v>
      </c>
      <c r="B845" s="56" t="s">
        <v>1844</v>
      </c>
      <c r="C845" s="34" t="s">
        <v>41</v>
      </c>
      <c r="D845" s="103">
        <f t="shared" si="44"/>
        <v>8.1999999999999993</v>
      </c>
      <c r="E845" s="103"/>
      <c r="F845" s="103">
        <f>SUM(G845:K845,O845:AR845)</f>
        <v>8.1999999999999993</v>
      </c>
      <c r="G845" s="103">
        <v>5.2</v>
      </c>
      <c r="H845" s="103"/>
      <c r="I845" s="103">
        <v>1</v>
      </c>
      <c r="J845" s="103">
        <v>2</v>
      </c>
      <c r="K845" s="194"/>
      <c r="L845" s="103"/>
      <c r="M845" s="103"/>
      <c r="N845" s="103"/>
      <c r="O845" s="103"/>
      <c r="P845" s="103"/>
      <c r="Q845" s="103"/>
      <c r="R845" s="103"/>
      <c r="S845" s="103"/>
      <c r="T845" s="103"/>
      <c r="U845" s="103"/>
      <c r="V845" s="103"/>
      <c r="W845" s="103"/>
      <c r="X845" s="103"/>
      <c r="Y845" s="103"/>
      <c r="Z845" s="103"/>
      <c r="AA845" s="103"/>
      <c r="AB845" s="103"/>
      <c r="AC845" s="103"/>
      <c r="AD845" s="103"/>
      <c r="AE845" s="103"/>
      <c r="AF845" s="103"/>
      <c r="AG845" s="103"/>
      <c r="AH845" s="103"/>
      <c r="AI845" s="103"/>
      <c r="AJ845" s="103"/>
      <c r="AK845" s="103"/>
      <c r="AL845" s="103"/>
      <c r="AM845" s="103"/>
      <c r="AN845" s="103"/>
      <c r="AO845" s="103"/>
      <c r="AP845" s="103"/>
      <c r="AQ845" s="103"/>
      <c r="AR845" s="103"/>
      <c r="AS845" s="103"/>
      <c r="AT845" s="34" t="s">
        <v>983</v>
      </c>
      <c r="AU845" s="34"/>
      <c r="AV845" s="34"/>
      <c r="AW845" s="34"/>
      <c r="AX845" s="39" t="s">
        <v>1920</v>
      </c>
      <c r="AY845" s="34" t="s">
        <v>1923</v>
      </c>
      <c r="AZ845" s="39" t="s">
        <v>2681</v>
      </c>
      <c r="BB845" s="41"/>
      <c r="BE845" s="15">
        <v>1</v>
      </c>
    </row>
    <row r="846" spans="1:58" ht="32.450000000000003" customHeight="1">
      <c r="A846" s="193">
        <v>138</v>
      </c>
      <c r="B846" s="56" t="s">
        <v>2682</v>
      </c>
      <c r="C846" s="34" t="s">
        <v>41</v>
      </c>
      <c r="D846" s="103">
        <f t="shared" si="44"/>
        <v>18.2</v>
      </c>
      <c r="E846" s="103"/>
      <c r="F846" s="103">
        <f>SUM(G846:K846,O846:AR846)</f>
        <v>18.2</v>
      </c>
      <c r="G846" s="195"/>
      <c r="H846" s="195"/>
      <c r="I846" s="195">
        <v>8</v>
      </c>
      <c r="J846" s="195">
        <v>6.2</v>
      </c>
      <c r="K846" s="194">
        <v>4</v>
      </c>
      <c r="L846" s="195"/>
      <c r="M846" s="195">
        <v>4</v>
      </c>
      <c r="N846" s="195"/>
      <c r="O846" s="195"/>
      <c r="P846" s="195"/>
      <c r="Q846" s="195"/>
      <c r="R846" s="195"/>
      <c r="S846" s="195"/>
      <c r="T846" s="195"/>
      <c r="U846" s="195"/>
      <c r="V846" s="195"/>
      <c r="W846" s="195"/>
      <c r="X846" s="195"/>
      <c r="Y846" s="195"/>
      <c r="Z846" s="195"/>
      <c r="AA846" s="195"/>
      <c r="AB846" s="195"/>
      <c r="AC846" s="195"/>
      <c r="AD846" s="195"/>
      <c r="AE846" s="195"/>
      <c r="AF846" s="195"/>
      <c r="AG846" s="195"/>
      <c r="AH846" s="195"/>
      <c r="AI846" s="195"/>
      <c r="AJ846" s="195"/>
      <c r="AK846" s="195"/>
      <c r="AL846" s="195"/>
      <c r="AM846" s="195"/>
      <c r="AN846" s="195"/>
      <c r="AO846" s="195"/>
      <c r="AP846" s="195"/>
      <c r="AQ846" s="195"/>
      <c r="AR846" s="195"/>
      <c r="AS846" s="195"/>
      <c r="AT846" s="34" t="s">
        <v>2683</v>
      </c>
      <c r="AU846" s="34"/>
      <c r="AV846" s="34"/>
      <c r="AW846" s="34"/>
      <c r="AX846" s="39" t="s">
        <v>1920</v>
      </c>
      <c r="AY846" s="34" t="s">
        <v>1986</v>
      </c>
      <c r="AZ846" s="39" t="s">
        <v>2684</v>
      </c>
      <c r="BB846" s="41"/>
      <c r="BC846" s="15">
        <v>1</v>
      </c>
    </row>
    <row r="847" spans="1:58" ht="15.75" hidden="1" customHeight="1">
      <c r="A847" s="193">
        <v>139</v>
      </c>
      <c r="B847" s="56" t="s">
        <v>2685</v>
      </c>
      <c r="C847" s="34" t="s">
        <v>41</v>
      </c>
      <c r="D847" s="103">
        <f t="shared" si="44"/>
        <v>0</v>
      </c>
      <c r="E847" s="103"/>
      <c r="F847" s="103"/>
      <c r="G847" s="195"/>
      <c r="H847" s="195"/>
      <c r="I847" s="195">
        <v>8</v>
      </c>
      <c r="J847" s="195">
        <v>6.2</v>
      </c>
      <c r="K847" s="194">
        <v>4</v>
      </c>
      <c r="L847" s="195"/>
      <c r="M847" s="195">
        <v>4</v>
      </c>
      <c r="N847" s="195"/>
      <c r="O847" s="195"/>
      <c r="P847" s="195"/>
      <c r="Q847" s="195"/>
      <c r="R847" s="195"/>
      <c r="S847" s="195"/>
      <c r="T847" s="195"/>
      <c r="U847" s="195"/>
      <c r="V847" s="195"/>
      <c r="W847" s="195"/>
      <c r="X847" s="195"/>
      <c r="Y847" s="195"/>
      <c r="Z847" s="195"/>
      <c r="AA847" s="195"/>
      <c r="AB847" s="195"/>
      <c r="AC847" s="195"/>
      <c r="AD847" s="195"/>
      <c r="AE847" s="195"/>
      <c r="AF847" s="195"/>
      <c r="AG847" s="195"/>
      <c r="AH847" s="195"/>
      <c r="AI847" s="195"/>
      <c r="AJ847" s="195"/>
      <c r="AK847" s="195"/>
      <c r="AL847" s="195"/>
      <c r="AM847" s="195"/>
      <c r="AN847" s="195"/>
      <c r="AO847" s="195"/>
      <c r="AP847" s="195"/>
      <c r="AQ847" s="195"/>
      <c r="AR847" s="195"/>
      <c r="AS847" s="195"/>
      <c r="AT847" s="34" t="s">
        <v>225</v>
      </c>
      <c r="AU847" s="34" t="s">
        <v>2686</v>
      </c>
      <c r="AV847" s="34"/>
      <c r="AW847" s="34"/>
      <c r="AX847" s="39" t="s">
        <v>1920</v>
      </c>
      <c r="AY847" s="34" t="s">
        <v>1923</v>
      </c>
      <c r="AZ847" s="39" t="s">
        <v>1971</v>
      </c>
      <c r="BB847" s="41"/>
    </row>
    <row r="848" spans="1:58" ht="15.75" hidden="1" customHeight="1">
      <c r="A848" s="193">
        <v>140</v>
      </c>
      <c r="B848" s="56" t="s">
        <v>2687</v>
      </c>
      <c r="C848" s="34"/>
      <c r="D848" s="103"/>
      <c r="E848" s="103"/>
      <c r="F848" s="103"/>
      <c r="G848" s="195"/>
      <c r="H848" s="195"/>
      <c r="I848" s="195"/>
      <c r="J848" s="195"/>
      <c r="K848" s="194"/>
      <c r="L848" s="195"/>
      <c r="M848" s="195"/>
      <c r="N848" s="195"/>
      <c r="O848" s="195"/>
      <c r="P848" s="195"/>
      <c r="Q848" s="195"/>
      <c r="R848" s="195"/>
      <c r="S848" s="195"/>
      <c r="T848" s="195"/>
      <c r="U848" s="195"/>
      <c r="V848" s="195"/>
      <c r="W848" s="195"/>
      <c r="X848" s="195"/>
      <c r="Y848" s="195"/>
      <c r="Z848" s="195"/>
      <c r="AA848" s="195"/>
      <c r="AB848" s="195"/>
      <c r="AC848" s="195"/>
      <c r="AD848" s="195"/>
      <c r="AE848" s="195"/>
      <c r="AF848" s="195"/>
      <c r="AG848" s="195"/>
      <c r="AH848" s="195"/>
      <c r="AI848" s="195"/>
      <c r="AJ848" s="195"/>
      <c r="AK848" s="195"/>
      <c r="AL848" s="195"/>
      <c r="AM848" s="195"/>
      <c r="AN848" s="195"/>
      <c r="AO848" s="195"/>
      <c r="AP848" s="195"/>
      <c r="AQ848" s="195"/>
      <c r="AR848" s="195"/>
      <c r="AS848" s="195"/>
      <c r="AT848" s="34" t="s">
        <v>238</v>
      </c>
      <c r="AU848" s="34"/>
      <c r="AV848" s="34"/>
      <c r="AW848" s="34"/>
      <c r="AX848" s="39"/>
      <c r="AY848" s="34" t="s">
        <v>1986</v>
      </c>
      <c r="AZ848" s="39"/>
      <c r="BA848" s="15" t="s">
        <v>2688</v>
      </c>
      <c r="BB848" s="41"/>
    </row>
    <row r="849" spans="1:58" s="24" customFormat="1" ht="53.45" customHeight="1">
      <c r="A849" s="193">
        <v>141</v>
      </c>
      <c r="B849" s="88" t="s">
        <v>2689</v>
      </c>
      <c r="C849" s="34" t="s">
        <v>41</v>
      </c>
      <c r="D849" s="103">
        <f>E849+F849</f>
        <v>6.4300000000000006</v>
      </c>
      <c r="E849" s="103"/>
      <c r="F849" s="103">
        <f>SUM(G849:K849,O849:AR849)</f>
        <v>6.4300000000000006</v>
      </c>
      <c r="G849" s="103">
        <v>0.36</v>
      </c>
      <c r="H849" s="103"/>
      <c r="I849" s="103"/>
      <c r="J849" s="103"/>
      <c r="K849" s="230">
        <v>6.07</v>
      </c>
      <c r="L849" s="103"/>
      <c r="M849" s="103">
        <v>6.07</v>
      </c>
      <c r="N849" s="103"/>
      <c r="O849" s="103"/>
      <c r="P849" s="103"/>
      <c r="Q849" s="103"/>
      <c r="R849" s="103"/>
      <c r="S849" s="103"/>
      <c r="T849" s="103"/>
      <c r="U849" s="103"/>
      <c r="V849" s="103"/>
      <c r="W849" s="103"/>
      <c r="X849" s="103"/>
      <c r="Y849" s="103"/>
      <c r="Z849" s="103"/>
      <c r="AA849" s="103"/>
      <c r="AB849" s="103"/>
      <c r="AC849" s="103"/>
      <c r="AD849" s="103"/>
      <c r="AE849" s="103"/>
      <c r="AF849" s="103"/>
      <c r="AG849" s="103"/>
      <c r="AH849" s="103"/>
      <c r="AI849" s="103"/>
      <c r="AJ849" s="103"/>
      <c r="AK849" s="103"/>
      <c r="AL849" s="103"/>
      <c r="AM849" s="103"/>
      <c r="AN849" s="103"/>
      <c r="AO849" s="103"/>
      <c r="AP849" s="103"/>
      <c r="AQ849" s="103"/>
      <c r="AR849" s="103"/>
      <c r="AS849" s="103"/>
      <c r="AT849" s="34" t="s">
        <v>2690</v>
      </c>
      <c r="AU849" s="34"/>
      <c r="AV849" s="140"/>
      <c r="AW849" s="140"/>
      <c r="AX849" s="63">
        <v>2021</v>
      </c>
      <c r="AY849" s="140" t="s">
        <v>1973</v>
      </c>
      <c r="AZ849" s="63" t="s">
        <v>2691</v>
      </c>
      <c r="BB849" s="24" t="s">
        <v>2692</v>
      </c>
      <c r="BC849" s="41"/>
      <c r="BF849" s="24">
        <v>1</v>
      </c>
    </row>
    <row r="850" spans="1:58" s="24" customFormat="1" ht="31.5" hidden="1" customHeight="1">
      <c r="A850" s="193">
        <v>142</v>
      </c>
      <c r="B850" s="88" t="s">
        <v>2693</v>
      </c>
      <c r="C850" s="34"/>
      <c r="D850" s="103"/>
      <c r="E850" s="103"/>
      <c r="F850" s="103">
        <v>2.86</v>
      </c>
      <c r="G850" s="103"/>
      <c r="H850" s="103"/>
      <c r="I850" s="103"/>
      <c r="J850" s="103"/>
      <c r="K850" s="230"/>
      <c r="L850" s="103"/>
      <c r="M850" s="103"/>
      <c r="N850" s="103"/>
      <c r="O850" s="103"/>
      <c r="P850" s="103"/>
      <c r="Q850" s="103"/>
      <c r="R850" s="103"/>
      <c r="S850" s="103"/>
      <c r="T850" s="103"/>
      <c r="U850" s="103"/>
      <c r="V850" s="103"/>
      <c r="W850" s="103"/>
      <c r="X850" s="103"/>
      <c r="Y850" s="103"/>
      <c r="Z850" s="103"/>
      <c r="AA850" s="103"/>
      <c r="AB850" s="103"/>
      <c r="AC850" s="103"/>
      <c r="AD850" s="103"/>
      <c r="AE850" s="103"/>
      <c r="AF850" s="103"/>
      <c r="AG850" s="103"/>
      <c r="AH850" s="103"/>
      <c r="AI850" s="103"/>
      <c r="AJ850" s="103"/>
      <c r="AK850" s="103"/>
      <c r="AL850" s="103"/>
      <c r="AM850" s="103"/>
      <c r="AN850" s="103"/>
      <c r="AO850" s="103"/>
      <c r="AP850" s="103"/>
      <c r="AQ850" s="103"/>
      <c r="AR850" s="103"/>
      <c r="AS850" s="103"/>
      <c r="AT850" s="34" t="s">
        <v>232</v>
      </c>
      <c r="AU850" s="34"/>
      <c r="AV850" s="140"/>
      <c r="AW850" s="140"/>
      <c r="AX850" s="63"/>
      <c r="AY850" s="140" t="s">
        <v>1973</v>
      </c>
      <c r="AZ850" s="63" t="s">
        <v>2694</v>
      </c>
      <c r="BB850" s="41"/>
      <c r="BC850" s="41"/>
    </row>
    <row r="851" spans="1:58" s="24" customFormat="1" ht="31.5" hidden="1" customHeight="1">
      <c r="A851" s="193">
        <v>143</v>
      </c>
      <c r="B851" s="88" t="s">
        <v>2695</v>
      </c>
      <c r="C851" s="34"/>
      <c r="D851" s="103"/>
      <c r="E851" s="103"/>
      <c r="F851" s="103">
        <v>3.57</v>
      </c>
      <c r="G851" s="103"/>
      <c r="H851" s="103"/>
      <c r="I851" s="103"/>
      <c r="J851" s="103"/>
      <c r="K851" s="230"/>
      <c r="L851" s="103"/>
      <c r="M851" s="103"/>
      <c r="N851" s="103"/>
      <c r="O851" s="103"/>
      <c r="P851" s="103"/>
      <c r="Q851" s="103"/>
      <c r="R851" s="103"/>
      <c r="S851" s="103"/>
      <c r="T851" s="103"/>
      <c r="U851" s="103"/>
      <c r="V851" s="103"/>
      <c r="W851" s="103"/>
      <c r="X851" s="103"/>
      <c r="Y851" s="103"/>
      <c r="Z851" s="103"/>
      <c r="AA851" s="103"/>
      <c r="AB851" s="103"/>
      <c r="AC851" s="103"/>
      <c r="AD851" s="103"/>
      <c r="AE851" s="103"/>
      <c r="AF851" s="103"/>
      <c r="AG851" s="103"/>
      <c r="AH851" s="103"/>
      <c r="AI851" s="103"/>
      <c r="AJ851" s="103"/>
      <c r="AK851" s="103"/>
      <c r="AL851" s="103"/>
      <c r="AM851" s="103"/>
      <c r="AN851" s="103"/>
      <c r="AO851" s="103"/>
      <c r="AP851" s="103"/>
      <c r="AQ851" s="103"/>
      <c r="AR851" s="103"/>
      <c r="AS851" s="103"/>
      <c r="AT851" s="34" t="s">
        <v>238</v>
      </c>
      <c r="AU851" s="34"/>
      <c r="AV851" s="140"/>
      <c r="AW851" s="140"/>
      <c r="AX851" s="63"/>
      <c r="AY851" s="140" t="s">
        <v>1986</v>
      </c>
      <c r="AZ851" s="63"/>
      <c r="BA851" s="24" t="s">
        <v>2696</v>
      </c>
      <c r="BB851" s="41"/>
      <c r="BC851" s="41"/>
    </row>
    <row r="852" spans="1:58" ht="33" customHeight="1">
      <c r="A852" s="193">
        <v>144</v>
      </c>
      <c r="B852" s="88" t="s">
        <v>2177</v>
      </c>
      <c r="C852" s="34" t="s">
        <v>41</v>
      </c>
      <c r="D852" s="103">
        <f>E852+F852</f>
        <v>0.55000000000000004</v>
      </c>
      <c r="E852" s="103"/>
      <c r="F852" s="103">
        <f>SUM(G852:K852,O852:AR852)</f>
        <v>0.55000000000000004</v>
      </c>
      <c r="G852" s="195"/>
      <c r="H852" s="195">
        <v>0.31</v>
      </c>
      <c r="I852" s="195">
        <v>0.24</v>
      </c>
      <c r="J852" s="195"/>
      <c r="K852" s="228"/>
      <c r="L852" s="195"/>
      <c r="M852" s="195"/>
      <c r="N852" s="195"/>
      <c r="O852" s="195"/>
      <c r="P852" s="195"/>
      <c r="Q852" s="195"/>
      <c r="R852" s="195"/>
      <c r="S852" s="195"/>
      <c r="T852" s="195"/>
      <c r="U852" s="195"/>
      <c r="V852" s="195"/>
      <c r="W852" s="195"/>
      <c r="X852" s="195"/>
      <c r="Y852" s="195"/>
      <c r="Z852" s="195"/>
      <c r="AA852" s="195"/>
      <c r="AB852" s="195"/>
      <c r="AC852" s="195"/>
      <c r="AD852" s="195"/>
      <c r="AE852" s="195"/>
      <c r="AF852" s="195"/>
      <c r="AG852" s="195"/>
      <c r="AH852" s="195"/>
      <c r="AI852" s="195"/>
      <c r="AJ852" s="195"/>
      <c r="AK852" s="195"/>
      <c r="AL852" s="195"/>
      <c r="AM852" s="195"/>
      <c r="AN852" s="195"/>
      <c r="AO852" s="195"/>
      <c r="AP852" s="195"/>
      <c r="AQ852" s="195"/>
      <c r="AR852" s="195"/>
      <c r="AS852" s="195"/>
      <c r="AT852" s="34" t="s">
        <v>228</v>
      </c>
      <c r="AU852" s="34"/>
      <c r="AV852" s="140"/>
      <c r="AW852" s="140"/>
      <c r="AX852" s="63"/>
      <c r="AY852" s="140" t="s">
        <v>1973</v>
      </c>
      <c r="AZ852" s="39" t="s">
        <v>1924</v>
      </c>
      <c r="BB852" s="41"/>
      <c r="BF852" s="15">
        <v>1</v>
      </c>
    </row>
    <row r="853" spans="1:58" s="24" customFormat="1" ht="21.6" customHeight="1">
      <c r="A853" s="189" t="s">
        <v>1843</v>
      </c>
      <c r="B853" s="25" t="s">
        <v>60</v>
      </c>
      <c r="C853" s="26" t="s">
        <v>14</v>
      </c>
      <c r="D853" s="254">
        <f>E853+F853</f>
        <v>1829.1249999999995</v>
      </c>
      <c r="E853" s="192">
        <f t="shared" ref="E853:AS853" si="48">SUM(E854:E863)</f>
        <v>0</v>
      </c>
      <c r="F853" s="254">
        <f t="shared" si="48"/>
        <v>1829.1249999999995</v>
      </c>
      <c r="G853" s="192">
        <f t="shared" si="48"/>
        <v>516.51</v>
      </c>
      <c r="H853" s="192">
        <f t="shared" si="48"/>
        <v>153.17499999999998</v>
      </c>
      <c r="I853" s="192">
        <f t="shared" si="48"/>
        <v>90.921000000000006</v>
      </c>
      <c r="J853" s="192">
        <f t="shared" si="48"/>
        <v>1.879</v>
      </c>
      <c r="K853" s="192">
        <f t="shared" si="48"/>
        <v>805.18999999999994</v>
      </c>
      <c r="L853" s="192">
        <f t="shared" si="48"/>
        <v>0</v>
      </c>
      <c r="M853" s="192">
        <f t="shared" si="48"/>
        <v>805.18999999999994</v>
      </c>
      <c r="N853" s="192">
        <f t="shared" si="48"/>
        <v>0</v>
      </c>
      <c r="O853" s="192">
        <f t="shared" si="48"/>
        <v>0</v>
      </c>
      <c r="P853" s="192">
        <f t="shared" si="48"/>
        <v>0.11</v>
      </c>
      <c r="Q853" s="192">
        <f t="shared" si="48"/>
        <v>0</v>
      </c>
      <c r="R853" s="192">
        <f t="shared" si="48"/>
        <v>0</v>
      </c>
      <c r="S853" s="192">
        <f t="shared" si="48"/>
        <v>0</v>
      </c>
      <c r="T853" s="192">
        <f t="shared" si="48"/>
        <v>0</v>
      </c>
      <c r="U853" s="192">
        <f t="shared" si="48"/>
        <v>0</v>
      </c>
      <c r="V853" s="192">
        <f t="shared" si="48"/>
        <v>0</v>
      </c>
      <c r="W853" s="192">
        <f t="shared" si="48"/>
        <v>0</v>
      </c>
      <c r="X853" s="192">
        <f t="shared" si="48"/>
        <v>0</v>
      </c>
      <c r="Y853" s="192">
        <f t="shared" si="48"/>
        <v>0</v>
      </c>
      <c r="Z853" s="192">
        <f t="shared" si="48"/>
        <v>0</v>
      </c>
      <c r="AA853" s="192">
        <f t="shared" si="48"/>
        <v>0</v>
      </c>
      <c r="AB853" s="192">
        <f t="shared" si="48"/>
        <v>0</v>
      </c>
      <c r="AC853" s="192">
        <f t="shared" si="48"/>
        <v>0</v>
      </c>
      <c r="AD853" s="192">
        <f t="shared" si="48"/>
        <v>0</v>
      </c>
      <c r="AE853" s="192">
        <f t="shared" si="48"/>
        <v>0</v>
      </c>
      <c r="AF853" s="192">
        <f t="shared" si="48"/>
        <v>0</v>
      </c>
      <c r="AG853" s="192">
        <f t="shared" si="48"/>
        <v>0</v>
      </c>
      <c r="AH853" s="192">
        <f t="shared" si="48"/>
        <v>0</v>
      </c>
      <c r="AI853" s="192">
        <f t="shared" si="48"/>
        <v>0</v>
      </c>
      <c r="AJ853" s="192">
        <f t="shared" si="48"/>
        <v>0</v>
      </c>
      <c r="AK853" s="192">
        <f t="shared" si="48"/>
        <v>0</v>
      </c>
      <c r="AL853" s="192">
        <f t="shared" si="48"/>
        <v>0</v>
      </c>
      <c r="AM853" s="192">
        <f t="shared" si="48"/>
        <v>0</v>
      </c>
      <c r="AN853" s="192">
        <f t="shared" si="48"/>
        <v>0</v>
      </c>
      <c r="AO853" s="192">
        <f t="shared" si="48"/>
        <v>0</v>
      </c>
      <c r="AP853" s="192">
        <f t="shared" si="48"/>
        <v>0</v>
      </c>
      <c r="AQ853" s="192">
        <f t="shared" si="48"/>
        <v>0</v>
      </c>
      <c r="AR853" s="192">
        <f t="shared" si="48"/>
        <v>0</v>
      </c>
      <c r="AS853" s="192">
        <f t="shared" si="48"/>
        <v>0</v>
      </c>
      <c r="AT853" s="29"/>
      <c r="AU853" s="29"/>
      <c r="AV853" s="29"/>
      <c r="AW853" s="237"/>
      <c r="AX853" s="30"/>
      <c r="AY853" s="237"/>
      <c r="AZ853" s="30"/>
    </row>
    <row r="854" spans="1:58" ht="65.45" customHeight="1">
      <c r="A854" s="193">
        <v>145</v>
      </c>
      <c r="B854" s="56" t="s">
        <v>2697</v>
      </c>
      <c r="C854" s="102" t="s">
        <v>14</v>
      </c>
      <c r="D854" s="194">
        <f>E854+F854</f>
        <v>309.33999999999997</v>
      </c>
      <c r="E854" s="194"/>
      <c r="F854" s="194">
        <f>SUM(G854:K854,O854:AR854)</f>
        <v>309.33999999999997</v>
      </c>
      <c r="G854" s="194">
        <v>0</v>
      </c>
      <c r="H854" s="194">
        <v>0</v>
      </c>
      <c r="I854" s="194">
        <v>0</v>
      </c>
      <c r="J854" s="194">
        <v>0</v>
      </c>
      <c r="K854" s="194">
        <v>309.33999999999997</v>
      </c>
      <c r="L854" s="194">
        <v>0</v>
      </c>
      <c r="M854" s="194">
        <v>309.33999999999997</v>
      </c>
      <c r="N854" s="194">
        <v>0</v>
      </c>
      <c r="O854" s="194">
        <v>0</v>
      </c>
      <c r="P854" s="194">
        <v>0</v>
      </c>
      <c r="Q854" s="194">
        <v>0</v>
      </c>
      <c r="R854" s="194">
        <v>0</v>
      </c>
      <c r="S854" s="194">
        <v>0</v>
      </c>
      <c r="T854" s="194">
        <v>0</v>
      </c>
      <c r="U854" s="194">
        <v>0</v>
      </c>
      <c r="V854" s="194">
        <v>0</v>
      </c>
      <c r="W854" s="194">
        <v>0</v>
      </c>
      <c r="X854" s="194">
        <v>0</v>
      </c>
      <c r="Y854" s="194">
        <v>0</v>
      </c>
      <c r="Z854" s="194">
        <v>0</v>
      </c>
      <c r="AA854" s="194">
        <v>0</v>
      </c>
      <c r="AB854" s="194">
        <v>0</v>
      </c>
      <c r="AC854" s="194">
        <v>0</v>
      </c>
      <c r="AD854" s="194">
        <v>0</v>
      </c>
      <c r="AE854" s="194">
        <v>0</v>
      </c>
      <c r="AF854" s="194">
        <v>0</v>
      </c>
      <c r="AG854" s="194">
        <v>0</v>
      </c>
      <c r="AH854" s="194">
        <v>0</v>
      </c>
      <c r="AI854" s="194">
        <v>0</v>
      </c>
      <c r="AJ854" s="194">
        <v>0</v>
      </c>
      <c r="AK854" s="194">
        <v>0</v>
      </c>
      <c r="AL854" s="194">
        <v>0</v>
      </c>
      <c r="AM854" s="194">
        <v>0</v>
      </c>
      <c r="AN854" s="194">
        <v>0</v>
      </c>
      <c r="AO854" s="194">
        <v>0</v>
      </c>
      <c r="AP854" s="194">
        <v>0</v>
      </c>
      <c r="AQ854" s="194">
        <v>0</v>
      </c>
      <c r="AR854" s="194">
        <v>0</v>
      </c>
      <c r="AS854" s="194">
        <v>0</v>
      </c>
      <c r="AT854" s="34" t="s">
        <v>1853</v>
      </c>
      <c r="AU854" s="34" t="s">
        <v>615</v>
      </c>
      <c r="AV854" s="34"/>
      <c r="AW854" s="34"/>
      <c r="AX854" s="39" t="s">
        <v>1920</v>
      </c>
      <c r="AY854" s="34" t="s">
        <v>1923</v>
      </c>
      <c r="AZ854" s="39" t="s">
        <v>1924</v>
      </c>
      <c r="BB854" s="41"/>
      <c r="BC854" s="41"/>
      <c r="BE854" s="15">
        <v>1</v>
      </c>
    </row>
    <row r="855" spans="1:58" ht="15.75" hidden="1" customHeight="1">
      <c r="A855" s="193"/>
      <c r="B855" s="56"/>
      <c r="C855" s="102"/>
      <c r="D855" s="194"/>
      <c r="E855" s="194"/>
      <c r="F855" s="194">
        <v>45.75</v>
      </c>
      <c r="G855" s="194"/>
      <c r="H855" s="194"/>
      <c r="I855" s="194"/>
      <c r="J855" s="194"/>
      <c r="K855" s="194"/>
      <c r="L855" s="194"/>
      <c r="M855" s="194"/>
      <c r="N855" s="194"/>
      <c r="O855" s="194"/>
      <c r="P855" s="194"/>
      <c r="Q855" s="194"/>
      <c r="R855" s="194"/>
      <c r="S855" s="194"/>
      <c r="T855" s="194"/>
      <c r="U855" s="194"/>
      <c r="V855" s="194"/>
      <c r="W855" s="194"/>
      <c r="X855" s="194"/>
      <c r="Y855" s="194"/>
      <c r="Z855" s="194"/>
      <c r="AA855" s="194"/>
      <c r="AB855" s="194"/>
      <c r="AC855" s="194"/>
      <c r="AD855" s="194"/>
      <c r="AE855" s="194"/>
      <c r="AF855" s="194"/>
      <c r="AG855" s="194"/>
      <c r="AH855" s="194"/>
      <c r="AI855" s="194"/>
      <c r="AJ855" s="194"/>
      <c r="AK855" s="194"/>
      <c r="AL855" s="194"/>
      <c r="AM855" s="194"/>
      <c r="AN855" s="194"/>
      <c r="AO855" s="194"/>
      <c r="AP855" s="194"/>
      <c r="AQ855" s="194"/>
      <c r="AR855" s="194"/>
      <c r="AS855" s="194"/>
      <c r="AT855" s="34" t="s">
        <v>222</v>
      </c>
      <c r="AU855" s="34"/>
      <c r="AV855" s="34"/>
      <c r="AW855" s="34"/>
      <c r="AX855" s="39"/>
      <c r="AY855" s="34" t="s">
        <v>1923</v>
      </c>
      <c r="AZ855" s="39" t="s">
        <v>1924</v>
      </c>
      <c r="BB855" s="41"/>
      <c r="BC855" s="41"/>
    </row>
    <row r="856" spans="1:58" ht="15.75" hidden="1" customHeight="1">
      <c r="A856" s="220"/>
      <c r="B856" s="56"/>
      <c r="C856" s="102" t="s">
        <v>14</v>
      </c>
      <c r="D856" s="194">
        <v>14.82</v>
      </c>
      <c r="E856" s="194"/>
      <c r="F856" s="194">
        <v>14.82</v>
      </c>
      <c r="G856" s="194"/>
      <c r="H856" s="194"/>
      <c r="I856" s="194"/>
      <c r="J856" s="194"/>
      <c r="K856" s="194"/>
      <c r="L856" s="194"/>
      <c r="M856" s="194"/>
      <c r="N856" s="194"/>
      <c r="O856" s="194"/>
      <c r="P856" s="194"/>
      <c r="Q856" s="194"/>
      <c r="R856" s="194"/>
      <c r="S856" s="194"/>
      <c r="T856" s="194"/>
      <c r="U856" s="194"/>
      <c r="V856" s="194"/>
      <c r="W856" s="194"/>
      <c r="X856" s="194"/>
      <c r="Y856" s="194"/>
      <c r="Z856" s="194"/>
      <c r="AA856" s="194"/>
      <c r="AB856" s="194"/>
      <c r="AC856" s="194"/>
      <c r="AD856" s="194"/>
      <c r="AE856" s="194"/>
      <c r="AF856" s="194"/>
      <c r="AG856" s="194"/>
      <c r="AH856" s="194"/>
      <c r="AI856" s="194"/>
      <c r="AJ856" s="194"/>
      <c r="AK856" s="194"/>
      <c r="AL856" s="194"/>
      <c r="AM856" s="194"/>
      <c r="AN856" s="194"/>
      <c r="AO856" s="194"/>
      <c r="AP856" s="194"/>
      <c r="AQ856" s="194"/>
      <c r="AR856" s="194"/>
      <c r="AS856" s="194"/>
      <c r="AT856" s="34" t="s">
        <v>224</v>
      </c>
      <c r="AU856" s="34" t="s">
        <v>1857</v>
      </c>
      <c r="AV856" s="34"/>
      <c r="AW856" s="34"/>
      <c r="AX856" s="63"/>
      <c r="AY856" s="34" t="s">
        <v>1923</v>
      </c>
      <c r="AZ856" s="39" t="s">
        <v>1924</v>
      </c>
      <c r="BB856" s="41"/>
      <c r="BC856" s="41"/>
    </row>
    <row r="857" spans="1:58" ht="15.75" hidden="1" customHeight="1">
      <c r="A857" s="193"/>
      <c r="B857" s="60"/>
      <c r="C857" s="102" t="s">
        <v>14</v>
      </c>
      <c r="D857" s="227"/>
      <c r="E857" s="227"/>
      <c r="F857" s="227">
        <v>43.76</v>
      </c>
      <c r="G857" s="194"/>
      <c r="H857" s="194"/>
      <c r="I857" s="194"/>
      <c r="J857" s="194"/>
      <c r="K857" s="194"/>
      <c r="L857" s="194"/>
      <c r="M857" s="194"/>
      <c r="N857" s="194"/>
      <c r="O857" s="194"/>
      <c r="P857" s="194"/>
      <c r="Q857" s="194"/>
      <c r="R857" s="194"/>
      <c r="S857" s="194"/>
      <c r="T857" s="194"/>
      <c r="U857" s="194"/>
      <c r="V857" s="194"/>
      <c r="W857" s="194"/>
      <c r="X857" s="194"/>
      <c r="Y857" s="194"/>
      <c r="Z857" s="194"/>
      <c r="AA857" s="194"/>
      <c r="AB857" s="194"/>
      <c r="AC857" s="194"/>
      <c r="AD857" s="194"/>
      <c r="AE857" s="194"/>
      <c r="AF857" s="194"/>
      <c r="AG857" s="194"/>
      <c r="AH857" s="194"/>
      <c r="AI857" s="194"/>
      <c r="AJ857" s="194"/>
      <c r="AK857" s="194"/>
      <c r="AL857" s="194"/>
      <c r="AM857" s="194"/>
      <c r="AN857" s="194"/>
      <c r="AO857" s="194"/>
      <c r="AP857" s="194"/>
      <c r="AQ857" s="194"/>
      <c r="AR857" s="194"/>
      <c r="AS857" s="194"/>
      <c r="AT857" s="34" t="s">
        <v>229</v>
      </c>
      <c r="AU857" s="34"/>
      <c r="AV857" s="34"/>
      <c r="AW857" s="34"/>
      <c r="AX857" s="39"/>
      <c r="AY857" s="34" t="s">
        <v>1917</v>
      </c>
      <c r="AZ857" s="39" t="s">
        <v>1926</v>
      </c>
      <c r="BB857" s="41"/>
      <c r="BC857" s="41"/>
    </row>
    <row r="858" spans="1:58" ht="15.75" hidden="1" customHeight="1">
      <c r="A858" s="193"/>
      <c r="B858" s="56"/>
      <c r="C858" s="102"/>
      <c r="D858" s="194"/>
      <c r="E858" s="194"/>
      <c r="F858" s="194">
        <v>38.4</v>
      </c>
      <c r="G858" s="194"/>
      <c r="H858" s="194"/>
      <c r="I858" s="194"/>
      <c r="J858" s="194"/>
      <c r="K858" s="194"/>
      <c r="L858" s="194"/>
      <c r="M858" s="194"/>
      <c r="N858" s="194"/>
      <c r="O858" s="194"/>
      <c r="P858" s="194"/>
      <c r="Q858" s="194"/>
      <c r="R858" s="194"/>
      <c r="S858" s="194"/>
      <c r="T858" s="194"/>
      <c r="U858" s="194"/>
      <c r="V858" s="194"/>
      <c r="W858" s="194"/>
      <c r="X858" s="194"/>
      <c r="Y858" s="194"/>
      <c r="Z858" s="194"/>
      <c r="AA858" s="194"/>
      <c r="AB858" s="194"/>
      <c r="AC858" s="194"/>
      <c r="AD858" s="194"/>
      <c r="AE858" s="194"/>
      <c r="AF858" s="194"/>
      <c r="AG858" s="194"/>
      <c r="AH858" s="194"/>
      <c r="AI858" s="194"/>
      <c r="AJ858" s="194"/>
      <c r="AK858" s="194"/>
      <c r="AL858" s="194"/>
      <c r="AM858" s="194"/>
      <c r="AN858" s="194"/>
      <c r="AO858" s="194"/>
      <c r="AP858" s="194"/>
      <c r="AQ858" s="194"/>
      <c r="AR858" s="194"/>
      <c r="AS858" s="194"/>
      <c r="AT858" s="34" t="s">
        <v>232</v>
      </c>
      <c r="AU858" s="34"/>
      <c r="AV858" s="34"/>
      <c r="AW858" s="34"/>
      <c r="AX858" s="39"/>
      <c r="AY858" s="34" t="s">
        <v>1923</v>
      </c>
      <c r="AZ858" s="39" t="s">
        <v>1924</v>
      </c>
      <c r="BB858" s="41"/>
      <c r="BC858" s="41"/>
    </row>
    <row r="859" spans="1:58" ht="15.75" hidden="1" customHeight="1">
      <c r="A859" s="193"/>
      <c r="B859" s="56"/>
      <c r="C859" s="102"/>
      <c r="D859" s="194"/>
      <c r="E859" s="194"/>
      <c r="F859" s="194">
        <v>83.56</v>
      </c>
      <c r="G859" s="194"/>
      <c r="H859" s="194"/>
      <c r="I859" s="194"/>
      <c r="J859" s="194"/>
      <c r="K859" s="194"/>
      <c r="L859" s="194"/>
      <c r="M859" s="194"/>
      <c r="N859" s="194"/>
      <c r="O859" s="194"/>
      <c r="P859" s="194"/>
      <c r="Q859" s="194"/>
      <c r="R859" s="194"/>
      <c r="S859" s="194"/>
      <c r="T859" s="194"/>
      <c r="U859" s="194"/>
      <c r="V859" s="194"/>
      <c r="W859" s="194"/>
      <c r="X859" s="194"/>
      <c r="Y859" s="194"/>
      <c r="Z859" s="194"/>
      <c r="AA859" s="194"/>
      <c r="AB859" s="194"/>
      <c r="AC859" s="194"/>
      <c r="AD859" s="194"/>
      <c r="AE859" s="194"/>
      <c r="AF859" s="194"/>
      <c r="AG859" s="194"/>
      <c r="AH859" s="194"/>
      <c r="AI859" s="194"/>
      <c r="AJ859" s="194"/>
      <c r="AK859" s="194"/>
      <c r="AL859" s="194"/>
      <c r="AM859" s="194"/>
      <c r="AN859" s="194"/>
      <c r="AO859" s="194"/>
      <c r="AP859" s="194"/>
      <c r="AQ859" s="194"/>
      <c r="AR859" s="194"/>
      <c r="AS859" s="194"/>
      <c r="AT859" s="38" t="s">
        <v>233</v>
      </c>
      <c r="AU859" s="34"/>
      <c r="AV859" s="34"/>
      <c r="AW859" s="34"/>
      <c r="AX859" s="39"/>
      <c r="AY859" s="34" t="s">
        <v>1923</v>
      </c>
      <c r="AZ859" s="39" t="s">
        <v>1924</v>
      </c>
      <c r="BB859" s="41"/>
      <c r="BC859" s="41"/>
    </row>
    <row r="860" spans="1:58" ht="15.75" hidden="1" customHeight="1">
      <c r="A860" s="193"/>
      <c r="B860" s="56"/>
      <c r="C860" s="102"/>
      <c r="D860" s="194"/>
      <c r="E860" s="194"/>
      <c r="F860" s="194">
        <v>28.77</v>
      </c>
      <c r="G860" s="194"/>
      <c r="H860" s="194"/>
      <c r="I860" s="194"/>
      <c r="J860" s="194"/>
      <c r="K860" s="194"/>
      <c r="L860" s="194"/>
      <c r="M860" s="194"/>
      <c r="N860" s="194"/>
      <c r="O860" s="194"/>
      <c r="P860" s="194"/>
      <c r="Q860" s="194"/>
      <c r="R860" s="194"/>
      <c r="S860" s="194"/>
      <c r="T860" s="194"/>
      <c r="U860" s="194"/>
      <c r="V860" s="194"/>
      <c r="W860" s="194"/>
      <c r="X860" s="194"/>
      <c r="Y860" s="194"/>
      <c r="Z860" s="194"/>
      <c r="AA860" s="194"/>
      <c r="AB860" s="194"/>
      <c r="AC860" s="194"/>
      <c r="AD860" s="194"/>
      <c r="AE860" s="194"/>
      <c r="AF860" s="194"/>
      <c r="AG860" s="194"/>
      <c r="AH860" s="194"/>
      <c r="AI860" s="194"/>
      <c r="AJ860" s="194"/>
      <c r="AK860" s="194"/>
      <c r="AL860" s="194"/>
      <c r="AM860" s="194"/>
      <c r="AN860" s="194"/>
      <c r="AO860" s="194"/>
      <c r="AP860" s="194"/>
      <c r="AQ860" s="194"/>
      <c r="AR860" s="194"/>
      <c r="AS860" s="194"/>
      <c r="AT860" s="34" t="s">
        <v>429</v>
      </c>
      <c r="AU860" s="34"/>
      <c r="AV860" s="34"/>
      <c r="AW860" s="34"/>
      <c r="AX860" s="39"/>
      <c r="AY860" s="140" t="s">
        <v>1923</v>
      </c>
      <c r="AZ860" s="63" t="s">
        <v>1924</v>
      </c>
      <c r="BB860" s="41"/>
      <c r="BC860" s="41"/>
    </row>
    <row r="861" spans="1:58" ht="38.450000000000003" customHeight="1">
      <c r="A861" s="193">
        <v>146</v>
      </c>
      <c r="B861" s="56" t="s">
        <v>2698</v>
      </c>
      <c r="C861" s="102" t="s">
        <v>14</v>
      </c>
      <c r="D861" s="194">
        <f>E861+F861</f>
        <v>6.28</v>
      </c>
      <c r="E861" s="194"/>
      <c r="F861" s="159">
        <v>6.28</v>
      </c>
      <c r="G861" s="194"/>
      <c r="H861" s="194"/>
      <c r="I861" s="194"/>
      <c r="J861" s="194"/>
      <c r="K861" s="194"/>
      <c r="L861" s="194"/>
      <c r="M861" s="194"/>
      <c r="N861" s="194"/>
      <c r="O861" s="194"/>
      <c r="P861" s="194"/>
      <c r="Q861" s="194"/>
      <c r="R861" s="194"/>
      <c r="S861" s="194"/>
      <c r="T861" s="194"/>
      <c r="U861" s="194"/>
      <c r="V861" s="194"/>
      <c r="W861" s="194"/>
      <c r="X861" s="194"/>
      <c r="Y861" s="194"/>
      <c r="Z861" s="194"/>
      <c r="AA861" s="194"/>
      <c r="AB861" s="194"/>
      <c r="AC861" s="194"/>
      <c r="AD861" s="194"/>
      <c r="AE861" s="194"/>
      <c r="AF861" s="194"/>
      <c r="AG861" s="194"/>
      <c r="AH861" s="194"/>
      <c r="AI861" s="194"/>
      <c r="AJ861" s="194"/>
      <c r="AK861" s="194"/>
      <c r="AL861" s="194"/>
      <c r="AM861" s="194"/>
      <c r="AN861" s="194"/>
      <c r="AO861" s="194"/>
      <c r="AP861" s="194"/>
      <c r="AQ861" s="194"/>
      <c r="AR861" s="194"/>
      <c r="AS861" s="194"/>
      <c r="AT861" s="34" t="s">
        <v>227</v>
      </c>
      <c r="AU861" s="34" t="s">
        <v>2699</v>
      </c>
      <c r="AV861" s="34"/>
      <c r="AW861" s="34"/>
      <c r="AX861" s="39" t="s">
        <v>1920</v>
      </c>
      <c r="AY861" s="34" t="s">
        <v>1923</v>
      </c>
      <c r="AZ861" s="39" t="s">
        <v>1924</v>
      </c>
      <c r="BB861" s="41"/>
      <c r="BC861" s="41"/>
      <c r="BE861" s="15">
        <v>1</v>
      </c>
    </row>
    <row r="862" spans="1:58" ht="42" customHeight="1">
      <c r="A862" s="193">
        <v>147</v>
      </c>
      <c r="B862" s="33" t="s">
        <v>2700</v>
      </c>
      <c r="C862" s="102" t="s">
        <v>14</v>
      </c>
      <c r="D862" s="194">
        <f>E862+F862</f>
        <v>2.9</v>
      </c>
      <c r="E862" s="194"/>
      <c r="F862" s="194">
        <f>SUM(G862:K862,O862:AR862)</f>
        <v>2.9</v>
      </c>
      <c r="G862" s="194"/>
      <c r="H862" s="194"/>
      <c r="I862" s="194">
        <v>2.9</v>
      </c>
      <c r="J862" s="194"/>
      <c r="K862" s="194"/>
      <c r="L862" s="194"/>
      <c r="M862" s="194"/>
      <c r="N862" s="194"/>
      <c r="O862" s="194"/>
      <c r="P862" s="194"/>
      <c r="Q862" s="194"/>
      <c r="R862" s="194"/>
      <c r="S862" s="194"/>
      <c r="T862" s="194"/>
      <c r="U862" s="194"/>
      <c r="V862" s="194"/>
      <c r="W862" s="194"/>
      <c r="X862" s="194"/>
      <c r="Y862" s="194"/>
      <c r="Z862" s="194"/>
      <c r="AA862" s="194"/>
      <c r="AB862" s="194"/>
      <c r="AC862" s="194"/>
      <c r="AD862" s="194"/>
      <c r="AE862" s="194"/>
      <c r="AF862" s="194"/>
      <c r="AG862" s="194"/>
      <c r="AH862" s="194"/>
      <c r="AI862" s="194"/>
      <c r="AJ862" s="194"/>
      <c r="AK862" s="194"/>
      <c r="AL862" s="194"/>
      <c r="AM862" s="194"/>
      <c r="AN862" s="194"/>
      <c r="AO862" s="194"/>
      <c r="AP862" s="194"/>
      <c r="AQ862" s="194"/>
      <c r="AR862" s="194"/>
      <c r="AS862" s="194"/>
      <c r="AT862" s="38" t="s">
        <v>225</v>
      </c>
      <c r="AU862" s="38" t="s">
        <v>981</v>
      </c>
      <c r="AV862" s="38"/>
      <c r="AW862" s="38" t="s">
        <v>2018</v>
      </c>
      <c r="AX862" s="39">
        <v>2021</v>
      </c>
      <c r="AY862" s="38" t="s">
        <v>1923</v>
      </c>
      <c r="AZ862" s="39" t="s">
        <v>1924</v>
      </c>
      <c r="BA862" s="58"/>
      <c r="BB862" s="41"/>
      <c r="BC862" s="41"/>
      <c r="BE862" s="15">
        <v>1</v>
      </c>
    </row>
    <row r="863" spans="1:58" ht="38.450000000000003" customHeight="1">
      <c r="A863" s="193">
        <v>148</v>
      </c>
      <c r="B863" s="56" t="s">
        <v>1856</v>
      </c>
      <c r="C863" s="102" t="s">
        <v>14</v>
      </c>
      <c r="D863" s="255">
        <f>E863+F863</f>
        <v>1255.5449999999998</v>
      </c>
      <c r="E863" s="255"/>
      <c r="F863" s="255">
        <f>SUM(G863:K863,O863:AR863)</f>
        <v>1255.5449999999998</v>
      </c>
      <c r="G863" s="194">
        <v>516.51</v>
      </c>
      <c r="H863" s="194">
        <v>153.17499999999998</v>
      </c>
      <c r="I863" s="194">
        <v>88.021000000000001</v>
      </c>
      <c r="J863" s="194">
        <v>1.879</v>
      </c>
      <c r="K863" s="194">
        <v>495.84999999999997</v>
      </c>
      <c r="L863" s="194">
        <v>0</v>
      </c>
      <c r="M863" s="194">
        <v>495.84999999999997</v>
      </c>
      <c r="N863" s="194">
        <v>0</v>
      </c>
      <c r="O863" s="194">
        <v>0</v>
      </c>
      <c r="P863" s="194">
        <v>0.11</v>
      </c>
      <c r="Q863" s="194">
        <v>0</v>
      </c>
      <c r="R863" s="194">
        <v>0</v>
      </c>
      <c r="S863" s="194">
        <v>0</v>
      </c>
      <c r="T863" s="194">
        <v>0</v>
      </c>
      <c r="U863" s="194">
        <v>0</v>
      </c>
      <c r="V863" s="194">
        <v>0</v>
      </c>
      <c r="W863" s="194">
        <v>0</v>
      </c>
      <c r="X863" s="194">
        <v>0</v>
      </c>
      <c r="Y863" s="194">
        <v>0</v>
      </c>
      <c r="Z863" s="194">
        <v>0</v>
      </c>
      <c r="AA863" s="194">
        <v>0</v>
      </c>
      <c r="AB863" s="194">
        <v>0</v>
      </c>
      <c r="AC863" s="194">
        <v>0</v>
      </c>
      <c r="AD863" s="194">
        <v>0</v>
      </c>
      <c r="AE863" s="194">
        <v>0</v>
      </c>
      <c r="AF863" s="194">
        <v>0</v>
      </c>
      <c r="AG863" s="194">
        <v>0</v>
      </c>
      <c r="AH863" s="194">
        <v>0</v>
      </c>
      <c r="AI863" s="194">
        <v>0</v>
      </c>
      <c r="AJ863" s="194">
        <v>0</v>
      </c>
      <c r="AK863" s="194">
        <v>0</v>
      </c>
      <c r="AL863" s="194">
        <v>0</v>
      </c>
      <c r="AM863" s="194">
        <v>0</v>
      </c>
      <c r="AN863" s="194">
        <v>0</v>
      </c>
      <c r="AO863" s="194">
        <v>0</v>
      </c>
      <c r="AP863" s="194">
        <v>0</v>
      </c>
      <c r="AQ863" s="194">
        <v>0</v>
      </c>
      <c r="AR863" s="194">
        <v>0</v>
      </c>
      <c r="AS863" s="194">
        <v>0</v>
      </c>
      <c r="AT863" s="34" t="s">
        <v>880</v>
      </c>
      <c r="AU863" s="34" t="s">
        <v>615</v>
      </c>
      <c r="AV863" s="34"/>
      <c r="AW863" s="34"/>
      <c r="AX863" s="63" t="s">
        <v>1970</v>
      </c>
      <c r="AY863" s="34" t="s">
        <v>1917</v>
      </c>
      <c r="AZ863" s="63" t="s">
        <v>1924</v>
      </c>
      <c r="BB863" s="41"/>
      <c r="BC863" s="41"/>
      <c r="BF863" s="15">
        <v>1</v>
      </c>
    </row>
    <row r="864" spans="1:58" ht="15.75" hidden="1" customHeight="1">
      <c r="A864" s="193"/>
      <c r="B864" s="56" t="s">
        <v>1856</v>
      </c>
      <c r="C864" s="102"/>
      <c r="D864" s="194"/>
      <c r="E864" s="194"/>
      <c r="F864" s="194">
        <v>196.92</v>
      </c>
      <c r="G864" s="194"/>
      <c r="H864" s="194"/>
      <c r="I864" s="194"/>
      <c r="J864" s="194"/>
      <c r="K864" s="194"/>
      <c r="L864" s="194"/>
      <c r="M864" s="194"/>
      <c r="N864" s="194"/>
      <c r="O864" s="194"/>
      <c r="P864" s="194"/>
      <c r="Q864" s="194"/>
      <c r="R864" s="194"/>
      <c r="S864" s="194"/>
      <c r="T864" s="194"/>
      <c r="U864" s="194"/>
      <c r="V864" s="194"/>
      <c r="W864" s="194"/>
      <c r="X864" s="194"/>
      <c r="Y864" s="194"/>
      <c r="Z864" s="194"/>
      <c r="AA864" s="194"/>
      <c r="AB864" s="194"/>
      <c r="AC864" s="194"/>
      <c r="AD864" s="194"/>
      <c r="AE864" s="194"/>
      <c r="AF864" s="194"/>
      <c r="AG864" s="194"/>
      <c r="AH864" s="194"/>
      <c r="AI864" s="194"/>
      <c r="AJ864" s="194"/>
      <c r="AK864" s="194"/>
      <c r="AL864" s="194"/>
      <c r="AM864" s="194"/>
      <c r="AN864" s="194"/>
      <c r="AO864" s="194"/>
      <c r="AP864" s="194"/>
      <c r="AQ864" s="194"/>
      <c r="AR864" s="194"/>
      <c r="AS864" s="194"/>
      <c r="AT864" s="34" t="s">
        <v>222</v>
      </c>
      <c r="AU864" s="34"/>
      <c r="AV864" s="34"/>
      <c r="AW864" s="34"/>
      <c r="AX864" s="63"/>
      <c r="AY864" s="34" t="s">
        <v>1923</v>
      </c>
      <c r="AZ864" s="39" t="s">
        <v>1924</v>
      </c>
      <c r="BA864" s="218"/>
      <c r="BB864" s="41"/>
      <c r="BC864" s="41"/>
    </row>
    <row r="865" spans="1:56" s="61" customFormat="1" ht="15.75" hidden="1" customHeight="1">
      <c r="A865" s="220"/>
      <c r="B865" s="56" t="s">
        <v>1856</v>
      </c>
      <c r="C865" s="102" t="s">
        <v>14</v>
      </c>
      <c r="D865" s="194">
        <v>23.15</v>
      </c>
      <c r="E865" s="194"/>
      <c r="F865" s="194">
        <v>23.15</v>
      </c>
      <c r="G865" s="194"/>
      <c r="H865" s="194"/>
      <c r="I865" s="194"/>
      <c r="J865" s="194"/>
      <c r="K865" s="194"/>
      <c r="L865" s="194"/>
      <c r="M865" s="194"/>
      <c r="N865" s="194"/>
      <c r="O865" s="194"/>
      <c r="P865" s="194"/>
      <c r="Q865" s="194"/>
      <c r="R865" s="194"/>
      <c r="S865" s="194"/>
      <c r="T865" s="194"/>
      <c r="U865" s="194"/>
      <c r="V865" s="194"/>
      <c r="W865" s="194"/>
      <c r="X865" s="194"/>
      <c r="Y865" s="194"/>
      <c r="Z865" s="194"/>
      <c r="AA865" s="194"/>
      <c r="AB865" s="194"/>
      <c r="AC865" s="194"/>
      <c r="AD865" s="194"/>
      <c r="AE865" s="194"/>
      <c r="AF865" s="194"/>
      <c r="AG865" s="194"/>
      <c r="AH865" s="194"/>
      <c r="AI865" s="194"/>
      <c r="AJ865" s="194"/>
      <c r="AK865" s="194"/>
      <c r="AL865" s="194"/>
      <c r="AM865" s="194"/>
      <c r="AN865" s="194"/>
      <c r="AO865" s="194"/>
      <c r="AP865" s="194"/>
      <c r="AQ865" s="194"/>
      <c r="AR865" s="194"/>
      <c r="AS865" s="194"/>
      <c r="AT865" s="34" t="s">
        <v>223</v>
      </c>
      <c r="AU865" s="34"/>
      <c r="AV865" s="34"/>
      <c r="AW865" s="34"/>
      <c r="AX865" s="63"/>
      <c r="AY865" s="140" t="s">
        <v>1923</v>
      </c>
      <c r="AZ865" s="63" t="s">
        <v>1924</v>
      </c>
      <c r="BA865" s="65"/>
      <c r="BB865" s="202"/>
      <c r="BC865" s="202"/>
    </row>
    <row r="866" spans="1:56" ht="15.75" hidden="1" customHeight="1">
      <c r="A866" s="193"/>
      <c r="B866" s="56" t="s">
        <v>2701</v>
      </c>
      <c r="C866" s="102"/>
      <c r="D866" s="194"/>
      <c r="E866" s="194"/>
      <c r="F866" s="194">
        <v>21.33</v>
      </c>
      <c r="G866" s="194"/>
      <c r="H866" s="194"/>
      <c r="I866" s="194"/>
      <c r="J866" s="194"/>
      <c r="K866" s="194"/>
      <c r="L866" s="194"/>
      <c r="M866" s="194"/>
      <c r="N866" s="194"/>
      <c r="O866" s="194"/>
      <c r="P866" s="194"/>
      <c r="Q866" s="194"/>
      <c r="R866" s="194"/>
      <c r="S866" s="194"/>
      <c r="T866" s="194"/>
      <c r="U866" s="194"/>
      <c r="V866" s="194"/>
      <c r="W866" s="194"/>
      <c r="X866" s="194"/>
      <c r="Y866" s="194"/>
      <c r="Z866" s="194"/>
      <c r="AA866" s="194"/>
      <c r="AB866" s="194"/>
      <c r="AC866" s="194"/>
      <c r="AD866" s="194"/>
      <c r="AE866" s="194"/>
      <c r="AF866" s="194"/>
      <c r="AG866" s="194"/>
      <c r="AH866" s="194"/>
      <c r="AI866" s="194"/>
      <c r="AJ866" s="194"/>
      <c r="AK866" s="194"/>
      <c r="AL866" s="194"/>
      <c r="AM866" s="194"/>
      <c r="AN866" s="194"/>
      <c r="AO866" s="194"/>
      <c r="AP866" s="194"/>
      <c r="AQ866" s="194"/>
      <c r="AR866" s="194"/>
      <c r="AS866" s="194"/>
      <c r="AT866" s="38" t="s">
        <v>225</v>
      </c>
      <c r="AU866" s="34" t="s">
        <v>1857</v>
      </c>
      <c r="AV866" s="34"/>
      <c r="AW866" s="34"/>
      <c r="AX866" s="63"/>
      <c r="AY866" s="34" t="s">
        <v>1923</v>
      </c>
      <c r="AZ866" s="63" t="s">
        <v>1924</v>
      </c>
      <c r="BB866" s="41"/>
      <c r="BC866" s="41"/>
    </row>
    <row r="867" spans="1:56" ht="15.75" hidden="1" customHeight="1">
      <c r="A867" s="193"/>
      <c r="B867" s="56" t="s">
        <v>1856</v>
      </c>
      <c r="C867" s="102"/>
      <c r="D867" s="194"/>
      <c r="E867" s="194"/>
      <c r="F867" s="194">
        <v>14.3</v>
      </c>
      <c r="G867" s="194"/>
      <c r="H867" s="194"/>
      <c r="I867" s="194"/>
      <c r="J867" s="194"/>
      <c r="K867" s="194"/>
      <c r="L867" s="194"/>
      <c r="M867" s="194"/>
      <c r="N867" s="194"/>
      <c r="O867" s="194"/>
      <c r="P867" s="194"/>
      <c r="Q867" s="194"/>
      <c r="R867" s="194"/>
      <c r="S867" s="194"/>
      <c r="T867" s="194"/>
      <c r="U867" s="194"/>
      <c r="V867" s="194"/>
      <c r="W867" s="194"/>
      <c r="X867" s="194"/>
      <c r="Y867" s="194"/>
      <c r="Z867" s="194"/>
      <c r="AA867" s="194"/>
      <c r="AB867" s="194"/>
      <c r="AC867" s="194"/>
      <c r="AD867" s="194"/>
      <c r="AE867" s="194"/>
      <c r="AF867" s="194"/>
      <c r="AG867" s="194"/>
      <c r="AH867" s="194"/>
      <c r="AI867" s="194"/>
      <c r="AJ867" s="194"/>
      <c r="AK867" s="194"/>
      <c r="AL867" s="194"/>
      <c r="AM867" s="194"/>
      <c r="AN867" s="194"/>
      <c r="AO867" s="194"/>
      <c r="AP867" s="194"/>
      <c r="AQ867" s="194"/>
      <c r="AR867" s="194"/>
      <c r="AS867" s="194"/>
      <c r="AT867" s="34" t="s">
        <v>983</v>
      </c>
      <c r="AU867" s="34"/>
      <c r="AV867" s="34"/>
      <c r="AW867" s="34"/>
      <c r="AX867" s="63"/>
      <c r="AY867" s="34" t="s">
        <v>1923</v>
      </c>
      <c r="AZ867" s="63" t="s">
        <v>1924</v>
      </c>
      <c r="BA867" s="64"/>
      <c r="BC867" s="41"/>
      <c r="BD867" s="41"/>
    </row>
    <row r="868" spans="1:56" s="61" customFormat="1" ht="15.75" hidden="1" customHeight="1">
      <c r="A868" s="220"/>
      <c r="B868" s="56" t="s">
        <v>1856</v>
      </c>
      <c r="C868" s="102"/>
      <c r="D868" s="194"/>
      <c r="E868" s="194"/>
      <c r="F868" s="194">
        <v>11.12</v>
      </c>
      <c r="G868" s="194"/>
      <c r="H868" s="194"/>
      <c r="I868" s="194"/>
      <c r="J868" s="194"/>
      <c r="K868" s="194"/>
      <c r="L868" s="194"/>
      <c r="M868" s="194"/>
      <c r="N868" s="194"/>
      <c r="O868" s="194"/>
      <c r="P868" s="194"/>
      <c r="Q868" s="194"/>
      <c r="R868" s="194"/>
      <c r="S868" s="194"/>
      <c r="T868" s="194"/>
      <c r="U868" s="194"/>
      <c r="V868" s="194"/>
      <c r="W868" s="194"/>
      <c r="X868" s="194"/>
      <c r="Y868" s="194"/>
      <c r="Z868" s="194"/>
      <c r="AA868" s="194"/>
      <c r="AB868" s="194"/>
      <c r="AC868" s="194"/>
      <c r="AD868" s="194"/>
      <c r="AE868" s="194"/>
      <c r="AF868" s="194"/>
      <c r="AG868" s="194"/>
      <c r="AH868" s="194"/>
      <c r="AI868" s="194"/>
      <c r="AJ868" s="194"/>
      <c r="AK868" s="194"/>
      <c r="AL868" s="194"/>
      <c r="AM868" s="194"/>
      <c r="AN868" s="194"/>
      <c r="AO868" s="194"/>
      <c r="AP868" s="194"/>
      <c r="AQ868" s="194"/>
      <c r="AR868" s="194"/>
      <c r="AS868" s="194"/>
      <c r="AT868" s="34" t="s">
        <v>227</v>
      </c>
      <c r="AU868" s="34" t="s">
        <v>615</v>
      </c>
      <c r="AV868" s="34"/>
      <c r="AW868" s="34"/>
      <c r="AX868" s="63"/>
      <c r="AY868" s="34" t="s">
        <v>1923</v>
      </c>
      <c r="AZ868" s="39" t="s">
        <v>1924</v>
      </c>
      <c r="BA868" s="15"/>
      <c r="BB868" s="202"/>
      <c r="BC868" s="202"/>
    </row>
    <row r="869" spans="1:56" ht="15.75" hidden="1" customHeight="1">
      <c r="A869" s="193"/>
      <c r="B869" s="56" t="s">
        <v>1856</v>
      </c>
      <c r="C869" s="102" t="s">
        <v>14</v>
      </c>
      <c r="D869" s="227"/>
      <c r="E869" s="227"/>
      <c r="F869" s="227">
        <v>67.77</v>
      </c>
      <c r="G869" s="194"/>
      <c r="H869" s="194"/>
      <c r="I869" s="194"/>
      <c r="J869" s="194"/>
      <c r="K869" s="194"/>
      <c r="L869" s="194"/>
      <c r="M869" s="194"/>
      <c r="N869" s="194"/>
      <c r="O869" s="194"/>
      <c r="P869" s="194"/>
      <c r="Q869" s="194"/>
      <c r="R869" s="194"/>
      <c r="S869" s="194"/>
      <c r="T869" s="194"/>
      <c r="U869" s="194"/>
      <c r="V869" s="194"/>
      <c r="W869" s="194"/>
      <c r="X869" s="194"/>
      <c r="Y869" s="194"/>
      <c r="Z869" s="194"/>
      <c r="AA869" s="194"/>
      <c r="AB869" s="194"/>
      <c r="AC869" s="194"/>
      <c r="AD869" s="194"/>
      <c r="AE869" s="194"/>
      <c r="AF869" s="194"/>
      <c r="AG869" s="194"/>
      <c r="AH869" s="194"/>
      <c r="AI869" s="194"/>
      <c r="AJ869" s="194"/>
      <c r="AK869" s="194"/>
      <c r="AL869" s="194"/>
      <c r="AM869" s="194"/>
      <c r="AN869" s="194"/>
      <c r="AO869" s="194"/>
      <c r="AP869" s="194"/>
      <c r="AQ869" s="194"/>
      <c r="AR869" s="194"/>
      <c r="AS869" s="194"/>
      <c r="AT869" s="34" t="s">
        <v>229</v>
      </c>
      <c r="AU869" s="34"/>
      <c r="AV869" s="34"/>
      <c r="AW869" s="34"/>
      <c r="AX869" s="63"/>
      <c r="AY869" s="34" t="s">
        <v>1917</v>
      </c>
      <c r="AZ869" s="39" t="s">
        <v>1926</v>
      </c>
      <c r="BB869" s="41"/>
      <c r="BC869" s="41"/>
    </row>
    <row r="870" spans="1:56" ht="15.75" hidden="1" customHeight="1">
      <c r="A870" s="193"/>
      <c r="B870" s="56" t="s">
        <v>1856</v>
      </c>
      <c r="C870" s="102"/>
      <c r="D870" s="194"/>
      <c r="E870" s="194"/>
      <c r="F870" s="194">
        <v>15.47</v>
      </c>
      <c r="G870" s="194"/>
      <c r="H870" s="194"/>
      <c r="I870" s="194"/>
      <c r="J870" s="194"/>
      <c r="K870" s="194"/>
      <c r="L870" s="194"/>
      <c r="M870" s="194"/>
      <c r="N870" s="194"/>
      <c r="O870" s="194"/>
      <c r="P870" s="194"/>
      <c r="Q870" s="194"/>
      <c r="R870" s="194"/>
      <c r="S870" s="194"/>
      <c r="T870" s="194"/>
      <c r="U870" s="194"/>
      <c r="V870" s="194"/>
      <c r="W870" s="194"/>
      <c r="X870" s="194"/>
      <c r="Y870" s="194"/>
      <c r="Z870" s="194"/>
      <c r="AA870" s="194"/>
      <c r="AB870" s="194"/>
      <c r="AC870" s="194"/>
      <c r="AD870" s="194"/>
      <c r="AE870" s="194"/>
      <c r="AF870" s="194"/>
      <c r="AG870" s="194"/>
      <c r="AH870" s="194"/>
      <c r="AI870" s="194"/>
      <c r="AJ870" s="194"/>
      <c r="AK870" s="194"/>
      <c r="AL870" s="194"/>
      <c r="AM870" s="194"/>
      <c r="AN870" s="194"/>
      <c r="AO870" s="194"/>
      <c r="AP870" s="194"/>
      <c r="AQ870" s="194"/>
      <c r="AR870" s="194"/>
      <c r="AS870" s="194"/>
      <c r="AT870" s="34" t="s">
        <v>230</v>
      </c>
      <c r="AU870" s="34"/>
      <c r="AV870" s="34"/>
      <c r="AW870" s="34"/>
      <c r="AX870" s="63"/>
      <c r="AY870" s="159" t="s">
        <v>1923</v>
      </c>
      <c r="AZ870" s="156" t="s">
        <v>2702</v>
      </c>
      <c r="BB870" s="41"/>
      <c r="BC870" s="41"/>
    </row>
    <row r="871" spans="1:56" ht="15.75" hidden="1" customHeight="1">
      <c r="A871" s="193"/>
      <c r="B871" s="56" t="s">
        <v>1856</v>
      </c>
      <c r="C871" s="102"/>
      <c r="D871" s="194"/>
      <c r="E871" s="194"/>
      <c r="F871" s="194">
        <v>4.5</v>
      </c>
      <c r="G871" s="194"/>
      <c r="H871" s="194"/>
      <c r="I871" s="194"/>
      <c r="J871" s="194"/>
      <c r="K871" s="194"/>
      <c r="L871" s="194"/>
      <c r="M871" s="194"/>
      <c r="N871" s="194"/>
      <c r="O871" s="194"/>
      <c r="P871" s="194"/>
      <c r="Q871" s="194"/>
      <c r="R871" s="194"/>
      <c r="S871" s="194"/>
      <c r="T871" s="194"/>
      <c r="U871" s="194"/>
      <c r="V871" s="194"/>
      <c r="W871" s="194"/>
      <c r="X871" s="194"/>
      <c r="Y871" s="194"/>
      <c r="Z871" s="194"/>
      <c r="AA871" s="194"/>
      <c r="AB871" s="194"/>
      <c r="AC871" s="194"/>
      <c r="AD871" s="194"/>
      <c r="AE871" s="194"/>
      <c r="AF871" s="194"/>
      <c r="AG871" s="194"/>
      <c r="AH871" s="194"/>
      <c r="AI871" s="194"/>
      <c r="AJ871" s="194"/>
      <c r="AK871" s="194"/>
      <c r="AL871" s="194"/>
      <c r="AM871" s="194"/>
      <c r="AN871" s="194"/>
      <c r="AO871" s="194"/>
      <c r="AP871" s="194"/>
      <c r="AQ871" s="194"/>
      <c r="AR871" s="194"/>
      <c r="AS871" s="194"/>
      <c r="AT871" s="34" t="s">
        <v>231</v>
      </c>
      <c r="AU871" s="34"/>
      <c r="AV871" s="34"/>
      <c r="AW871" s="34"/>
      <c r="AX871" s="63"/>
      <c r="AY871" s="34" t="s">
        <v>1923</v>
      </c>
      <c r="AZ871" s="39" t="s">
        <v>1924</v>
      </c>
      <c r="BB871" s="41"/>
      <c r="BC871" s="41"/>
    </row>
    <row r="872" spans="1:56" ht="15.75" hidden="1" customHeight="1">
      <c r="A872" s="193"/>
      <c r="B872" s="56" t="s">
        <v>2701</v>
      </c>
      <c r="C872" s="102"/>
      <c r="D872" s="194"/>
      <c r="E872" s="194"/>
      <c r="F872" s="194">
        <v>34.51</v>
      </c>
      <c r="G872" s="194"/>
      <c r="H872" s="194"/>
      <c r="I872" s="194"/>
      <c r="J872" s="194"/>
      <c r="K872" s="194"/>
      <c r="L872" s="194"/>
      <c r="M872" s="194"/>
      <c r="N872" s="194"/>
      <c r="O872" s="194"/>
      <c r="P872" s="194"/>
      <c r="Q872" s="194"/>
      <c r="R872" s="194"/>
      <c r="S872" s="194"/>
      <c r="T872" s="194"/>
      <c r="U872" s="194"/>
      <c r="V872" s="194"/>
      <c r="W872" s="194"/>
      <c r="X872" s="194"/>
      <c r="Y872" s="194"/>
      <c r="Z872" s="194"/>
      <c r="AA872" s="194"/>
      <c r="AB872" s="194"/>
      <c r="AC872" s="194"/>
      <c r="AD872" s="194"/>
      <c r="AE872" s="194"/>
      <c r="AF872" s="194"/>
      <c r="AG872" s="194"/>
      <c r="AH872" s="194"/>
      <c r="AI872" s="194"/>
      <c r="AJ872" s="194"/>
      <c r="AK872" s="194"/>
      <c r="AL872" s="194"/>
      <c r="AM872" s="194"/>
      <c r="AN872" s="194"/>
      <c r="AO872" s="194"/>
      <c r="AP872" s="194"/>
      <c r="AQ872" s="194"/>
      <c r="AR872" s="194"/>
      <c r="AS872" s="194"/>
      <c r="AT872" s="34" t="s">
        <v>232</v>
      </c>
      <c r="AU872" s="34" t="s">
        <v>1857</v>
      </c>
      <c r="AV872" s="34"/>
      <c r="AW872" s="34"/>
      <c r="AX872" s="63"/>
      <c r="AY872" s="34" t="s">
        <v>1923</v>
      </c>
      <c r="AZ872" s="63" t="s">
        <v>1924</v>
      </c>
      <c r="BB872" s="41"/>
      <c r="BC872" s="41"/>
    </row>
    <row r="873" spans="1:56" ht="15.75" hidden="1" customHeight="1">
      <c r="A873" s="193"/>
      <c r="B873" s="56" t="s">
        <v>2701</v>
      </c>
      <c r="C873" s="102"/>
      <c r="D873" s="194"/>
      <c r="E873" s="194"/>
      <c r="F873" s="194">
        <f>2.74+215.32</f>
        <v>218.06</v>
      </c>
      <c r="G873" s="194"/>
      <c r="H873" s="194"/>
      <c r="I873" s="194"/>
      <c r="J873" s="194"/>
      <c r="K873" s="194"/>
      <c r="L873" s="194"/>
      <c r="M873" s="194"/>
      <c r="N873" s="194"/>
      <c r="O873" s="194"/>
      <c r="P873" s="194"/>
      <c r="Q873" s="194"/>
      <c r="R873" s="194"/>
      <c r="S873" s="194"/>
      <c r="T873" s="194"/>
      <c r="U873" s="194"/>
      <c r="V873" s="194"/>
      <c r="W873" s="194"/>
      <c r="X873" s="194"/>
      <c r="Y873" s="194"/>
      <c r="Z873" s="194"/>
      <c r="AA873" s="194"/>
      <c r="AB873" s="194"/>
      <c r="AC873" s="194"/>
      <c r="AD873" s="194"/>
      <c r="AE873" s="194"/>
      <c r="AF873" s="194"/>
      <c r="AG873" s="194"/>
      <c r="AH873" s="194"/>
      <c r="AI873" s="194"/>
      <c r="AJ873" s="194"/>
      <c r="AK873" s="194"/>
      <c r="AL873" s="194"/>
      <c r="AM873" s="194"/>
      <c r="AN873" s="194"/>
      <c r="AO873" s="194"/>
      <c r="AP873" s="194"/>
      <c r="AQ873" s="194"/>
      <c r="AR873" s="194"/>
      <c r="AS873" s="194"/>
      <c r="AT873" s="38" t="s">
        <v>233</v>
      </c>
      <c r="AU873" s="34"/>
      <c r="AV873" s="34"/>
      <c r="AW873" s="34"/>
      <c r="AX873" s="63"/>
      <c r="AY873" s="34" t="s">
        <v>1923</v>
      </c>
      <c r="AZ873" s="39" t="s">
        <v>1924</v>
      </c>
      <c r="BB873" s="41"/>
      <c r="BC873" s="41"/>
    </row>
    <row r="874" spans="1:56" ht="15.75" hidden="1" customHeight="1">
      <c r="A874" s="193"/>
      <c r="B874" s="56" t="s">
        <v>2701</v>
      </c>
      <c r="C874" s="102"/>
      <c r="D874" s="194"/>
      <c r="E874" s="194"/>
      <c r="F874" s="194">
        <v>53.47</v>
      </c>
      <c r="G874" s="194"/>
      <c r="H874" s="194"/>
      <c r="I874" s="194"/>
      <c r="J874" s="194"/>
      <c r="K874" s="194"/>
      <c r="L874" s="194"/>
      <c r="M874" s="194"/>
      <c r="N874" s="194"/>
      <c r="O874" s="194"/>
      <c r="P874" s="194"/>
      <c r="Q874" s="194"/>
      <c r="R874" s="194"/>
      <c r="S874" s="194"/>
      <c r="T874" s="194"/>
      <c r="U874" s="194"/>
      <c r="V874" s="194"/>
      <c r="W874" s="194"/>
      <c r="X874" s="194"/>
      <c r="Y874" s="194"/>
      <c r="Z874" s="194"/>
      <c r="AA874" s="194"/>
      <c r="AB874" s="194"/>
      <c r="AC874" s="194"/>
      <c r="AD874" s="194"/>
      <c r="AE874" s="194"/>
      <c r="AF874" s="194"/>
      <c r="AG874" s="194"/>
      <c r="AH874" s="194"/>
      <c r="AI874" s="194"/>
      <c r="AJ874" s="194"/>
      <c r="AK874" s="194"/>
      <c r="AL874" s="194"/>
      <c r="AM874" s="194"/>
      <c r="AN874" s="194"/>
      <c r="AO874" s="194"/>
      <c r="AP874" s="194"/>
      <c r="AQ874" s="194"/>
      <c r="AR874" s="194"/>
      <c r="AS874" s="194"/>
      <c r="AT874" s="34" t="s">
        <v>429</v>
      </c>
      <c r="AU874" s="34" t="s">
        <v>1857</v>
      </c>
      <c r="AV874" s="34"/>
      <c r="AW874" s="34"/>
      <c r="AX874" s="63"/>
      <c r="AY874" s="34" t="s">
        <v>1923</v>
      </c>
      <c r="AZ874" s="63" t="s">
        <v>1924</v>
      </c>
      <c r="BB874" s="41"/>
      <c r="BC874" s="41"/>
    </row>
    <row r="875" spans="1:56" ht="15.75" hidden="1" customHeight="1">
      <c r="A875" s="220"/>
      <c r="B875" s="56" t="s">
        <v>1856</v>
      </c>
      <c r="C875" s="102"/>
      <c r="D875" s="194"/>
      <c r="E875" s="194"/>
      <c r="F875" s="194">
        <v>81.62</v>
      </c>
      <c r="G875" s="194"/>
      <c r="H875" s="194"/>
      <c r="I875" s="194"/>
      <c r="J875" s="194"/>
      <c r="K875" s="194"/>
      <c r="L875" s="194"/>
      <c r="M875" s="194"/>
      <c r="N875" s="194"/>
      <c r="O875" s="194"/>
      <c r="P875" s="194"/>
      <c r="Q875" s="194"/>
      <c r="R875" s="194"/>
      <c r="S875" s="194"/>
      <c r="T875" s="194"/>
      <c r="U875" s="194"/>
      <c r="V875" s="194"/>
      <c r="W875" s="194"/>
      <c r="X875" s="194"/>
      <c r="Y875" s="194"/>
      <c r="Z875" s="194"/>
      <c r="AA875" s="194"/>
      <c r="AB875" s="194"/>
      <c r="AC875" s="194"/>
      <c r="AD875" s="194"/>
      <c r="AE875" s="194"/>
      <c r="AF875" s="194"/>
      <c r="AG875" s="194"/>
      <c r="AH875" s="194"/>
      <c r="AI875" s="194"/>
      <c r="AJ875" s="194"/>
      <c r="AK875" s="194"/>
      <c r="AL875" s="194"/>
      <c r="AM875" s="194"/>
      <c r="AN875" s="194"/>
      <c r="AO875" s="194"/>
      <c r="AP875" s="194"/>
      <c r="AQ875" s="194"/>
      <c r="AR875" s="194"/>
      <c r="AS875" s="194"/>
      <c r="AT875" s="38" t="s">
        <v>234</v>
      </c>
      <c r="AU875" s="34" t="s">
        <v>615</v>
      </c>
      <c r="AV875" s="34"/>
      <c r="AW875" s="34"/>
      <c r="AX875" s="63"/>
      <c r="AY875" s="34" t="s">
        <v>1923</v>
      </c>
      <c r="AZ875" s="63" t="s">
        <v>1924</v>
      </c>
      <c r="BA875" s="15" t="s">
        <v>2703</v>
      </c>
      <c r="BB875" s="41"/>
      <c r="BC875" s="41"/>
    </row>
    <row r="876" spans="1:56" ht="31.5" hidden="1" customHeight="1">
      <c r="A876" s="193"/>
      <c r="B876" s="56" t="s">
        <v>1856</v>
      </c>
      <c r="C876" s="102" t="s">
        <v>14</v>
      </c>
      <c r="D876" s="194">
        <f>E876+F876</f>
        <v>2.96</v>
      </c>
      <c r="E876" s="194"/>
      <c r="F876" s="194">
        <v>2.96</v>
      </c>
      <c r="G876" s="194">
        <v>516.51</v>
      </c>
      <c r="H876" s="194">
        <v>153.17499999999998</v>
      </c>
      <c r="I876" s="194">
        <v>88.021000000000001</v>
      </c>
      <c r="J876" s="194">
        <v>1.879</v>
      </c>
      <c r="K876" s="194">
        <v>495.84999999999997</v>
      </c>
      <c r="L876" s="194">
        <v>0</v>
      </c>
      <c r="M876" s="194">
        <v>495.84999999999997</v>
      </c>
      <c r="N876" s="194">
        <v>0</v>
      </c>
      <c r="O876" s="194">
        <v>0</v>
      </c>
      <c r="P876" s="194">
        <v>0.11</v>
      </c>
      <c r="Q876" s="194">
        <v>0</v>
      </c>
      <c r="R876" s="194">
        <v>0</v>
      </c>
      <c r="S876" s="194">
        <v>0</v>
      </c>
      <c r="T876" s="194">
        <v>0</v>
      </c>
      <c r="U876" s="194">
        <v>0</v>
      </c>
      <c r="V876" s="194">
        <v>0</v>
      </c>
      <c r="W876" s="194">
        <v>0</v>
      </c>
      <c r="X876" s="194">
        <v>0</v>
      </c>
      <c r="Y876" s="194">
        <v>0</v>
      </c>
      <c r="Z876" s="194">
        <v>0</v>
      </c>
      <c r="AA876" s="194">
        <v>0</v>
      </c>
      <c r="AB876" s="194">
        <v>0</v>
      </c>
      <c r="AC876" s="194">
        <v>0</v>
      </c>
      <c r="AD876" s="194">
        <v>0</v>
      </c>
      <c r="AE876" s="194">
        <v>0</v>
      </c>
      <c r="AF876" s="194">
        <v>0</v>
      </c>
      <c r="AG876" s="194">
        <v>0</v>
      </c>
      <c r="AH876" s="194">
        <v>0</v>
      </c>
      <c r="AI876" s="194">
        <v>0</v>
      </c>
      <c r="AJ876" s="194">
        <v>0</v>
      </c>
      <c r="AK876" s="194">
        <v>0</v>
      </c>
      <c r="AL876" s="194">
        <v>0</v>
      </c>
      <c r="AM876" s="194">
        <v>0</v>
      </c>
      <c r="AN876" s="194">
        <v>0</v>
      </c>
      <c r="AO876" s="194">
        <v>0</v>
      </c>
      <c r="AP876" s="194">
        <v>0</v>
      </c>
      <c r="AQ876" s="194">
        <v>0</v>
      </c>
      <c r="AR876" s="194">
        <v>0</v>
      </c>
      <c r="AS876" s="194">
        <v>0</v>
      </c>
      <c r="AT876" s="34" t="s">
        <v>235</v>
      </c>
      <c r="AU876" s="34" t="s">
        <v>615</v>
      </c>
      <c r="AV876" s="34"/>
      <c r="AW876" s="34"/>
      <c r="AX876" s="63" t="s">
        <v>1970</v>
      </c>
      <c r="AY876" s="34" t="s">
        <v>1917</v>
      </c>
      <c r="AZ876" s="63" t="s">
        <v>2704</v>
      </c>
      <c r="BA876" s="15" t="s">
        <v>2705</v>
      </c>
      <c r="BB876" s="41"/>
      <c r="BC876" s="41"/>
    </row>
    <row r="877" spans="1:56" ht="15.75" hidden="1" customHeight="1">
      <c r="A877" s="193"/>
      <c r="B877" s="56" t="s">
        <v>1856</v>
      </c>
      <c r="C877" s="102"/>
      <c r="D877" s="194"/>
      <c r="E877" s="194"/>
      <c r="F877" s="194">
        <v>18.850000000000001</v>
      </c>
      <c r="G877" s="194"/>
      <c r="H877" s="194"/>
      <c r="I877" s="194"/>
      <c r="J877" s="194"/>
      <c r="K877" s="194"/>
      <c r="L877" s="194"/>
      <c r="M877" s="194"/>
      <c r="N877" s="194"/>
      <c r="O877" s="194"/>
      <c r="P877" s="194"/>
      <c r="Q877" s="194"/>
      <c r="R877" s="194"/>
      <c r="S877" s="194"/>
      <c r="T877" s="194"/>
      <c r="U877" s="194"/>
      <c r="V877" s="194"/>
      <c r="W877" s="194"/>
      <c r="X877" s="194"/>
      <c r="Y877" s="194"/>
      <c r="Z877" s="194"/>
      <c r="AA877" s="194"/>
      <c r="AB877" s="194"/>
      <c r="AC877" s="194"/>
      <c r="AD877" s="194"/>
      <c r="AE877" s="194"/>
      <c r="AF877" s="194"/>
      <c r="AG877" s="194"/>
      <c r="AH877" s="194"/>
      <c r="AI877" s="194"/>
      <c r="AJ877" s="194"/>
      <c r="AK877" s="194"/>
      <c r="AL877" s="194"/>
      <c r="AM877" s="194"/>
      <c r="AN877" s="194"/>
      <c r="AO877" s="194"/>
      <c r="AP877" s="194"/>
      <c r="AQ877" s="194"/>
      <c r="AR877" s="194"/>
      <c r="AS877" s="194"/>
      <c r="AT877" s="34" t="s">
        <v>237</v>
      </c>
      <c r="AU877" s="34" t="s">
        <v>1857</v>
      </c>
      <c r="AV877" s="34"/>
      <c r="AW877" s="34"/>
      <c r="AX877" s="63"/>
      <c r="AY877" s="34" t="s">
        <v>1923</v>
      </c>
      <c r="AZ877" s="63" t="s">
        <v>1924</v>
      </c>
      <c r="BA877" s="234"/>
      <c r="BB877" s="41"/>
      <c r="BC877" s="41"/>
    </row>
    <row r="878" spans="1:56" ht="15.75" hidden="1" customHeight="1">
      <c r="A878" s="220"/>
      <c r="B878" s="60" t="s">
        <v>2701</v>
      </c>
      <c r="C878" s="102" t="s">
        <v>14</v>
      </c>
      <c r="D878" s="194">
        <v>57.71</v>
      </c>
      <c r="E878" s="194"/>
      <c r="F878" s="194">
        <v>57.71</v>
      </c>
      <c r="G878" s="194">
        <v>15.71</v>
      </c>
      <c r="H878" s="194">
        <v>21</v>
      </c>
      <c r="I878" s="194">
        <v>16</v>
      </c>
      <c r="J878" s="194"/>
      <c r="K878" s="194"/>
      <c r="L878" s="194"/>
      <c r="M878" s="194">
        <v>5</v>
      </c>
      <c r="N878" s="194"/>
      <c r="O878" s="194"/>
      <c r="P878" s="194"/>
      <c r="Q878" s="194"/>
      <c r="R878" s="194"/>
      <c r="S878" s="194"/>
      <c r="T878" s="194"/>
      <c r="U878" s="194"/>
      <c r="V878" s="194"/>
      <c r="W878" s="194"/>
      <c r="X878" s="194"/>
      <c r="Y878" s="194"/>
      <c r="Z878" s="194"/>
      <c r="AA878" s="194"/>
      <c r="AB878" s="194"/>
      <c r="AC878" s="194"/>
      <c r="AD878" s="194"/>
      <c r="AE878" s="194"/>
      <c r="AF878" s="194"/>
      <c r="AG878" s="194"/>
      <c r="AH878" s="194"/>
      <c r="AI878" s="194"/>
      <c r="AJ878" s="194"/>
      <c r="AK878" s="194"/>
      <c r="AL878" s="194"/>
      <c r="AM878" s="194"/>
      <c r="AN878" s="194"/>
      <c r="AO878" s="194"/>
      <c r="AP878" s="194"/>
      <c r="AQ878" s="194"/>
      <c r="AR878" s="194"/>
      <c r="AS878" s="194"/>
      <c r="AT878" s="38" t="s">
        <v>238</v>
      </c>
      <c r="AU878" s="34"/>
      <c r="AV878" s="34"/>
      <c r="AW878" s="34"/>
      <c r="AX878" s="63"/>
      <c r="AY878" s="38" t="s">
        <v>1917</v>
      </c>
      <c r="AZ878" s="63" t="s">
        <v>1924</v>
      </c>
      <c r="BA878" s="65"/>
      <c r="BB878" s="41"/>
      <c r="BC878" s="41"/>
    </row>
    <row r="879" spans="1:56" ht="15.75" hidden="1" customHeight="1">
      <c r="A879" s="193"/>
      <c r="B879" s="56" t="s">
        <v>1856</v>
      </c>
      <c r="C879" s="102"/>
      <c r="D879" s="194"/>
      <c r="E879" s="194"/>
      <c r="F879" s="194">
        <v>20.27</v>
      </c>
      <c r="G879" s="194"/>
      <c r="H879" s="194"/>
      <c r="I879" s="194"/>
      <c r="J879" s="194"/>
      <c r="K879" s="194"/>
      <c r="L879" s="194"/>
      <c r="M879" s="194"/>
      <c r="N879" s="194"/>
      <c r="O879" s="194"/>
      <c r="P879" s="194"/>
      <c r="Q879" s="194"/>
      <c r="R879" s="194"/>
      <c r="S879" s="194"/>
      <c r="T879" s="194"/>
      <c r="U879" s="194"/>
      <c r="V879" s="194"/>
      <c r="W879" s="194"/>
      <c r="X879" s="194"/>
      <c r="Y879" s="194"/>
      <c r="Z879" s="194"/>
      <c r="AA879" s="194"/>
      <c r="AB879" s="194"/>
      <c r="AC879" s="194"/>
      <c r="AD879" s="194"/>
      <c r="AE879" s="194"/>
      <c r="AF879" s="194"/>
      <c r="AG879" s="194"/>
      <c r="AH879" s="194"/>
      <c r="AI879" s="194"/>
      <c r="AJ879" s="194"/>
      <c r="AK879" s="194"/>
      <c r="AL879" s="194"/>
      <c r="AM879" s="194"/>
      <c r="AN879" s="194"/>
      <c r="AO879" s="194"/>
      <c r="AP879" s="194"/>
      <c r="AQ879" s="194"/>
      <c r="AR879" s="194"/>
      <c r="AS879" s="194"/>
      <c r="AT879" s="34" t="s">
        <v>239</v>
      </c>
      <c r="AU879" s="34" t="s">
        <v>1857</v>
      </c>
      <c r="AV879" s="34"/>
      <c r="AW879" s="34"/>
      <c r="AX879" s="63"/>
      <c r="AY879" s="38" t="s">
        <v>1917</v>
      </c>
      <c r="AZ879" s="39" t="s">
        <v>1924</v>
      </c>
      <c r="BB879" s="41"/>
      <c r="BC879" s="41"/>
    </row>
    <row r="880" spans="1:56" ht="31.5" hidden="1" customHeight="1">
      <c r="A880" s="193"/>
      <c r="B880" s="56"/>
      <c r="C880" s="102"/>
      <c r="D880" s="194"/>
      <c r="E880" s="194"/>
      <c r="F880" s="194">
        <v>9.5299999999999994</v>
      </c>
      <c r="G880" s="194"/>
      <c r="H880" s="194"/>
      <c r="I880" s="194"/>
      <c r="J880" s="194"/>
      <c r="K880" s="194"/>
      <c r="L880" s="194"/>
      <c r="M880" s="194"/>
      <c r="N880" s="194"/>
      <c r="O880" s="194"/>
      <c r="P880" s="194"/>
      <c r="Q880" s="194"/>
      <c r="R880" s="194"/>
      <c r="S880" s="194"/>
      <c r="T880" s="194"/>
      <c r="U880" s="194"/>
      <c r="V880" s="194"/>
      <c r="W880" s="194"/>
      <c r="X880" s="194"/>
      <c r="Y880" s="194"/>
      <c r="Z880" s="194"/>
      <c r="AA880" s="194"/>
      <c r="AB880" s="194"/>
      <c r="AC880" s="194"/>
      <c r="AD880" s="194"/>
      <c r="AE880" s="194"/>
      <c r="AF880" s="194"/>
      <c r="AG880" s="194"/>
      <c r="AH880" s="194"/>
      <c r="AI880" s="194"/>
      <c r="AJ880" s="194"/>
      <c r="AK880" s="194"/>
      <c r="AL880" s="194"/>
      <c r="AM880" s="194"/>
      <c r="AN880" s="194"/>
      <c r="AO880" s="194"/>
      <c r="AP880" s="194"/>
      <c r="AQ880" s="194"/>
      <c r="AR880" s="194"/>
      <c r="AS880" s="194"/>
      <c r="AT880" s="34" t="s">
        <v>240</v>
      </c>
      <c r="AU880" s="34" t="s">
        <v>615</v>
      </c>
      <c r="AV880" s="34"/>
      <c r="AW880" s="34"/>
      <c r="AX880" s="63"/>
      <c r="AY880" s="34" t="s">
        <v>1917</v>
      </c>
      <c r="AZ880" s="63" t="s">
        <v>2706</v>
      </c>
      <c r="BA880" s="15">
        <f>9.53-0.27</f>
        <v>9.26</v>
      </c>
      <c r="BB880" s="41"/>
      <c r="BC880" s="41"/>
    </row>
    <row r="881" spans="1:58" ht="15.75" hidden="1" customHeight="1">
      <c r="A881" s="193"/>
      <c r="B881" s="56" t="s">
        <v>2701</v>
      </c>
      <c r="C881" s="102" t="s">
        <v>14</v>
      </c>
      <c r="D881" s="194">
        <v>32</v>
      </c>
      <c r="E881" s="194"/>
      <c r="F881" s="194">
        <v>32</v>
      </c>
      <c r="G881" s="194"/>
      <c r="H881" s="194"/>
      <c r="I881" s="194"/>
      <c r="J881" s="194"/>
      <c r="K881" s="194"/>
      <c r="L881" s="194"/>
      <c r="M881" s="194"/>
      <c r="N881" s="194"/>
      <c r="O881" s="194"/>
      <c r="P881" s="194"/>
      <c r="Q881" s="194"/>
      <c r="R881" s="194"/>
      <c r="S881" s="194"/>
      <c r="T881" s="194"/>
      <c r="U881" s="194"/>
      <c r="V881" s="194"/>
      <c r="W881" s="194"/>
      <c r="X881" s="194"/>
      <c r="Y881" s="194"/>
      <c r="Z881" s="194"/>
      <c r="AA881" s="194"/>
      <c r="AB881" s="194"/>
      <c r="AC881" s="194"/>
      <c r="AD881" s="194"/>
      <c r="AE881" s="194"/>
      <c r="AF881" s="194"/>
      <c r="AG881" s="194"/>
      <c r="AH881" s="194"/>
      <c r="AI881" s="194"/>
      <c r="AJ881" s="194"/>
      <c r="AK881" s="194"/>
      <c r="AL881" s="194"/>
      <c r="AM881" s="194"/>
      <c r="AN881" s="194"/>
      <c r="AO881" s="194"/>
      <c r="AP881" s="194"/>
      <c r="AQ881" s="194"/>
      <c r="AR881" s="194"/>
      <c r="AS881" s="194"/>
      <c r="AT881" s="34" t="s">
        <v>241</v>
      </c>
      <c r="AU881" s="34"/>
      <c r="AV881" s="34"/>
      <c r="AW881" s="34"/>
      <c r="AX881" s="63"/>
      <c r="AY881" s="38" t="s">
        <v>1923</v>
      </c>
      <c r="AZ881" s="39" t="s">
        <v>1924</v>
      </c>
      <c r="BB881" s="41"/>
      <c r="BC881" s="41"/>
    </row>
    <row r="882" spans="1:58" s="24" customFormat="1" ht="24" customHeight="1">
      <c r="A882" s="189" t="s">
        <v>1848</v>
      </c>
      <c r="B882" s="179" t="s">
        <v>1859</v>
      </c>
      <c r="C882" s="29" t="s">
        <v>19</v>
      </c>
      <c r="D882" s="191">
        <f>E882+F882</f>
        <v>22.8</v>
      </c>
      <c r="E882" s="191">
        <f>SUM(E883)</f>
        <v>0</v>
      </c>
      <c r="F882" s="191">
        <f>SUM(G882:K882,O882:AR882)</f>
        <v>22.8</v>
      </c>
      <c r="G882" s="192">
        <f>SUM(G883)</f>
        <v>17</v>
      </c>
      <c r="H882" s="192">
        <f t="shared" ref="H882:AS882" si="49">SUM(H883)</f>
        <v>5.8000000000000007</v>
      </c>
      <c r="I882" s="192">
        <f t="shared" si="49"/>
        <v>0</v>
      </c>
      <c r="J882" s="192">
        <f t="shared" si="49"/>
        <v>0</v>
      </c>
      <c r="K882" s="192">
        <f t="shared" si="49"/>
        <v>0</v>
      </c>
      <c r="L882" s="192">
        <f t="shared" si="49"/>
        <v>0</v>
      </c>
      <c r="M882" s="192">
        <f t="shared" si="49"/>
        <v>0</v>
      </c>
      <c r="N882" s="192">
        <f t="shared" si="49"/>
        <v>0</v>
      </c>
      <c r="O882" s="192">
        <f t="shared" si="49"/>
        <v>0</v>
      </c>
      <c r="P882" s="192">
        <f t="shared" si="49"/>
        <v>0</v>
      </c>
      <c r="Q882" s="192">
        <f t="shared" si="49"/>
        <v>0</v>
      </c>
      <c r="R882" s="192">
        <f t="shared" si="49"/>
        <v>0</v>
      </c>
      <c r="S882" s="192">
        <f t="shared" si="49"/>
        <v>0</v>
      </c>
      <c r="T882" s="192">
        <f t="shared" si="49"/>
        <v>0</v>
      </c>
      <c r="U882" s="192">
        <f t="shared" si="49"/>
        <v>0</v>
      </c>
      <c r="V882" s="192">
        <f t="shared" si="49"/>
        <v>0</v>
      </c>
      <c r="W882" s="192">
        <f t="shared" si="49"/>
        <v>0</v>
      </c>
      <c r="X882" s="192">
        <f t="shared" si="49"/>
        <v>0</v>
      </c>
      <c r="Y882" s="192">
        <f t="shared" si="49"/>
        <v>0</v>
      </c>
      <c r="Z882" s="192">
        <f t="shared" si="49"/>
        <v>0</v>
      </c>
      <c r="AA882" s="192">
        <f t="shared" si="49"/>
        <v>0</v>
      </c>
      <c r="AB882" s="192">
        <f t="shared" si="49"/>
        <v>0</v>
      </c>
      <c r="AC882" s="192">
        <f t="shared" si="49"/>
        <v>0</v>
      </c>
      <c r="AD882" s="192">
        <f t="shared" si="49"/>
        <v>0</v>
      </c>
      <c r="AE882" s="192">
        <f t="shared" si="49"/>
        <v>0</v>
      </c>
      <c r="AF882" s="192">
        <f t="shared" si="49"/>
        <v>0</v>
      </c>
      <c r="AG882" s="192">
        <f t="shared" si="49"/>
        <v>0</v>
      </c>
      <c r="AH882" s="192">
        <f t="shared" si="49"/>
        <v>0</v>
      </c>
      <c r="AI882" s="192">
        <f t="shared" si="49"/>
        <v>0</v>
      </c>
      <c r="AJ882" s="192">
        <f t="shared" si="49"/>
        <v>0</v>
      </c>
      <c r="AK882" s="192">
        <f t="shared" si="49"/>
        <v>0</v>
      </c>
      <c r="AL882" s="192">
        <f t="shared" si="49"/>
        <v>0</v>
      </c>
      <c r="AM882" s="192">
        <f t="shared" si="49"/>
        <v>0</v>
      </c>
      <c r="AN882" s="192">
        <f t="shared" si="49"/>
        <v>0</v>
      </c>
      <c r="AO882" s="192">
        <f t="shared" si="49"/>
        <v>0</v>
      </c>
      <c r="AP882" s="192">
        <f t="shared" si="49"/>
        <v>0</v>
      </c>
      <c r="AQ882" s="192">
        <f t="shared" si="49"/>
        <v>0</v>
      </c>
      <c r="AR882" s="192">
        <f t="shared" si="49"/>
        <v>0</v>
      </c>
      <c r="AS882" s="192">
        <f t="shared" si="49"/>
        <v>0</v>
      </c>
      <c r="AT882" s="29"/>
      <c r="AU882" s="29"/>
      <c r="AV882" s="29"/>
      <c r="AW882" s="29"/>
      <c r="AX882" s="30"/>
      <c r="AY882" s="29"/>
      <c r="AZ882" s="30"/>
    </row>
    <row r="883" spans="1:58" ht="36.6" customHeight="1">
      <c r="A883" s="193">
        <v>149</v>
      </c>
      <c r="B883" s="33" t="s">
        <v>1860</v>
      </c>
      <c r="C883" s="34"/>
      <c r="D883" s="103">
        <f>E883+F883</f>
        <v>22.8</v>
      </c>
      <c r="E883" s="194"/>
      <c r="F883" s="194">
        <f>SUM(G883:K883,O883:AR883)</f>
        <v>22.8</v>
      </c>
      <c r="G883" s="103">
        <v>17</v>
      </c>
      <c r="H883" s="103">
        <v>5.8000000000000007</v>
      </c>
      <c r="I883" s="103">
        <v>0</v>
      </c>
      <c r="J883" s="103">
        <v>0</v>
      </c>
      <c r="K883" s="103">
        <v>0</v>
      </c>
      <c r="L883" s="103">
        <v>0</v>
      </c>
      <c r="M883" s="103">
        <v>0</v>
      </c>
      <c r="N883" s="103">
        <v>0</v>
      </c>
      <c r="O883" s="103">
        <v>0</v>
      </c>
      <c r="P883" s="103">
        <v>0</v>
      </c>
      <c r="Q883" s="103">
        <v>0</v>
      </c>
      <c r="R883" s="103">
        <v>0</v>
      </c>
      <c r="S883" s="103">
        <v>0</v>
      </c>
      <c r="T883" s="103">
        <v>0</v>
      </c>
      <c r="U883" s="103">
        <v>0</v>
      </c>
      <c r="V883" s="103">
        <v>0</v>
      </c>
      <c r="W883" s="103">
        <v>0</v>
      </c>
      <c r="X883" s="103">
        <v>0</v>
      </c>
      <c r="Y883" s="103">
        <v>0</v>
      </c>
      <c r="Z883" s="103">
        <v>0</v>
      </c>
      <c r="AA883" s="103">
        <v>0</v>
      </c>
      <c r="AB883" s="103">
        <v>0</v>
      </c>
      <c r="AC883" s="103">
        <v>0</v>
      </c>
      <c r="AD883" s="103">
        <v>0</v>
      </c>
      <c r="AE883" s="103">
        <v>0</v>
      </c>
      <c r="AF883" s="103">
        <v>0</v>
      </c>
      <c r="AG883" s="103">
        <v>0</v>
      </c>
      <c r="AH883" s="103">
        <v>0</v>
      </c>
      <c r="AI883" s="103">
        <v>0</v>
      </c>
      <c r="AJ883" s="103">
        <v>0</v>
      </c>
      <c r="AK883" s="103">
        <v>0</v>
      </c>
      <c r="AL883" s="103">
        <v>0</v>
      </c>
      <c r="AM883" s="103">
        <v>0</v>
      </c>
      <c r="AN883" s="103">
        <v>0</v>
      </c>
      <c r="AO883" s="103">
        <v>0</v>
      </c>
      <c r="AP883" s="103">
        <v>0</v>
      </c>
      <c r="AQ883" s="103">
        <v>0</v>
      </c>
      <c r="AR883" s="103">
        <v>0</v>
      </c>
      <c r="AS883" s="103">
        <v>0</v>
      </c>
      <c r="AT883" s="34" t="s">
        <v>880</v>
      </c>
      <c r="AU883" s="34" t="s">
        <v>615</v>
      </c>
      <c r="AV883" s="34"/>
      <c r="AW883" s="34"/>
      <c r="AX883" s="63" t="s">
        <v>1970</v>
      </c>
      <c r="AY883" s="34" t="s">
        <v>1917</v>
      </c>
      <c r="AZ883" s="63" t="s">
        <v>1924</v>
      </c>
      <c r="BF883" s="15">
        <v>1</v>
      </c>
    </row>
    <row r="884" spans="1:58" ht="15.75" hidden="1" customHeight="1">
      <c r="A884" s="193"/>
      <c r="B884" s="33" t="s">
        <v>1860</v>
      </c>
      <c r="C884" s="34"/>
      <c r="D884" s="103">
        <f>E884+F884</f>
        <v>0</v>
      </c>
      <c r="E884" s="194"/>
      <c r="F884" s="194"/>
      <c r="G884" s="103">
        <v>17</v>
      </c>
      <c r="H884" s="103">
        <v>5.8000000000000007</v>
      </c>
      <c r="I884" s="103">
        <v>0</v>
      </c>
      <c r="J884" s="103">
        <v>0</v>
      </c>
      <c r="K884" s="103">
        <v>0</v>
      </c>
      <c r="L884" s="103">
        <v>0</v>
      </c>
      <c r="M884" s="103">
        <v>0</v>
      </c>
      <c r="N884" s="103">
        <v>0</v>
      </c>
      <c r="O884" s="103">
        <v>0</v>
      </c>
      <c r="P884" s="103">
        <v>0</v>
      </c>
      <c r="Q884" s="103">
        <v>0</v>
      </c>
      <c r="R884" s="103">
        <v>0</v>
      </c>
      <c r="S884" s="103">
        <v>0</v>
      </c>
      <c r="T884" s="103">
        <v>0</v>
      </c>
      <c r="U884" s="103">
        <v>0</v>
      </c>
      <c r="V884" s="103">
        <v>0</v>
      </c>
      <c r="W884" s="103">
        <v>0</v>
      </c>
      <c r="X884" s="103">
        <v>0</v>
      </c>
      <c r="Y884" s="103">
        <v>0</v>
      </c>
      <c r="Z884" s="103">
        <v>0</v>
      </c>
      <c r="AA884" s="103">
        <v>0</v>
      </c>
      <c r="AB884" s="103">
        <v>0</v>
      </c>
      <c r="AC884" s="103">
        <v>0</v>
      </c>
      <c r="AD884" s="103">
        <v>0</v>
      </c>
      <c r="AE884" s="103">
        <v>0</v>
      </c>
      <c r="AF884" s="103">
        <v>0</v>
      </c>
      <c r="AG884" s="103">
        <v>0</v>
      </c>
      <c r="AH884" s="103">
        <v>0</v>
      </c>
      <c r="AI884" s="103">
        <v>0</v>
      </c>
      <c r="AJ884" s="103">
        <v>0</v>
      </c>
      <c r="AK884" s="103">
        <v>0</v>
      </c>
      <c r="AL884" s="103">
        <v>0</v>
      </c>
      <c r="AM884" s="103">
        <v>0</v>
      </c>
      <c r="AN884" s="103">
        <v>0</v>
      </c>
      <c r="AO884" s="103">
        <v>0</v>
      </c>
      <c r="AP884" s="103">
        <v>0</v>
      </c>
      <c r="AQ884" s="103">
        <v>0</v>
      </c>
      <c r="AR884" s="103">
        <v>0</v>
      </c>
      <c r="AS884" s="103">
        <v>0</v>
      </c>
      <c r="AT884" s="34" t="s">
        <v>221</v>
      </c>
      <c r="AU884" s="34" t="s">
        <v>1857</v>
      </c>
      <c r="AV884" s="34"/>
      <c r="AW884" s="34"/>
      <c r="AX884" s="63" t="s">
        <v>1970</v>
      </c>
      <c r="AY884" s="34" t="s">
        <v>1923</v>
      </c>
      <c r="AZ884" s="39" t="s">
        <v>1924</v>
      </c>
    </row>
    <row r="885" spans="1:58" ht="47.25" hidden="1" customHeight="1">
      <c r="A885" s="220"/>
      <c r="B885" s="62" t="s">
        <v>2707</v>
      </c>
      <c r="C885" s="256" t="s">
        <v>19</v>
      </c>
      <c r="D885" s="231">
        <v>0.4</v>
      </c>
      <c r="E885" s="231"/>
      <c r="F885" s="231">
        <v>0.4</v>
      </c>
      <c r="G885" s="103"/>
      <c r="H885" s="103"/>
      <c r="I885" s="103"/>
      <c r="J885" s="103"/>
      <c r="K885" s="103"/>
      <c r="L885" s="103"/>
      <c r="M885" s="103"/>
      <c r="N885" s="103"/>
      <c r="O885" s="103"/>
      <c r="P885" s="103"/>
      <c r="Q885" s="103"/>
      <c r="R885" s="103"/>
      <c r="S885" s="103"/>
      <c r="T885" s="103"/>
      <c r="U885" s="103"/>
      <c r="V885" s="103"/>
      <c r="W885" s="103"/>
      <c r="X885" s="103"/>
      <c r="Y885" s="103"/>
      <c r="Z885" s="103"/>
      <c r="AA885" s="103"/>
      <c r="AB885" s="103"/>
      <c r="AC885" s="103"/>
      <c r="AD885" s="103"/>
      <c r="AE885" s="103"/>
      <c r="AF885" s="103"/>
      <c r="AG885" s="103"/>
      <c r="AH885" s="103"/>
      <c r="AI885" s="103"/>
      <c r="AJ885" s="103"/>
      <c r="AK885" s="103"/>
      <c r="AL885" s="103"/>
      <c r="AM885" s="103"/>
      <c r="AN885" s="103"/>
      <c r="AO885" s="103"/>
      <c r="AP885" s="103"/>
      <c r="AQ885" s="103"/>
      <c r="AR885" s="103"/>
      <c r="AS885" s="103"/>
      <c r="AT885" s="34" t="s">
        <v>224</v>
      </c>
      <c r="AU885" s="34" t="s">
        <v>389</v>
      </c>
      <c r="AV885" s="34"/>
      <c r="AW885" s="34"/>
      <c r="AX885" s="63"/>
      <c r="AY885" s="34" t="s">
        <v>1923</v>
      </c>
      <c r="AZ885" s="63" t="s">
        <v>2708</v>
      </c>
    </row>
    <row r="886" spans="1:58" ht="47.25" hidden="1" customHeight="1">
      <c r="A886" s="220"/>
      <c r="B886" s="62" t="s">
        <v>2709</v>
      </c>
      <c r="C886" s="256" t="s">
        <v>19</v>
      </c>
      <c r="D886" s="231">
        <v>0.5</v>
      </c>
      <c r="E886" s="231"/>
      <c r="F886" s="231">
        <v>0.5</v>
      </c>
      <c r="G886" s="103"/>
      <c r="H886" s="103"/>
      <c r="I886" s="103"/>
      <c r="J886" s="103"/>
      <c r="K886" s="103"/>
      <c r="L886" s="103"/>
      <c r="M886" s="103"/>
      <c r="N886" s="103"/>
      <c r="O886" s="103"/>
      <c r="P886" s="103"/>
      <c r="Q886" s="103"/>
      <c r="R886" s="103"/>
      <c r="S886" s="103"/>
      <c r="T886" s="103"/>
      <c r="U886" s="103"/>
      <c r="V886" s="103"/>
      <c r="W886" s="103"/>
      <c r="X886" s="103"/>
      <c r="Y886" s="103"/>
      <c r="Z886" s="103"/>
      <c r="AA886" s="103"/>
      <c r="AB886" s="103"/>
      <c r="AC886" s="103"/>
      <c r="AD886" s="103"/>
      <c r="AE886" s="103"/>
      <c r="AF886" s="103"/>
      <c r="AG886" s="103"/>
      <c r="AH886" s="103"/>
      <c r="AI886" s="103"/>
      <c r="AJ886" s="103"/>
      <c r="AK886" s="103"/>
      <c r="AL886" s="103"/>
      <c r="AM886" s="103"/>
      <c r="AN886" s="103"/>
      <c r="AO886" s="103"/>
      <c r="AP886" s="103"/>
      <c r="AQ886" s="103"/>
      <c r="AR886" s="103"/>
      <c r="AS886" s="103"/>
      <c r="AT886" s="34" t="s">
        <v>224</v>
      </c>
      <c r="AU886" s="34" t="s">
        <v>328</v>
      </c>
      <c r="AV886" s="34"/>
      <c r="AW886" s="34"/>
      <c r="AX886" s="63"/>
      <c r="AY886" s="34" t="s">
        <v>1923</v>
      </c>
      <c r="AZ886" s="63" t="s">
        <v>2708</v>
      </c>
    </row>
    <row r="887" spans="1:58" ht="31.5" hidden="1" customHeight="1">
      <c r="A887" s="220"/>
      <c r="B887" s="62" t="s">
        <v>2710</v>
      </c>
      <c r="C887" s="256" t="s">
        <v>19</v>
      </c>
      <c r="D887" s="231">
        <v>0.5</v>
      </c>
      <c r="E887" s="231"/>
      <c r="F887" s="231">
        <v>0.5</v>
      </c>
      <c r="G887" s="103"/>
      <c r="H887" s="103"/>
      <c r="I887" s="103"/>
      <c r="J887" s="103"/>
      <c r="K887" s="103"/>
      <c r="L887" s="103"/>
      <c r="M887" s="103"/>
      <c r="N887" s="103"/>
      <c r="O887" s="103"/>
      <c r="P887" s="103"/>
      <c r="Q887" s="103"/>
      <c r="R887" s="103"/>
      <c r="S887" s="103"/>
      <c r="T887" s="103"/>
      <c r="U887" s="103"/>
      <c r="V887" s="103"/>
      <c r="W887" s="103"/>
      <c r="X887" s="103"/>
      <c r="Y887" s="103"/>
      <c r="Z887" s="103"/>
      <c r="AA887" s="103"/>
      <c r="AB887" s="103"/>
      <c r="AC887" s="103"/>
      <c r="AD887" s="103"/>
      <c r="AE887" s="103"/>
      <c r="AF887" s="103"/>
      <c r="AG887" s="103"/>
      <c r="AH887" s="103"/>
      <c r="AI887" s="103"/>
      <c r="AJ887" s="103"/>
      <c r="AK887" s="103"/>
      <c r="AL887" s="103"/>
      <c r="AM887" s="103"/>
      <c r="AN887" s="103"/>
      <c r="AO887" s="103"/>
      <c r="AP887" s="103"/>
      <c r="AQ887" s="103"/>
      <c r="AR887" s="103"/>
      <c r="AS887" s="103"/>
      <c r="AT887" s="34" t="s">
        <v>224</v>
      </c>
      <c r="AU887" s="34" t="s">
        <v>328</v>
      </c>
      <c r="AV887" s="34"/>
      <c r="AW887" s="34"/>
      <c r="AX887" s="63"/>
      <c r="AY887" s="34" t="s">
        <v>1923</v>
      </c>
      <c r="AZ887" s="63" t="s">
        <v>2708</v>
      </c>
    </row>
    <row r="888" spans="1:58" ht="47.25" hidden="1" customHeight="1">
      <c r="A888" s="220"/>
      <c r="B888" s="62" t="s">
        <v>2711</v>
      </c>
      <c r="C888" s="256" t="s">
        <v>19</v>
      </c>
      <c r="D888" s="231">
        <v>0.5</v>
      </c>
      <c r="E888" s="231"/>
      <c r="F888" s="231">
        <v>0.5</v>
      </c>
      <c r="G888" s="103"/>
      <c r="H888" s="103"/>
      <c r="I888" s="103"/>
      <c r="J888" s="103"/>
      <c r="K888" s="103"/>
      <c r="L888" s="103"/>
      <c r="M888" s="103"/>
      <c r="N888" s="103"/>
      <c r="O888" s="103"/>
      <c r="P888" s="103"/>
      <c r="Q888" s="103"/>
      <c r="R888" s="103"/>
      <c r="S888" s="103"/>
      <c r="T888" s="103"/>
      <c r="U888" s="103"/>
      <c r="V888" s="103"/>
      <c r="W888" s="103"/>
      <c r="X888" s="103"/>
      <c r="Y888" s="103"/>
      <c r="Z888" s="103"/>
      <c r="AA888" s="103"/>
      <c r="AB888" s="103"/>
      <c r="AC888" s="103"/>
      <c r="AD888" s="103"/>
      <c r="AE888" s="103"/>
      <c r="AF888" s="103"/>
      <c r="AG888" s="103"/>
      <c r="AH888" s="103"/>
      <c r="AI888" s="103"/>
      <c r="AJ888" s="103"/>
      <c r="AK888" s="103"/>
      <c r="AL888" s="103"/>
      <c r="AM888" s="103"/>
      <c r="AN888" s="103"/>
      <c r="AO888" s="103"/>
      <c r="AP888" s="103"/>
      <c r="AQ888" s="103"/>
      <c r="AR888" s="103"/>
      <c r="AS888" s="103"/>
      <c r="AT888" s="34" t="s">
        <v>224</v>
      </c>
      <c r="AU888" s="34" t="s">
        <v>387</v>
      </c>
      <c r="AV888" s="34"/>
      <c r="AW888" s="34"/>
      <c r="AX888" s="63"/>
      <c r="AY888" s="34" t="s">
        <v>1923</v>
      </c>
      <c r="AZ888" s="63" t="s">
        <v>2708</v>
      </c>
    </row>
    <row r="889" spans="1:58" ht="47.25" hidden="1" customHeight="1">
      <c r="A889" s="220"/>
      <c r="B889" s="62" t="s">
        <v>2712</v>
      </c>
      <c r="C889" s="256" t="s">
        <v>19</v>
      </c>
      <c r="D889" s="231">
        <v>0.2</v>
      </c>
      <c r="E889" s="231"/>
      <c r="F889" s="231">
        <v>0.2</v>
      </c>
      <c r="G889" s="103"/>
      <c r="H889" s="103"/>
      <c r="I889" s="103"/>
      <c r="J889" s="103"/>
      <c r="K889" s="103"/>
      <c r="L889" s="103"/>
      <c r="M889" s="103"/>
      <c r="N889" s="103"/>
      <c r="O889" s="103"/>
      <c r="P889" s="103"/>
      <c r="Q889" s="103"/>
      <c r="R889" s="103"/>
      <c r="S889" s="103"/>
      <c r="T889" s="103"/>
      <c r="U889" s="103"/>
      <c r="V889" s="103"/>
      <c r="W889" s="103"/>
      <c r="X889" s="103"/>
      <c r="Y889" s="103"/>
      <c r="Z889" s="103"/>
      <c r="AA889" s="103"/>
      <c r="AB889" s="103"/>
      <c r="AC889" s="103"/>
      <c r="AD889" s="103"/>
      <c r="AE889" s="103"/>
      <c r="AF889" s="103"/>
      <c r="AG889" s="103"/>
      <c r="AH889" s="103"/>
      <c r="AI889" s="103"/>
      <c r="AJ889" s="103"/>
      <c r="AK889" s="103"/>
      <c r="AL889" s="103"/>
      <c r="AM889" s="103"/>
      <c r="AN889" s="103"/>
      <c r="AO889" s="103"/>
      <c r="AP889" s="103"/>
      <c r="AQ889" s="103"/>
      <c r="AR889" s="103"/>
      <c r="AS889" s="103"/>
      <c r="AT889" s="34" t="s">
        <v>224</v>
      </c>
      <c r="AU889" s="34" t="s">
        <v>387</v>
      </c>
      <c r="AV889" s="34"/>
      <c r="AW889" s="34"/>
      <c r="AX889" s="63"/>
      <c r="AY889" s="34" t="s">
        <v>1923</v>
      </c>
      <c r="AZ889" s="63" t="s">
        <v>2708</v>
      </c>
    </row>
    <row r="890" spans="1:58" ht="47.25" hidden="1" customHeight="1">
      <c r="A890" s="220"/>
      <c r="B890" s="62" t="s">
        <v>2713</v>
      </c>
      <c r="C890" s="256" t="s">
        <v>19</v>
      </c>
      <c r="D890" s="231">
        <v>0.4</v>
      </c>
      <c r="E890" s="231"/>
      <c r="F890" s="231">
        <v>0.4</v>
      </c>
      <c r="G890" s="103"/>
      <c r="H890" s="103"/>
      <c r="I890" s="103"/>
      <c r="J890" s="103"/>
      <c r="K890" s="103"/>
      <c r="L890" s="103"/>
      <c r="M890" s="103"/>
      <c r="N890" s="103"/>
      <c r="O890" s="103"/>
      <c r="P890" s="103"/>
      <c r="Q890" s="103"/>
      <c r="R890" s="103"/>
      <c r="S890" s="103"/>
      <c r="T890" s="103"/>
      <c r="U890" s="103"/>
      <c r="V890" s="103"/>
      <c r="W890" s="103"/>
      <c r="X890" s="103"/>
      <c r="Y890" s="103"/>
      <c r="Z890" s="103"/>
      <c r="AA890" s="103"/>
      <c r="AB890" s="103"/>
      <c r="AC890" s="103"/>
      <c r="AD890" s="103"/>
      <c r="AE890" s="103"/>
      <c r="AF890" s="103"/>
      <c r="AG890" s="103"/>
      <c r="AH890" s="103"/>
      <c r="AI890" s="103"/>
      <c r="AJ890" s="103"/>
      <c r="AK890" s="103"/>
      <c r="AL890" s="103"/>
      <c r="AM890" s="103"/>
      <c r="AN890" s="103"/>
      <c r="AO890" s="103"/>
      <c r="AP890" s="103"/>
      <c r="AQ890" s="103"/>
      <c r="AR890" s="103"/>
      <c r="AS890" s="103"/>
      <c r="AT890" s="34" t="s">
        <v>224</v>
      </c>
      <c r="AU890" s="34" t="s">
        <v>308</v>
      </c>
      <c r="AV890" s="34"/>
      <c r="AW890" s="34"/>
      <c r="AX890" s="63"/>
      <c r="AY890" s="34" t="s">
        <v>1923</v>
      </c>
      <c r="AZ890" s="63" t="s">
        <v>2708</v>
      </c>
    </row>
    <row r="891" spans="1:58" ht="31.5" hidden="1" customHeight="1">
      <c r="A891" s="220"/>
      <c r="B891" s="62" t="s">
        <v>2714</v>
      </c>
      <c r="C891" s="256" t="s">
        <v>19</v>
      </c>
      <c r="D891" s="231">
        <v>0.6</v>
      </c>
      <c r="E891" s="231"/>
      <c r="F891" s="231">
        <v>0.6</v>
      </c>
      <c r="G891" s="103"/>
      <c r="H891" s="103"/>
      <c r="I891" s="103"/>
      <c r="J891" s="103"/>
      <c r="K891" s="103"/>
      <c r="L891" s="103"/>
      <c r="M891" s="103"/>
      <c r="N891" s="103"/>
      <c r="O891" s="103"/>
      <c r="P891" s="103"/>
      <c r="Q891" s="103"/>
      <c r="R891" s="103"/>
      <c r="S891" s="103"/>
      <c r="T891" s="103"/>
      <c r="U891" s="103"/>
      <c r="V891" s="103"/>
      <c r="W891" s="103"/>
      <c r="X891" s="103"/>
      <c r="Y891" s="103"/>
      <c r="Z891" s="103"/>
      <c r="AA891" s="103"/>
      <c r="AB891" s="103"/>
      <c r="AC891" s="103"/>
      <c r="AD891" s="103"/>
      <c r="AE891" s="103"/>
      <c r="AF891" s="103"/>
      <c r="AG891" s="103"/>
      <c r="AH891" s="103"/>
      <c r="AI891" s="103"/>
      <c r="AJ891" s="103"/>
      <c r="AK891" s="103"/>
      <c r="AL891" s="103"/>
      <c r="AM891" s="103"/>
      <c r="AN891" s="103"/>
      <c r="AO891" s="103"/>
      <c r="AP891" s="103"/>
      <c r="AQ891" s="103"/>
      <c r="AR891" s="103"/>
      <c r="AS891" s="103"/>
      <c r="AT891" s="34" t="s">
        <v>224</v>
      </c>
      <c r="AU891" s="34" t="s">
        <v>308</v>
      </c>
      <c r="AV891" s="34"/>
      <c r="AW891" s="34"/>
      <c r="AX891" s="63"/>
      <c r="AY891" s="34" t="s">
        <v>1923</v>
      </c>
      <c r="AZ891" s="63" t="s">
        <v>2708</v>
      </c>
    </row>
    <row r="892" spans="1:58" ht="31.5" hidden="1" customHeight="1">
      <c r="A892" s="220"/>
      <c r="B892" s="62" t="s">
        <v>2715</v>
      </c>
      <c r="C892" s="256" t="s">
        <v>19</v>
      </c>
      <c r="D892" s="231">
        <v>0.4</v>
      </c>
      <c r="E892" s="231"/>
      <c r="F892" s="231">
        <v>0.4</v>
      </c>
      <c r="G892" s="103"/>
      <c r="H892" s="103"/>
      <c r="I892" s="103"/>
      <c r="J892" s="103"/>
      <c r="K892" s="103"/>
      <c r="L892" s="103"/>
      <c r="M892" s="103"/>
      <c r="N892" s="103"/>
      <c r="O892" s="103"/>
      <c r="P892" s="103"/>
      <c r="Q892" s="103"/>
      <c r="R892" s="103"/>
      <c r="S892" s="103"/>
      <c r="T892" s="103"/>
      <c r="U892" s="103"/>
      <c r="V892" s="103"/>
      <c r="W892" s="103"/>
      <c r="X892" s="103"/>
      <c r="Y892" s="103"/>
      <c r="Z892" s="103"/>
      <c r="AA892" s="103"/>
      <c r="AB892" s="103"/>
      <c r="AC892" s="103"/>
      <c r="AD892" s="103"/>
      <c r="AE892" s="103"/>
      <c r="AF892" s="103"/>
      <c r="AG892" s="103"/>
      <c r="AH892" s="103"/>
      <c r="AI892" s="103"/>
      <c r="AJ892" s="103"/>
      <c r="AK892" s="103"/>
      <c r="AL892" s="103"/>
      <c r="AM892" s="103"/>
      <c r="AN892" s="103"/>
      <c r="AO892" s="103"/>
      <c r="AP892" s="103"/>
      <c r="AQ892" s="103"/>
      <c r="AR892" s="103"/>
      <c r="AS892" s="103"/>
      <c r="AT892" s="34" t="s">
        <v>224</v>
      </c>
      <c r="AU892" s="34" t="s">
        <v>308</v>
      </c>
      <c r="AV892" s="34"/>
      <c r="AW892" s="34"/>
      <c r="AX892" s="63"/>
      <c r="AY892" s="34" t="s">
        <v>1923</v>
      </c>
      <c r="AZ892" s="63" t="s">
        <v>2708</v>
      </c>
    </row>
    <row r="893" spans="1:58" ht="47.25" hidden="1" customHeight="1">
      <c r="A893" s="220"/>
      <c r="B893" s="62" t="s">
        <v>2716</v>
      </c>
      <c r="C893" s="256" t="s">
        <v>19</v>
      </c>
      <c r="D893" s="231">
        <v>0.5</v>
      </c>
      <c r="E893" s="231"/>
      <c r="F893" s="231">
        <v>0.5</v>
      </c>
      <c r="G893" s="103"/>
      <c r="H893" s="103"/>
      <c r="I893" s="103"/>
      <c r="J893" s="103"/>
      <c r="K893" s="103"/>
      <c r="L893" s="103"/>
      <c r="M893" s="103"/>
      <c r="N893" s="103"/>
      <c r="O893" s="103"/>
      <c r="P893" s="103"/>
      <c r="Q893" s="103"/>
      <c r="R893" s="103"/>
      <c r="S893" s="103"/>
      <c r="T893" s="103"/>
      <c r="U893" s="103"/>
      <c r="V893" s="103"/>
      <c r="W893" s="103"/>
      <c r="X893" s="103"/>
      <c r="Y893" s="103"/>
      <c r="Z893" s="103"/>
      <c r="AA893" s="103"/>
      <c r="AB893" s="103"/>
      <c r="AC893" s="103"/>
      <c r="AD893" s="103"/>
      <c r="AE893" s="103"/>
      <c r="AF893" s="103"/>
      <c r="AG893" s="103"/>
      <c r="AH893" s="103"/>
      <c r="AI893" s="103"/>
      <c r="AJ893" s="103"/>
      <c r="AK893" s="103"/>
      <c r="AL893" s="103"/>
      <c r="AM893" s="103"/>
      <c r="AN893" s="103"/>
      <c r="AO893" s="103"/>
      <c r="AP893" s="103"/>
      <c r="AQ893" s="103"/>
      <c r="AR893" s="103"/>
      <c r="AS893" s="103"/>
      <c r="AT893" s="34" t="s">
        <v>224</v>
      </c>
      <c r="AU893" s="34" t="s">
        <v>417</v>
      </c>
      <c r="AV893" s="34"/>
      <c r="AW893" s="34"/>
      <c r="AX893" s="63"/>
      <c r="AY893" s="34" t="s">
        <v>1923</v>
      </c>
      <c r="AZ893" s="63" t="s">
        <v>2708</v>
      </c>
    </row>
    <row r="894" spans="1:58" ht="47.25" hidden="1" customHeight="1">
      <c r="A894" s="220"/>
      <c r="B894" s="62" t="s">
        <v>2717</v>
      </c>
      <c r="C894" s="256" t="s">
        <v>19</v>
      </c>
      <c r="D894" s="231">
        <v>0.4</v>
      </c>
      <c r="E894" s="231"/>
      <c r="F894" s="231">
        <v>0.4</v>
      </c>
      <c r="G894" s="103"/>
      <c r="H894" s="103"/>
      <c r="I894" s="103"/>
      <c r="J894" s="103"/>
      <c r="K894" s="103"/>
      <c r="L894" s="103"/>
      <c r="M894" s="103"/>
      <c r="N894" s="103"/>
      <c r="O894" s="103"/>
      <c r="P894" s="103"/>
      <c r="Q894" s="103"/>
      <c r="R894" s="103"/>
      <c r="S894" s="103"/>
      <c r="T894" s="103"/>
      <c r="U894" s="103"/>
      <c r="V894" s="103"/>
      <c r="W894" s="103"/>
      <c r="X894" s="103"/>
      <c r="Y894" s="103"/>
      <c r="Z894" s="103"/>
      <c r="AA894" s="103"/>
      <c r="AB894" s="103"/>
      <c r="AC894" s="103"/>
      <c r="AD894" s="103"/>
      <c r="AE894" s="103"/>
      <c r="AF894" s="103"/>
      <c r="AG894" s="103"/>
      <c r="AH894" s="103"/>
      <c r="AI894" s="103"/>
      <c r="AJ894" s="103"/>
      <c r="AK894" s="103"/>
      <c r="AL894" s="103"/>
      <c r="AM894" s="103"/>
      <c r="AN894" s="103"/>
      <c r="AO894" s="103"/>
      <c r="AP894" s="103"/>
      <c r="AQ894" s="103"/>
      <c r="AR894" s="103"/>
      <c r="AS894" s="103"/>
      <c r="AT894" s="34" t="s">
        <v>224</v>
      </c>
      <c r="AU894" s="34" t="s">
        <v>417</v>
      </c>
      <c r="AV894" s="34"/>
      <c r="AW894" s="34"/>
      <c r="AX894" s="63"/>
      <c r="AY894" s="34" t="s">
        <v>1923</v>
      </c>
      <c r="AZ894" s="63" t="s">
        <v>2708</v>
      </c>
    </row>
    <row r="895" spans="1:58" ht="31.5" hidden="1" customHeight="1">
      <c r="A895" s="220"/>
      <c r="B895" s="62" t="s">
        <v>2718</v>
      </c>
      <c r="C895" s="256" t="s">
        <v>19</v>
      </c>
      <c r="D895" s="231">
        <v>0.5</v>
      </c>
      <c r="E895" s="231"/>
      <c r="F895" s="231">
        <v>0.5</v>
      </c>
      <c r="G895" s="103"/>
      <c r="H895" s="103"/>
      <c r="I895" s="103"/>
      <c r="J895" s="103"/>
      <c r="K895" s="103"/>
      <c r="L895" s="103"/>
      <c r="M895" s="103"/>
      <c r="N895" s="103"/>
      <c r="O895" s="103"/>
      <c r="P895" s="103"/>
      <c r="Q895" s="103"/>
      <c r="R895" s="103"/>
      <c r="S895" s="103"/>
      <c r="T895" s="103"/>
      <c r="U895" s="103"/>
      <c r="V895" s="103"/>
      <c r="W895" s="103"/>
      <c r="X895" s="103"/>
      <c r="Y895" s="103"/>
      <c r="Z895" s="103"/>
      <c r="AA895" s="103"/>
      <c r="AB895" s="103"/>
      <c r="AC895" s="103"/>
      <c r="AD895" s="103"/>
      <c r="AE895" s="103"/>
      <c r="AF895" s="103"/>
      <c r="AG895" s="103"/>
      <c r="AH895" s="103"/>
      <c r="AI895" s="103"/>
      <c r="AJ895" s="103"/>
      <c r="AK895" s="103"/>
      <c r="AL895" s="103"/>
      <c r="AM895" s="103"/>
      <c r="AN895" s="103"/>
      <c r="AO895" s="103"/>
      <c r="AP895" s="103"/>
      <c r="AQ895" s="103"/>
      <c r="AR895" s="103"/>
      <c r="AS895" s="103"/>
      <c r="AT895" s="34" t="s">
        <v>224</v>
      </c>
      <c r="AU895" s="34" t="s">
        <v>451</v>
      </c>
      <c r="AV895" s="34"/>
      <c r="AW895" s="34"/>
      <c r="AX895" s="63"/>
      <c r="AY895" s="34" t="s">
        <v>1923</v>
      </c>
      <c r="AZ895" s="63" t="s">
        <v>2708</v>
      </c>
    </row>
    <row r="896" spans="1:58" ht="31.5" hidden="1" customHeight="1">
      <c r="A896" s="193"/>
      <c r="B896" s="33" t="s">
        <v>2719</v>
      </c>
      <c r="C896" s="34"/>
      <c r="D896" s="103"/>
      <c r="E896" s="194"/>
      <c r="F896" s="194">
        <v>3.7</v>
      </c>
      <c r="G896" s="103"/>
      <c r="H896" s="103"/>
      <c r="I896" s="103"/>
      <c r="J896" s="103"/>
      <c r="K896" s="103"/>
      <c r="L896" s="103"/>
      <c r="M896" s="103"/>
      <c r="N896" s="103"/>
      <c r="O896" s="103"/>
      <c r="P896" s="103"/>
      <c r="Q896" s="103"/>
      <c r="R896" s="103"/>
      <c r="S896" s="103"/>
      <c r="T896" s="103"/>
      <c r="U896" s="103"/>
      <c r="V896" s="103"/>
      <c r="W896" s="103"/>
      <c r="X896" s="103"/>
      <c r="Y896" s="103"/>
      <c r="Z896" s="103"/>
      <c r="AA896" s="103"/>
      <c r="AB896" s="103"/>
      <c r="AC896" s="103"/>
      <c r="AD896" s="103"/>
      <c r="AE896" s="103"/>
      <c r="AF896" s="103"/>
      <c r="AG896" s="103"/>
      <c r="AH896" s="103"/>
      <c r="AI896" s="103"/>
      <c r="AJ896" s="103"/>
      <c r="AK896" s="103"/>
      <c r="AL896" s="103"/>
      <c r="AM896" s="103"/>
      <c r="AN896" s="103"/>
      <c r="AO896" s="103"/>
      <c r="AP896" s="103"/>
      <c r="AQ896" s="103"/>
      <c r="AR896" s="103"/>
      <c r="AS896" s="103"/>
      <c r="AT896" s="38" t="s">
        <v>225</v>
      </c>
      <c r="AU896" s="34" t="s">
        <v>1857</v>
      </c>
      <c r="AV896" s="34"/>
      <c r="AW896" s="34"/>
      <c r="AX896" s="63"/>
      <c r="AY896" s="34" t="s">
        <v>1923</v>
      </c>
      <c r="AZ896" s="63" t="s">
        <v>1924</v>
      </c>
    </row>
    <row r="897" spans="1:57" ht="31.5" hidden="1" customHeight="1">
      <c r="A897" s="193"/>
      <c r="B897" s="33" t="s">
        <v>2719</v>
      </c>
      <c r="C897" s="34"/>
      <c r="D897" s="103"/>
      <c r="E897" s="194"/>
      <c r="F897" s="194">
        <v>1</v>
      </c>
      <c r="G897" s="103"/>
      <c r="H897" s="103"/>
      <c r="I897" s="103"/>
      <c r="J897" s="103"/>
      <c r="K897" s="103"/>
      <c r="L897" s="103"/>
      <c r="M897" s="103"/>
      <c r="N897" s="103"/>
      <c r="O897" s="103"/>
      <c r="P897" s="103"/>
      <c r="Q897" s="103"/>
      <c r="R897" s="103"/>
      <c r="S897" s="103"/>
      <c r="T897" s="103"/>
      <c r="U897" s="103"/>
      <c r="V897" s="103"/>
      <c r="W897" s="103"/>
      <c r="X897" s="103"/>
      <c r="Y897" s="103"/>
      <c r="Z897" s="103"/>
      <c r="AA897" s="103"/>
      <c r="AB897" s="103"/>
      <c r="AC897" s="103"/>
      <c r="AD897" s="103"/>
      <c r="AE897" s="103"/>
      <c r="AF897" s="103"/>
      <c r="AG897" s="103"/>
      <c r="AH897" s="103"/>
      <c r="AI897" s="103"/>
      <c r="AJ897" s="103"/>
      <c r="AK897" s="103"/>
      <c r="AL897" s="103"/>
      <c r="AM897" s="103"/>
      <c r="AN897" s="103"/>
      <c r="AO897" s="103"/>
      <c r="AP897" s="103"/>
      <c r="AQ897" s="103"/>
      <c r="AR897" s="103"/>
      <c r="AS897" s="103"/>
      <c r="AT897" s="34" t="s">
        <v>983</v>
      </c>
      <c r="AU897" s="34"/>
      <c r="AV897" s="34"/>
      <c r="AW897" s="34"/>
      <c r="AX897" s="63"/>
      <c r="AY897" s="140" t="s">
        <v>1923</v>
      </c>
      <c r="AZ897" s="63" t="s">
        <v>1924</v>
      </c>
      <c r="BA897" s="64"/>
    </row>
    <row r="898" spans="1:57" ht="15.75" hidden="1" customHeight="1">
      <c r="A898" s="193"/>
      <c r="B898" s="33" t="s">
        <v>1860</v>
      </c>
      <c r="C898" s="34" t="s">
        <v>19</v>
      </c>
      <c r="D898" s="222">
        <f>E898+F898</f>
        <v>3</v>
      </c>
      <c r="E898" s="227"/>
      <c r="F898" s="227">
        <v>3</v>
      </c>
      <c r="G898" s="103"/>
      <c r="H898" s="103"/>
      <c r="I898" s="103"/>
      <c r="J898" s="103"/>
      <c r="K898" s="103"/>
      <c r="L898" s="103"/>
      <c r="M898" s="103"/>
      <c r="N898" s="103"/>
      <c r="O898" s="103"/>
      <c r="P898" s="103"/>
      <c r="Q898" s="103"/>
      <c r="R898" s="103"/>
      <c r="S898" s="103"/>
      <c r="T898" s="103"/>
      <c r="U898" s="103"/>
      <c r="V898" s="103"/>
      <c r="W898" s="103"/>
      <c r="X898" s="103"/>
      <c r="Y898" s="103"/>
      <c r="Z898" s="103"/>
      <c r="AA898" s="103"/>
      <c r="AB898" s="103"/>
      <c r="AC898" s="103"/>
      <c r="AD898" s="103"/>
      <c r="AE898" s="103"/>
      <c r="AF898" s="103"/>
      <c r="AG898" s="103"/>
      <c r="AH898" s="103"/>
      <c r="AI898" s="103"/>
      <c r="AJ898" s="103"/>
      <c r="AK898" s="103"/>
      <c r="AL898" s="103"/>
      <c r="AM898" s="103"/>
      <c r="AN898" s="103"/>
      <c r="AO898" s="103"/>
      <c r="AP898" s="103"/>
      <c r="AQ898" s="103"/>
      <c r="AR898" s="103"/>
      <c r="AS898" s="103"/>
      <c r="AT898" s="34" t="s">
        <v>229</v>
      </c>
      <c r="AU898" s="34"/>
      <c r="AV898" s="34"/>
      <c r="AW898" s="34"/>
      <c r="AX898" s="63"/>
      <c r="AY898" s="34" t="s">
        <v>1917</v>
      </c>
      <c r="AZ898" s="39" t="s">
        <v>1926</v>
      </c>
    </row>
    <row r="899" spans="1:57" ht="15.75" hidden="1" customHeight="1">
      <c r="A899" s="189"/>
      <c r="B899" s="33" t="s">
        <v>1860</v>
      </c>
      <c r="C899" s="159"/>
      <c r="D899" s="159"/>
      <c r="E899" s="159"/>
      <c r="F899" s="159">
        <v>1</v>
      </c>
      <c r="G899" s="159"/>
      <c r="H899" s="159"/>
      <c r="I899" s="159"/>
      <c r="J899" s="159"/>
      <c r="K899" s="159"/>
      <c r="L899" s="159"/>
      <c r="M899" s="159"/>
      <c r="N899" s="159"/>
      <c r="O899" s="159"/>
      <c r="P899" s="159"/>
      <c r="Q899" s="159"/>
      <c r="R899" s="159"/>
      <c r="S899" s="159"/>
      <c r="T899" s="159"/>
      <c r="U899" s="159"/>
      <c r="V899" s="159"/>
      <c r="W899" s="159"/>
      <c r="X899" s="159"/>
      <c r="Y899" s="159"/>
      <c r="Z899" s="159"/>
      <c r="AA899" s="159"/>
      <c r="AB899" s="159"/>
      <c r="AC899" s="159"/>
      <c r="AD899" s="159"/>
      <c r="AE899" s="159"/>
      <c r="AF899" s="159"/>
      <c r="AG899" s="159"/>
      <c r="AH899" s="159"/>
      <c r="AI899" s="159"/>
      <c r="AJ899" s="159"/>
      <c r="AK899" s="159"/>
      <c r="AL899" s="159"/>
      <c r="AM899" s="159"/>
      <c r="AN899" s="159"/>
      <c r="AO899" s="159"/>
      <c r="AP899" s="159"/>
      <c r="AQ899" s="159"/>
      <c r="AR899" s="159"/>
      <c r="AS899" s="159"/>
      <c r="AT899" s="34" t="s">
        <v>230</v>
      </c>
      <c r="AU899" s="159"/>
      <c r="AV899" s="159"/>
      <c r="AW899" s="159"/>
      <c r="AX899" s="159"/>
      <c r="AY899" s="159" t="s">
        <v>1923</v>
      </c>
      <c r="AZ899" s="156" t="s">
        <v>1924</v>
      </c>
    </row>
    <row r="900" spans="1:57" ht="31.5" hidden="1" customHeight="1">
      <c r="A900" s="193"/>
      <c r="B900" s="33" t="s">
        <v>2719</v>
      </c>
      <c r="C900" s="34"/>
      <c r="D900" s="103"/>
      <c r="E900" s="194"/>
      <c r="F900" s="194">
        <v>1.4</v>
      </c>
      <c r="G900" s="103"/>
      <c r="H900" s="103"/>
      <c r="I900" s="103"/>
      <c r="J900" s="103"/>
      <c r="K900" s="103"/>
      <c r="L900" s="103"/>
      <c r="M900" s="103"/>
      <c r="N900" s="103"/>
      <c r="O900" s="103"/>
      <c r="P900" s="103"/>
      <c r="Q900" s="103"/>
      <c r="R900" s="103"/>
      <c r="S900" s="103"/>
      <c r="T900" s="103"/>
      <c r="U900" s="103"/>
      <c r="V900" s="103"/>
      <c r="W900" s="103"/>
      <c r="X900" s="103"/>
      <c r="Y900" s="103"/>
      <c r="Z900" s="103"/>
      <c r="AA900" s="103"/>
      <c r="AB900" s="103"/>
      <c r="AC900" s="103"/>
      <c r="AD900" s="103"/>
      <c r="AE900" s="103"/>
      <c r="AF900" s="103"/>
      <c r="AG900" s="103"/>
      <c r="AH900" s="103"/>
      <c r="AI900" s="103"/>
      <c r="AJ900" s="103"/>
      <c r="AK900" s="103"/>
      <c r="AL900" s="103"/>
      <c r="AM900" s="103"/>
      <c r="AN900" s="103"/>
      <c r="AO900" s="103"/>
      <c r="AP900" s="103"/>
      <c r="AQ900" s="103"/>
      <c r="AR900" s="103"/>
      <c r="AS900" s="103"/>
      <c r="AT900" s="38" t="s">
        <v>233</v>
      </c>
      <c r="AU900" s="34"/>
      <c r="AV900" s="34"/>
      <c r="AW900" s="34"/>
      <c r="AX900" s="63"/>
      <c r="AY900" s="159" t="s">
        <v>1923</v>
      </c>
      <c r="AZ900" s="156" t="s">
        <v>1924</v>
      </c>
    </row>
    <row r="901" spans="1:57" ht="15.75" hidden="1" customHeight="1">
      <c r="A901" s="193"/>
      <c r="B901" s="33" t="s">
        <v>1860</v>
      </c>
      <c r="C901" s="34"/>
      <c r="D901" s="103"/>
      <c r="E901" s="194"/>
      <c r="F901" s="194">
        <v>2.1</v>
      </c>
      <c r="G901" s="103"/>
      <c r="H901" s="103"/>
      <c r="I901" s="103"/>
      <c r="J901" s="103"/>
      <c r="K901" s="103"/>
      <c r="L901" s="103"/>
      <c r="M901" s="103"/>
      <c r="N901" s="103"/>
      <c r="O901" s="103"/>
      <c r="P901" s="103"/>
      <c r="Q901" s="103"/>
      <c r="R901" s="103"/>
      <c r="S901" s="103"/>
      <c r="T901" s="103"/>
      <c r="U901" s="103"/>
      <c r="V901" s="103"/>
      <c r="W901" s="103"/>
      <c r="X901" s="103"/>
      <c r="Y901" s="103"/>
      <c r="Z901" s="103"/>
      <c r="AA901" s="103"/>
      <c r="AB901" s="103"/>
      <c r="AC901" s="103"/>
      <c r="AD901" s="103"/>
      <c r="AE901" s="103"/>
      <c r="AF901" s="103"/>
      <c r="AG901" s="103"/>
      <c r="AH901" s="103"/>
      <c r="AI901" s="103"/>
      <c r="AJ901" s="103"/>
      <c r="AK901" s="103"/>
      <c r="AL901" s="103"/>
      <c r="AM901" s="103"/>
      <c r="AN901" s="103"/>
      <c r="AO901" s="103"/>
      <c r="AP901" s="103"/>
      <c r="AQ901" s="103"/>
      <c r="AR901" s="103"/>
      <c r="AS901" s="103"/>
      <c r="AT901" s="34" t="s">
        <v>237</v>
      </c>
      <c r="AU901" s="34"/>
      <c r="AV901" s="34"/>
      <c r="AW901" s="34"/>
      <c r="AX901" s="63"/>
      <c r="AY901" s="34" t="s">
        <v>1923</v>
      </c>
      <c r="AZ901" s="63" t="s">
        <v>1924</v>
      </c>
      <c r="BA901" s="234"/>
    </row>
    <row r="902" spans="1:57" ht="15.75" hidden="1" customHeight="1">
      <c r="A902" s="193"/>
      <c r="B902" s="33" t="s">
        <v>1860</v>
      </c>
      <c r="C902" s="34"/>
      <c r="D902" s="103"/>
      <c r="E902" s="194"/>
      <c r="F902" s="194">
        <v>3.7</v>
      </c>
      <c r="G902" s="103"/>
      <c r="H902" s="103"/>
      <c r="I902" s="103"/>
      <c r="J902" s="103"/>
      <c r="K902" s="103"/>
      <c r="L902" s="103"/>
      <c r="M902" s="103"/>
      <c r="N902" s="103"/>
      <c r="O902" s="103"/>
      <c r="P902" s="103"/>
      <c r="Q902" s="103"/>
      <c r="R902" s="103"/>
      <c r="S902" s="103"/>
      <c r="T902" s="103"/>
      <c r="U902" s="103"/>
      <c r="V902" s="103"/>
      <c r="W902" s="103"/>
      <c r="X902" s="103"/>
      <c r="Y902" s="103"/>
      <c r="Z902" s="103"/>
      <c r="AA902" s="103"/>
      <c r="AB902" s="103"/>
      <c r="AC902" s="103"/>
      <c r="AD902" s="103"/>
      <c r="AE902" s="103"/>
      <c r="AF902" s="103"/>
      <c r="AG902" s="103"/>
      <c r="AH902" s="103"/>
      <c r="AI902" s="103"/>
      <c r="AJ902" s="103"/>
      <c r="AK902" s="103"/>
      <c r="AL902" s="103"/>
      <c r="AM902" s="103"/>
      <c r="AN902" s="103"/>
      <c r="AO902" s="103"/>
      <c r="AP902" s="103"/>
      <c r="AQ902" s="103"/>
      <c r="AR902" s="103"/>
      <c r="AS902" s="103"/>
      <c r="AT902" s="34" t="s">
        <v>239</v>
      </c>
      <c r="AU902" s="34" t="s">
        <v>1857</v>
      </c>
      <c r="AV902" s="34"/>
      <c r="AW902" s="34"/>
      <c r="AX902" s="63"/>
      <c r="AY902" s="38" t="s">
        <v>1923</v>
      </c>
      <c r="AZ902" s="39" t="s">
        <v>1924</v>
      </c>
    </row>
    <row r="903" spans="1:57" s="24" customFormat="1" ht="22.35" customHeight="1">
      <c r="A903" s="189" t="s">
        <v>1851</v>
      </c>
      <c r="B903" s="25" t="s">
        <v>63</v>
      </c>
      <c r="C903" s="82" t="s">
        <v>18</v>
      </c>
      <c r="D903" s="191">
        <f>E903+F903</f>
        <v>169.82000000000002</v>
      </c>
      <c r="E903" s="192"/>
      <c r="F903" s="192">
        <f>SUM(G903:K903,O903:AS903)</f>
        <v>169.82000000000002</v>
      </c>
      <c r="G903" s="82">
        <f>SUM(G904)</f>
        <v>0</v>
      </c>
      <c r="H903" s="82">
        <f t="shared" ref="H903:AS903" si="50">SUM(H904)</f>
        <v>0</v>
      </c>
      <c r="I903" s="82">
        <f t="shared" si="50"/>
        <v>0</v>
      </c>
      <c r="J903" s="82">
        <f t="shared" si="50"/>
        <v>0</v>
      </c>
      <c r="K903" s="82">
        <f t="shared" si="50"/>
        <v>0</v>
      </c>
      <c r="L903" s="82">
        <f t="shared" si="50"/>
        <v>0</v>
      </c>
      <c r="M903" s="82">
        <f t="shared" si="50"/>
        <v>0</v>
      </c>
      <c r="N903" s="82">
        <f t="shared" si="50"/>
        <v>0</v>
      </c>
      <c r="O903" s="82">
        <f t="shared" si="50"/>
        <v>169.82000000000002</v>
      </c>
      <c r="P903" s="82">
        <f t="shared" si="50"/>
        <v>0</v>
      </c>
      <c r="Q903" s="82">
        <f t="shared" si="50"/>
        <v>0</v>
      </c>
      <c r="R903" s="82">
        <f t="shared" si="50"/>
        <v>0</v>
      </c>
      <c r="S903" s="82">
        <f t="shared" si="50"/>
        <v>0</v>
      </c>
      <c r="T903" s="82">
        <f t="shared" si="50"/>
        <v>0</v>
      </c>
      <c r="U903" s="82">
        <f t="shared" si="50"/>
        <v>0</v>
      </c>
      <c r="V903" s="82">
        <f t="shared" si="50"/>
        <v>0</v>
      </c>
      <c r="W903" s="82">
        <f t="shared" si="50"/>
        <v>0</v>
      </c>
      <c r="X903" s="82">
        <f t="shared" si="50"/>
        <v>0</v>
      </c>
      <c r="Y903" s="82">
        <f t="shared" si="50"/>
        <v>0</v>
      </c>
      <c r="Z903" s="82">
        <f t="shared" si="50"/>
        <v>0</v>
      </c>
      <c r="AA903" s="82">
        <f t="shared" si="50"/>
        <v>0</v>
      </c>
      <c r="AB903" s="82">
        <f t="shared" si="50"/>
        <v>0</v>
      </c>
      <c r="AC903" s="82">
        <f t="shared" si="50"/>
        <v>0</v>
      </c>
      <c r="AD903" s="82">
        <f t="shared" si="50"/>
        <v>0</v>
      </c>
      <c r="AE903" s="82">
        <f t="shared" si="50"/>
        <v>0</v>
      </c>
      <c r="AF903" s="82">
        <f t="shared" si="50"/>
        <v>0</v>
      </c>
      <c r="AG903" s="82">
        <f t="shared" si="50"/>
        <v>0</v>
      </c>
      <c r="AH903" s="82">
        <f t="shared" si="50"/>
        <v>0</v>
      </c>
      <c r="AI903" s="82">
        <f t="shared" si="50"/>
        <v>0</v>
      </c>
      <c r="AJ903" s="82">
        <f t="shared" si="50"/>
        <v>0</v>
      </c>
      <c r="AK903" s="82">
        <f t="shared" si="50"/>
        <v>0</v>
      </c>
      <c r="AL903" s="82">
        <f t="shared" si="50"/>
        <v>0</v>
      </c>
      <c r="AM903" s="82">
        <f t="shared" si="50"/>
        <v>0</v>
      </c>
      <c r="AN903" s="82">
        <f t="shared" si="50"/>
        <v>0</v>
      </c>
      <c r="AO903" s="82">
        <f t="shared" si="50"/>
        <v>0</v>
      </c>
      <c r="AP903" s="82">
        <f t="shared" si="50"/>
        <v>0</v>
      </c>
      <c r="AQ903" s="82">
        <f t="shared" si="50"/>
        <v>0</v>
      </c>
      <c r="AR903" s="82">
        <f t="shared" si="50"/>
        <v>0</v>
      </c>
      <c r="AS903" s="82">
        <f t="shared" si="50"/>
        <v>0</v>
      </c>
      <c r="AT903" s="29"/>
      <c r="AU903" s="29"/>
      <c r="AV903" s="82"/>
      <c r="AW903" s="82"/>
      <c r="AX903" s="257"/>
      <c r="AY903" s="82"/>
      <c r="AZ903" s="257"/>
    </row>
    <row r="904" spans="1:57" ht="52.35" customHeight="1">
      <c r="A904" s="193">
        <v>150</v>
      </c>
      <c r="B904" s="56" t="s">
        <v>1849</v>
      </c>
      <c r="C904" s="159" t="s">
        <v>18</v>
      </c>
      <c r="D904" s="194">
        <v>169.82000000000002</v>
      </c>
      <c r="E904" s="103"/>
      <c r="F904" s="103">
        <v>169.82000000000002</v>
      </c>
      <c r="G904" s="159"/>
      <c r="H904" s="159"/>
      <c r="I904" s="159"/>
      <c r="J904" s="159"/>
      <c r="K904" s="159"/>
      <c r="L904" s="159"/>
      <c r="M904" s="159"/>
      <c r="N904" s="159"/>
      <c r="O904" s="159">
        <v>169.82000000000002</v>
      </c>
      <c r="P904" s="159"/>
      <c r="Q904" s="159"/>
      <c r="R904" s="159"/>
      <c r="S904" s="159"/>
      <c r="T904" s="159"/>
      <c r="U904" s="159"/>
      <c r="V904" s="159"/>
      <c r="W904" s="159"/>
      <c r="X904" s="159"/>
      <c r="Y904" s="159"/>
      <c r="Z904" s="159"/>
      <c r="AA904" s="159"/>
      <c r="AB904" s="159"/>
      <c r="AC904" s="159"/>
      <c r="AD904" s="159"/>
      <c r="AE904" s="159"/>
      <c r="AF904" s="159"/>
      <c r="AG904" s="159"/>
      <c r="AH904" s="159"/>
      <c r="AI904" s="159"/>
      <c r="AJ904" s="159"/>
      <c r="AK904" s="159"/>
      <c r="AL904" s="159"/>
      <c r="AM904" s="159"/>
      <c r="AN904" s="159"/>
      <c r="AO904" s="159"/>
      <c r="AP904" s="159"/>
      <c r="AQ904" s="159"/>
      <c r="AR904" s="159"/>
      <c r="AS904" s="159"/>
      <c r="AT904" s="34" t="s">
        <v>1850</v>
      </c>
      <c r="AU904" s="34" t="s">
        <v>615</v>
      </c>
      <c r="AV904" s="159"/>
      <c r="AW904" s="159"/>
      <c r="AX904" s="39" t="s">
        <v>1920</v>
      </c>
      <c r="AY904" s="159" t="s">
        <v>1923</v>
      </c>
      <c r="AZ904" s="39" t="s">
        <v>1924</v>
      </c>
      <c r="BE904" s="15">
        <v>1</v>
      </c>
    </row>
    <row r="905" spans="1:57" s="61" customFormat="1" ht="27.6" hidden="1" customHeight="1">
      <c r="A905" s="196"/>
      <c r="B905" s="258"/>
      <c r="C905" s="259"/>
      <c r="D905" s="199"/>
      <c r="E905" s="260"/>
      <c r="F905" s="260">
        <v>29.1</v>
      </c>
      <c r="G905" s="259"/>
      <c r="H905" s="259"/>
      <c r="I905" s="259"/>
      <c r="J905" s="259"/>
      <c r="K905" s="259"/>
      <c r="L905" s="259"/>
      <c r="M905" s="259"/>
      <c r="N905" s="259"/>
      <c r="O905" s="259"/>
      <c r="P905" s="259"/>
      <c r="Q905" s="259"/>
      <c r="R905" s="259"/>
      <c r="S905" s="259"/>
      <c r="T905" s="259"/>
      <c r="U905" s="259"/>
      <c r="V905" s="259"/>
      <c r="W905" s="259"/>
      <c r="X905" s="259"/>
      <c r="Y905" s="259"/>
      <c r="Z905" s="259"/>
      <c r="AA905" s="259"/>
      <c r="AB905" s="259"/>
      <c r="AC905" s="259"/>
      <c r="AD905" s="259"/>
      <c r="AE905" s="259"/>
      <c r="AF905" s="259"/>
      <c r="AG905" s="259"/>
      <c r="AH905" s="259"/>
      <c r="AI905" s="259"/>
      <c r="AJ905" s="259"/>
      <c r="AK905" s="259"/>
      <c r="AL905" s="259"/>
      <c r="AM905" s="259"/>
      <c r="AN905" s="259"/>
      <c r="AO905" s="259"/>
      <c r="AP905" s="259"/>
      <c r="AQ905" s="259"/>
      <c r="AR905" s="259"/>
      <c r="AS905" s="259"/>
      <c r="AT905" s="200" t="s">
        <v>233</v>
      </c>
      <c r="AU905" s="198"/>
      <c r="AV905" s="259"/>
      <c r="AW905" s="259"/>
      <c r="AX905" s="201"/>
      <c r="AY905" s="34" t="s">
        <v>1923</v>
      </c>
      <c r="AZ905" s="63" t="s">
        <v>1924</v>
      </c>
    </row>
    <row r="906" spans="1:57" ht="27.6" hidden="1" customHeight="1">
      <c r="A906" s="193"/>
      <c r="B906" s="56"/>
      <c r="C906" s="159"/>
      <c r="D906" s="194"/>
      <c r="E906" s="103"/>
      <c r="F906" s="103">
        <v>40.020000000000003</v>
      </c>
      <c r="G906" s="159"/>
      <c r="H906" s="159"/>
      <c r="I906" s="159"/>
      <c r="J906" s="159"/>
      <c r="K906" s="159"/>
      <c r="L906" s="159"/>
      <c r="M906" s="159"/>
      <c r="N906" s="159"/>
      <c r="O906" s="159"/>
      <c r="P906" s="159"/>
      <c r="Q906" s="159"/>
      <c r="R906" s="159"/>
      <c r="S906" s="159"/>
      <c r="T906" s="159"/>
      <c r="U906" s="159"/>
      <c r="V906" s="159"/>
      <c r="W906" s="159"/>
      <c r="X906" s="159"/>
      <c r="Y906" s="159"/>
      <c r="Z906" s="159"/>
      <c r="AA906" s="159"/>
      <c r="AB906" s="159"/>
      <c r="AC906" s="159"/>
      <c r="AD906" s="159"/>
      <c r="AE906" s="159"/>
      <c r="AF906" s="159"/>
      <c r="AG906" s="159"/>
      <c r="AH906" s="159"/>
      <c r="AI906" s="159"/>
      <c r="AJ906" s="159"/>
      <c r="AK906" s="159"/>
      <c r="AL906" s="159"/>
      <c r="AM906" s="159"/>
      <c r="AN906" s="159"/>
      <c r="AO906" s="159"/>
      <c r="AP906" s="159"/>
      <c r="AQ906" s="159"/>
      <c r="AR906" s="159"/>
      <c r="AS906" s="159"/>
      <c r="AT906" s="34" t="s">
        <v>240</v>
      </c>
      <c r="AU906" s="34" t="s">
        <v>2720</v>
      </c>
      <c r="AV906" s="159"/>
      <c r="AW906" s="159"/>
      <c r="AX906" s="39"/>
      <c r="AY906" s="34" t="s">
        <v>1923</v>
      </c>
      <c r="AZ906" s="63" t="s">
        <v>1924</v>
      </c>
    </row>
    <row r="907" spans="1:57" ht="27.6" hidden="1" customHeight="1">
      <c r="A907" s="193"/>
      <c r="B907" s="56"/>
      <c r="C907" s="159" t="s">
        <v>18</v>
      </c>
      <c r="D907" s="194">
        <v>70.7</v>
      </c>
      <c r="E907" s="103"/>
      <c r="F907" s="103">
        <v>70.7</v>
      </c>
      <c r="G907" s="159"/>
      <c r="H907" s="159"/>
      <c r="I907" s="159"/>
      <c r="J907" s="159"/>
      <c r="K907" s="159"/>
      <c r="L907" s="159"/>
      <c r="M907" s="159"/>
      <c r="N907" s="159"/>
      <c r="O907" s="159"/>
      <c r="P907" s="159"/>
      <c r="Q907" s="159"/>
      <c r="R907" s="159"/>
      <c r="S907" s="159"/>
      <c r="T907" s="159"/>
      <c r="U907" s="159"/>
      <c r="V907" s="159"/>
      <c r="W907" s="159"/>
      <c r="X907" s="159"/>
      <c r="Y907" s="159"/>
      <c r="Z907" s="159"/>
      <c r="AA907" s="159"/>
      <c r="AB907" s="159"/>
      <c r="AC907" s="159"/>
      <c r="AD907" s="159"/>
      <c r="AE907" s="159"/>
      <c r="AF907" s="159"/>
      <c r="AG907" s="159"/>
      <c r="AH907" s="159"/>
      <c r="AI907" s="159"/>
      <c r="AJ907" s="159"/>
      <c r="AK907" s="159"/>
      <c r="AL907" s="159"/>
      <c r="AM907" s="159"/>
      <c r="AN907" s="159"/>
      <c r="AO907" s="159"/>
      <c r="AP907" s="159"/>
      <c r="AQ907" s="159"/>
      <c r="AR907" s="159"/>
      <c r="AS907" s="159"/>
      <c r="AT907" s="34" t="s">
        <v>241</v>
      </c>
      <c r="AU907" s="34"/>
      <c r="AV907" s="159"/>
      <c r="AW907" s="159"/>
      <c r="AX907" s="39"/>
      <c r="AY907" s="34" t="s">
        <v>1923</v>
      </c>
      <c r="AZ907" s="63" t="s">
        <v>1924</v>
      </c>
    </row>
    <row r="908" spans="1:57" s="24" customFormat="1" ht="20.100000000000001" customHeight="1">
      <c r="A908" s="189" t="s">
        <v>1858</v>
      </c>
      <c r="B908" s="179" t="s">
        <v>89</v>
      </c>
      <c r="C908" s="29" t="s">
        <v>20</v>
      </c>
      <c r="D908" s="192">
        <f>E908+F908</f>
        <v>95.787000000000006</v>
      </c>
      <c r="E908" s="261">
        <f>SUM(E909:E932)</f>
        <v>0</v>
      </c>
      <c r="F908" s="192">
        <f>SUM(G908:K908,O908:AS908)</f>
        <v>95.787000000000006</v>
      </c>
      <c r="G908" s="192">
        <f t="shared" ref="G908:AS908" si="51">SUM(G909:G932)</f>
        <v>3.7299999999999995</v>
      </c>
      <c r="H908" s="192">
        <f t="shared" si="51"/>
        <v>9.58</v>
      </c>
      <c r="I908" s="192">
        <f t="shared" si="51"/>
        <v>7.0600000000000005</v>
      </c>
      <c r="J908" s="192">
        <f t="shared" si="51"/>
        <v>17.786999999999999</v>
      </c>
      <c r="K908" s="192">
        <f t="shared" si="51"/>
        <v>53.33</v>
      </c>
      <c r="L908" s="192">
        <f t="shared" si="51"/>
        <v>0</v>
      </c>
      <c r="M908" s="192">
        <f t="shared" si="51"/>
        <v>53.33</v>
      </c>
      <c r="N908" s="192">
        <f t="shared" si="51"/>
        <v>0</v>
      </c>
      <c r="O908" s="192">
        <f t="shared" si="51"/>
        <v>0</v>
      </c>
      <c r="P908" s="192">
        <f t="shared" si="51"/>
        <v>0.21000000000000002</v>
      </c>
      <c r="Q908" s="192">
        <f t="shared" si="51"/>
        <v>1.87</v>
      </c>
      <c r="R908" s="192">
        <f t="shared" si="51"/>
        <v>0</v>
      </c>
      <c r="S908" s="192">
        <f t="shared" si="51"/>
        <v>0</v>
      </c>
      <c r="T908" s="192">
        <f t="shared" si="51"/>
        <v>0</v>
      </c>
      <c r="U908" s="192">
        <f t="shared" si="51"/>
        <v>0</v>
      </c>
      <c r="V908" s="192">
        <f t="shared" si="51"/>
        <v>0</v>
      </c>
      <c r="W908" s="192">
        <f t="shared" si="51"/>
        <v>0</v>
      </c>
      <c r="X908" s="192">
        <f t="shared" si="51"/>
        <v>0</v>
      </c>
      <c r="Y908" s="192">
        <f t="shared" si="51"/>
        <v>0</v>
      </c>
      <c r="Z908" s="192">
        <f t="shared" si="51"/>
        <v>0</v>
      </c>
      <c r="AA908" s="192">
        <f t="shared" si="51"/>
        <v>0</v>
      </c>
      <c r="AB908" s="192">
        <f t="shared" si="51"/>
        <v>0.15</v>
      </c>
      <c r="AC908" s="192">
        <f t="shared" si="51"/>
        <v>0</v>
      </c>
      <c r="AD908" s="192">
        <f t="shared" si="51"/>
        <v>0</v>
      </c>
      <c r="AE908" s="192">
        <f t="shared" si="51"/>
        <v>0</v>
      </c>
      <c r="AF908" s="192">
        <f t="shared" si="51"/>
        <v>0</v>
      </c>
      <c r="AG908" s="192">
        <f t="shared" si="51"/>
        <v>0</v>
      </c>
      <c r="AH908" s="192">
        <f t="shared" si="51"/>
        <v>0</v>
      </c>
      <c r="AI908" s="192">
        <f t="shared" si="51"/>
        <v>0</v>
      </c>
      <c r="AJ908" s="192">
        <f t="shared" si="51"/>
        <v>0</v>
      </c>
      <c r="AK908" s="192">
        <f t="shared" si="51"/>
        <v>0</v>
      </c>
      <c r="AL908" s="192">
        <f t="shared" si="51"/>
        <v>0</v>
      </c>
      <c r="AM908" s="192">
        <f t="shared" si="51"/>
        <v>0</v>
      </c>
      <c r="AN908" s="192">
        <f t="shared" si="51"/>
        <v>0</v>
      </c>
      <c r="AO908" s="192">
        <f t="shared" si="51"/>
        <v>0</v>
      </c>
      <c r="AP908" s="192">
        <f t="shared" si="51"/>
        <v>0</v>
      </c>
      <c r="AQ908" s="192">
        <f t="shared" si="51"/>
        <v>1.9</v>
      </c>
      <c r="AR908" s="192">
        <f t="shared" si="51"/>
        <v>0.17</v>
      </c>
      <c r="AS908" s="192">
        <f t="shared" si="51"/>
        <v>0</v>
      </c>
      <c r="AT908" s="29"/>
      <c r="AU908" s="29"/>
      <c r="AV908" s="29"/>
      <c r="AW908" s="29"/>
      <c r="AX908" s="30"/>
      <c r="AY908" s="29"/>
      <c r="AZ908" s="30"/>
    </row>
    <row r="909" spans="1:57" ht="36" customHeight="1">
      <c r="A909" s="193">
        <v>151</v>
      </c>
      <c r="B909" s="33" t="s">
        <v>1882</v>
      </c>
      <c r="C909" s="78" t="s">
        <v>20</v>
      </c>
      <c r="D909" s="194">
        <f>E909+F909</f>
        <v>3.4</v>
      </c>
      <c r="E909" s="194"/>
      <c r="F909" s="194">
        <f t="shared" ref="F909:F932" si="52">SUM(G909:K909,O909:AR909)</f>
        <v>3.4</v>
      </c>
      <c r="G909" s="194"/>
      <c r="H909" s="194"/>
      <c r="I909" s="194">
        <v>3.4</v>
      </c>
      <c r="J909" s="194"/>
      <c r="K909" s="194"/>
      <c r="L909" s="194"/>
      <c r="M909" s="194"/>
      <c r="N909" s="194"/>
      <c r="O909" s="194"/>
      <c r="P909" s="194"/>
      <c r="Q909" s="194"/>
      <c r="R909" s="194"/>
      <c r="S909" s="194"/>
      <c r="T909" s="194"/>
      <c r="U909" s="194"/>
      <c r="V909" s="194"/>
      <c r="W909" s="194"/>
      <c r="X909" s="194"/>
      <c r="Y909" s="194"/>
      <c r="Z909" s="194"/>
      <c r="AA909" s="194"/>
      <c r="AB909" s="194"/>
      <c r="AC909" s="194"/>
      <c r="AD909" s="194"/>
      <c r="AE909" s="194"/>
      <c r="AF909" s="194"/>
      <c r="AG909" s="194"/>
      <c r="AH909" s="194"/>
      <c r="AI909" s="194"/>
      <c r="AJ909" s="194"/>
      <c r="AK909" s="194"/>
      <c r="AL909" s="194"/>
      <c r="AM909" s="194"/>
      <c r="AN909" s="194"/>
      <c r="AO909" s="194"/>
      <c r="AP909" s="194"/>
      <c r="AQ909" s="194"/>
      <c r="AR909" s="194"/>
      <c r="AS909" s="194"/>
      <c r="AT909" s="34" t="s">
        <v>233</v>
      </c>
      <c r="AU909" s="34" t="s">
        <v>1182</v>
      </c>
      <c r="AV909" s="34"/>
      <c r="AW909" s="34"/>
      <c r="AX909" s="39" t="s">
        <v>1920</v>
      </c>
      <c r="AY909" s="34" t="s">
        <v>1923</v>
      </c>
      <c r="AZ909" s="39" t="s">
        <v>1926</v>
      </c>
      <c r="BB909" s="41"/>
      <c r="BE909" s="15">
        <v>1</v>
      </c>
    </row>
    <row r="910" spans="1:57" ht="36" customHeight="1">
      <c r="A910" s="193">
        <v>152</v>
      </c>
      <c r="B910" s="33" t="s">
        <v>2721</v>
      </c>
      <c r="C910" s="78" t="s">
        <v>20</v>
      </c>
      <c r="D910" s="194">
        <f>E910+F910</f>
        <v>2.1900000000000004</v>
      </c>
      <c r="E910" s="194"/>
      <c r="F910" s="194">
        <f t="shared" si="52"/>
        <v>2.1900000000000004</v>
      </c>
      <c r="G910" s="194">
        <v>0.14000000000000001</v>
      </c>
      <c r="H910" s="194">
        <v>1.79</v>
      </c>
      <c r="I910" s="194">
        <v>0.26</v>
      </c>
      <c r="J910" s="194"/>
      <c r="K910" s="194"/>
      <c r="L910" s="194"/>
      <c r="M910" s="194"/>
      <c r="N910" s="194"/>
      <c r="O910" s="194"/>
      <c r="P910" s="194"/>
      <c r="Q910" s="194"/>
      <c r="R910" s="194"/>
      <c r="S910" s="194"/>
      <c r="T910" s="194"/>
      <c r="U910" s="194"/>
      <c r="V910" s="194"/>
      <c r="W910" s="194"/>
      <c r="X910" s="194"/>
      <c r="Y910" s="194"/>
      <c r="Z910" s="194"/>
      <c r="AA910" s="194"/>
      <c r="AB910" s="194"/>
      <c r="AC910" s="194"/>
      <c r="AD910" s="194"/>
      <c r="AE910" s="194"/>
      <c r="AF910" s="194"/>
      <c r="AG910" s="194"/>
      <c r="AH910" s="194"/>
      <c r="AI910" s="194"/>
      <c r="AJ910" s="194"/>
      <c r="AK910" s="194"/>
      <c r="AL910" s="194"/>
      <c r="AM910" s="194"/>
      <c r="AN910" s="194"/>
      <c r="AO910" s="194"/>
      <c r="AP910" s="194"/>
      <c r="AQ910" s="194"/>
      <c r="AR910" s="194"/>
      <c r="AS910" s="194"/>
      <c r="AT910" s="34" t="s">
        <v>225</v>
      </c>
      <c r="AU910" s="34"/>
      <c r="AV910" s="34"/>
      <c r="AW910" s="34"/>
      <c r="AX910" s="63">
        <v>2021</v>
      </c>
      <c r="AY910" s="34" t="s">
        <v>1923</v>
      </c>
      <c r="AZ910" s="39" t="s">
        <v>1926</v>
      </c>
      <c r="BB910" s="15" t="s">
        <v>2722</v>
      </c>
      <c r="BE910" s="15">
        <v>1</v>
      </c>
    </row>
    <row r="911" spans="1:57" ht="36" customHeight="1">
      <c r="A911" s="193">
        <v>153</v>
      </c>
      <c r="B911" s="262" t="s">
        <v>2723</v>
      </c>
      <c r="C911" s="34" t="s">
        <v>20</v>
      </c>
      <c r="D911" s="194">
        <f>E911+F911</f>
        <v>1.08</v>
      </c>
      <c r="E911" s="194"/>
      <c r="F911" s="194">
        <f t="shared" si="52"/>
        <v>1.08</v>
      </c>
      <c r="G911" s="194">
        <v>0.48</v>
      </c>
      <c r="H911" s="194"/>
      <c r="I911" s="194">
        <v>0.6</v>
      </c>
      <c r="J911" s="194"/>
      <c r="K911" s="194"/>
      <c r="L911" s="194"/>
      <c r="M911" s="194"/>
      <c r="N911" s="194"/>
      <c r="O911" s="194"/>
      <c r="P911" s="194"/>
      <c r="Q911" s="194"/>
      <c r="R911" s="194"/>
      <c r="S911" s="194"/>
      <c r="T911" s="194"/>
      <c r="U911" s="194"/>
      <c r="V911" s="194"/>
      <c r="W911" s="194"/>
      <c r="X911" s="194"/>
      <c r="Y911" s="194"/>
      <c r="Z911" s="194"/>
      <c r="AA911" s="194"/>
      <c r="AB911" s="194"/>
      <c r="AC911" s="194"/>
      <c r="AD911" s="194"/>
      <c r="AE911" s="194"/>
      <c r="AF911" s="194"/>
      <c r="AG911" s="194"/>
      <c r="AH911" s="194"/>
      <c r="AI911" s="194"/>
      <c r="AJ911" s="194"/>
      <c r="AK911" s="194"/>
      <c r="AL911" s="194"/>
      <c r="AM911" s="194"/>
      <c r="AN911" s="194"/>
      <c r="AO911" s="194"/>
      <c r="AP911" s="194"/>
      <c r="AQ911" s="194"/>
      <c r="AR911" s="194"/>
      <c r="AS911" s="194"/>
      <c r="AT911" s="159" t="s">
        <v>232</v>
      </c>
      <c r="AU911" s="159" t="s">
        <v>410</v>
      </c>
      <c r="AV911" s="159"/>
      <c r="AW911" s="159"/>
      <c r="AX911" s="63">
        <v>2021</v>
      </c>
      <c r="AY911" s="159" t="s">
        <v>1923</v>
      </c>
      <c r="AZ911" s="63" t="s">
        <v>2058</v>
      </c>
      <c r="BD911" s="15">
        <v>1</v>
      </c>
    </row>
    <row r="912" spans="1:57" ht="22.35" customHeight="1">
      <c r="A912" s="1658">
        <v>154</v>
      </c>
      <c r="B912" s="1665" t="s">
        <v>2724</v>
      </c>
      <c r="C912" s="34" t="s">
        <v>20</v>
      </c>
      <c r="D912" s="194">
        <f t="shared" ref="D912:D932" si="53">E912+F912</f>
        <v>0.44</v>
      </c>
      <c r="E912" s="194"/>
      <c r="F912" s="194">
        <f t="shared" si="52"/>
        <v>0.44</v>
      </c>
      <c r="G912" s="194"/>
      <c r="H912" s="194"/>
      <c r="I912" s="194"/>
      <c r="J912" s="194"/>
      <c r="K912" s="194">
        <v>0.44</v>
      </c>
      <c r="L912" s="194"/>
      <c r="M912" s="194">
        <v>0.44</v>
      </c>
      <c r="N912" s="194"/>
      <c r="O912" s="194"/>
      <c r="P912" s="194"/>
      <c r="Q912" s="194"/>
      <c r="R912" s="194"/>
      <c r="S912" s="194"/>
      <c r="T912" s="194"/>
      <c r="U912" s="194"/>
      <c r="V912" s="194"/>
      <c r="W912" s="194"/>
      <c r="X912" s="194"/>
      <c r="Y912" s="194"/>
      <c r="Z912" s="194"/>
      <c r="AA912" s="194"/>
      <c r="AB912" s="194"/>
      <c r="AC912" s="194"/>
      <c r="AD912" s="194"/>
      <c r="AE912" s="194"/>
      <c r="AF912" s="194"/>
      <c r="AG912" s="194"/>
      <c r="AH912" s="194"/>
      <c r="AI912" s="194"/>
      <c r="AJ912" s="194"/>
      <c r="AK912" s="194"/>
      <c r="AL912" s="194"/>
      <c r="AM912" s="194"/>
      <c r="AN912" s="194"/>
      <c r="AO912" s="194"/>
      <c r="AP912" s="194"/>
      <c r="AQ912" s="194"/>
      <c r="AR912" s="194"/>
      <c r="AS912" s="194"/>
      <c r="AT912" s="159" t="s">
        <v>221</v>
      </c>
      <c r="AU912" s="159"/>
      <c r="AV912" s="159"/>
      <c r="AW912" s="159"/>
      <c r="AX912" s="39" t="s">
        <v>1920</v>
      </c>
      <c r="AY912" s="159" t="s">
        <v>1923</v>
      </c>
      <c r="AZ912" s="39" t="s">
        <v>1971</v>
      </c>
      <c r="BD912" s="15">
        <v>1</v>
      </c>
    </row>
    <row r="913" spans="1:58" ht="15.6" hidden="1" customHeight="1">
      <c r="A913" s="1658"/>
      <c r="B913" s="1665"/>
      <c r="C913" s="34"/>
      <c r="D913" s="194"/>
      <c r="E913" s="194"/>
      <c r="F913" s="194">
        <v>0.32</v>
      </c>
      <c r="G913" s="194"/>
      <c r="H913" s="194"/>
      <c r="I913" s="194"/>
      <c r="J913" s="194"/>
      <c r="K913" s="194"/>
      <c r="L913" s="194"/>
      <c r="M913" s="194"/>
      <c r="N913" s="194"/>
      <c r="O913" s="194"/>
      <c r="P913" s="194"/>
      <c r="Q913" s="194"/>
      <c r="R913" s="194"/>
      <c r="S913" s="194"/>
      <c r="T913" s="194"/>
      <c r="U913" s="194"/>
      <c r="V913" s="194"/>
      <c r="W913" s="194"/>
      <c r="X913" s="194"/>
      <c r="Y913" s="194"/>
      <c r="Z913" s="194"/>
      <c r="AA913" s="194"/>
      <c r="AB913" s="194"/>
      <c r="AC913" s="194"/>
      <c r="AD913" s="194"/>
      <c r="AE913" s="194"/>
      <c r="AF913" s="194"/>
      <c r="AG913" s="194"/>
      <c r="AH913" s="194"/>
      <c r="AI913" s="194"/>
      <c r="AJ913" s="194"/>
      <c r="AK913" s="194"/>
      <c r="AL913" s="194"/>
      <c r="AM913" s="194"/>
      <c r="AN913" s="194"/>
      <c r="AO913" s="194"/>
      <c r="AP913" s="194"/>
      <c r="AQ913" s="194"/>
      <c r="AR913" s="194"/>
      <c r="AS913" s="194"/>
      <c r="AT913" s="159" t="s">
        <v>221</v>
      </c>
      <c r="AU913" s="159"/>
      <c r="AV913" s="159"/>
      <c r="AW913" s="159"/>
      <c r="AX913" s="39"/>
      <c r="AY913" s="159" t="s">
        <v>1923</v>
      </c>
      <c r="AZ913" s="39" t="s">
        <v>2542</v>
      </c>
    </row>
    <row r="914" spans="1:58" ht="5.45" hidden="1" customHeight="1">
      <c r="A914" s="1658"/>
      <c r="B914" s="1665"/>
      <c r="C914" s="34"/>
      <c r="D914" s="194"/>
      <c r="E914" s="194"/>
      <c r="F914" s="194">
        <v>0.12</v>
      </c>
      <c r="G914" s="194"/>
      <c r="H914" s="194"/>
      <c r="I914" s="194"/>
      <c r="J914" s="194"/>
      <c r="K914" s="194"/>
      <c r="L914" s="194"/>
      <c r="M914" s="194"/>
      <c r="N914" s="194"/>
      <c r="O914" s="194"/>
      <c r="P914" s="194"/>
      <c r="Q914" s="194"/>
      <c r="R914" s="194"/>
      <c r="S914" s="194"/>
      <c r="T914" s="194"/>
      <c r="U914" s="194"/>
      <c r="V914" s="194"/>
      <c r="W914" s="194"/>
      <c r="X914" s="194"/>
      <c r="Y914" s="194"/>
      <c r="Z914" s="194"/>
      <c r="AA914" s="194"/>
      <c r="AB914" s="194"/>
      <c r="AC914" s="194"/>
      <c r="AD914" s="194"/>
      <c r="AE914" s="194"/>
      <c r="AF914" s="194"/>
      <c r="AG914" s="194"/>
      <c r="AH914" s="194"/>
      <c r="AI914" s="194"/>
      <c r="AJ914" s="194"/>
      <c r="AK914" s="194"/>
      <c r="AL914" s="194"/>
      <c r="AM914" s="194"/>
      <c r="AN914" s="194"/>
      <c r="AO914" s="194"/>
      <c r="AP914" s="194"/>
      <c r="AQ914" s="194"/>
      <c r="AR914" s="194"/>
      <c r="AS914" s="194"/>
      <c r="AT914" s="159" t="s">
        <v>221</v>
      </c>
      <c r="AU914" s="159"/>
      <c r="AV914" s="159"/>
      <c r="AW914" s="159"/>
      <c r="AX914" s="39"/>
      <c r="AY914" s="159" t="s">
        <v>1923</v>
      </c>
      <c r="AZ914" s="39" t="s">
        <v>2542</v>
      </c>
    </row>
    <row r="915" spans="1:58" ht="20.45" customHeight="1">
      <c r="A915" s="1658"/>
      <c r="B915" s="1665"/>
      <c r="C915" s="34" t="s">
        <v>20</v>
      </c>
      <c r="D915" s="194">
        <f t="shared" si="53"/>
        <v>20</v>
      </c>
      <c r="E915" s="194"/>
      <c r="F915" s="194">
        <f t="shared" si="52"/>
        <v>20</v>
      </c>
      <c r="G915" s="194"/>
      <c r="H915" s="194"/>
      <c r="I915" s="194"/>
      <c r="J915" s="194"/>
      <c r="K915" s="194">
        <v>20</v>
      </c>
      <c r="L915" s="194"/>
      <c r="M915" s="194">
        <v>20</v>
      </c>
      <c r="N915" s="194"/>
      <c r="O915" s="194"/>
      <c r="P915" s="194"/>
      <c r="Q915" s="194"/>
      <c r="R915" s="194"/>
      <c r="S915" s="194"/>
      <c r="T915" s="194"/>
      <c r="U915" s="194"/>
      <c r="V915" s="194"/>
      <c r="W915" s="194"/>
      <c r="X915" s="194"/>
      <c r="Y915" s="194"/>
      <c r="Z915" s="194"/>
      <c r="AA915" s="194"/>
      <c r="AB915" s="194"/>
      <c r="AC915" s="194"/>
      <c r="AD915" s="194"/>
      <c r="AE915" s="194"/>
      <c r="AF915" s="194"/>
      <c r="AG915" s="194"/>
      <c r="AH915" s="194"/>
      <c r="AI915" s="194"/>
      <c r="AJ915" s="194"/>
      <c r="AK915" s="194"/>
      <c r="AL915" s="194"/>
      <c r="AM915" s="194"/>
      <c r="AN915" s="194"/>
      <c r="AO915" s="194"/>
      <c r="AP915" s="194"/>
      <c r="AQ915" s="194"/>
      <c r="AR915" s="194"/>
      <c r="AS915" s="194"/>
      <c r="AT915" s="159" t="s">
        <v>223</v>
      </c>
      <c r="AU915" s="159"/>
      <c r="AV915" s="159"/>
      <c r="AW915" s="159" t="s">
        <v>2725</v>
      </c>
      <c r="AX915" s="39" t="s">
        <v>1920</v>
      </c>
      <c r="AY915" s="159" t="s">
        <v>1923</v>
      </c>
      <c r="AZ915" s="39" t="s">
        <v>2726</v>
      </c>
      <c r="BD915" s="15">
        <v>1</v>
      </c>
    </row>
    <row r="916" spans="1:58" ht="20.45" customHeight="1">
      <c r="A916" s="1658"/>
      <c r="B916" s="1665"/>
      <c r="C916" s="34" t="s">
        <v>20</v>
      </c>
      <c r="D916" s="194">
        <f t="shared" si="53"/>
        <v>1.819</v>
      </c>
      <c r="E916" s="194"/>
      <c r="F916" s="194">
        <f t="shared" si="52"/>
        <v>1.819</v>
      </c>
      <c r="G916" s="194"/>
      <c r="H916" s="194"/>
      <c r="I916" s="194">
        <v>0.32</v>
      </c>
      <c r="J916" s="194">
        <v>0.249</v>
      </c>
      <c r="K916" s="194">
        <v>1.25</v>
      </c>
      <c r="L916" s="194"/>
      <c r="M916" s="194">
        <v>1.25</v>
      </c>
      <c r="N916" s="194"/>
      <c r="O916" s="194"/>
      <c r="P916" s="194"/>
      <c r="Q916" s="194"/>
      <c r="R916" s="194"/>
      <c r="S916" s="194"/>
      <c r="T916" s="194"/>
      <c r="U916" s="194"/>
      <c r="V916" s="194"/>
      <c r="W916" s="194"/>
      <c r="X916" s="194"/>
      <c r="Y916" s="194"/>
      <c r="Z916" s="194"/>
      <c r="AA916" s="194"/>
      <c r="AB916" s="194"/>
      <c r="AC916" s="194"/>
      <c r="AD916" s="194"/>
      <c r="AE916" s="194"/>
      <c r="AF916" s="194"/>
      <c r="AG916" s="194"/>
      <c r="AH916" s="194"/>
      <c r="AI916" s="194"/>
      <c r="AJ916" s="194"/>
      <c r="AK916" s="194"/>
      <c r="AL916" s="194"/>
      <c r="AM916" s="194"/>
      <c r="AN916" s="194"/>
      <c r="AO916" s="194"/>
      <c r="AP916" s="194"/>
      <c r="AQ916" s="194"/>
      <c r="AR916" s="194"/>
      <c r="AS916" s="194"/>
      <c r="AT916" s="159" t="s">
        <v>224</v>
      </c>
      <c r="AU916" s="159" t="s">
        <v>389</v>
      </c>
      <c r="AV916" s="159"/>
      <c r="AW916" s="159"/>
      <c r="AX916" s="39"/>
      <c r="AY916" s="159" t="s">
        <v>1917</v>
      </c>
      <c r="AZ916" s="39" t="s">
        <v>1924</v>
      </c>
      <c r="BA916" s="15" t="s">
        <v>2727</v>
      </c>
      <c r="BF916" s="15">
        <v>1</v>
      </c>
    </row>
    <row r="917" spans="1:58" ht="35.1" customHeight="1">
      <c r="A917" s="1658"/>
      <c r="B917" s="1665"/>
      <c r="C917" s="34" t="s">
        <v>20</v>
      </c>
      <c r="D917" s="194">
        <f t="shared" si="53"/>
        <v>3.84</v>
      </c>
      <c r="E917" s="194"/>
      <c r="F917" s="194">
        <f t="shared" si="52"/>
        <v>3.84</v>
      </c>
      <c r="G917" s="194">
        <v>0.48</v>
      </c>
      <c r="H917" s="194">
        <v>1.41</v>
      </c>
      <c r="I917" s="194">
        <v>0.08</v>
      </c>
      <c r="J917" s="194"/>
      <c r="K917" s="194"/>
      <c r="L917" s="194"/>
      <c r="M917" s="194"/>
      <c r="N917" s="194"/>
      <c r="O917" s="194"/>
      <c r="P917" s="194"/>
      <c r="Q917" s="194">
        <v>1.87</v>
      </c>
      <c r="R917" s="194"/>
      <c r="S917" s="194"/>
      <c r="T917" s="194"/>
      <c r="U917" s="194"/>
      <c r="V917" s="194"/>
      <c r="W917" s="194"/>
      <c r="X917" s="194"/>
      <c r="Y917" s="194"/>
      <c r="Z917" s="194"/>
      <c r="AA917" s="194"/>
      <c r="AB917" s="194"/>
      <c r="AC917" s="194"/>
      <c r="AD917" s="194"/>
      <c r="AE917" s="194"/>
      <c r="AF917" s="194"/>
      <c r="AG917" s="194"/>
      <c r="AH917" s="194"/>
      <c r="AI917" s="194"/>
      <c r="AJ917" s="194"/>
      <c r="AK917" s="194"/>
      <c r="AL917" s="194"/>
      <c r="AM917" s="194"/>
      <c r="AN917" s="194"/>
      <c r="AO917" s="194"/>
      <c r="AP917" s="194"/>
      <c r="AQ917" s="194"/>
      <c r="AR917" s="194"/>
      <c r="AS917" s="194"/>
      <c r="AT917" s="159" t="s">
        <v>225</v>
      </c>
      <c r="AU917" s="159" t="s">
        <v>1870</v>
      </c>
      <c r="AV917" s="159"/>
      <c r="AW917" s="159"/>
      <c r="AX917" s="39" t="s">
        <v>1920</v>
      </c>
      <c r="AY917" s="159" t="s">
        <v>1917</v>
      </c>
      <c r="AZ917" s="39" t="s">
        <v>2728</v>
      </c>
      <c r="BF917" s="15">
        <v>1</v>
      </c>
    </row>
    <row r="918" spans="1:58" ht="33.6" customHeight="1">
      <c r="A918" s="1658"/>
      <c r="B918" s="1665"/>
      <c r="C918" s="34" t="s">
        <v>20</v>
      </c>
      <c r="D918" s="194">
        <f t="shared" si="53"/>
        <v>18.48</v>
      </c>
      <c r="E918" s="194"/>
      <c r="F918" s="194">
        <f t="shared" si="52"/>
        <v>18.48</v>
      </c>
      <c r="G918" s="194">
        <v>0.42</v>
      </c>
      <c r="H918" s="194">
        <v>1.48</v>
      </c>
      <c r="I918" s="194">
        <v>1.53</v>
      </c>
      <c r="J918" s="194"/>
      <c r="K918" s="194">
        <v>15.05</v>
      </c>
      <c r="L918" s="194"/>
      <c r="M918" s="194">
        <v>15.05</v>
      </c>
      <c r="N918" s="194"/>
      <c r="O918" s="194"/>
      <c r="P918" s="194"/>
      <c r="Q918" s="194"/>
      <c r="R918" s="194"/>
      <c r="S918" s="194"/>
      <c r="T918" s="194"/>
      <c r="U918" s="194"/>
      <c r="V918" s="194"/>
      <c r="W918" s="194"/>
      <c r="X918" s="194"/>
      <c r="Y918" s="194"/>
      <c r="Z918" s="194"/>
      <c r="AA918" s="194"/>
      <c r="AB918" s="194"/>
      <c r="AC918" s="194"/>
      <c r="AD918" s="194"/>
      <c r="AE918" s="194"/>
      <c r="AF918" s="194"/>
      <c r="AG918" s="194"/>
      <c r="AH918" s="194"/>
      <c r="AI918" s="194"/>
      <c r="AJ918" s="194"/>
      <c r="AK918" s="194"/>
      <c r="AL918" s="194"/>
      <c r="AM918" s="194"/>
      <c r="AN918" s="194"/>
      <c r="AO918" s="194"/>
      <c r="AP918" s="194"/>
      <c r="AQ918" s="194"/>
      <c r="AR918" s="194"/>
      <c r="AS918" s="194"/>
      <c r="AT918" s="159" t="s">
        <v>226</v>
      </c>
      <c r="AU918" s="159"/>
      <c r="AV918" s="159"/>
      <c r="AW918" s="159"/>
      <c r="AX918" s="39" t="s">
        <v>1920</v>
      </c>
      <c r="AY918" s="159" t="s">
        <v>1923</v>
      </c>
      <c r="AZ918" s="39" t="s">
        <v>2729</v>
      </c>
      <c r="BE918" s="15">
        <v>1</v>
      </c>
    </row>
    <row r="919" spans="1:58" ht="15.6" hidden="1" customHeight="1">
      <c r="A919" s="1658"/>
      <c r="B919" s="1665"/>
      <c r="C919" s="159"/>
      <c r="D919" s="159"/>
      <c r="E919" s="159"/>
      <c r="F919" s="159">
        <v>1.48</v>
      </c>
      <c r="G919" s="159"/>
      <c r="H919" s="159"/>
      <c r="I919" s="159"/>
      <c r="J919" s="159"/>
      <c r="K919" s="159"/>
      <c r="L919" s="159"/>
      <c r="M919" s="159"/>
      <c r="N919" s="159"/>
      <c r="O919" s="159"/>
      <c r="P919" s="159"/>
      <c r="Q919" s="159"/>
      <c r="R919" s="159"/>
      <c r="S919" s="159"/>
      <c r="T919" s="159"/>
      <c r="U919" s="159"/>
      <c r="V919" s="159"/>
      <c r="W919" s="159"/>
      <c r="X919" s="159"/>
      <c r="Y919" s="159"/>
      <c r="Z919" s="159"/>
      <c r="AA919" s="159"/>
      <c r="AB919" s="159"/>
      <c r="AC919" s="159"/>
      <c r="AD919" s="159"/>
      <c r="AE919" s="159"/>
      <c r="AF919" s="159"/>
      <c r="AG919" s="159"/>
      <c r="AH919" s="159"/>
      <c r="AI919" s="159"/>
      <c r="AJ919" s="159"/>
      <c r="AK919" s="159"/>
      <c r="AL919" s="159"/>
      <c r="AM919" s="159"/>
      <c r="AN919" s="159"/>
      <c r="AO919" s="159"/>
      <c r="AP919" s="159"/>
      <c r="AQ919" s="159"/>
      <c r="AR919" s="159"/>
      <c r="AS919" s="159"/>
      <c r="AT919" s="159" t="s">
        <v>226</v>
      </c>
      <c r="AU919" s="159"/>
      <c r="AV919" s="159"/>
      <c r="AW919" s="159"/>
      <c r="AX919" s="159"/>
      <c r="AY919" s="140" t="s">
        <v>1923</v>
      </c>
      <c r="AZ919" s="63" t="s">
        <v>1924</v>
      </c>
      <c r="BA919" s="14"/>
      <c r="BB919" s="15" t="s">
        <v>8</v>
      </c>
    </row>
    <row r="920" spans="1:58" ht="15.6" hidden="1" customHeight="1">
      <c r="A920" s="1658"/>
      <c r="B920" s="1665"/>
      <c r="C920" s="159"/>
      <c r="D920" s="159"/>
      <c r="E920" s="159"/>
      <c r="F920" s="159">
        <v>2</v>
      </c>
      <c r="G920" s="159"/>
      <c r="H920" s="159"/>
      <c r="I920" s="159"/>
      <c r="J920" s="159"/>
      <c r="K920" s="159"/>
      <c r="L920" s="159"/>
      <c r="M920" s="159"/>
      <c r="N920" s="159"/>
      <c r="O920" s="159"/>
      <c r="P920" s="159"/>
      <c r="Q920" s="159"/>
      <c r="R920" s="159"/>
      <c r="S920" s="159"/>
      <c r="T920" s="159"/>
      <c r="U920" s="159"/>
      <c r="V920" s="159"/>
      <c r="W920" s="159"/>
      <c r="X920" s="159"/>
      <c r="Y920" s="159"/>
      <c r="Z920" s="159"/>
      <c r="AA920" s="159"/>
      <c r="AB920" s="159"/>
      <c r="AC920" s="159"/>
      <c r="AD920" s="159"/>
      <c r="AE920" s="159"/>
      <c r="AF920" s="159"/>
      <c r="AG920" s="159"/>
      <c r="AH920" s="159"/>
      <c r="AI920" s="159"/>
      <c r="AJ920" s="159"/>
      <c r="AK920" s="159"/>
      <c r="AL920" s="159"/>
      <c r="AM920" s="159"/>
      <c r="AN920" s="159"/>
      <c r="AO920" s="159"/>
      <c r="AP920" s="159"/>
      <c r="AQ920" s="159"/>
      <c r="AR920" s="159"/>
      <c r="AS920" s="159"/>
      <c r="AT920" s="159" t="s">
        <v>226</v>
      </c>
      <c r="AU920" s="159"/>
      <c r="AV920" s="159"/>
      <c r="AW920" s="159"/>
      <c r="AX920" s="159"/>
      <c r="AY920" s="140" t="s">
        <v>1923</v>
      </c>
      <c r="AZ920" s="63" t="s">
        <v>1924</v>
      </c>
      <c r="BA920" s="14"/>
      <c r="BB920" s="15" t="s">
        <v>188</v>
      </c>
    </row>
    <row r="921" spans="1:58" ht="31.35" hidden="1" customHeight="1">
      <c r="A921" s="1658"/>
      <c r="B921" s="1665"/>
      <c r="C921" s="159"/>
      <c r="D921" s="159"/>
      <c r="E921" s="159"/>
      <c r="F921" s="159">
        <v>1.5</v>
      </c>
      <c r="G921" s="159"/>
      <c r="H921" s="159"/>
      <c r="I921" s="159"/>
      <c r="J921" s="159"/>
      <c r="K921" s="159"/>
      <c r="L921" s="159"/>
      <c r="M921" s="159"/>
      <c r="N921" s="159"/>
      <c r="O921" s="159"/>
      <c r="P921" s="159"/>
      <c r="Q921" s="159"/>
      <c r="R921" s="159"/>
      <c r="S921" s="159"/>
      <c r="T921" s="159"/>
      <c r="U921" s="159"/>
      <c r="V921" s="159"/>
      <c r="W921" s="159"/>
      <c r="X921" s="159"/>
      <c r="Y921" s="159"/>
      <c r="Z921" s="159"/>
      <c r="AA921" s="159"/>
      <c r="AB921" s="159"/>
      <c r="AC921" s="159"/>
      <c r="AD921" s="159"/>
      <c r="AE921" s="159"/>
      <c r="AF921" s="159"/>
      <c r="AG921" s="159"/>
      <c r="AH921" s="159"/>
      <c r="AI921" s="159"/>
      <c r="AJ921" s="159"/>
      <c r="AK921" s="159"/>
      <c r="AL921" s="159"/>
      <c r="AM921" s="159"/>
      <c r="AN921" s="159"/>
      <c r="AO921" s="159"/>
      <c r="AP921" s="159"/>
      <c r="AQ921" s="159"/>
      <c r="AR921" s="159"/>
      <c r="AS921" s="159"/>
      <c r="AT921" s="159" t="s">
        <v>226</v>
      </c>
      <c r="AU921" s="159"/>
      <c r="AV921" s="159"/>
      <c r="AW921" s="159"/>
      <c r="AX921" s="159"/>
      <c r="AY921" s="140" t="s">
        <v>1923</v>
      </c>
      <c r="AZ921" s="63" t="s">
        <v>2730</v>
      </c>
      <c r="BA921" s="14"/>
      <c r="BB921" s="15" t="s">
        <v>188</v>
      </c>
    </row>
    <row r="922" spans="1:58" ht="15.6" hidden="1" customHeight="1">
      <c r="A922" s="1658"/>
      <c r="B922" s="1665"/>
      <c r="C922" s="159"/>
      <c r="D922" s="159"/>
      <c r="E922" s="159"/>
      <c r="F922" s="159">
        <v>1.5</v>
      </c>
      <c r="G922" s="159"/>
      <c r="H922" s="159"/>
      <c r="I922" s="159"/>
      <c r="J922" s="159"/>
      <c r="K922" s="159"/>
      <c r="L922" s="159"/>
      <c r="M922" s="159"/>
      <c r="N922" s="159"/>
      <c r="O922" s="159"/>
      <c r="P922" s="159"/>
      <c r="Q922" s="159"/>
      <c r="R922" s="159"/>
      <c r="S922" s="159"/>
      <c r="T922" s="159"/>
      <c r="U922" s="159"/>
      <c r="V922" s="159"/>
      <c r="W922" s="159"/>
      <c r="X922" s="159"/>
      <c r="Y922" s="159"/>
      <c r="Z922" s="159"/>
      <c r="AA922" s="159"/>
      <c r="AB922" s="159"/>
      <c r="AC922" s="159"/>
      <c r="AD922" s="159"/>
      <c r="AE922" s="159"/>
      <c r="AF922" s="159"/>
      <c r="AG922" s="159"/>
      <c r="AH922" s="159"/>
      <c r="AI922" s="159"/>
      <c r="AJ922" s="159"/>
      <c r="AK922" s="159"/>
      <c r="AL922" s="159"/>
      <c r="AM922" s="159"/>
      <c r="AN922" s="159"/>
      <c r="AO922" s="159"/>
      <c r="AP922" s="159"/>
      <c r="AQ922" s="159"/>
      <c r="AR922" s="159"/>
      <c r="AS922" s="159"/>
      <c r="AT922" s="159" t="s">
        <v>226</v>
      </c>
      <c r="AU922" s="159"/>
      <c r="AV922" s="159"/>
      <c r="AW922" s="159"/>
      <c r="AX922" s="159"/>
      <c r="AY922" s="140" t="s">
        <v>1923</v>
      </c>
      <c r="AZ922" s="63" t="s">
        <v>1924</v>
      </c>
      <c r="BA922" s="14"/>
      <c r="BB922" s="15" t="s">
        <v>188</v>
      </c>
    </row>
    <row r="923" spans="1:58" ht="15.6" hidden="1" customHeight="1">
      <c r="A923" s="1658"/>
      <c r="B923" s="1665"/>
      <c r="C923" s="159"/>
      <c r="D923" s="159"/>
      <c r="E923" s="159"/>
      <c r="F923" s="159">
        <v>12</v>
      </c>
      <c r="G923" s="159"/>
      <c r="H923" s="159"/>
      <c r="I923" s="159"/>
      <c r="J923" s="159"/>
      <c r="K923" s="159"/>
      <c r="L923" s="159"/>
      <c r="M923" s="159"/>
      <c r="N923" s="159"/>
      <c r="O923" s="159"/>
      <c r="P923" s="159"/>
      <c r="Q923" s="159"/>
      <c r="R923" s="159"/>
      <c r="S923" s="159"/>
      <c r="T923" s="159"/>
      <c r="U923" s="159"/>
      <c r="V923" s="159"/>
      <c r="W923" s="159"/>
      <c r="X923" s="159"/>
      <c r="Y923" s="159"/>
      <c r="Z923" s="159"/>
      <c r="AA923" s="159"/>
      <c r="AB923" s="159"/>
      <c r="AC923" s="159"/>
      <c r="AD923" s="159"/>
      <c r="AE923" s="159"/>
      <c r="AF923" s="159"/>
      <c r="AG923" s="159"/>
      <c r="AH923" s="159"/>
      <c r="AI923" s="159"/>
      <c r="AJ923" s="159"/>
      <c r="AK923" s="159"/>
      <c r="AL923" s="159"/>
      <c r="AM923" s="159"/>
      <c r="AN923" s="159"/>
      <c r="AO923" s="159"/>
      <c r="AP923" s="159"/>
      <c r="AQ923" s="159"/>
      <c r="AR923" s="159"/>
      <c r="AS923" s="159"/>
      <c r="AT923" s="159" t="s">
        <v>226</v>
      </c>
      <c r="AU923" s="159"/>
      <c r="AV923" s="159"/>
      <c r="AW923" s="159"/>
      <c r="AX923" s="159"/>
      <c r="AY923" s="140" t="s">
        <v>1923</v>
      </c>
      <c r="AZ923" s="63" t="s">
        <v>1924</v>
      </c>
      <c r="BA923" s="14"/>
      <c r="BB923" s="15" t="s">
        <v>2731</v>
      </c>
    </row>
    <row r="924" spans="1:58" ht="20.45" customHeight="1">
      <c r="A924" s="1658"/>
      <c r="B924" s="1665"/>
      <c r="C924" s="34" t="s">
        <v>20</v>
      </c>
      <c r="D924" s="194">
        <f t="shared" si="53"/>
        <v>1.9</v>
      </c>
      <c r="E924" s="194"/>
      <c r="F924" s="194">
        <f t="shared" si="52"/>
        <v>1.9</v>
      </c>
      <c r="G924" s="194">
        <v>0.7</v>
      </c>
      <c r="H924" s="194"/>
      <c r="I924" s="194"/>
      <c r="J924" s="194">
        <v>1.2</v>
      </c>
      <c r="K924" s="194"/>
      <c r="L924" s="194"/>
      <c r="M924" s="194"/>
      <c r="N924" s="194"/>
      <c r="O924" s="194"/>
      <c r="P924" s="194"/>
      <c r="Q924" s="194"/>
      <c r="R924" s="194"/>
      <c r="S924" s="194"/>
      <c r="T924" s="194"/>
      <c r="U924" s="194"/>
      <c r="V924" s="194"/>
      <c r="W924" s="194"/>
      <c r="X924" s="194"/>
      <c r="Y924" s="194"/>
      <c r="Z924" s="194"/>
      <c r="AA924" s="194"/>
      <c r="AB924" s="194"/>
      <c r="AC924" s="194"/>
      <c r="AD924" s="194"/>
      <c r="AE924" s="194"/>
      <c r="AF924" s="194"/>
      <c r="AG924" s="194"/>
      <c r="AH924" s="194"/>
      <c r="AI924" s="194"/>
      <c r="AJ924" s="194"/>
      <c r="AK924" s="194"/>
      <c r="AL924" s="194"/>
      <c r="AM924" s="194"/>
      <c r="AN924" s="194"/>
      <c r="AO924" s="194"/>
      <c r="AP924" s="194"/>
      <c r="AQ924" s="194"/>
      <c r="AR924" s="194"/>
      <c r="AS924" s="194"/>
      <c r="AT924" s="159" t="s">
        <v>229</v>
      </c>
      <c r="AU924" s="159"/>
      <c r="AV924" s="159"/>
      <c r="AW924" s="159"/>
      <c r="AX924" s="39" t="s">
        <v>1920</v>
      </c>
      <c r="AY924" s="159" t="s">
        <v>1917</v>
      </c>
      <c r="AZ924" s="39" t="s">
        <v>1926</v>
      </c>
      <c r="BF924" s="15">
        <v>1</v>
      </c>
    </row>
    <row r="925" spans="1:58" ht="20.45" customHeight="1">
      <c r="A925" s="1658"/>
      <c r="B925" s="1665"/>
      <c r="C925" s="34" t="s">
        <v>20</v>
      </c>
      <c r="D925" s="194">
        <f t="shared" si="53"/>
        <v>1.998</v>
      </c>
      <c r="E925" s="194"/>
      <c r="F925" s="194">
        <f t="shared" si="52"/>
        <v>1.998</v>
      </c>
      <c r="G925" s="194"/>
      <c r="H925" s="194"/>
      <c r="I925" s="194"/>
      <c r="J925" s="194">
        <v>1.548</v>
      </c>
      <c r="K925" s="194">
        <v>0.45</v>
      </c>
      <c r="L925" s="194"/>
      <c r="M925" s="194">
        <v>0.45</v>
      </c>
      <c r="N925" s="194"/>
      <c r="O925" s="194"/>
      <c r="P925" s="194"/>
      <c r="Q925" s="194"/>
      <c r="R925" s="194"/>
      <c r="S925" s="194"/>
      <c r="T925" s="194"/>
      <c r="U925" s="194"/>
      <c r="V925" s="194"/>
      <c r="W925" s="194"/>
      <c r="X925" s="194"/>
      <c r="Y925" s="194"/>
      <c r="Z925" s="194"/>
      <c r="AA925" s="194"/>
      <c r="AB925" s="194"/>
      <c r="AC925" s="194"/>
      <c r="AD925" s="194"/>
      <c r="AE925" s="194"/>
      <c r="AF925" s="194"/>
      <c r="AG925" s="194"/>
      <c r="AH925" s="194"/>
      <c r="AI925" s="194"/>
      <c r="AJ925" s="194"/>
      <c r="AK925" s="194"/>
      <c r="AL925" s="194"/>
      <c r="AM925" s="194"/>
      <c r="AN925" s="194"/>
      <c r="AO925" s="194"/>
      <c r="AP925" s="194"/>
      <c r="AQ925" s="194"/>
      <c r="AR925" s="194"/>
      <c r="AS925" s="194"/>
      <c r="AT925" s="159" t="s">
        <v>234</v>
      </c>
      <c r="AU925" s="159" t="s">
        <v>328</v>
      </c>
      <c r="AV925" s="159"/>
      <c r="AW925" s="159"/>
      <c r="AX925" s="39" t="s">
        <v>1920</v>
      </c>
      <c r="AY925" s="159" t="s">
        <v>1923</v>
      </c>
      <c r="AZ925" s="39" t="s">
        <v>1924</v>
      </c>
      <c r="BE925" s="15">
        <v>1</v>
      </c>
    </row>
    <row r="926" spans="1:58" ht="15.6" hidden="1" customHeight="1">
      <c r="A926" s="1658"/>
      <c r="B926" s="1665"/>
      <c r="C926" s="159"/>
      <c r="D926" s="159"/>
      <c r="E926" s="159"/>
      <c r="F926" s="159">
        <v>0.45</v>
      </c>
      <c r="G926" s="159"/>
      <c r="H926" s="159"/>
      <c r="I926" s="159"/>
      <c r="J926" s="159"/>
      <c r="K926" s="159"/>
      <c r="L926" s="159"/>
      <c r="M926" s="159"/>
      <c r="N926" s="159"/>
      <c r="O926" s="159"/>
      <c r="P926" s="159"/>
      <c r="Q926" s="159"/>
      <c r="R926" s="159"/>
      <c r="S926" s="159"/>
      <c r="T926" s="159"/>
      <c r="U926" s="159"/>
      <c r="V926" s="159"/>
      <c r="W926" s="159"/>
      <c r="X926" s="159"/>
      <c r="Y926" s="159"/>
      <c r="Z926" s="159"/>
      <c r="AA926" s="159"/>
      <c r="AB926" s="159"/>
      <c r="AC926" s="159"/>
      <c r="AD926" s="159"/>
      <c r="AE926" s="159"/>
      <c r="AF926" s="159"/>
      <c r="AG926" s="159"/>
      <c r="AH926" s="159"/>
      <c r="AI926" s="159"/>
      <c r="AJ926" s="159"/>
      <c r="AK926" s="159"/>
      <c r="AL926" s="159"/>
      <c r="AM926" s="159"/>
      <c r="AN926" s="159"/>
      <c r="AO926" s="159"/>
      <c r="AP926" s="159"/>
      <c r="AQ926" s="159"/>
      <c r="AR926" s="159"/>
      <c r="AS926" s="159"/>
      <c r="AT926" s="34" t="s">
        <v>234</v>
      </c>
      <c r="AU926" s="159"/>
      <c r="AV926" s="159"/>
      <c r="AW926" s="159"/>
      <c r="AX926" s="159"/>
      <c r="AY926" s="159" t="s">
        <v>1923</v>
      </c>
      <c r="AZ926" s="63" t="s">
        <v>1924</v>
      </c>
      <c r="BA926" s="15" t="s">
        <v>188</v>
      </c>
    </row>
    <row r="927" spans="1:58" ht="15.6" hidden="1" customHeight="1">
      <c r="A927" s="1658"/>
      <c r="B927" s="1665"/>
      <c r="C927" s="159"/>
      <c r="D927" s="159"/>
      <c r="E927" s="159"/>
      <c r="F927" s="159">
        <v>1.55</v>
      </c>
      <c r="G927" s="159"/>
      <c r="H927" s="159"/>
      <c r="I927" s="159"/>
      <c r="J927" s="159"/>
      <c r="K927" s="159"/>
      <c r="L927" s="159"/>
      <c r="M927" s="159"/>
      <c r="N927" s="159"/>
      <c r="O927" s="159"/>
      <c r="P927" s="159"/>
      <c r="Q927" s="159"/>
      <c r="R927" s="159"/>
      <c r="S927" s="159"/>
      <c r="T927" s="159"/>
      <c r="U927" s="159"/>
      <c r="V927" s="159"/>
      <c r="W927" s="159"/>
      <c r="X927" s="159"/>
      <c r="Y927" s="159"/>
      <c r="Z927" s="159"/>
      <c r="AA927" s="159"/>
      <c r="AB927" s="159"/>
      <c r="AC927" s="159"/>
      <c r="AD927" s="159"/>
      <c r="AE927" s="159"/>
      <c r="AF927" s="159"/>
      <c r="AG927" s="159"/>
      <c r="AH927" s="159"/>
      <c r="AI927" s="159"/>
      <c r="AJ927" s="159"/>
      <c r="AK927" s="159"/>
      <c r="AL927" s="159"/>
      <c r="AM927" s="159"/>
      <c r="AN927" s="159"/>
      <c r="AO927" s="159"/>
      <c r="AP927" s="159"/>
      <c r="AQ927" s="159"/>
      <c r="AR927" s="159"/>
      <c r="AS927" s="159"/>
      <c r="AT927" s="34" t="s">
        <v>234</v>
      </c>
      <c r="AU927" s="159" t="s">
        <v>328</v>
      </c>
      <c r="AV927" s="159"/>
      <c r="AW927" s="159"/>
      <c r="AX927" s="159"/>
      <c r="AY927" s="159" t="s">
        <v>1923</v>
      </c>
      <c r="AZ927" s="63" t="s">
        <v>1924</v>
      </c>
      <c r="BA927" s="15" t="s">
        <v>14</v>
      </c>
    </row>
    <row r="928" spans="1:58" ht="47.25">
      <c r="A928" s="1658"/>
      <c r="B928" s="1665"/>
      <c r="C928" s="34" t="s">
        <v>20</v>
      </c>
      <c r="D928" s="194">
        <f>E928+F928</f>
        <v>15.000000000000002</v>
      </c>
      <c r="E928" s="194"/>
      <c r="F928" s="194">
        <f t="shared" si="52"/>
        <v>15.000000000000002</v>
      </c>
      <c r="G928" s="194"/>
      <c r="H928" s="194">
        <v>4.9000000000000004</v>
      </c>
      <c r="I928" s="194"/>
      <c r="J928" s="194">
        <v>8.0500000000000007</v>
      </c>
      <c r="K928" s="194"/>
      <c r="L928" s="194"/>
      <c r="M928" s="194"/>
      <c r="N928" s="194"/>
      <c r="O928" s="194"/>
      <c r="P928" s="194"/>
      <c r="Q928" s="194"/>
      <c r="R928" s="194"/>
      <c r="S928" s="194"/>
      <c r="T928" s="194"/>
      <c r="U928" s="194"/>
      <c r="V928" s="194"/>
      <c r="W928" s="194"/>
      <c r="X928" s="194"/>
      <c r="Y928" s="194"/>
      <c r="Z928" s="194"/>
      <c r="AA928" s="194"/>
      <c r="AB928" s="194">
        <v>0.15</v>
      </c>
      <c r="AC928" s="194"/>
      <c r="AD928" s="194"/>
      <c r="AE928" s="194"/>
      <c r="AF928" s="194"/>
      <c r="AG928" s="194"/>
      <c r="AH928" s="194"/>
      <c r="AI928" s="194"/>
      <c r="AJ928" s="194"/>
      <c r="AK928" s="194"/>
      <c r="AL928" s="194"/>
      <c r="AM928" s="194"/>
      <c r="AN928" s="194"/>
      <c r="AO928" s="194"/>
      <c r="AP928" s="194"/>
      <c r="AQ928" s="194">
        <v>1.9</v>
      </c>
      <c r="AR928" s="194"/>
      <c r="AS928" s="194"/>
      <c r="AT928" s="159" t="s">
        <v>235</v>
      </c>
      <c r="AU928" s="159" t="s">
        <v>387</v>
      </c>
      <c r="AV928" s="159"/>
      <c r="AW928" s="159"/>
      <c r="AX928" s="63"/>
      <c r="AY928" s="159" t="s">
        <v>1917</v>
      </c>
      <c r="AZ928" s="63" t="s">
        <v>2732</v>
      </c>
      <c r="BF928" s="15">
        <v>1</v>
      </c>
    </row>
    <row r="929" spans="1:57">
      <c r="A929" s="1658">
        <v>154</v>
      </c>
      <c r="B929" s="1665" t="s">
        <v>2724</v>
      </c>
      <c r="C929" s="34" t="s">
        <v>20</v>
      </c>
      <c r="D929" s="194">
        <f t="shared" si="53"/>
        <v>3</v>
      </c>
      <c r="E929" s="194"/>
      <c r="F929" s="194">
        <f t="shared" si="52"/>
        <v>3</v>
      </c>
      <c r="G929" s="194">
        <v>1.51</v>
      </c>
      <c r="H929" s="194"/>
      <c r="I929" s="194">
        <v>0.87</v>
      </c>
      <c r="J929" s="194">
        <v>0.18</v>
      </c>
      <c r="K929" s="194">
        <v>0.23</v>
      </c>
      <c r="L929" s="194"/>
      <c r="M929" s="194">
        <v>0.23</v>
      </c>
      <c r="N929" s="194"/>
      <c r="O929" s="194"/>
      <c r="P929" s="194">
        <v>0.21000000000000002</v>
      </c>
      <c r="Q929" s="194"/>
      <c r="R929" s="194"/>
      <c r="S929" s="194"/>
      <c r="T929" s="194"/>
      <c r="U929" s="194"/>
      <c r="V929" s="194"/>
      <c r="W929" s="194"/>
      <c r="X929" s="194"/>
      <c r="Y929" s="194"/>
      <c r="Z929" s="194"/>
      <c r="AA929" s="194"/>
      <c r="AB929" s="194"/>
      <c r="AC929" s="194"/>
      <c r="AD929" s="194"/>
      <c r="AE929" s="194"/>
      <c r="AF929" s="194"/>
      <c r="AG929" s="194"/>
      <c r="AH929" s="194"/>
      <c r="AI929" s="194"/>
      <c r="AJ929" s="194"/>
      <c r="AK929" s="194"/>
      <c r="AL929" s="194"/>
      <c r="AM929" s="194"/>
      <c r="AN929" s="194"/>
      <c r="AO929" s="194"/>
      <c r="AP929" s="194"/>
      <c r="AQ929" s="194"/>
      <c r="AR929" s="194"/>
      <c r="AS929" s="194"/>
      <c r="AT929" s="34" t="s">
        <v>429</v>
      </c>
      <c r="AU929" s="34" t="s">
        <v>430</v>
      </c>
      <c r="AV929" s="159"/>
      <c r="AW929" s="159"/>
      <c r="AX929" s="39" t="s">
        <v>1920</v>
      </c>
      <c r="AY929" s="159" t="s">
        <v>1923</v>
      </c>
      <c r="AZ929" s="39" t="s">
        <v>1924</v>
      </c>
      <c r="BE929" s="15">
        <v>1</v>
      </c>
    </row>
    <row r="930" spans="1:57">
      <c r="A930" s="1658"/>
      <c r="B930" s="1665"/>
      <c r="C930" s="34" t="s">
        <v>20</v>
      </c>
      <c r="D930" s="194">
        <f t="shared" si="53"/>
        <v>1.64</v>
      </c>
      <c r="E930" s="194"/>
      <c r="F930" s="194">
        <f t="shared" si="52"/>
        <v>1.64</v>
      </c>
      <c r="G930" s="194"/>
      <c r="H930" s="194"/>
      <c r="I930" s="194"/>
      <c r="J930" s="194"/>
      <c r="K930" s="194">
        <v>1.64</v>
      </c>
      <c r="L930" s="194"/>
      <c r="M930" s="194">
        <v>1.64</v>
      </c>
      <c r="N930" s="194"/>
      <c r="O930" s="194"/>
      <c r="P930" s="194"/>
      <c r="Q930" s="194"/>
      <c r="R930" s="194"/>
      <c r="S930" s="194"/>
      <c r="T930" s="194"/>
      <c r="U930" s="194"/>
      <c r="V930" s="194"/>
      <c r="W930" s="194"/>
      <c r="X930" s="194"/>
      <c r="Y930" s="194"/>
      <c r="Z930" s="194"/>
      <c r="AA930" s="194"/>
      <c r="AB930" s="194"/>
      <c r="AC930" s="194"/>
      <c r="AD930" s="194"/>
      <c r="AE930" s="194"/>
      <c r="AF930" s="194"/>
      <c r="AG930" s="194"/>
      <c r="AH930" s="194"/>
      <c r="AI930" s="194"/>
      <c r="AJ930" s="194"/>
      <c r="AK930" s="194"/>
      <c r="AL930" s="194"/>
      <c r="AM930" s="194"/>
      <c r="AN930" s="194"/>
      <c r="AO930" s="194"/>
      <c r="AP930" s="194"/>
      <c r="AQ930" s="194"/>
      <c r="AR930" s="194"/>
      <c r="AS930" s="194"/>
      <c r="AT930" s="34" t="s">
        <v>237</v>
      </c>
      <c r="AU930" s="34" t="s">
        <v>305</v>
      </c>
      <c r="AV930" s="159"/>
      <c r="AW930" s="159"/>
      <c r="AX930" s="39" t="s">
        <v>1920</v>
      </c>
      <c r="AY930" s="159" t="s">
        <v>1923</v>
      </c>
      <c r="AZ930" s="39" t="s">
        <v>2014</v>
      </c>
      <c r="BD930" s="15">
        <v>1</v>
      </c>
    </row>
    <row r="931" spans="1:57" ht="47.25">
      <c r="A931" s="1658"/>
      <c r="B931" s="1665"/>
      <c r="C931" s="34" t="s">
        <v>20</v>
      </c>
      <c r="D931" s="194">
        <f t="shared" si="53"/>
        <v>16</v>
      </c>
      <c r="E931" s="194"/>
      <c r="F931" s="194">
        <f t="shared" si="52"/>
        <v>16</v>
      </c>
      <c r="G931" s="194"/>
      <c r="H931" s="194"/>
      <c r="I931" s="194"/>
      <c r="J931" s="194">
        <v>6</v>
      </c>
      <c r="K931" s="194">
        <v>10</v>
      </c>
      <c r="L931" s="194"/>
      <c r="M931" s="194">
        <v>10</v>
      </c>
      <c r="N931" s="194"/>
      <c r="O931" s="194"/>
      <c r="P931" s="194"/>
      <c r="Q931" s="194"/>
      <c r="R931" s="194"/>
      <c r="S931" s="194"/>
      <c r="T931" s="194"/>
      <c r="U931" s="194"/>
      <c r="V931" s="194"/>
      <c r="W931" s="194"/>
      <c r="X931" s="194"/>
      <c r="Y931" s="194"/>
      <c r="Z931" s="194"/>
      <c r="AA931" s="194"/>
      <c r="AB931" s="194"/>
      <c r="AC931" s="194"/>
      <c r="AD931" s="194"/>
      <c r="AE931" s="194"/>
      <c r="AF931" s="194"/>
      <c r="AG931" s="194"/>
      <c r="AH931" s="194"/>
      <c r="AI931" s="194"/>
      <c r="AJ931" s="194"/>
      <c r="AK931" s="194"/>
      <c r="AL931" s="194"/>
      <c r="AM931" s="194"/>
      <c r="AN931" s="194"/>
      <c r="AO931" s="194"/>
      <c r="AP931" s="194"/>
      <c r="AQ931" s="194"/>
      <c r="AR931" s="194"/>
      <c r="AS931" s="194"/>
      <c r="AT931" s="34" t="s">
        <v>239</v>
      </c>
      <c r="AU931" s="34" t="s">
        <v>2733</v>
      </c>
      <c r="AV931" s="159"/>
      <c r="AW931" s="159"/>
      <c r="AX931" s="39" t="s">
        <v>1920</v>
      </c>
      <c r="AY931" s="159" t="s">
        <v>1923</v>
      </c>
      <c r="AZ931" s="39" t="s">
        <v>2734</v>
      </c>
      <c r="BE931" s="15">
        <v>1</v>
      </c>
    </row>
    <row r="932" spans="1:57" ht="32.450000000000003" customHeight="1">
      <c r="A932" s="1658"/>
      <c r="B932" s="1665"/>
      <c r="C932" s="34" t="s">
        <v>20</v>
      </c>
      <c r="D932" s="194">
        <f t="shared" si="53"/>
        <v>5</v>
      </c>
      <c r="E932" s="194"/>
      <c r="F932" s="194">
        <f t="shared" si="52"/>
        <v>5</v>
      </c>
      <c r="G932" s="194"/>
      <c r="H932" s="194"/>
      <c r="I932" s="194"/>
      <c r="J932" s="194">
        <v>0.56000000000000005</v>
      </c>
      <c r="K932" s="194">
        <v>4.2699999999999996</v>
      </c>
      <c r="L932" s="194"/>
      <c r="M932" s="194">
        <v>4.2699999999999996</v>
      </c>
      <c r="N932" s="194"/>
      <c r="O932" s="194"/>
      <c r="P932" s="194"/>
      <c r="Q932" s="194"/>
      <c r="R932" s="194"/>
      <c r="S932" s="194"/>
      <c r="T932" s="194"/>
      <c r="U932" s="194"/>
      <c r="V932" s="194"/>
      <c r="W932" s="194"/>
      <c r="X932" s="194"/>
      <c r="Y932" s="194"/>
      <c r="Z932" s="194"/>
      <c r="AA932" s="194"/>
      <c r="AB932" s="194"/>
      <c r="AC932" s="194"/>
      <c r="AD932" s="194"/>
      <c r="AE932" s="194"/>
      <c r="AF932" s="194"/>
      <c r="AG932" s="194"/>
      <c r="AH932" s="194"/>
      <c r="AI932" s="194"/>
      <c r="AJ932" s="194"/>
      <c r="AK932" s="194"/>
      <c r="AL932" s="194"/>
      <c r="AM932" s="194"/>
      <c r="AN932" s="194"/>
      <c r="AO932" s="194"/>
      <c r="AP932" s="194"/>
      <c r="AQ932" s="194"/>
      <c r="AR932" s="194">
        <v>0.17</v>
      </c>
      <c r="AS932" s="194"/>
      <c r="AT932" s="34" t="s">
        <v>240</v>
      </c>
      <c r="AU932" s="34" t="s">
        <v>2735</v>
      </c>
      <c r="AV932" s="159"/>
      <c r="AW932" s="159"/>
      <c r="AX932" s="39" t="s">
        <v>1920</v>
      </c>
      <c r="AY932" s="159" t="s">
        <v>1923</v>
      </c>
      <c r="AZ932" s="39" t="s">
        <v>1924</v>
      </c>
      <c r="BE932" s="15">
        <v>1</v>
      </c>
    </row>
    <row r="933" spans="1:57" ht="31.5">
      <c r="A933" s="1658"/>
      <c r="B933" s="1665"/>
      <c r="C933" s="34" t="s">
        <v>20</v>
      </c>
      <c r="D933" s="194">
        <f>E933+F933</f>
        <v>2</v>
      </c>
      <c r="E933" s="194"/>
      <c r="F933" s="194">
        <v>2</v>
      </c>
      <c r="G933" s="194"/>
      <c r="H933" s="194"/>
      <c r="I933" s="194"/>
      <c r="J933" s="194">
        <v>0.56000000000000005</v>
      </c>
      <c r="K933" s="194">
        <v>4.2699999999999996</v>
      </c>
      <c r="L933" s="194"/>
      <c r="M933" s="194">
        <v>4.2699999999999996</v>
      </c>
      <c r="N933" s="194"/>
      <c r="O933" s="194"/>
      <c r="P933" s="194"/>
      <c r="Q933" s="194"/>
      <c r="R933" s="194"/>
      <c r="S933" s="194"/>
      <c r="T933" s="194"/>
      <c r="U933" s="194"/>
      <c r="V933" s="194"/>
      <c r="W933" s="194"/>
      <c r="X933" s="194"/>
      <c r="Y933" s="194"/>
      <c r="Z933" s="194"/>
      <c r="AA933" s="194"/>
      <c r="AB933" s="194"/>
      <c r="AC933" s="194"/>
      <c r="AD933" s="194"/>
      <c r="AE933" s="194"/>
      <c r="AF933" s="194"/>
      <c r="AG933" s="194"/>
      <c r="AH933" s="194"/>
      <c r="AI933" s="194"/>
      <c r="AJ933" s="194"/>
      <c r="AK933" s="194"/>
      <c r="AL933" s="194"/>
      <c r="AM933" s="194"/>
      <c r="AN933" s="194"/>
      <c r="AO933" s="194"/>
      <c r="AP933" s="194"/>
      <c r="AQ933" s="194"/>
      <c r="AR933" s="194">
        <v>0.17</v>
      </c>
      <c r="AS933" s="194"/>
      <c r="AT933" s="34" t="s">
        <v>240</v>
      </c>
      <c r="AU933" s="34" t="s">
        <v>1896</v>
      </c>
      <c r="AV933" s="159"/>
      <c r="AW933" s="159"/>
      <c r="AX933" s="39" t="s">
        <v>1920</v>
      </c>
      <c r="AY933" s="34" t="s">
        <v>1923</v>
      </c>
      <c r="AZ933" s="63" t="s">
        <v>1924</v>
      </c>
      <c r="BE933" s="15">
        <v>1</v>
      </c>
    </row>
    <row r="934" spans="1:57" ht="20.45" customHeight="1">
      <c r="A934" s="1658"/>
      <c r="B934" s="1665"/>
      <c r="C934" s="34" t="s">
        <v>20</v>
      </c>
      <c r="D934" s="194">
        <f>E934+F934</f>
        <v>3</v>
      </c>
      <c r="E934" s="194"/>
      <c r="F934" s="194">
        <v>3</v>
      </c>
      <c r="G934" s="194"/>
      <c r="H934" s="194"/>
      <c r="I934" s="194"/>
      <c r="J934" s="194">
        <v>0.56000000000000005</v>
      </c>
      <c r="K934" s="194">
        <v>4.2699999999999996</v>
      </c>
      <c r="L934" s="194"/>
      <c r="M934" s="194">
        <v>4.2699999999999996</v>
      </c>
      <c r="N934" s="194"/>
      <c r="O934" s="194"/>
      <c r="P934" s="194"/>
      <c r="Q934" s="194"/>
      <c r="R934" s="194"/>
      <c r="S934" s="194"/>
      <c r="T934" s="194"/>
      <c r="U934" s="194"/>
      <c r="V934" s="194"/>
      <c r="W934" s="194"/>
      <c r="X934" s="194"/>
      <c r="Y934" s="194"/>
      <c r="Z934" s="194"/>
      <c r="AA934" s="194"/>
      <c r="AB934" s="194"/>
      <c r="AC934" s="194"/>
      <c r="AD934" s="194"/>
      <c r="AE934" s="194"/>
      <c r="AF934" s="194"/>
      <c r="AG934" s="194"/>
      <c r="AH934" s="194"/>
      <c r="AI934" s="194"/>
      <c r="AJ934" s="194"/>
      <c r="AK934" s="194"/>
      <c r="AL934" s="194"/>
      <c r="AM934" s="194"/>
      <c r="AN934" s="194"/>
      <c r="AO934" s="194"/>
      <c r="AP934" s="194"/>
      <c r="AQ934" s="194"/>
      <c r="AR934" s="194">
        <v>0.17</v>
      </c>
      <c r="AS934" s="194"/>
      <c r="AT934" s="34" t="s">
        <v>240</v>
      </c>
      <c r="AU934" s="34" t="s">
        <v>2736</v>
      </c>
      <c r="AV934" s="159"/>
      <c r="AW934" s="159"/>
      <c r="AX934" s="39" t="s">
        <v>1920</v>
      </c>
      <c r="AY934" s="34" t="s">
        <v>1923</v>
      </c>
      <c r="AZ934" s="63" t="s">
        <v>1924</v>
      </c>
      <c r="BE934" s="15">
        <v>1</v>
      </c>
    </row>
    <row r="935" spans="1:57" ht="18.75" customHeight="1">
      <c r="G935" s="15">
        <f>G8+G15+G44+G51+G95+G166+G170+G176+G247+G345+G356+G364+G416+G463+G532+G536+G540+G560+G571+G622+G636+G720+G726+G818+G833+G843+G853+G882+G903+G908+G42</f>
        <v>968.72400000000005</v>
      </c>
      <c r="H935" s="15">
        <f>H8+H15+H44+H51+H95+H166+H170+H176+H247+H345+H356+H364+H416+H463+H532+H536+H540+H560+H571+H622+H636+H720+H726+H818+H833+H843+H853+H882+H903+H908+H42</f>
        <v>282.04649999999998</v>
      </c>
      <c r="I935" s="15">
        <f>I8+I15+I44+I51+I95+I166+I170+I176+I247+I345+I356+I364+I416+I463+I532+I536+I540+I560+I571+I622+I636+I720+I726+I818+I833+I843+I853+I882+I903+I908+I42</f>
        <v>351.85700000000003</v>
      </c>
      <c r="J935" s="15">
        <f>J8+J15+J44+J51+J95+J166+J170+J176+J247+J345+J356+J364+J416+J463+J532+J536+J540+J560+J571+J622+J636+J720+J726+J818+J833+J843+J853+J882+J903+J908+J42-1.88-J175</f>
        <v>386.32000000000005</v>
      </c>
      <c r="K935" s="15">
        <f>K8+K15+K44+K51+K95+K166+K170+K176+K247+K345+K356+K364+K416+K463+K532+K536+K540+K560+K571+K622+K636+K720+K726+K818+K833+K843+K853+K882+K903+K908+K42-K175</f>
        <v>1820.4649999999999</v>
      </c>
      <c r="L935" s="15">
        <f>L8+L15+L44+L51+L95+L166+L170+L176+L247+L345+L356+L364+L416+L463+L532+L536+L540+L560+L571+L622+L636+L720+L42+L726+L818+L833+L843+L853+L882+L903+L908</f>
        <v>0</v>
      </c>
      <c r="M935" s="15">
        <f>M8+M15+M44+M51+M95+M166+M170+M176+M247+M345+M356+M364+M416+M463+M532+M536+M540+M560+M571+M622+M636+M720+M42+M726+M818+M833+M843+M853+M882+M903+M908-K175</f>
        <v>1821.845</v>
      </c>
      <c r="N935" s="15">
        <f>N8+N15+N44+N51+N95+N166+N170+N176+N247+N345+N356+N364+N416+N463+N532+N536+N540+N560+N571+N622+N636+N720+N42+N726+N818+N833+N843+N853+N882+N903+N908</f>
        <v>0</v>
      </c>
      <c r="O935" s="15">
        <f>O8+O15+O44+O51+O95+O166+O170+O176+O247+O345+O356+O364+O416+O463+O532+O536+O540+O560+O571+O622+O636+O720+O42+O726+O818+O833+O843+O853+O882+O903+O908</f>
        <v>169.82000000000002</v>
      </c>
      <c r="P935" s="15">
        <f>P8+P15+P44+P51+P95+P166+P170+P176+P247+P345+P356+P364+P416+P463+P532+P536+P540+P560+P571+P622+P636+P720+P42+P726+P818+P833+P843+P853+P882+P903+P908</f>
        <v>24.527999999999999</v>
      </c>
      <c r="Q935" s="15">
        <f>Q8+Q15+Q44+Q51+Q95+Q166+Q170+Q176+Q247+Q345+Q356+Q364+Q416+Q463+Q532+Q536+Q540+Q560+Q571+Q622+Q636+Q720+Q42+Q726+Q818+Q833+Q843+Q853+Q882+Q903+Q908-1.87</f>
        <v>0</v>
      </c>
      <c r="R935" s="15">
        <f t="shared" ref="R935:X935" si="54">R8+R15+R44+R51+R95+R166+R170+R176+R247+R345+R356+R364+R416+R463+R532+R536+R540+R560+R571+R622+R636+R720+R42+R726+R818+R833+R843+R853+R882+R903+R908</f>
        <v>3.26</v>
      </c>
      <c r="S935" s="15">
        <f t="shared" si="54"/>
        <v>0</v>
      </c>
      <c r="T935" s="15">
        <f t="shared" si="54"/>
        <v>0.2</v>
      </c>
      <c r="U935" s="15">
        <f t="shared" si="54"/>
        <v>0.59000000000000008</v>
      </c>
      <c r="V935" s="15">
        <f t="shared" si="54"/>
        <v>0</v>
      </c>
      <c r="W935" s="15">
        <f t="shared" si="54"/>
        <v>2.3E-2</v>
      </c>
      <c r="X935" s="15">
        <f t="shared" si="54"/>
        <v>2.41</v>
      </c>
      <c r="Y935" s="15">
        <f>Y8+Y15+Y44+Y51+Y95+Y166+Y170+Y176+Y247+Y345+Y356+Y364+Y416+Y463+Y532+Y536+Y540+Y560+Y571+Y622+Y636+Y720+Y42+Y726+Y818+Y833+Y843+Y853+Y882+Y903+Y908-Y364</f>
        <v>3.5019</v>
      </c>
      <c r="Z935" s="15">
        <f>Z8+Z15+Z44+Z51+Z95+Z166+Z170+Z176+Z247+Z345+Z356+Z364+Z416+Z463+Z532+Z536+Z540+Z560+Z571+Z622+Z636+Z720+Z42+Z726+Z818+Z833+Z843+Z853+Z882+Z903+Z908</f>
        <v>0.18</v>
      </c>
      <c r="AA935" s="15">
        <f>AA8+AA15+AA44+AA51+AA95+AA166+AA170+AA176+AA247+AA345+AA356+AA364+AA416+AA463+AA532+AA536+AA540+AA560+AA571+AA622+AA636+AA720+AA42+AA726+AA818+AA833+AA843+AA853+AA882+AA903+AA908-AA176-0.94</f>
        <v>14.581999999999999</v>
      </c>
      <c r="AB935" s="15">
        <f>AB8+AB15+AB44+AB51+AB95+AB166+AB170+AB176+AB247+AB345+AB356+AB364+AB416+AB463+AB532+AB536+AB540+AB560+AB571+AB622+AB636+AB720+AB42+AB726+AB818+AB833+AB843+AB853+AB882+AB903+AB908-0.54</f>
        <v>10.02</v>
      </c>
      <c r="AC935" s="15">
        <f>AC8+AC15+AC44+AC51+AC95+AC166+AC170+AC176+AC247+AC345+AC356+AC364+AC416+AC463+AC532+AC536+AC540+AC560+AC571+AC622+AC636+AC720+AC42+AC726+AC818+AC833+AC843+AC853+AC882+AC903+AC908</f>
        <v>0</v>
      </c>
      <c r="AD935" s="15">
        <f>AD8+AD15+AD44+AD51+AD95+AD166+AD170+AD176+AD247+AD345+AD356+AD364+AD416+AD463+AD532+AD536+AD540+AD560+AD571+AD622+AD636+AD720+AD42+AD726+AD818+AD833+AD843+AD853+AD882+AD903+AD908</f>
        <v>0.05</v>
      </c>
      <c r="AE935" s="15">
        <f>AE8+AE15+AE44+AE51+AE95+AE166+AE170+AE176+AE247+AE345+AE356+AE364+AE416+AE463+AE532+AE536+AE540+AE560+AE571+AE622+AE636+AE720+AE42+AE726+AE818+AE833+AE843+AE853+AE882+AE903+AE908-AE622</f>
        <v>0.57999999999999996</v>
      </c>
      <c r="AF935" s="15">
        <f>AF8+AF15+AF44+AF51+AF95+AF166+AF170+AF176+AF247+AF345+AF356+AF364+AF416+AF463+AF532+AF536+AF540+AF560+AF571+AF622+AF636+AF720+AF42+AF726+AF818+AF833+AF843+AF853+AF882+AF903+AF908</f>
        <v>0</v>
      </c>
      <c r="AG935" s="15">
        <f>AG8+AG15+AG44+AG51+AG95+AG166+AG170+AG176+AG247+AG345+AG356+AG364+AG416+AG463+AG532+AG536+AG540+AG560+AG571+AG622+AG636+AG720+AG42+AG726+AG818+AG833+AG843+AG853+AG882+AG903+AG908-AG726+0.62</f>
        <v>75.81</v>
      </c>
      <c r="AH935" s="15">
        <f>AH8+AH15+AH44+AH51+AH95+AH166+AH170+AH176+AH247+AH345+AH356+AH364+AH416+AH463+AH532+AH536+AH540+AH560+AH571+AH622+AH636+AH720+AH42+AH726+AH818+AH833+AH843+AH853+AH882+AH903+AH908</f>
        <v>0.7</v>
      </c>
      <c r="AI935" s="15">
        <f>AI8+AI15+AI44+AI51+AI95+AI166+AI170+AI176+AI247+AI345+AI356+AI364+AI416+AI463+AI532+AI536+AI540+AI560+AI571+AI622+AI636+AI720+AI42+AI726+AI818+AI833+AI843+AI853+AI882+AI903+AI908-AI818</f>
        <v>2.38</v>
      </c>
      <c r="AJ935" s="15">
        <f>AJ8+AJ15+AJ44+AJ51+AJ95+AJ166+AJ170+AJ176+AJ247+AJ345+AJ356+AJ364+AJ416+AJ463+AJ532+AJ536+AJ540+AJ560+AJ571+AJ622+AJ636+AJ720+AJ42+AJ726+AJ818+AJ833+AJ843+AJ853+AJ882+AJ903+AJ908</f>
        <v>0.11</v>
      </c>
      <c r="AK935" s="15">
        <f>AK8+AK15+AK44+AK51+AK95+AK166+AK170+AK176+AK247+AK345+AK356+AK364+AK416+AK463+AK532+AK536+AK540+AK560+AK571+AK622+AK636+AK720+AK42+AK726+AK818+AK833+AK843+AK853+AK882+AK903+AK908</f>
        <v>0</v>
      </c>
      <c r="AL935" s="15">
        <f>AL8+AL15+AL44+AL51+AL95+AL166+AL170+AL176+AL247+AL345+AL356+AL364+AL416+AL463+AL532+AL536+AL540+AL560+AL571+AL622+AL636+AL720+AL42+AL726+AL818+AL833+AL843+AL853+AL882+AL903+AL908</f>
        <v>3.7970000000000002</v>
      </c>
      <c r="AM935" s="15">
        <f>AM8+AM15+AM44+AM51+AM95+AM166+AM170+AM176+AM247+AM345+AM356+AM364+AM416+AM463+AM532+AM536+AM540+AM560+AM571+AM622+AM636+AM720+AM42+AM726+AM818+AM833+AM843+AM853+AM882+AM903+AM908</f>
        <v>0.44</v>
      </c>
      <c r="AN935" s="15">
        <f>AN8+AN15+AN44+AN51+AN95+AN166+AN170+AN176+AN247+AN345+AN356+AN364+AN416+AN463+AN532+AN536+AN540+AN560+AN571+AN622+AN636+AN720+AN42+AN726+AN818+AN833+AN843+AN853+AN882+AN903+AN908-AN636</f>
        <v>0.99400000000000022</v>
      </c>
      <c r="AO935" s="15">
        <f>AO8+AO15+AO44+AO51+AO95+AO166+AO170+AO176+AO247+AO345+AO356+AO364+AO416+AO463+AO532+AO536+AO540+AO560+AO571+AO622+AO636+AO720+AO42+AO726+AO818+AO833+AO843+AO853+AO882+AO903+AO908-AO833</f>
        <v>0</v>
      </c>
      <c r="AP935" s="15">
        <f>AP8+AP15+AP44+AP51+AP95+AP166+AP170+AP176+AP247+AP345+AP356+AP364+AP416+AP463+AP532+AP536+AP540+AP560+AP571+AP622+AP636+AP720+AP42+AP726+AP818+AP833+AP843+AP853+AP882+AP903+AP908-AP170</f>
        <v>2.2400000000000002</v>
      </c>
      <c r="AQ935" s="15">
        <f>AQ8+AQ15+AQ44+AQ51+AQ95+AQ166+AQ170+AQ176+AQ247+AQ345+AQ356+AQ364+AQ416+AQ463+AQ532+AQ536+AQ540+AQ560+AQ571+AQ622+AQ636+AQ720+AQ42+AQ726+AQ818+AQ833+AQ843+AQ853+AQ882+AQ903+AQ908</f>
        <v>15.110000000000001</v>
      </c>
      <c r="AR935" s="15">
        <f>AR8+AR15+AR44+AR51+AR95+AR166+AR170+AR176+AR247+AR345+AR356+AR364+AR416+AR463+AR532+AR536+AR540+AR560+AR571+AR622+AR636+AR720+AR42+AR726+AR818+AR833+AR843+AR853+AR882+AR903+AR908</f>
        <v>1.7380000000000002</v>
      </c>
      <c r="AS935" s="15">
        <f>AS8+AS15+AS44+AS51+AS95+AS166+AS170+AS176+AS247+AS345+AS356+AS364+AS416+AS463+AS532+AS536+AS540+AS560+AS571+AS622+AS636+AS720+AS42+AS726+AS818+AS833+AS843+AS853+AS882+AS903+AS908</f>
        <v>0.06</v>
      </c>
    </row>
    <row r="936" spans="1:57" ht="16.5" customHeight="1">
      <c r="G936" s="15">
        <v>949.55100000000016</v>
      </c>
      <c r="H936" s="15">
        <v>271.49749999999995</v>
      </c>
      <c r="I936" s="15">
        <v>329.221</v>
      </c>
      <c r="J936" s="15">
        <v>360.31600000000003</v>
      </c>
      <c r="K936" s="15">
        <v>1795.4699999999993</v>
      </c>
      <c r="M936" s="15">
        <v>1795.4699999999993</v>
      </c>
      <c r="O936" s="15">
        <v>169.82</v>
      </c>
      <c r="P936" s="15">
        <v>24.338000000000001</v>
      </c>
      <c r="R936" s="15">
        <v>0.95</v>
      </c>
      <c r="T936" s="15">
        <v>0.1</v>
      </c>
      <c r="U936" s="15">
        <v>0.59000000000000008</v>
      </c>
      <c r="W936" s="15">
        <v>0.02</v>
      </c>
      <c r="X936" s="15">
        <v>2.41</v>
      </c>
      <c r="Y936" s="15">
        <v>3.5058999999999996</v>
      </c>
      <c r="Z936" s="15">
        <v>0.18</v>
      </c>
      <c r="AA936" s="15">
        <v>13.63</v>
      </c>
      <c r="AB936" s="15">
        <v>9.4799999999999986</v>
      </c>
      <c r="AD936" s="15">
        <v>0.05</v>
      </c>
      <c r="AE936" s="15">
        <v>0.58000000000000007</v>
      </c>
      <c r="AG936" s="15">
        <v>65.510000000000005</v>
      </c>
      <c r="AH936" s="15">
        <v>0.67</v>
      </c>
      <c r="AI936" s="15">
        <v>2.38</v>
      </c>
      <c r="AJ936" s="15">
        <v>0.11</v>
      </c>
      <c r="AL936" s="15">
        <v>3.8000000000000007</v>
      </c>
      <c r="AM936" s="15">
        <v>0.44</v>
      </c>
      <c r="AN936" s="15">
        <v>0.98199999999999998</v>
      </c>
      <c r="AP936" s="15">
        <v>2.2400000000000002</v>
      </c>
      <c r="AQ936" s="15">
        <v>13.940000000000001</v>
      </c>
      <c r="AR936" s="15">
        <v>1.71</v>
      </c>
      <c r="AS936" s="15">
        <v>0.06</v>
      </c>
    </row>
    <row r="937" spans="1:57" ht="21" customHeight="1">
      <c r="G937" s="15">
        <f>G935-G936</f>
        <v>19.172999999999888</v>
      </c>
      <c r="H937" s="15">
        <f>H935-H936</f>
        <v>10.549000000000035</v>
      </c>
      <c r="I937" s="15">
        <f t="shared" ref="I937:AS937" si="55">I935-I936</f>
        <v>22.636000000000024</v>
      </c>
      <c r="J937" s="15">
        <f t="shared" si="55"/>
        <v>26.004000000000019</v>
      </c>
      <c r="K937" s="15">
        <f t="shared" si="55"/>
        <v>24.995000000000573</v>
      </c>
      <c r="L937" s="15">
        <f t="shared" si="55"/>
        <v>0</v>
      </c>
      <c r="M937" s="15">
        <f t="shared" si="55"/>
        <v>26.375000000000682</v>
      </c>
      <c r="N937" s="15">
        <f t="shared" si="55"/>
        <v>0</v>
      </c>
      <c r="O937" s="15">
        <f t="shared" si="55"/>
        <v>0</v>
      </c>
      <c r="P937" s="15">
        <f t="shared" si="55"/>
        <v>0.18999999999999773</v>
      </c>
      <c r="Q937" s="15">
        <f t="shared" si="55"/>
        <v>0</v>
      </c>
      <c r="R937" s="15">
        <f t="shared" si="55"/>
        <v>2.3099999999999996</v>
      </c>
      <c r="S937" s="15">
        <f t="shared" si="55"/>
        <v>0</v>
      </c>
      <c r="T937" s="15">
        <f t="shared" si="55"/>
        <v>0.1</v>
      </c>
      <c r="U937" s="15">
        <f t="shared" si="55"/>
        <v>0</v>
      </c>
      <c r="V937" s="15">
        <f t="shared" si="55"/>
        <v>0</v>
      </c>
      <c r="W937" s="15">
        <f t="shared" si="55"/>
        <v>2.9999999999999992E-3</v>
      </c>
      <c r="X937" s="15">
        <f t="shared" si="55"/>
        <v>0</v>
      </c>
      <c r="Y937" s="15">
        <f t="shared" si="55"/>
        <v>-3.9999999999995595E-3</v>
      </c>
      <c r="Z937" s="15">
        <f t="shared" si="55"/>
        <v>0</v>
      </c>
      <c r="AA937" s="15">
        <f t="shared" si="55"/>
        <v>0.95199999999999818</v>
      </c>
      <c r="AB937" s="15">
        <f>AB935-AB936</f>
        <v>0.54000000000000092</v>
      </c>
      <c r="AC937" s="15">
        <f t="shared" si="55"/>
        <v>0</v>
      </c>
      <c r="AD937" s="15">
        <f t="shared" si="55"/>
        <v>0</v>
      </c>
      <c r="AE937" s="15">
        <f t="shared" si="55"/>
        <v>0</v>
      </c>
      <c r="AF937" s="15">
        <f t="shared" si="55"/>
        <v>0</v>
      </c>
      <c r="AG937" s="15">
        <f t="shared" si="55"/>
        <v>10.299999999999997</v>
      </c>
      <c r="AH937" s="15">
        <f>AH935-AH936</f>
        <v>2.9999999999999916E-2</v>
      </c>
      <c r="AI937" s="15">
        <f t="shared" si="55"/>
        <v>0</v>
      </c>
      <c r="AJ937" s="15">
        <f t="shared" si="55"/>
        <v>0</v>
      </c>
      <c r="AK937" s="15">
        <f t="shared" si="55"/>
        <v>0</v>
      </c>
      <c r="AL937" s="15">
        <f t="shared" si="55"/>
        <v>-3.0000000000005578E-3</v>
      </c>
      <c r="AM937" s="15">
        <f t="shared" si="55"/>
        <v>0</v>
      </c>
      <c r="AN937" s="15">
        <f t="shared" si="55"/>
        <v>1.2000000000000233E-2</v>
      </c>
      <c r="AO937" s="15">
        <f t="shared" si="55"/>
        <v>0</v>
      </c>
      <c r="AP937" s="15">
        <f t="shared" si="55"/>
        <v>0</v>
      </c>
      <c r="AQ937" s="15">
        <f t="shared" si="55"/>
        <v>1.17</v>
      </c>
      <c r="AR937" s="15">
        <f t="shared" si="55"/>
        <v>2.8000000000000247E-2</v>
      </c>
      <c r="AS937" s="15">
        <f t="shared" si="55"/>
        <v>0</v>
      </c>
    </row>
    <row r="938" spans="1:57" ht="18.75" customHeight="1"/>
    <row r="1022" spans="1:56" s="14" customFormat="1">
      <c r="A1022" s="186"/>
      <c r="B1022" s="263"/>
      <c r="C1022" s="15"/>
      <c r="D1022" s="15"/>
      <c r="E1022" s="15"/>
      <c r="F1022" s="15"/>
      <c r="G1022" s="15"/>
      <c r="H1022" s="15"/>
      <c r="I1022" s="15"/>
      <c r="J1022" s="15"/>
      <c r="K1022" s="15"/>
      <c r="L1022" s="15"/>
      <c r="M1022" s="15"/>
      <c r="N1022" s="15"/>
      <c r="O1022" s="15"/>
      <c r="P1022" s="15"/>
      <c r="Q1022" s="15"/>
      <c r="R1022" s="15"/>
      <c r="S1022" s="15"/>
      <c r="T1022" s="15"/>
      <c r="U1022" s="15"/>
      <c r="V1022" s="15"/>
      <c r="W1022" s="15"/>
      <c r="X1022" s="15"/>
      <c r="Y1022" s="15"/>
      <c r="Z1022" s="15"/>
      <c r="AA1022" s="15"/>
      <c r="AB1022" s="15"/>
      <c r="AC1022" s="15"/>
      <c r="AD1022" s="15"/>
      <c r="AE1022" s="15"/>
      <c r="AF1022" s="15"/>
      <c r="AG1022" s="15"/>
      <c r="AH1022" s="15"/>
      <c r="AI1022" s="15"/>
      <c r="AJ1022" s="15"/>
      <c r="AK1022" s="15"/>
      <c r="AL1022" s="15"/>
      <c r="AM1022" s="15"/>
      <c r="AN1022" s="15"/>
      <c r="AO1022" s="15"/>
      <c r="AP1022" s="15"/>
      <c r="AQ1022" s="15"/>
      <c r="AR1022" s="15"/>
      <c r="AS1022" s="15"/>
      <c r="AT1022" s="58"/>
      <c r="AU1022" s="15"/>
      <c r="AV1022" s="15"/>
      <c r="AW1022" s="15"/>
      <c r="AX1022" s="15"/>
      <c r="AY1022" s="1666"/>
      <c r="BA1022" s="15"/>
      <c r="BB1022" s="15"/>
      <c r="BC1022" s="15"/>
      <c r="BD1022" s="15"/>
    </row>
    <row r="1023" spans="1:56" s="14" customFormat="1">
      <c r="A1023" s="186"/>
      <c r="B1023" s="263"/>
      <c r="C1023" s="15"/>
      <c r="D1023" s="15"/>
      <c r="E1023" s="15"/>
      <c r="F1023" s="15"/>
      <c r="G1023" s="15"/>
      <c r="H1023" s="15"/>
      <c r="I1023" s="15"/>
      <c r="J1023" s="15"/>
      <c r="K1023" s="15"/>
      <c r="L1023" s="15"/>
      <c r="M1023" s="15"/>
      <c r="N1023" s="15"/>
      <c r="O1023" s="15"/>
      <c r="P1023" s="15"/>
      <c r="Q1023" s="15"/>
      <c r="R1023" s="15"/>
      <c r="S1023" s="15"/>
      <c r="T1023" s="15"/>
      <c r="U1023" s="15"/>
      <c r="V1023" s="15"/>
      <c r="W1023" s="15"/>
      <c r="X1023" s="15"/>
      <c r="Y1023" s="15"/>
      <c r="Z1023" s="15"/>
      <c r="AA1023" s="15"/>
      <c r="AB1023" s="15"/>
      <c r="AC1023" s="15"/>
      <c r="AD1023" s="15"/>
      <c r="AE1023" s="15"/>
      <c r="AF1023" s="15"/>
      <c r="AG1023" s="15"/>
      <c r="AH1023" s="15"/>
      <c r="AI1023" s="15"/>
      <c r="AJ1023" s="15"/>
      <c r="AK1023" s="15"/>
      <c r="AL1023" s="15"/>
      <c r="AM1023" s="15"/>
      <c r="AN1023" s="15"/>
      <c r="AO1023" s="15"/>
      <c r="AP1023" s="15"/>
      <c r="AQ1023" s="15"/>
      <c r="AR1023" s="15"/>
      <c r="AS1023" s="15"/>
      <c r="AT1023" s="58"/>
      <c r="AU1023" s="15"/>
      <c r="AV1023" s="15"/>
      <c r="AW1023" s="15"/>
      <c r="AX1023" s="15"/>
      <c r="AY1023" s="1666"/>
      <c r="BA1023" s="15"/>
      <c r="BB1023" s="15"/>
      <c r="BC1023" s="15"/>
      <c r="BD1023" s="15"/>
    </row>
    <row r="1024" spans="1:56" s="14" customFormat="1">
      <c r="A1024" s="186"/>
      <c r="B1024" s="263"/>
      <c r="C1024" s="15"/>
      <c r="D1024" s="15"/>
      <c r="E1024" s="15"/>
      <c r="F1024" s="15"/>
      <c r="G1024" s="15"/>
      <c r="H1024" s="15"/>
      <c r="I1024" s="15"/>
      <c r="J1024" s="15"/>
      <c r="K1024" s="15"/>
      <c r="L1024" s="15"/>
      <c r="M1024" s="15"/>
      <c r="N1024" s="15"/>
      <c r="O1024" s="15"/>
      <c r="P1024" s="15"/>
      <c r="Q1024" s="15"/>
      <c r="R1024" s="15"/>
      <c r="S1024" s="15"/>
      <c r="T1024" s="15"/>
      <c r="U1024" s="15"/>
      <c r="V1024" s="15"/>
      <c r="W1024" s="15"/>
      <c r="X1024" s="15"/>
      <c r="Y1024" s="15"/>
      <c r="Z1024" s="15"/>
      <c r="AA1024" s="15"/>
      <c r="AB1024" s="15"/>
      <c r="AC1024" s="15"/>
      <c r="AD1024" s="15"/>
      <c r="AE1024" s="15"/>
      <c r="AF1024" s="15"/>
      <c r="AG1024" s="15"/>
      <c r="AH1024" s="15"/>
      <c r="AI1024" s="15"/>
      <c r="AJ1024" s="15"/>
      <c r="AK1024" s="15"/>
      <c r="AL1024" s="15"/>
      <c r="AM1024" s="15"/>
      <c r="AN1024" s="15"/>
      <c r="AO1024" s="15"/>
      <c r="AP1024" s="15"/>
      <c r="AQ1024" s="15"/>
      <c r="AR1024" s="15"/>
      <c r="AS1024" s="15"/>
      <c r="AT1024" s="58"/>
      <c r="AU1024" s="15"/>
      <c r="AV1024" s="15"/>
      <c r="AW1024" s="15"/>
      <c r="AX1024" s="15"/>
      <c r="AY1024" s="1666"/>
      <c r="BA1024" s="15"/>
      <c r="BB1024" s="15"/>
      <c r="BC1024" s="15"/>
      <c r="BD1024" s="15"/>
    </row>
    <row r="1025" spans="1:56" s="14" customFormat="1">
      <c r="A1025" s="186"/>
      <c r="B1025" s="263"/>
      <c r="C1025" s="15"/>
      <c r="D1025" s="15"/>
      <c r="E1025" s="15"/>
      <c r="F1025" s="15"/>
      <c r="G1025" s="15"/>
      <c r="H1025" s="15"/>
      <c r="I1025" s="15"/>
      <c r="J1025" s="15"/>
      <c r="K1025" s="15"/>
      <c r="L1025" s="15"/>
      <c r="M1025" s="15"/>
      <c r="N1025" s="15"/>
      <c r="O1025" s="15"/>
      <c r="P1025" s="15"/>
      <c r="Q1025" s="15"/>
      <c r="R1025" s="15"/>
      <c r="S1025" s="15"/>
      <c r="T1025" s="15"/>
      <c r="U1025" s="15"/>
      <c r="V1025" s="15"/>
      <c r="W1025" s="15"/>
      <c r="X1025" s="15"/>
      <c r="Y1025" s="15"/>
      <c r="Z1025" s="15"/>
      <c r="AA1025" s="15"/>
      <c r="AB1025" s="15"/>
      <c r="AC1025" s="15"/>
      <c r="AD1025" s="15"/>
      <c r="AE1025" s="15"/>
      <c r="AF1025" s="15"/>
      <c r="AG1025" s="15"/>
      <c r="AH1025" s="15"/>
      <c r="AI1025" s="15"/>
      <c r="AJ1025" s="15"/>
      <c r="AK1025" s="15"/>
      <c r="AL1025" s="15"/>
      <c r="AM1025" s="15"/>
      <c r="AN1025" s="15"/>
      <c r="AO1025" s="15"/>
      <c r="AP1025" s="15"/>
      <c r="AQ1025" s="15"/>
      <c r="AR1025" s="15"/>
      <c r="AS1025" s="15"/>
      <c r="AT1025" s="58"/>
      <c r="AU1025" s="15"/>
      <c r="AV1025" s="15"/>
      <c r="AW1025" s="15"/>
      <c r="AX1025" s="15"/>
      <c r="AY1025" s="1666"/>
      <c r="BA1025" s="15"/>
      <c r="BB1025" s="15"/>
      <c r="BC1025" s="15"/>
      <c r="BD1025" s="15"/>
    </row>
    <row r="1026" spans="1:56" s="14" customFormat="1">
      <c r="A1026" s="186"/>
      <c r="B1026" s="263"/>
      <c r="C1026" s="15"/>
      <c r="D1026" s="15"/>
      <c r="E1026" s="15"/>
      <c r="F1026" s="15"/>
      <c r="G1026" s="15"/>
      <c r="H1026" s="15"/>
      <c r="I1026" s="15"/>
      <c r="J1026" s="15"/>
      <c r="K1026" s="15"/>
      <c r="L1026" s="15"/>
      <c r="M1026" s="15"/>
      <c r="N1026" s="15"/>
      <c r="O1026" s="15"/>
      <c r="P1026" s="15"/>
      <c r="Q1026" s="15"/>
      <c r="R1026" s="15"/>
      <c r="S1026" s="15"/>
      <c r="T1026" s="15"/>
      <c r="U1026" s="15"/>
      <c r="V1026" s="15"/>
      <c r="W1026" s="15"/>
      <c r="X1026" s="15"/>
      <c r="Y1026" s="15"/>
      <c r="Z1026" s="15"/>
      <c r="AA1026" s="15"/>
      <c r="AB1026" s="15"/>
      <c r="AC1026" s="15"/>
      <c r="AD1026" s="15"/>
      <c r="AE1026" s="15"/>
      <c r="AF1026" s="15"/>
      <c r="AG1026" s="15"/>
      <c r="AH1026" s="15"/>
      <c r="AI1026" s="15"/>
      <c r="AJ1026" s="15"/>
      <c r="AK1026" s="15"/>
      <c r="AL1026" s="15"/>
      <c r="AM1026" s="15"/>
      <c r="AN1026" s="15"/>
      <c r="AO1026" s="15"/>
      <c r="AP1026" s="15"/>
      <c r="AQ1026" s="15"/>
      <c r="AR1026" s="15"/>
      <c r="AS1026" s="15"/>
      <c r="AT1026" s="58"/>
      <c r="AU1026" s="15"/>
      <c r="AV1026" s="15"/>
      <c r="AW1026" s="15"/>
      <c r="AX1026" s="15"/>
      <c r="AY1026" s="1666"/>
      <c r="BA1026" s="15"/>
      <c r="BB1026" s="15"/>
      <c r="BC1026" s="15"/>
      <c r="BD1026" s="15"/>
    </row>
    <row r="1027" spans="1:56" s="14" customFormat="1">
      <c r="A1027" s="186"/>
      <c r="B1027" s="263"/>
      <c r="C1027" s="15"/>
      <c r="D1027" s="15"/>
      <c r="E1027" s="15"/>
      <c r="F1027" s="15"/>
      <c r="G1027" s="15"/>
      <c r="H1027" s="15"/>
      <c r="I1027" s="15"/>
      <c r="J1027" s="15"/>
      <c r="K1027" s="15"/>
      <c r="L1027" s="15"/>
      <c r="M1027" s="15"/>
      <c r="N1027" s="15"/>
      <c r="O1027" s="15"/>
      <c r="P1027" s="15"/>
      <c r="Q1027" s="15"/>
      <c r="R1027" s="15"/>
      <c r="S1027" s="15"/>
      <c r="T1027" s="15"/>
      <c r="U1027" s="15"/>
      <c r="V1027" s="15"/>
      <c r="W1027" s="15"/>
      <c r="X1027" s="15"/>
      <c r="Y1027" s="15"/>
      <c r="Z1027" s="15"/>
      <c r="AA1027" s="15"/>
      <c r="AB1027" s="15"/>
      <c r="AC1027" s="15"/>
      <c r="AD1027" s="15"/>
      <c r="AE1027" s="15"/>
      <c r="AF1027" s="15"/>
      <c r="AG1027" s="15"/>
      <c r="AH1027" s="15"/>
      <c r="AI1027" s="15"/>
      <c r="AJ1027" s="15"/>
      <c r="AK1027" s="15"/>
      <c r="AL1027" s="15"/>
      <c r="AM1027" s="15"/>
      <c r="AN1027" s="15"/>
      <c r="AO1027" s="15"/>
      <c r="AP1027" s="15"/>
      <c r="AQ1027" s="15"/>
      <c r="AR1027" s="15"/>
      <c r="AS1027" s="15"/>
      <c r="AT1027" s="58"/>
      <c r="AU1027" s="15"/>
      <c r="AV1027" s="15"/>
      <c r="AW1027" s="15"/>
      <c r="AX1027" s="15"/>
      <c r="AY1027" s="1666"/>
      <c r="BA1027" s="15"/>
      <c r="BB1027" s="15"/>
      <c r="BC1027" s="15"/>
      <c r="BD1027" s="15"/>
    </row>
    <row r="1028" spans="1:56" s="14" customFormat="1">
      <c r="A1028" s="186"/>
      <c r="B1028" s="263"/>
      <c r="C1028" s="15"/>
      <c r="D1028" s="15"/>
      <c r="E1028" s="15"/>
      <c r="F1028" s="15"/>
      <c r="G1028" s="15"/>
      <c r="H1028" s="15"/>
      <c r="I1028" s="15"/>
      <c r="J1028" s="15"/>
      <c r="K1028" s="15"/>
      <c r="L1028" s="15"/>
      <c r="M1028" s="15"/>
      <c r="N1028" s="15"/>
      <c r="O1028" s="15"/>
      <c r="P1028" s="15"/>
      <c r="Q1028" s="15"/>
      <c r="R1028" s="15"/>
      <c r="S1028" s="15"/>
      <c r="T1028" s="15"/>
      <c r="U1028" s="15"/>
      <c r="V1028" s="15"/>
      <c r="W1028" s="15"/>
      <c r="X1028" s="15"/>
      <c r="Y1028" s="15"/>
      <c r="Z1028" s="15"/>
      <c r="AA1028" s="15"/>
      <c r="AB1028" s="15"/>
      <c r="AC1028" s="15"/>
      <c r="AD1028" s="15"/>
      <c r="AE1028" s="15"/>
      <c r="AF1028" s="15"/>
      <c r="AG1028" s="15"/>
      <c r="AH1028" s="15"/>
      <c r="AI1028" s="15"/>
      <c r="AJ1028" s="15"/>
      <c r="AK1028" s="15"/>
      <c r="AL1028" s="15"/>
      <c r="AM1028" s="15"/>
      <c r="AN1028" s="15"/>
      <c r="AO1028" s="15"/>
      <c r="AP1028" s="15"/>
      <c r="AQ1028" s="15"/>
      <c r="AR1028" s="15"/>
      <c r="AS1028" s="15"/>
      <c r="AT1028" s="58"/>
      <c r="AU1028" s="15"/>
      <c r="AV1028" s="15"/>
      <c r="AW1028" s="15"/>
      <c r="AX1028" s="15"/>
      <c r="AY1028" s="1666"/>
      <c r="BA1028" s="15"/>
      <c r="BB1028" s="15"/>
      <c r="BC1028" s="15"/>
      <c r="BD1028" s="15"/>
    </row>
    <row r="1029" spans="1:56" s="14" customFormat="1">
      <c r="A1029" s="186"/>
      <c r="B1029" s="263"/>
      <c r="C1029" s="15"/>
      <c r="D1029" s="15"/>
      <c r="E1029" s="15"/>
      <c r="F1029" s="15"/>
      <c r="G1029" s="15"/>
      <c r="H1029" s="15"/>
      <c r="I1029" s="15"/>
      <c r="J1029" s="15"/>
      <c r="K1029" s="15"/>
      <c r="L1029" s="15"/>
      <c r="M1029" s="15"/>
      <c r="N1029" s="15"/>
      <c r="O1029" s="15"/>
      <c r="P1029" s="15"/>
      <c r="Q1029" s="15"/>
      <c r="R1029" s="15"/>
      <c r="S1029" s="15"/>
      <c r="T1029" s="15"/>
      <c r="U1029" s="15"/>
      <c r="V1029" s="15"/>
      <c r="W1029" s="15"/>
      <c r="X1029" s="15"/>
      <c r="Y1029" s="15"/>
      <c r="Z1029" s="15"/>
      <c r="AA1029" s="15"/>
      <c r="AB1029" s="15"/>
      <c r="AC1029" s="15"/>
      <c r="AD1029" s="15"/>
      <c r="AE1029" s="15"/>
      <c r="AF1029" s="15"/>
      <c r="AG1029" s="15"/>
      <c r="AH1029" s="15"/>
      <c r="AI1029" s="15"/>
      <c r="AJ1029" s="15"/>
      <c r="AK1029" s="15"/>
      <c r="AL1029" s="15"/>
      <c r="AM1029" s="15"/>
      <c r="AN1029" s="15"/>
      <c r="AO1029" s="15"/>
      <c r="AP1029" s="15"/>
      <c r="AQ1029" s="15"/>
      <c r="AR1029" s="15"/>
      <c r="AS1029" s="15"/>
      <c r="AT1029" s="58"/>
      <c r="AU1029" s="15"/>
      <c r="AV1029" s="15"/>
      <c r="AW1029" s="15"/>
      <c r="AX1029" s="15"/>
      <c r="AY1029" s="1666"/>
      <c r="BA1029" s="15"/>
      <c r="BB1029" s="15"/>
      <c r="BC1029" s="15"/>
      <c r="BD1029" s="15"/>
    </row>
  </sheetData>
  <mergeCells count="50">
    <mergeCell ref="AY1022:AY1029"/>
    <mergeCell ref="A742:A746"/>
    <mergeCell ref="B742:B746"/>
    <mergeCell ref="A784:A786"/>
    <mergeCell ref="B784:B786"/>
    <mergeCell ref="A912:A928"/>
    <mergeCell ref="B912:B928"/>
    <mergeCell ref="AZ724:AZ725"/>
    <mergeCell ref="A733:A735"/>
    <mergeCell ref="B733:B735"/>
    <mergeCell ref="A929:A934"/>
    <mergeCell ref="B929:B934"/>
    <mergeCell ref="AV464:AV465"/>
    <mergeCell ref="AW464:AW465"/>
    <mergeCell ref="AX464:AX465"/>
    <mergeCell ref="AV517:AV519"/>
    <mergeCell ref="AW517:AW519"/>
    <mergeCell ref="AX517:AX519"/>
    <mergeCell ref="A149:A165"/>
    <mergeCell ref="B149:B165"/>
    <mergeCell ref="A464:A465"/>
    <mergeCell ref="B464:B465"/>
    <mergeCell ref="C464:C465"/>
    <mergeCell ref="A88:A94"/>
    <mergeCell ref="B88:B94"/>
    <mergeCell ref="A106:A110"/>
    <mergeCell ref="B106:B110"/>
    <mergeCell ref="A115:A148"/>
    <mergeCell ref="B115:B148"/>
    <mergeCell ref="AU6:AU7"/>
    <mergeCell ref="A76:A79"/>
    <mergeCell ref="B76:B79"/>
    <mergeCell ref="A82:A85"/>
    <mergeCell ref="B82:B85"/>
    <mergeCell ref="A1:B1"/>
    <mergeCell ref="A2:AZ2"/>
    <mergeCell ref="A3:AZ3"/>
    <mergeCell ref="A5:A7"/>
    <mergeCell ref="B5:B7"/>
    <mergeCell ref="C5:C7"/>
    <mergeCell ref="D5:D7"/>
    <mergeCell ref="E5:E7"/>
    <mergeCell ref="F5:F7"/>
    <mergeCell ref="AT5:AU5"/>
    <mergeCell ref="AV5:AV7"/>
    <mergeCell ref="AW5:AW7"/>
    <mergeCell ref="AX5:AX7"/>
    <mergeCell ref="AY5:AY7"/>
    <mergeCell ref="AZ5:AZ7"/>
    <mergeCell ref="AT6:AT7"/>
  </mergeCells>
  <printOptions horizontalCentered="1"/>
  <pageMargins left="0.23622047244094491" right="0.23622047244094491" top="0.59055118110236227" bottom="0.59055118110236227" header="0" footer="0.24"/>
  <pageSetup paperSize="9" scale="80" fitToWidth="0" fitToHeight="0" orientation="landscape" useFirstPageNumber="1" r:id="rId1"/>
  <headerFooter>
    <oddFooter>&amp;C&amp;P</oddFooter>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T1851"/>
  <sheetViews>
    <sheetView zoomScale="70" zoomScaleNormal="70" zoomScaleSheetLayoutView="70" workbookViewId="0">
      <pane xSplit="6" ySplit="6" topLeftCell="AG353" activePane="bottomRight" state="frozen"/>
      <selection activeCell="AU10" sqref="AU10"/>
      <selection pane="topRight" activeCell="AU10" sqref="AU10"/>
      <selection pane="bottomLeft" activeCell="AU10" sqref="AU10"/>
      <selection pane="bottomRight" activeCell="AU10" sqref="AU10"/>
    </sheetView>
  </sheetViews>
  <sheetFormatPr defaultColWidth="8.625" defaultRowHeight="15.75"/>
  <cols>
    <col min="1" max="1" width="7" style="184" bestFit="1" customWidth="1"/>
    <col min="2" max="2" width="40.875" style="55" customWidth="1"/>
    <col min="3" max="3" width="7.125" style="15" customWidth="1"/>
    <col min="4" max="5" width="9.625" style="185" customWidth="1"/>
    <col min="6" max="6" width="10" style="185" customWidth="1"/>
    <col min="7" max="10" width="7.625" style="185" customWidth="1"/>
    <col min="11" max="11" width="8.125" style="185" customWidth="1"/>
    <col min="12" max="12" width="6.625" style="185" customWidth="1"/>
    <col min="13" max="13" width="7.625" style="185" customWidth="1"/>
    <col min="14" max="19" width="6.625" style="185" customWidth="1"/>
    <col min="20" max="26" width="7.125" style="185" customWidth="1"/>
    <col min="27" max="31" width="7.625" style="185" customWidth="1"/>
    <col min="32" max="33" width="6.625" style="185" customWidth="1"/>
    <col min="34" max="34" width="6.5" style="185" customWidth="1"/>
    <col min="35" max="36" width="6.625" style="185" customWidth="1"/>
    <col min="37" max="37" width="6.5" style="185" customWidth="1"/>
    <col min="38" max="39" width="6.625" style="185" customWidth="1"/>
    <col min="40" max="40" width="6.5" style="185" customWidth="1"/>
    <col min="41" max="41" width="6.625" style="185" customWidth="1"/>
    <col min="42" max="42" width="8.125" style="185" customWidth="1"/>
    <col min="43" max="46" width="6.625" style="185" customWidth="1"/>
    <col min="47" max="47" width="6.5" style="185" customWidth="1"/>
    <col min="48" max="48" width="7.125" style="185" customWidth="1"/>
    <col min="49" max="50" width="6.625" style="185" customWidth="1"/>
    <col min="51" max="51" width="19" style="58" customWidth="1"/>
    <col min="52" max="52" width="19.625" style="58" customWidth="1"/>
    <col min="53" max="53" width="12.125" style="14" bestFit="1" customWidth="1"/>
    <col min="54" max="54" width="36.625" style="14" hidden="1" customWidth="1"/>
    <col min="55" max="55" width="60.125" style="15" hidden="1" customWidth="1"/>
    <col min="56" max="57" width="50.125" style="15" hidden="1" customWidth="1"/>
    <col min="58" max="58" width="9" style="15" hidden="1" customWidth="1"/>
    <col min="59" max="59" width="53.125" style="15" hidden="1" customWidth="1"/>
    <col min="60" max="61" width="8.625" style="15" hidden="1" customWidth="1"/>
    <col min="62" max="62" width="33.625" style="15" hidden="1" customWidth="1"/>
    <col min="63" max="63" width="8.625" style="15" hidden="1" customWidth="1"/>
    <col min="64" max="64" width="38.375" style="15" customWidth="1"/>
    <col min="65" max="71" width="8.625" style="15" customWidth="1"/>
    <col min="72" max="72" width="43.375" style="15" customWidth="1"/>
    <col min="73" max="86" width="8.625" style="15"/>
    <col min="87" max="90" width="0" style="15" hidden="1" customWidth="1"/>
    <col min="91" max="91" width="15.125" style="15" customWidth="1"/>
    <col min="92" max="92" width="20" style="15" bestFit="1" customWidth="1"/>
    <col min="93" max="93" width="5.625" style="15" bestFit="1" customWidth="1"/>
    <col min="94" max="94" width="6" style="15" bestFit="1" customWidth="1"/>
    <col min="95" max="16384" width="8.625" style="15"/>
  </cols>
  <sheetData>
    <row r="1" spans="1:63" ht="20.100000000000001" customHeight="1">
      <c r="A1" s="1650" t="s">
        <v>274</v>
      </c>
      <c r="B1" s="1650"/>
      <c r="C1" s="10"/>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2"/>
      <c r="AZ1" s="12"/>
      <c r="BA1" s="13"/>
    </row>
    <row r="2" spans="1:63" ht="21.6" customHeight="1">
      <c r="A2" s="1670" t="s">
        <v>275</v>
      </c>
      <c r="B2" s="1670"/>
      <c r="C2" s="1670"/>
      <c r="D2" s="1670"/>
      <c r="E2" s="1670"/>
      <c r="F2" s="1670"/>
      <c r="G2" s="1670"/>
      <c r="H2" s="1670"/>
      <c r="I2" s="1670"/>
      <c r="J2" s="1670"/>
      <c r="K2" s="1670"/>
      <c r="L2" s="1670"/>
      <c r="M2" s="1670"/>
      <c r="N2" s="1670"/>
      <c r="O2" s="1670"/>
      <c r="P2" s="1670"/>
      <c r="Q2" s="1670"/>
      <c r="R2" s="1670"/>
      <c r="S2" s="1670"/>
      <c r="T2" s="1670"/>
      <c r="U2" s="1670"/>
      <c r="V2" s="1670"/>
      <c r="W2" s="1670"/>
      <c r="X2" s="1670"/>
      <c r="Y2" s="1670"/>
      <c r="Z2" s="1670"/>
      <c r="AA2" s="1670"/>
      <c r="AB2" s="1670"/>
      <c r="AC2" s="1670"/>
      <c r="AD2" s="1670"/>
      <c r="AE2" s="1670"/>
      <c r="AF2" s="1670"/>
      <c r="AG2" s="1670"/>
      <c r="AH2" s="1670"/>
      <c r="AI2" s="1670"/>
      <c r="AJ2" s="1670"/>
      <c r="AK2" s="1670"/>
      <c r="AL2" s="1670"/>
      <c r="AM2" s="1670"/>
      <c r="AN2" s="1670"/>
      <c r="AO2" s="1670"/>
      <c r="AP2" s="1670"/>
      <c r="AQ2" s="1670"/>
      <c r="AR2" s="1670"/>
      <c r="AS2" s="1670"/>
      <c r="AT2" s="1670"/>
      <c r="AU2" s="1670"/>
      <c r="AV2" s="1670"/>
      <c r="AW2" s="1670"/>
      <c r="AX2" s="1670"/>
      <c r="AY2" s="1670"/>
      <c r="AZ2" s="1670"/>
      <c r="BA2" s="1670"/>
      <c r="BB2" s="16"/>
    </row>
    <row r="3" spans="1:63" ht="20.85" customHeight="1">
      <c r="A3" s="1670" t="s">
        <v>242</v>
      </c>
      <c r="B3" s="1670"/>
      <c r="C3" s="1670"/>
      <c r="D3" s="1670"/>
      <c r="E3" s="1670"/>
      <c r="F3" s="1670"/>
      <c r="G3" s="1670"/>
      <c r="H3" s="1670"/>
      <c r="I3" s="1670"/>
      <c r="J3" s="1670"/>
      <c r="K3" s="1670"/>
      <c r="L3" s="1670"/>
      <c r="M3" s="1670"/>
      <c r="N3" s="1670"/>
      <c r="O3" s="1670"/>
      <c r="P3" s="1670"/>
      <c r="Q3" s="1670"/>
      <c r="R3" s="1670"/>
      <c r="S3" s="1670"/>
      <c r="T3" s="1670"/>
      <c r="U3" s="1670"/>
      <c r="V3" s="1670"/>
      <c r="W3" s="1670"/>
      <c r="X3" s="1670"/>
      <c r="Y3" s="1670"/>
      <c r="Z3" s="1670"/>
      <c r="AA3" s="1670"/>
      <c r="AB3" s="1670"/>
      <c r="AC3" s="1670"/>
      <c r="AD3" s="1670"/>
      <c r="AE3" s="1670"/>
      <c r="AF3" s="1670"/>
      <c r="AG3" s="1670"/>
      <c r="AH3" s="1670"/>
      <c r="AI3" s="1670"/>
      <c r="AJ3" s="1670"/>
      <c r="AK3" s="1670"/>
      <c r="AL3" s="1670"/>
      <c r="AM3" s="1670"/>
      <c r="AN3" s="1670"/>
      <c r="AO3" s="1670"/>
      <c r="AP3" s="1670"/>
      <c r="AQ3" s="1670"/>
      <c r="AR3" s="1670"/>
      <c r="AS3" s="1670"/>
      <c r="AT3" s="1670"/>
      <c r="AU3" s="1670"/>
      <c r="AV3" s="1670"/>
      <c r="AW3" s="1670"/>
      <c r="AX3" s="1670"/>
      <c r="AY3" s="1670"/>
      <c r="AZ3" s="1670"/>
      <c r="BA3" s="1670"/>
      <c r="BB3" s="16"/>
    </row>
    <row r="4" spans="1:63" ht="10.35" customHeight="1">
      <c r="A4" s="16"/>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7" t="s">
        <v>55</v>
      </c>
      <c r="BC4" s="18" t="s">
        <v>81</v>
      </c>
      <c r="BD4" s="19" t="s">
        <v>137</v>
      </c>
      <c r="BE4" s="19" t="s">
        <v>138</v>
      </c>
    </row>
    <row r="5" spans="1:63" ht="23.85" customHeight="1">
      <c r="A5" s="1671" t="s">
        <v>170</v>
      </c>
      <c r="B5" s="1653" t="s">
        <v>276</v>
      </c>
      <c r="C5" s="1654" t="s">
        <v>277</v>
      </c>
      <c r="D5" s="1654" t="s">
        <v>278</v>
      </c>
      <c r="E5" s="1654" t="s">
        <v>279</v>
      </c>
      <c r="F5" s="1654" t="s">
        <v>280</v>
      </c>
      <c r="G5" s="1672" t="s">
        <v>281</v>
      </c>
      <c r="H5" s="1672"/>
      <c r="I5" s="1672"/>
      <c r="J5" s="1672"/>
      <c r="K5" s="1672"/>
      <c r="L5" s="1672"/>
      <c r="M5" s="1672"/>
      <c r="N5" s="1672"/>
      <c r="O5" s="1672"/>
      <c r="P5" s="1672"/>
      <c r="Q5" s="1672"/>
      <c r="R5" s="1672"/>
      <c r="S5" s="1672"/>
      <c r="T5" s="1672"/>
      <c r="U5" s="1672"/>
      <c r="V5" s="1672"/>
      <c r="W5" s="1672"/>
      <c r="X5" s="1672"/>
      <c r="Y5" s="1672"/>
      <c r="Z5" s="1672"/>
      <c r="AA5" s="1672"/>
      <c r="AB5" s="1672"/>
      <c r="AC5" s="1672"/>
      <c r="AD5" s="1672"/>
      <c r="AE5" s="1672"/>
      <c r="AF5" s="1672"/>
      <c r="AG5" s="1672"/>
      <c r="AH5" s="1672"/>
      <c r="AI5" s="1672"/>
      <c r="AJ5" s="1672"/>
      <c r="AK5" s="1672"/>
      <c r="AL5" s="1672"/>
      <c r="AM5" s="1672"/>
      <c r="AN5" s="1672"/>
      <c r="AO5" s="1672"/>
      <c r="AP5" s="1672"/>
      <c r="AQ5" s="1672"/>
      <c r="AR5" s="1672"/>
      <c r="AS5" s="1672"/>
      <c r="AT5" s="1672"/>
      <c r="AU5" s="1672"/>
      <c r="AV5" s="1672"/>
      <c r="AW5" s="1672"/>
      <c r="AX5" s="1672"/>
      <c r="AY5" s="1654" t="s">
        <v>282</v>
      </c>
      <c r="AZ5" s="1654"/>
      <c r="BA5" s="1657" t="s">
        <v>283</v>
      </c>
      <c r="BB5" s="1673" t="s">
        <v>284</v>
      </c>
    </row>
    <row r="6" spans="1:63" s="24" customFormat="1" ht="28.35" customHeight="1">
      <c r="A6" s="1671"/>
      <c r="B6" s="1653"/>
      <c r="C6" s="1654"/>
      <c r="D6" s="1654"/>
      <c r="E6" s="1654"/>
      <c r="F6" s="1654"/>
      <c r="G6" s="22" t="s">
        <v>285</v>
      </c>
      <c r="H6" s="22" t="s">
        <v>8</v>
      </c>
      <c r="I6" s="23" t="s">
        <v>12</v>
      </c>
      <c r="J6" s="23" t="s">
        <v>14</v>
      </c>
      <c r="K6" s="23" t="s">
        <v>16</v>
      </c>
      <c r="L6" s="23" t="s">
        <v>17</v>
      </c>
      <c r="M6" s="23" t="s">
        <v>188</v>
      </c>
      <c r="N6" s="23" t="s">
        <v>187</v>
      </c>
      <c r="O6" s="23" t="s">
        <v>189</v>
      </c>
      <c r="P6" s="23" t="s">
        <v>19</v>
      </c>
      <c r="Q6" s="23" t="s">
        <v>20</v>
      </c>
      <c r="R6" s="23" t="s">
        <v>26</v>
      </c>
      <c r="S6" s="23" t="s">
        <v>28</v>
      </c>
      <c r="T6" s="23" t="s">
        <v>30</v>
      </c>
      <c r="U6" s="23" t="s">
        <v>91</v>
      </c>
      <c r="V6" s="23" t="s">
        <v>93</v>
      </c>
      <c r="W6" s="23" t="s">
        <v>32</v>
      </c>
      <c r="X6" s="23" t="s">
        <v>35</v>
      </c>
      <c r="Y6" s="23" t="s">
        <v>34</v>
      </c>
      <c r="Z6" s="23" t="s">
        <v>44</v>
      </c>
      <c r="AA6" s="23" t="s">
        <v>45</v>
      </c>
      <c r="AB6" s="23" t="s">
        <v>48</v>
      </c>
      <c r="AC6" s="23" t="s">
        <v>49</v>
      </c>
      <c r="AD6" s="23" t="s">
        <v>50</v>
      </c>
      <c r="AE6" s="23" t="s">
        <v>51</v>
      </c>
      <c r="AF6" s="23" t="s">
        <v>46</v>
      </c>
      <c r="AG6" s="23" t="s">
        <v>47</v>
      </c>
      <c r="AH6" s="23" t="s">
        <v>36</v>
      </c>
      <c r="AI6" s="23" t="s">
        <v>37</v>
      </c>
      <c r="AJ6" s="23" t="s">
        <v>38</v>
      </c>
      <c r="AK6" s="23" t="s">
        <v>40</v>
      </c>
      <c r="AL6" s="23" t="s">
        <v>54</v>
      </c>
      <c r="AM6" s="23" t="s">
        <v>58</v>
      </c>
      <c r="AN6" s="23" t="s">
        <v>112</v>
      </c>
      <c r="AO6" s="23" t="s">
        <v>113</v>
      </c>
      <c r="AP6" s="23" t="s">
        <v>59</v>
      </c>
      <c r="AQ6" s="23" t="s">
        <v>57</v>
      </c>
      <c r="AR6" s="23" t="s">
        <v>24</v>
      </c>
      <c r="AS6" s="23" t="s">
        <v>96</v>
      </c>
      <c r="AT6" s="23" t="s">
        <v>39</v>
      </c>
      <c r="AU6" s="23" t="s">
        <v>42</v>
      </c>
      <c r="AV6" s="23" t="s">
        <v>41</v>
      </c>
      <c r="AW6" s="23" t="s">
        <v>55</v>
      </c>
      <c r="AX6" s="23" t="s">
        <v>81</v>
      </c>
      <c r="AY6" s="21" t="s">
        <v>286</v>
      </c>
      <c r="AZ6" s="21" t="s">
        <v>287</v>
      </c>
      <c r="BA6" s="1657"/>
      <c r="BB6" s="1673"/>
      <c r="BC6" s="24">
        <v>6.333333333333333</v>
      </c>
    </row>
    <row r="7" spans="1:63" s="24" customFormat="1" ht="22.35" customHeight="1">
      <c r="A7" s="20" t="s">
        <v>78</v>
      </c>
      <c r="B7" s="25" t="s">
        <v>65</v>
      </c>
      <c r="C7" s="26"/>
      <c r="D7" s="27">
        <f t="shared" ref="D7:D70" si="0">E7+F7</f>
        <v>2.21</v>
      </c>
      <c r="E7" s="27">
        <f>SUM(E8:E15)</f>
        <v>0.71</v>
      </c>
      <c r="F7" s="27">
        <f>SUM(G7:AX7)</f>
        <v>1.5</v>
      </c>
      <c r="G7" s="28">
        <f t="shared" ref="G7:AX7" si="1">SUM(G8:G15)</f>
        <v>0.6</v>
      </c>
      <c r="H7" s="28">
        <f t="shared" si="1"/>
        <v>0</v>
      </c>
      <c r="I7" s="28">
        <f t="shared" si="1"/>
        <v>0.2</v>
      </c>
      <c r="J7" s="28">
        <f t="shared" si="1"/>
        <v>0</v>
      </c>
      <c r="K7" s="28">
        <f t="shared" si="1"/>
        <v>0</v>
      </c>
      <c r="L7" s="28">
        <f t="shared" si="1"/>
        <v>0</v>
      </c>
      <c r="M7" s="28">
        <f t="shared" si="1"/>
        <v>0.7</v>
      </c>
      <c r="N7" s="28">
        <f t="shared" si="1"/>
        <v>0</v>
      </c>
      <c r="O7" s="28">
        <f t="shared" si="1"/>
        <v>0</v>
      </c>
      <c r="P7" s="28">
        <f t="shared" si="1"/>
        <v>0</v>
      </c>
      <c r="Q7" s="28">
        <f t="shared" si="1"/>
        <v>0</v>
      </c>
      <c r="R7" s="28">
        <f t="shared" si="1"/>
        <v>0</v>
      </c>
      <c r="S7" s="28">
        <f t="shared" si="1"/>
        <v>0</v>
      </c>
      <c r="T7" s="28">
        <f t="shared" si="1"/>
        <v>0</v>
      </c>
      <c r="U7" s="28">
        <f t="shared" si="1"/>
        <v>0</v>
      </c>
      <c r="V7" s="28">
        <f t="shared" si="1"/>
        <v>0</v>
      </c>
      <c r="W7" s="28">
        <f t="shared" si="1"/>
        <v>0</v>
      </c>
      <c r="X7" s="28">
        <f t="shared" si="1"/>
        <v>0</v>
      </c>
      <c r="Y7" s="28">
        <f t="shared" si="1"/>
        <v>0</v>
      </c>
      <c r="Z7" s="28">
        <f t="shared" si="1"/>
        <v>0</v>
      </c>
      <c r="AA7" s="28">
        <f t="shared" si="1"/>
        <v>0</v>
      </c>
      <c r="AB7" s="28">
        <f t="shared" si="1"/>
        <v>0</v>
      </c>
      <c r="AC7" s="28">
        <f t="shared" si="1"/>
        <v>0</v>
      </c>
      <c r="AD7" s="28">
        <f t="shared" si="1"/>
        <v>0</v>
      </c>
      <c r="AE7" s="28">
        <f t="shared" si="1"/>
        <v>0</v>
      </c>
      <c r="AF7" s="28">
        <f t="shared" si="1"/>
        <v>0</v>
      </c>
      <c r="AG7" s="28">
        <f t="shared" si="1"/>
        <v>0</v>
      </c>
      <c r="AH7" s="28">
        <f t="shared" si="1"/>
        <v>0</v>
      </c>
      <c r="AI7" s="28">
        <f t="shared" si="1"/>
        <v>0</v>
      </c>
      <c r="AJ7" s="28">
        <f t="shared" si="1"/>
        <v>0</v>
      </c>
      <c r="AK7" s="28">
        <f t="shared" si="1"/>
        <v>0</v>
      </c>
      <c r="AL7" s="28">
        <f t="shared" si="1"/>
        <v>0</v>
      </c>
      <c r="AM7" s="28">
        <f t="shared" si="1"/>
        <v>0</v>
      </c>
      <c r="AN7" s="28">
        <f t="shared" si="1"/>
        <v>0</v>
      </c>
      <c r="AO7" s="28">
        <f t="shared" si="1"/>
        <v>0</v>
      </c>
      <c r="AP7" s="28">
        <f t="shared" si="1"/>
        <v>0</v>
      </c>
      <c r="AQ7" s="28">
        <f t="shared" si="1"/>
        <v>0</v>
      </c>
      <c r="AR7" s="28">
        <f t="shared" si="1"/>
        <v>0</v>
      </c>
      <c r="AS7" s="28">
        <f t="shared" si="1"/>
        <v>0</v>
      </c>
      <c r="AT7" s="28">
        <f t="shared" si="1"/>
        <v>0</v>
      </c>
      <c r="AU7" s="28">
        <f t="shared" si="1"/>
        <v>0</v>
      </c>
      <c r="AV7" s="28">
        <f t="shared" si="1"/>
        <v>0</v>
      </c>
      <c r="AW7" s="28">
        <f t="shared" si="1"/>
        <v>0</v>
      </c>
      <c r="AX7" s="28">
        <f t="shared" si="1"/>
        <v>0</v>
      </c>
      <c r="AY7" s="29"/>
      <c r="AZ7" s="29"/>
      <c r="BA7" s="30"/>
      <c r="BB7" s="31"/>
    </row>
    <row r="8" spans="1:63" ht="20.45" customHeight="1">
      <c r="A8" s="32">
        <v>1</v>
      </c>
      <c r="B8" s="33" t="s">
        <v>288</v>
      </c>
      <c r="C8" s="264" t="s">
        <v>26</v>
      </c>
      <c r="D8" s="35">
        <f t="shared" si="0"/>
        <v>1.51</v>
      </c>
      <c r="E8" s="36">
        <v>0.71</v>
      </c>
      <c r="F8" s="35">
        <f t="shared" ref="F8:F15" si="2">SUM(G8:AX8)</f>
        <v>0.8</v>
      </c>
      <c r="G8" s="37">
        <v>0.6</v>
      </c>
      <c r="H8" s="37"/>
      <c r="I8" s="37">
        <v>0.2</v>
      </c>
      <c r="J8" s="37"/>
      <c r="K8" s="37"/>
      <c r="L8" s="37"/>
      <c r="M8" s="37"/>
      <c r="N8" s="37"/>
      <c r="O8" s="37"/>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8" t="s">
        <v>289</v>
      </c>
      <c r="AZ8" s="38" t="s">
        <v>290</v>
      </c>
      <c r="BA8" s="39" t="s">
        <v>291</v>
      </c>
      <c r="BB8" s="40"/>
      <c r="BC8" s="15" t="s">
        <v>292</v>
      </c>
      <c r="BD8" s="15" t="s">
        <v>293</v>
      </c>
      <c r="BE8" s="41"/>
      <c r="BI8" s="42">
        <v>1</v>
      </c>
    </row>
    <row r="9" spans="1:63" s="24" customFormat="1" ht="27" customHeight="1">
      <c r="A9" s="32">
        <f t="shared" ref="A9:A15" si="3">A8+1</f>
        <v>2</v>
      </c>
      <c r="B9" s="33" t="s">
        <v>294</v>
      </c>
      <c r="C9" s="34" t="s">
        <v>26</v>
      </c>
      <c r="D9" s="35">
        <f t="shared" si="0"/>
        <v>0.1</v>
      </c>
      <c r="E9" s="35"/>
      <c r="F9" s="35">
        <f t="shared" si="2"/>
        <v>0.1</v>
      </c>
      <c r="G9" s="28"/>
      <c r="H9" s="28"/>
      <c r="I9" s="28"/>
      <c r="J9" s="28"/>
      <c r="K9" s="28"/>
      <c r="L9" s="28"/>
      <c r="M9" s="43">
        <v>0.1</v>
      </c>
      <c r="N9" s="28"/>
      <c r="O9" s="28"/>
      <c r="P9" s="28"/>
      <c r="Q9" s="28"/>
      <c r="R9" s="28"/>
      <c r="S9" s="28"/>
      <c r="T9" s="28"/>
      <c r="U9" s="28"/>
      <c r="V9" s="28"/>
      <c r="W9" s="28"/>
      <c r="X9" s="28"/>
      <c r="Y9" s="28"/>
      <c r="Z9" s="28"/>
      <c r="AA9" s="28"/>
      <c r="AB9" s="28"/>
      <c r="AC9" s="28"/>
      <c r="AD9" s="28"/>
      <c r="AE9" s="28"/>
      <c r="AF9" s="28"/>
      <c r="AG9" s="28"/>
      <c r="AH9" s="28"/>
      <c r="AI9" s="28"/>
      <c r="AJ9" s="28"/>
      <c r="AK9" s="28"/>
      <c r="AL9" s="28"/>
      <c r="AM9" s="28"/>
      <c r="AN9" s="28"/>
      <c r="AO9" s="28"/>
      <c r="AP9" s="28"/>
      <c r="AQ9" s="28"/>
      <c r="AR9" s="28"/>
      <c r="AS9" s="28"/>
      <c r="AT9" s="28"/>
      <c r="AU9" s="28"/>
      <c r="AV9" s="28"/>
      <c r="AW9" s="28"/>
      <c r="AX9" s="28"/>
      <c r="AY9" s="38" t="s">
        <v>289</v>
      </c>
      <c r="AZ9" s="38" t="s">
        <v>295</v>
      </c>
      <c r="BA9" s="39" t="s">
        <v>291</v>
      </c>
      <c r="BB9" s="40"/>
      <c r="BC9" s="15" t="s">
        <v>292</v>
      </c>
      <c r="BI9" s="42">
        <v>1</v>
      </c>
    </row>
    <row r="10" spans="1:63" s="49" customFormat="1" ht="33" customHeight="1">
      <c r="A10" s="32">
        <f t="shared" si="3"/>
        <v>3</v>
      </c>
      <c r="B10" s="44" t="s">
        <v>296</v>
      </c>
      <c r="C10" s="34" t="s">
        <v>26</v>
      </c>
      <c r="D10" s="35">
        <f t="shared" si="0"/>
        <v>0.1</v>
      </c>
      <c r="E10" s="45"/>
      <c r="F10" s="35">
        <f t="shared" si="2"/>
        <v>0.1</v>
      </c>
      <c r="G10" s="46"/>
      <c r="H10" s="46"/>
      <c r="I10" s="46"/>
      <c r="J10" s="46"/>
      <c r="K10" s="46"/>
      <c r="L10" s="46"/>
      <c r="M10" s="46">
        <v>0.1</v>
      </c>
      <c r="N10" s="46"/>
      <c r="O10" s="46"/>
      <c r="P10" s="46"/>
      <c r="Q10" s="46"/>
      <c r="R10" s="46"/>
      <c r="S10" s="46"/>
      <c r="T10" s="46"/>
      <c r="U10" s="46"/>
      <c r="V10" s="46"/>
      <c r="W10" s="46"/>
      <c r="X10" s="46"/>
      <c r="Y10" s="46"/>
      <c r="Z10" s="46"/>
      <c r="AA10" s="46"/>
      <c r="AB10" s="46"/>
      <c r="AC10" s="46"/>
      <c r="AD10" s="46"/>
      <c r="AE10" s="46"/>
      <c r="AF10" s="46"/>
      <c r="AG10" s="46"/>
      <c r="AH10" s="46"/>
      <c r="AI10" s="46"/>
      <c r="AJ10" s="46"/>
      <c r="AK10" s="46"/>
      <c r="AL10" s="46"/>
      <c r="AM10" s="46"/>
      <c r="AN10" s="46"/>
      <c r="AO10" s="46"/>
      <c r="AP10" s="46"/>
      <c r="AQ10" s="46"/>
      <c r="AR10" s="46"/>
      <c r="AS10" s="46"/>
      <c r="AT10" s="46"/>
      <c r="AU10" s="46"/>
      <c r="AV10" s="46"/>
      <c r="AW10" s="46"/>
      <c r="AX10" s="46"/>
      <c r="AY10" s="47" t="s">
        <v>227</v>
      </c>
      <c r="AZ10" s="47" t="s">
        <v>297</v>
      </c>
      <c r="BA10" s="47" t="s">
        <v>298</v>
      </c>
      <c r="BB10" s="48"/>
      <c r="BD10" s="49" t="s">
        <v>299</v>
      </c>
      <c r="BG10" s="49" t="s">
        <v>300</v>
      </c>
      <c r="BI10" s="42">
        <v>1</v>
      </c>
      <c r="BK10" s="50"/>
    </row>
    <row r="11" spans="1:63" ht="21.6" customHeight="1">
      <c r="A11" s="32">
        <f t="shared" si="3"/>
        <v>4</v>
      </c>
      <c r="B11" s="33" t="s">
        <v>301</v>
      </c>
      <c r="C11" s="34" t="s">
        <v>26</v>
      </c>
      <c r="D11" s="35">
        <f t="shared" si="0"/>
        <v>0.1</v>
      </c>
      <c r="E11" s="36"/>
      <c r="F11" s="35">
        <f t="shared" si="2"/>
        <v>0.1</v>
      </c>
      <c r="G11" s="37"/>
      <c r="H11" s="37"/>
      <c r="I11" s="37"/>
      <c r="J11" s="37"/>
      <c r="K11" s="37"/>
      <c r="L11" s="37"/>
      <c r="M11" s="37">
        <v>0.1</v>
      </c>
      <c r="N11" s="37"/>
      <c r="O11" s="37"/>
      <c r="P11" s="37"/>
      <c r="Q11" s="37"/>
      <c r="R11" s="37"/>
      <c r="S11" s="37"/>
      <c r="T11" s="37"/>
      <c r="U11" s="37"/>
      <c r="V11" s="37"/>
      <c r="W11" s="37"/>
      <c r="X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8" t="s">
        <v>232</v>
      </c>
      <c r="AZ11" s="38" t="s">
        <v>302</v>
      </c>
      <c r="BA11" s="39" t="s">
        <v>291</v>
      </c>
      <c r="BB11" s="40"/>
      <c r="BD11" s="15" t="s">
        <v>303</v>
      </c>
      <c r="BE11" s="41"/>
      <c r="BI11" s="42">
        <v>1</v>
      </c>
    </row>
    <row r="12" spans="1:63" s="50" customFormat="1" ht="21.6" customHeight="1">
      <c r="A12" s="32">
        <f t="shared" si="3"/>
        <v>5</v>
      </c>
      <c r="B12" s="33" t="s">
        <v>304</v>
      </c>
      <c r="C12" s="34" t="s">
        <v>26</v>
      </c>
      <c r="D12" s="35">
        <f t="shared" si="0"/>
        <v>0.1</v>
      </c>
      <c r="E12" s="45"/>
      <c r="F12" s="35">
        <f t="shared" si="2"/>
        <v>0.1</v>
      </c>
      <c r="G12" s="51"/>
      <c r="H12" s="52"/>
      <c r="I12" s="52"/>
      <c r="J12" s="52"/>
      <c r="K12" s="52"/>
      <c r="L12" s="52"/>
      <c r="M12" s="52">
        <v>0.1</v>
      </c>
      <c r="N12" s="52"/>
      <c r="O12" s="52"/>
      <c r="P12" s="53"/>
      <c r="Q12" s="51"/>
      <c r="R12" s="51"/>
      <c r="S12" s="51"/>
      <c r="T12" s="51"/>
      <c r="U12" s="51"/>
      <c r="V12" s="51"/>
      <c r="W12" s="51"/>
      <c r="X12" s="51"/>
      <c r="Y12" s="51"/>
      <c r="Z12" s="52"/>
      <c r="AA12" s="52"/>
      <c r="AB12" s="52"/>
      <c r="AC12" s="52"/>
      <c r="AD12" s="52"/>
      <c r="AE12" s="52"/>
      <c r="AF12" s="52"/>
      <c r="AG12" s="52"/>
      <c r="AH12" s="52"/>
      <c r="AI12" s="52"/>
      <c r="AJ12" s="52"/>
      <c r="AK12" s="52"/>
      <c r="AL12" s="52"/>
      <c r="AM12" s="52"/>
      <c r="AN12" s="52"/>
      <c r="AO12" s="52"/>
      <c r="AP12" s="52"/>
      <c r="AQ12" s="52"/>
      <c r="AR12" s="52"/>
      <c r="AS12" s="52"/>
      <c r="AT12" s="52"/>
      <c r="AU12" s="52"/>
      <c r="AV12" s="52"/>
      <c r="AW12" s="52"/>
      <c r="AX12" s="52"/>
      <c r="AY12" s="47" t="s">
        <v>233</v>
      </c>
      <c r="AZ12" s="54" t="s">
        <v>305</v>
      </c>
      <c r="BA12" s="47" t="s">
        <v>291</v>
      </c>
      <c r="BB12" s="48"/>
      <c r="BI12" s="42">
        <v>1</v>
      </c>
    </row>
    <row r="13" spans="1:63" ht="35.1" customHeight="1">
      <c r="A13" s="32">
        <f t="shared" si="3"/>
        <v>6</v>
      </c>
      <c r="B13" s="33" t="s">
        <v>306</v>
      </c>
      <c r="C13" s="34" t="s">
        <v>26</v>
      </c>
      <c r="D13" s="35">
        <f t="shared" si="0"/>
        <v>0.1</v>
      </c>
      <c r="E13" s="36"/>
      <c r="F13" s="35">
        <f t="shared" si="2"/>
        <v>0.1</v>
      </c>
      <c r="G13" s="37"/>
      <c r="H13" s="37"/>
      <c r="I13" s="37"/>
      <c r="J13" s="37"/>
      <c r="K13" s="37"/>
      <c r="L13" s="37"/>
      <c r="M13" s="37">
        <v>0.1</v>
      </c>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4" t="s">
        <v>237</v>
      </c>
      <c r="AZ13" s="34" t="s">
        <v>307</v>
      </c>
      <c r="BA13" s="39" t="s">
        <v>291</v>
      </c>
      <c r="BB13" s="40"/>
      <c r="BC13" s="40"/>
      <c r="BD13" s="40" t="s">
        <v>308</v>
      </c>
      <c r="BE13" s="40" t="s">
        <v>18</v>
      </c>
      <c r="BI13" s="42">
        <v>1</v>
      </c>
    </row>
    <row r="14" spans="1:63" ht="35.1" customHeight="1">
      <c r="A14" s="32">
        <f t="shared" si="3"/>
        <v>7</v>
      </c>
      <c r="B14" s="33" t="s">
        <v>309</v>
      </c>
      <c r="C14" s="34" t="s">
        <v>26</v>
      </c>
      <c r="D14" s="35">
        <f>E14+F14</f>
        <v>0.1</v>
      </c>
      <c r="E14" s="36"/>
      <c r="F14" s="35">
        <f>SUM(G14:AX14)</f>
        <v>0.1</v>
      </c>
      <c r="G14" s="37"/>
      <c r="H14" s="37"/>
      <c r="I14" s="37"/>
      <c r="J14" s="37"/>
      <c r="K14" s="37"/>
      <c r="L14" s="37"/>
      <c r="M14" s="37">
        <v>0.1</v>
      </c>
      <c r="N14" s="37"/>
      <c r="O14" s="37"/>
      <c r="P14" s="37"/>
      <c r="Q14" s="37"/>
      <c r="R14" s="37"/>
      <c r="S14" s="37"/>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8" t="s">
        <v>225</v>
      </c>
      <c r="AZ14" s="38" t="s">
        <v>310</v>
      </c>
      <c r="BA14" s="47" t="s">
        <v>298</v>
      </c>
      <c r="BB14" s="40"/>
      <c r="BC14" s="40"/>
      <c r="BD14" s="40"/>
      <c r="BE14" s="40"/>
      <c r="BG14" s="15" t="s">
        <v>311</v>
      </c>
      <c r="BI14" s="42"/>
    </row>
    <row r="15" spans="1:63" ht="35.1" customHeight="1">
      <c r="A15" s="32">
        <f t="shared" si="3"/>
        <v>8</v>
      </c>
      <c r="B15" s="33" t="s">
        <v>312</v>
      </c>
      <c r="C15" s="34" t="s">
        <v>26</v>
      </c>
      <c r="D15" s="35">
        <f t="shared" si="0"/>
        <v>0.1</v>
      </c>
      <c r="E15" s="36"/>
      <c r="F15" s="35">
        <f t="shared" si="2"/>
        <v>0.1</v>
      </c>
      <c r="G15" s="37"/>
      <c r="H15" s="37"/>
      <c r="I15" s="37"/>
      <c r="J15" s="37"/>
      <c r="K15" s="37"/>
      <c r="L15" s="37"/>
      <c r="M15" s="37">
        <v>0.1</v>
      </c>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8" t="s">
        <v>238</v>
      </c>
      <c r="AZ15" s="38" t="s">
        <v>313</v>
      </c>
      <c r="BA15" s="39" t="s">
        <v>291</v>
      </c>
      <c r="BB15" s="40"/>
      <c r="BC15" s="55"/>
      <c r="BD15" s="55"/>
      <c r="BE15" s="41"/>
      <c r="BI15" s="42">
        <v>1</v>
      </c>
    </row>
    <row r="16" spans="1:63" s="24" customFormat="1" ht="23.85" customHeight="1">
      <c r="A16" s="20" t="s">
        <v>79</v>
      </c>
      <c r="B16" s="25" t="s">
        <v>66</v>
      </c>
      <c r="C16" s="26"/>
      <c r="D16" s="27">
        <f t="shared" si="0"/>
        <v>6.9499999999999993</v>
      </c>
      <c r="E16" s="27">
        <f>SUM(E17:E33)</f>
        <v>2.44</v>
      </c>
      <c r="F16" s="27">
        <f>SUM(G16:AX16)</f>
        <v>4.51</v>
      </c>
      <c r="G16" s="28">
        <f t="shared" ref="G16:AX16" si="4">SUM(G17:G33)</f>
        <v>1.19</v>
      </c>
      <c r="H16" s="28">
        <f t="shared" si="4"/>
        <v>0</v>
      </c>
      <c r="I16" s="28">
        <f t="shared" si="4"/>
        <v>0.18</v>
      </c>
      <c r="J16" s="28">
        <f t="shared" si="4"/>
        <v>0.1</v>
      </c>
      <c r="K16" s="28">
        <f t="shared" si="4"/>
        <v>0</v>
      </c>
      <c r="L16" s="28">
        <f t="shared" si="4"/>
        <v>0</v>
      </c>
      <c r="M16" s="28">
        <f t="shared" si="4"/>
        <v>0</v>
      </c>
      <c r="N16" s="28">
        <f t="shared" si="4"/>
        <v>0</v>
      </c>
      <c r="O16" s="28">
        <f t="shared" si="4"/>
        <v>0</v>
      </c>
      <c r="P16" s="28">
        <f t="shared" si="4"/>
        <v>0.15</v>
      </c>
      <c r="Q16" s="28">
        <f t="shared" si="4"/>
        <v>0</v>
      </c>
      <c r="R16" s="28">
        <f t="shared" si="4"/>
        <v>0</v>
      </c>
      <c r="S16" s="28">
        <f t="shared" si="4"/>
        <v>0</v>
      </c>
      <c r="T16" s="28">
        <f t="shared" si="4"/>
        <v>0</v>
      </c>
      <c r="U16" s="28">
        <f t="shared" si="4"/>
        <v>0</v>
      </c>
      <c r="V16" s="28">
        <f t="shared" si="4"/>
        <v>0</v>
      </c>
      <c r="W16" s="28">
        <f t="shared" si="4"/>
        <v>0.22</v>
      </c>
      <c r="X16" s="28">
        <f t="shared" si="4"/>
        <v>0</v>
      </c>
      <c r="Y16" s="28">
        <f t="shared" si="4"/>
        <v>0</v>
      </c>
      <c r="Z16" s="28">
        <f t="shared" si="4"/>
        <v>0</v>
      </c>
      <c r="AA16" s="28">
        <f t="shared" si="4"/>
        <v>0.03</v>
      </c>
      <c r="AB16" s="28">
        <f t="shared" si="4"/>
        <v>0</v>
      </c>
      <c r="AC16" s="28">
        <f t="shared" si="4"/>
        <v>0.25</v>
      </c>
      <c r="AD16" s="28">
        <f t="shared" si="4"/>
        <v>0</v>
      </c>
      <c r="AE16" s="28">
        <f t="shared" si="4"/>
        <v>0</v>
      </c>
      <c r="AF16" s="28">
        <f t="shared" si="4"/>
        <v>0</v>
      </c>
      <c r="AG16" s="28">
        <f t="shared" si="4"/>
        <v>0</v>
      </c>
      <c r="AH16" s="28">
        <f t="shared" si="4"/>
        <v>0</v>
      </c>
      <c r="AI16" s="28">
        <f t="shared" si="4"/>
        <v>0</v>
      </c>
      <c r="AJ16" s="28">
        <f t="shared" si="4"/>
        <v>0</v>
      </c>
      <c r="AK16" s="28">
        <f t="shared" si="4"/>
        <v>0</v>
      </c>
      <c r="AL16" s="28">
        <f t="shared" si="4"/>
        <v>0</v>
      </c>
      <c r="AM16" s="28">
        <f t="shared" si="4"/>
        <v>0</v>
      </c>
      <c r="AN16" s="28">
        <f t="shared" si="4"/>
        <v>0</v>
      </c>
      <c r="AO16" s="28">
        <f t="shared" si="4"/>
        <v>0</v>
      </c>
      <c r="AP16" s="28">
        <f t="shared" si="4"/>
        <v>0</v>
      </c>
      <c r="AQ16" s="28">
        <f t="shared" si="4"/>
        <v>0</v>
      </c>
      <c r="AR16" s="28">
        <f t="shared" si="4"/>
        <v>2.39</v>
      </c>
      <c r="AS16" s="28">
        <f t="shared" si="4"/>
        <v>0</v>
      </c>
      <c r="AT16" s="28">
        <f t="shared" si="4"/>
        <v>0</v>
      </c>
      <c r="AU16" s="28">
        <f t="shared" si="4"/>
        <v>0</v>
      </c>
      <c r="AV16" s="28">
        <f t="shared" si="4"/>
        <v>0</v>
      </c>
      <c r="AW16" s="28">
        <f t="shared" si="4"/>
        <v>0</v>
      </c>
      <c r="AX16" s="28">
        <f t="shared" si="4"/>
        <v>0</v>
      </c>
      <c r="AY16" s="29"/>
      <c r="AZ16" s="29"/>
      <c r="BA16" s="30"/>
      <c r="BB16" s="31"/>
      <c r="BI16" s="42"/>
    </row>
    <row r="17" spans="1:64" ht="20.100000000000001" customHeight="1">
      <c r="A17" s="32">
        <f>A15+1</f>
        <v>9</v>
      </c>
      <c r="B17" s="56" t="s">
        <v>314</v>
      </c>
      <c r="C17" s="38" t="s">
        <v>28</v>
      </c>
      <c r="D17" s="35">
        <f t="shared" si="0"/>
        <v>2.84</v>
      </c>
      <c r="E17" s="57">
        <v>2.44</v>
      </c>
      <c r="F17" s="35">
        <f>SUM(G17:AX17)</f>
        <v>0.4</v>
      </c>
      <c r="G17" s="43">
        <v>0.3</v>
      </c>
      <c r="H17" s="43"/>
      <c r="I17" s="43">
        <v>0.1</v>
      </c>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38" t="s">
        <v>289</v>
      </c>
      <c r="AZ17" s="38" t="s">
        <v>315</v>
      </c>
      <c r="BA17" s="39" t="s">
        <v>291</v>
      </c>
      <c r="BB17" s="40"/>
      <c r="BC17" s="58"/>
      <c r="BD17" s="58"/>
      <c r="BE17" s="41"/>
      <c r="BI17" s="42">
        <v>1</v>
      </c>
    </row>
    <row r="18" spans="1:64" s="24" customFormat="1" ht="20.100000000000001" customHeight="1">
      <c r="A18" s="32">
        <f>A17+1</f>
        <v>10</v>
      </c>
      <c r="B18" s="33" t="s">
        <v>316</v>
      </c>
      <c r="C18" s="38" t="s">
        <v>28</v>
      </c>
      <c r="D18" s="35">
        <f t="shared" si="0"/>
        <v>0.22</v>
      </c>
      <c r="E18" s="35"/>
      <c r="F18" s="35">
        <f t="shared" ref="F18:F42" si="5">SUM(G18:AX18)</f>
        <v>0.22</v>
      </c>
      <c r="G18" s="28"/>
      <c r="H18" s="28"/>
      <c r="I18" s="28"/>
      <c r="J18" s="28"/>
      <c r="K18" s="28"/>
      <c r="L18" s="28"/>
      <c r="M18" s="28"/>
      <c r="N18" s="28"/>
      <c r="O18" s="28"/>
      <c r="P18" s="28"/>
      <c r="Q18" s="28"/>
      <c r="R18" s="28"/>
      <c r="S18" s="28"/>
      <c r="T18" s="28"/>
      <c r="U18" s="28"/>
      <c r="V18" s="28"/>
      <c r="W18" s="43">
        <v>0.22</v>
      </c>
      <c r="X18" s="28"/>
      <c r="Y18" s="28"/>
      <c r="Z18" s="28"/>
      <c r="AA18" s="28"/>
      <c r="AB18" s="28"/>
      <c r="AC18" s="28"/>
      <c r="AD18" s="28"/>
      <c r="AE18" s="28"/>
      <c r="AF18" s="28"/>
      <c r="AG18" s="28"/>
      <c r="AH18" s="28"/>
      <c r="AI18" s="28"/>
      <c r="AJ18" s="28"/>
      <c r="AK18" s="28"/>
      <c r="AL18" s="28"/>
      <c r="AM18" s="28"/>
      <c r="AN18" s="28"/>
      <c r="AO18" s="28"/>
      <c r="AP18" s="28"/>
      <c r="AQ18" s="28"/>
      <c r="AR18" s="28"/>
      <c r="AS18" s="28"/>
      <c r="AT18" s="28"/>
      <c r="AU18" s="28"/>
      <c r="AV18" s="28"/>
      <c r="AW18" s="28"/>
      <c r="AX18" s="28"/>
      <c r="AY18" s="38" t="s">
        <v>317</v>
      </c>
      <c r="AZ18" s="38" t="s">
        <v>318</v>
      </c>
      <c r="BA18" s="39" t="s">
        <v>291</v>
      </c>
      <c r="BB18" s="40"/>
      <c r="BC18" s="24" t="s">
        <v>319</v>
      </c>
      <c r="BE18" s="59"/>
      <c r="BI18" s="42">
        <v>1</v>
      </c>
    </row>
    <row r="19" spans="1:64" ht="20.100000000000001" customHeight="1">
      <c r="A19" s="32">
        <f>A18+1</f>
        <v>11</v>
      </c>
      <c r="B19" s="33" t="s">
        <v>320</v>
      </c>
      <c r="C19" s="38" t="s">
        <v>28</v>
      </c>
      <c r="D19" s="35">
        <f t="shared" si="0"/>
        <v>0.4</v>
      </c>
      <c r="E19" s="35"/>
      <c r="F19" s="35">
        <f t="shared" si="5"/>
        <v>0.4</v>
      </c>
      <c r="G19" s="37"/>
      <c r="H19" s="37"/>
      <c r="I19" s="37"/>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v>0.4</v>
      </c>
      <c r="AS19" s="43"/>
      <c r="AT19" s="43"/>
      <c r="AU19" s="43"/>
      <c r="AV19" s="43"/>
      <c r="AW19" s="43"/>
      <c r="AX19" s="43"/>
      <c r="AY19" s="38" t="s">
        <v>235</v>
      </c>
      <c r="AZ19" s="38" t="s">
        <v>321</v>
      </c>
      <c r="BA19" s="39" t="s">
        <v>322</v>
      </c>
      <c r="BB19" s="40"/>
      <c r="BD19" s="15" t="s">
        <v>323</v>
      </c>
      <c r="BI19" s="42">
        <v>1</v>
      </c>
      <c r="BL19" s="15" t="s">
        <v>324</v>
      </c>
    </row>
    <row r="20" spans="1:64" s="61" customFormat="1" ht="20.100000000000001" customHeight="1">
      <c r="A20" s="32">
        <f>A19+1</f>
        <v>12</v>
      </c>
      <c r="B20" s="60" t="s">
        <v>325</v>
      </c>
      <c r="C20" s="38" t="s">
        <v>28</v>
      </c>
      <c r="D20" s="35">
        <f t="shared" si="0"/>
        <v>0.4</v>
      </c>
      <c r="E20" s="36"/>
      <c r="F20" s="35">
        <f t="shared" si="5"/>
        <v>0.4</v>
      </c>
      <c r="G20" s="37">
        <v>0.27</v>
      </c>
      <c r="H20" s="37"/>
      <c r="I20" s="37"/>
      <c r="J20" s="37">
        <v>0.1</v>
      </c>
      <c r="K20" s="37"/>
      <c r="L20" s="37"/>
      <c r="M20" s="37"/>
      <c r="N20" s="37"/>
      <c r="O20" s="37"/>
      <c r="P20" s="37"/>
      <c r="Q20" s="37"/>
      <c r="R20" s="37"/>
      <c r="S20" s="37"/>
      <c r="T20" s="37"/>
      <c r="U20" s="37"/>
      <c r="V20" s="37"/>
      <c r="W20" s="37"/>
      <c r="X20" s="37"/>
      <c r="Y20" s="37"/>
      <c r="Z20" s="37"/>
      <c r="AA20" s="37">
        <v>0.03</v>
      </c>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4" t="s">
        <v>222</v>
      </c>
      <c r="AZ20" s="34" t="s">
        <v>326</v>
      </c>
      <c r="BA20" s="39" t="s">
        <v>291</v>
      </c>
      <c r="BB20" s="40"/>
      <c r="BC20" s="41"/>
      <c r="BD20" s="41"/>
      <c r="BE20" s="41"/>
      <c r="BF20" s="15"/>
      <c r="BI20" s="42">
        <v>1</v>
      </c>
    </row>
    <row r="21" spans="1:64" ht="20.100000000000001" customHeight="1">
      <c r="A21" s="32">
        <f t="shared" ref="A21:A31" si="6">A20+1</f>
        <v>13</v>
      </c>
      <c r="B21" s="62" t="s">
        <v>327</v>
      </c>
      <c r="C21" s="38" t="s">
        <v>28</v>
      </c>
      <c r="D21" s="35">
        <f t="shared" si="0"/>
        <v>0.25</v>
      </c>
      <c r="E21" s="36"/>
      <c r="F21" s="35">
        <f t="shared" si="5"/>
        <v>0.25</v>
      </c>
      <c r="G21" s="37">
        <v>0.25</v>
      </c>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4" t="s">
        <v>223</v>
      </c>
      <c r="AZ21" s="38" t="s">
        <v>328</v>
      </c>
      <c r="BA21" s="63" t="s">
        <v>291</v>
      </c>
      <c r="BB21" s="64"/>
      <c r="BC21" s="65"/>
      <c r="BD21" s="65"/>
      <c r="BE21" s="41"/>
      <c r="BG21" s="15" t="s">
        <v>329</v>
      </c>
      <c r="BI21" s="42">
        <v>1</v>
      </c>
    </row>
    <row r="22" spans="1:64" s="49" customFormat="1" ht="31.35" customHeight="1">
      <c r="A22" s="32">
        <f t="shared" si="6"/>
        <v>14</v>
      </c>
      <c r="B22" s="60" t="s">
        <v>330</v>
      </c>
      <c r="C22" s="38" t="s">
        <v>28</v>
      </c>
      <c r="D22" s="35">
        <f t="shared" si="0"/>
        <v>0.22</v>
      </c>
      <c r="E22" s="45"/>
      <c r="F22" s="35">
        <f t="shared" si="5"/>
        <v>0.22</v>
      </c>
      <c r="G22" s="46"/>
      <c r="H22" s="46"/>
      <c r="I22" s="46"/>
      <c r="J22" s="46"/>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6"/>
      <c r="AL22" s="46"/>
      <c r="AM22" s="46"/>
      <c r="AN22" s="46"/>
      <c r="AO22" s="46"/>
      <c r="AP22" s="46"/>
      <c r="AQ22" s="46"/>
      <c r="AR22" s="46">
        <v>0.22</v>
      </c>
      <c r="AS22" s="46"/>
      <c r="AT22" s="46"/>
      <c r="AU22" s="46"/>
      <c r="AV22" s="46"/>
      <c r="AW22" s="46"/>
      <c r="AX22" s="46"/>
      <c r="AY22" s="47" t="s">
        <v>224</v>
      </c>
      <c r="AZ22" s="47" t="s">
        <v>331</v>
      </c>
      <c r="BA22" s="47" t="s">
        <v>322</v>
      </c>
      <c r="BB22" s="48"/>
      <c r="BG22" s="49" t="s">
        <v>332</v>
      </c>
      <c r="BI22" s="42">
        <v>1</v>
      </c>
      <c r="BK22" s="50"/>
    </row>
    <row r="23" spans="1:64" s="71" customFormat="1" ht="32.450000000000003" customHeight="1">
      <c r="A23" s="32">
        <f>A22+1</f>
        <v>15</v>
      </c>
      <c r="B23" s="66" t="s">
        <v>333</v>
      </c>
      <c r="C23" s="38" t="s">
        <v>28</v>
      </c>
      <c r="D23" s="35">
        <f t="shared" si="0"/>
        <v>0.17</v>
      </c>
      <c r="E23" s="67"/>
      <c r="F23" s="35">
        <f t="shared" si="5"/>
        <v>0.17</v>
      </c>
      <c r="G23" s="68"/>
      <c r="H23" s="68"/>
      <c r="I23" s="68"/>
      <c r="J23" s="68"/>
      <c r="K23" s="68"/>
      <c r="L23" s="68"/>
      <c r="M23" s="68"/>
      <c r="N23" s="68"/>
      <c r="O23" s="68"/>
      <c r="P23" s="68"/>
      <c r="Q23" s="68"/>
      <c r="R23" s="68"/>
      <c r="S23" s="68"/>
      <c r="T23" s="68"/>
      <c r="U23" s="68"/>
      <c r="V23" s="68"/>
      <c r="W23" s="68"/>
      <c r="X23" s="68"/>
      <c r="Y23" s="68"/>
      <c r="Z23" s="68"/>
      <c r="AA23" s="68"/>
      <c r="AB23" s="68"/>
      <c r="AC23" s="68">
        <v>0.17</v>
      </c>
      <c r="AD23" s="68"/>
      <c r="AE23" s="68"/>
      <c r="AF23" s="68"/>
      <c r="AG23" s="68"/>
      <c r="AH23" s="68"/>
      <c r="AI23" s="68"/>
      <c r="AJ23" s="68"/>
      <c r="AK23" s="68"/>
      <c r="AL23" s="68"/>
      <c r="AM23" s="68"/>
      <c r="AN23" s="68"/>
      <c r="AO23" s="68"/>
      <c r="AP23" s="68"/>
      <c r="AQ23" s="68"/>
      <c r="AR23" s="68"/>
      <c r="AS23" s="68"/>
      <c r="AT23" s="68"/>
      <c r="AU23" s="68"/>
      <c r="AV23" s="68"/>
      <c r="AW23" s="68"/>
      <c r="AX23" s="68"/>
      <c r="AY23" s="69" t="s">
        <v>226</v>
      </c>
      <c r="AZ23" s="70" t="s">
        <v>334</v>
      </c>
      <c r="BA23" s="47" t="s">
        <v>322</v>
      </c>
      <c r="BB23" s="48"/>
      <c r="BC23" s="71" t="s">
        <v>335</v>
      </c>
      <c r="BG23" s="71" t="s">
        <v>336</v>
      </c>
      <c r="BI23" s="42">
        <v>1</v>
      </c>
      <c r="BK23" s="72"/>
    </row>
    <row r="24" spans="1:64" s="49" customFormat="1" ht="30.6" customHeight="1">
      <c r="A24" s="32">
        <f t="shared" si="6"/>
        <v>16</v>
      </c>
      <c r="B24" s="60" t="s">
        <v>330</v>
      </c>
      <c r="C24" s="38" t="s">
        <v>28</v>
      </c>
      <c r="D24" s="35">
        <f t="shared" si="0"/>
        <v>0.27</v>
      </c>
      <c r="E24" s="45"/>
      <c r="F24" s="35">
        <f t="shared" si="5"/>
        <v>0.27</v>
      </c>
      <c r="G24" s="46"/>
      <c r="H24" s="46"/>
      <c r="I24" s="46"/>
      <c r="J24" s="46"/>
      <c r="K24" s="46"/>
      <c r="L24" s="46"/>
      <c r="M24" s="46"/>
      <c r="N24" s="46"/>
      <c r="O24" s="46"/>
      <c r="P24" s="46"/>
      <c r="Q24" s="46"/>
      <c r="R24" s="46"/>
      <c r="S24" s="46"/>
      <c r="T24" s="46"/>
      <c r="U24" s="46"/>
      <c r="V24" s="46"/>
      <c r="W24" s="46"/>
      <c r="X24" s="46"/>
      <c r="Y24" s="46"/>
      <c r="Z24" s="46"/>
      <c r="AA24" s="46"/>
      <c r="AB24" s="46"/>
      <c r="AC24" s="46"/>
      <c r="AD24" s="46"/>
      <c r="AE24" s="46"/>
      <c r="AF24" s="46"/>
      <c r="AG24" s="46"/>
      <c r="AH24" s="46"/>
      <c r="AI24" s="46"/>
      <c r="AJ24" s="46"/>
      <c r="AK24" s="46"/>
      <c r="AL24" s="46"/>
      <c r="AM24" s="46"/>
      <c r="AN24" s="46"/>
      <c r="AO24" s="46"/>
      <c r="AP24" s="46"/>
      <c r="AQ24" s="46"/>
      <c r="AR24" s="46">
        <v>0.27</v>
      </c>
      <c r="AS24" s="46"/>
      <c r="AT24" s="46"/>
      <c r="AU24" s="46"/>
      <c r="AV24" s="46"/>
      <c r="AW24" s="46"/>
      <c r="AX24" s="46"/>
      <c r="AY24" s="47" t="s">
        <v>227</v>
      </c>
      <c r="AZ24" s="47" t="s">
        <v>337</v>
      </c>
      <c r="BA24" s="47" t="s">
        <v>322</v>
      </c>
      <c r="BB24" s="48"/>
      <c r="BG24" s="49" t="s">
        <v>332</v>
      </c>
      <c r="BI24" s="42">
        <v>1</v>
      </c>
      <c r="BK24" s="50"/>
    </row>
    <row r="25" spans="1:64" ht="19.350000000000001" customHeight="1">
      <c r="A25" s="32">
        <f t="shared" si="6"/>
        <v>17</v>
      </c>
      <c r="B25" s="33" t="s">
        <v>338</v>
      </c>
      <c r="C25" s="38" t="s">
        <v>28</v>
      </c>
      <c r="D25" s="35">
        <f t="shared" si="0"/>
        <v>0.15</v>
      </c>
      <c r="E25" s="36"/>
      <c r="F25" s="35">
        <f t="shared" si="5"/>
        <v>0.15</v>
      </c>
      <c r="G25" s="37"/>
      <c r="H25" s="37"/>
      <c r="I25" s="37"/>
      <c r="J25" s="37"/>
      <c r="K25" s="37"/>
      <c r="L25" s="37"/>
      <c r="M25" s="37"/>
      <c r="N25" s="37"/>
      <c r="O25" s="37"/>
      <c r="P25" s="37">
        <v>0.15</v>
      </c>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8" t="s">
        <v>228</v>
      </c>
      <c r="AZ25" s="38" t="s">
        <v>339</v>
      </c>
      <c r="BA25" s="39" t="s">
        <v>291</v>
      </c>
      <c r="BB25" s="40"/>
      <c r="BE25" s="41"/>
      <c r="BI25" s="42">
        <v>1</v>
      </c>
    </row>
    <row r="26" spans="1:64" s="49" customFormat="1" ht="32.1" customHeight="1">
      <c r="A26" s="32">
        <f t="shared" si="6"/>
        <v>18</v>
      </c>
      <c r="B26" s="62" t="s">
        <v>330</v>
      </c>
      <c r="C26" s="38" t="s">
        <v>28</v>
      </c>
      <c r="D26" s="35">
        <f t="shared" si="0"/>
        <v>0.23</v>
      </c>
      <c r="E26" s="73"/>
      <c r="F26" s="35">
        <f t="shared" si="5"/>
        <v>0.23</v>
      </c>
      <c r="G26" s="37"/>
      <c r="H26" s="74"/>
      <c r="I26" s="74"/>
      <c r="J26" s="74"/>
      <c r="K26" s="74"/>
      <c r="L26" s="74"/>
      <c r="M26" s="74"/>
      <c r="N26" s="74"/>
      <c r="O26" s="74"/>
      <c r="P26" s="74"/>
      <c r="Q26" s="74"/>
      <c r="R26" s="74"/>
      <c r="S26" s="74"/>
      <c r="T26" s="74"/>
      <c r="U26" s="74"/>
      <c r="V26" s="74"/>
      <c r="W26" s="74"/>
      <c r="X26" s="74"/>
      <c r="Y26" s="74"/>
      <c r="Z26" s="74"/>
      <c r="AA26" s="74"/>
      <c r="AB26" s="74"/>
      <c r="AC26" s="74"/>
      <c r="AD26" s="74"/>
      <c r="AE26" s="74"/>
      <c r="AF26" s="74"/>
      <c r="AG26" s="74"/>
      <c r="AH26" s="74"/>
      <c r="AI26" s="74"/>
      <c r="AJ26" s="74"/>
      <c r="AK26" s="74"/>
      <c r="AL26" s="74"/>
      <c r="AM26" s="74"/>
      <c r="AN26" s="74"/>
      <c r="AO26" s="74"/>
      <c r="AP26" s="74"/>
      <c r="AQ26" s="74"/>
      <c r="AR26" s="46">
        <v>0.23</v>
      </c>
      <c r="AS26" s="74"/>
      <c r="AT26" s="74"/>
      <c r="AU26" s="74"/>
      <c r="AV26" s="74"/>
      <c r="AW26" s="74"/>
      <c r="AX26" s="74"/>
      <c r="AY26" s="34" t="s">
        <v>229</v>
      </c>
      <c r="AZ26" s="38" t="s">
        <v>340</v>
      </c>
      <c r="BA26" s="47" t="s">
        <v>322</v>
      </c>
      <c r="BB26" s="75"/>
      <c r="BG26" s="49" t="s">
        <v>332</v>
      </c>
      <c r="BI26" s="42">
        <v>1</v>
      </c>
      <c r="BK26" s="50"/>
    </row>
    <row r="27" spans="1:64" ht="19.350000000000001" customHeight="1">
      <c r="A27" s="32">
        <f>A26+1</f>
        <v>19</v>
      </c>
      <c r="B27" s="62" t="s">
        <v>341</v>
      </c>
      <c r="C27" s="38" t="s">
        <v>28</v>
      </c>
      <c r="D27" s="35">
        <f t="shared" si="0"/>
        <v>0.2</v>
      </c>
      <c r="E27" s="36"/>
      <c r="F27" s="35">
        <f t="shared" si="5"/>
        <v>0.2</v>
      </c>
      <c r="G27" s="37">
        <f>0.2-0.08</f>
        <v>0.12000000000000001</v>
      </c>
      <c r="H27" s="37"/>
      <c r="I27" s="37">
        <v>0.08</v>
      </c>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8" t="s">
        <v>232</v>
      </c>
      <c r="AZ27" s="34" t="s">
        <v>342</v>
      </c>
      <c r="BA27" s="47" t="s">
        <v>322</v>
      </c>
      <c r="BB27" s="48"/>
      <c r="BD27" s="15" t="s">
        <v>343</v>
      </c>
      <c r="BE27" s="41">
        <v>0.25</v>
      </c>
      <c r="BG27" s="15" t="s">
        <v>344</v>
      </c>
      <c r="BI27" s="42">
        <v>1</v>
      </c>
    </row>
    <row r="28" spans="1:64" s="49" customFormat="1" ht="47.1" customHeight="1">
      <c r="A28" s="32">
        <f t="shared" si="6"/>
        <v>20</v>
      </c>
      <c r="B28" s="33" t="s">
        <v>345</v>
      </c>
      <c r="C28" s="38" t="s">
        <v>28</v>
      </c>
      <c r="D28" s="35">
        <f t="shared" si="0"/>
        <v>0.33</v>
      </c>
      <c r="E28" s="45"/>
      <c r="F28" s="35">
        <f t="shared" si="5"/>
        <v>0.33</v>
      </c>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K28" s="46"/>
      <c r="AL28" s="46"/>
      <c r="AM28" s="46"/>
      <c r="AN28" s="46"/>
      <c r="AO28" s="46"/>
      <c r="AP28" s="46"/>
      <c r="AQ28" s="46"/>
      <c r="AR28" s="46">
        <v>0.33</v>
      </c>
      <c r="AS28" s="46"/>
      <c r="AT28" s="46"/>
      <c r="AU28" s="46"/>
      <c r="AV28" s="46"/>
      <c r="AW28" s="46"/>
      <c r="AX28" s="46"/>
      <c r="AY28" s="47" t="s">
        <v>233</v>
      </c>
      <c r="AZ28" s="47" t="s">
        <v>346</v>
      </c>
      <c r="BA28" s="47" t="s">
        <v>322</v>
      </c>
      <c r="BB28" s="48"/>
      <c r="BG28" s="49" t="s">
        <v>347</v>
      </c>
      <c r="BI28" s="42">
        <v>1</v>
      </c>
      <c r="BK28" s="50"/>
    </row>
    <row r="29" spans="1:64" s="49" customFormat="1" ht="31.5">
      <c r="A29" s="32">
        <f t="shared" si="6"/>
        <v>21</v>
      </c>
      <c r="B29" s="60" t="s">
        <v>348</v>
      </c>
      <c r="C29" s="38" t="s">
        <v>28</v>
      </c>
      <c r="D29" s="35">
        <f t="shared" si="0"/>
        <v>0.25</v>
      </c>
      <c r="E29" s="45"/>
      <c r="F29" s="35">
        <f t="shared" si="5"/>
        <v>0.25</v>
      </c>
      <c r="G29" s="46">
        <v>0.25</v>
      </c>
      <c r="H29" s="46"/>
      <c r="I29" s="46"/>
      <c r="J29" s="46"/>
      <c r="K29" s="46"/>
      <c r="L29" s="46"/>
      <c r="M29" s="46"/>
      <c r="N29" s="46"/>
      <c r="O29" s="46"/>
      <c r="P29" s="46"/>
      <c r="Q29" s="46"/>
      <c r="R29" s="46"/>
      <c r="S29" s="46"/>
      <c r="T29" s="46"/>
      <c r="U29" s="46"/>
      <c r="V29" s="46"/>
      <c r="W29" s="46"/>
      <c r="X29" s="46"/>
      <c r="Y29" s="46"/>
      <c r="Z29" s="46"/>
      <c r="AA29" s="46"/>
      <c r="AB29" s="46"/>
      <c r="AC29" s="46"/>
      <c r="AD29" s="46"/>
      <c r="AE29" s="46"/>
      <c r="AF29" s="46"/>
      <c r="AG29" s="46"/>
      <c r="AH29" s="46"/>
      <c r="AI29" s="46"/>
      <c r="AJ29" s="46"/>
      <c r="AK29" s="46"/>
      <c r="AL29" s="46"/>
      <c r="AM29" s="46"/>
      <c r="AN29" s="46"/>
      <c r="AO29" s="46"/>
      <c r="AP29" s="46"/>
      <c r="AQ29" s="46"/>
      <c r="AR29" s="46"/>
      <c r="AS29" s="46"/>
      <c r="AT29" s="46"/>
      <c r="AU29" s="46"/>
      <c r="AV29" s="46"/>
      <c r="AW29" s="46"/>
      <c r="AX29" s="46"/>
      <c r="AY29" s="47" t="s">
        <v>234</v>
      </c>
      <c r="AZ29" s="47" t="s">
        <v>349</v>
      </c>
      <c r="BA29" s="47" t="s">
        <v>322</v>
      </c>
      <c r="BB29" s="48"/>
      <c r="BI29" s="42">
        <v>1</v>
      </c>
      <c r="BK29" s="50"/>
    </row>
    <row r="30" spans="1:64" s="71" customFormat="1" ht="31.35" customHeight="1">
      <c r="A30" s="32">
        <f t="shared" si="6"/>
        <v>22</v>
      </c>
      <c r="B30" s="66" t="s">
        <v>350</v>
      </c>
      <c r="C30" s="38" t="s">
        <v>28</v>
      </c>
      <c r="D30" s="35">
        <f t="shared" si="0"/>
        <v>0.2</v>
      </c>
      <c r="E30" s="76"/>
      <c r="F30" s="35">
        <f t="shared" si="5"/>
        <v>0.2</v>
      </c>
      <c r="G30" s="77"/>
      <c r="H30" s="77"/>
      <c r="I30" s="77"/>
      <c r="J30" s="77"/>
      <c r="K30" s="77"/>
      <c r="L30" s="77"/>
      <c r="M30" s="77"/>
      <c r="N30" s="77"/>
      <c r="O30" s="77"/>
      <c r="P30" s="77"/>
      <c r="Q30" s="77"/>
      <c r="R30" s="77"/>
      <c r="S30" s="77"/>
      <c r="T30" s="77"/>
      <c r="U30" s="77"/>
      <c r="V30" s="77"/>
      <c r="W30" s="77"/>
      <c r="X30" s="77"/>
      <c r="Y30" s="77"/>
      <c r="Z30" s="77"/>
      <c r="AA30" s="77"/>
      <c r="AB30" s="77"/>
      <c r="AC30" s="77"/>
      <c r="AD30" s="77"/>
      <c r="AE30" s="77"/>
      <c r="AF30" s="77"/>
      <c r="AG30" s="77"/>
      <c r="AH30" s="77"/>
      <c r="AI30" s="77"/>
      <c r="AJ30" s="77"/>
      <c r="AK30" s="77"/>
      <c r="AL30" s="77"/>
      <c r="AM30" s="77"/>
      <c r="AN30" s="77"/>
      <c r="AO30" s="77"/>
      <c r="AP30" s="77"/>
      <c r="AQ30" s="77"/>
      <c r="AR30" s="77">
        <v>0.2</v>
      </c>
      <c r="AS30" s="77"/>
      <c r="AT30" s="77"/>
      <c r="AU30" s="77"/>
      <c r="AV30" s="77"/>
      <c r="AW30" s="77"/>
      <c r="AX30" s="77"/>
      <c r="AY30" s="70" t="s">
        <v>235</v>
      </c>
      <c r="AZ30" s="38" t="s">
        <v>321</v>
      </c>
      <c r="BA30" s="47" t="s">
        <v>322</v>
      </c>
      <c r="BB30" s="48" t="s">
        <v>351</v>
      </c>
      <c r="BG30" s="71" t="s">
        <v>352</v>
      </c>
      <c r="BI30" s="42">
        <v>1</v>
      </c>
      <c r="BK30" s="72"/>
      <c r="BL30" s="71" t="s">
        <v>353</v>
      </c>
    </row>
    <row r="31" spans="1:64" ht="18" customHeight="1">
      <c r="A31" s="32">
        <f t="shared" si="6"/>
        <v>23</v>
      </c>
      <c r="B31" s="33" t="s">
        <v>354</v>
      </c>
      <c r="C31" s="38" t="s">
        <v>28</v>
      </c>
      <c r="D31" s="35">
        <f t="shared" si="0"/>
        <v>0.2</v>
      </c>
      <c r="E31" s="36"/>
      <c r="F31" s="35">
        <f t="shared" si="5"/>
        <v>0.2</v>
      </c>
      <c r="G31" s="37"/>
      <c r="H31" s="37"/>
      <c r="I31" s="37"/>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v>0.2</v>
      </c>
      <c r="AS31" s="37"/>
      <c r="AT31" s="37"/>
      <c r="AU31" s="37"/>
      <c r="AV31" s="37"/>
      <c r="AW31" s="37"/>
      <c r="AX31" s="37"/>
      <c r="AY31" s="38" t="s">
        <v>236</v>
      </c>
      <c r="AZ31" s="38" t="s">
        <v>355</v>
      </c>
      <c r="BA31" s="39" t="s">
        <v>291</v>
      </c>
      <c r="BB31" s="40"/>
      <c r="BD31" s="15" t="s">
        <v>356</v>
      </c>
      <c r="BE31" s="41"/>
      <c r="BI31" s="42">
        <v>1</v>
      </c>
    </row>
    <row r="32" spans="1:64" ht="32.450000000000003" customHeight="1">
      <c r="A32" s="32">
        <f>A31+1</f>
        <v>24</v>
      </c>
      <c r="B32" s="62" t="s">
        <v>357</v>
      </c>
      <c r="C32" s="38" t="s">
        <v>28</v>
      </c>
      <c r="D32" s="35">
        <f t="shared" si="0"/>
        <v>0.08</v>
      </c>
      <c r="E32" s="36"/>
      <c r="F32" s="35">
        <f t="shared" si="5"/>
        <v>0.08</v>
      </c>
      <c r="G32" s="37"/>
      <c r="H32" s="37"/>
      <c r="I32" s="37"/>
      <c r="J32" s="37"/>
      <c r="K32" s="37"/>
      <c r="L32" s="37"/>
      <c r="M32" s="37"/>
      <c r="N32" s="37"/>
      <c r="O32" s="37"/>
      <c r="P32" s="37"/>
      <c r="Q32" s="37"/>
      <c r="R32" s="37"/>
      <c r="S32" s="37"/>
      <c r="T32" s="37"/>
      <c r="U32" s="37"/>
      <c r="V32" s="37"/>
      <c r="W32" s="37"/>
      <c r="X32" s="37"/>
      <c r="Y32" s="37"/>
      <c r="Z32" s="37"/>
      <c r="AA32" s="37"/>
      <c r="AB32" s="37"/>
      <c r="AC32" s="37">
        <v>0.08</v>
      </c>
      <c r="AD32" s="37"/>
      <c r="AE32" s="37"/>
      <c r="AF32" s="37"/>
      <c r="AG32" s="37"/>
      <c r="AH32" s="37"/>
      <c r="AI32" s="37"/>
      <c r="AJ32" s="37"/>
      <c r="AK32" s="37"/>
      <c r="AL32" s="37"/>
      <c r="AM32" s="37"/>
      <c r="AN32" s="37"/>
      <c r="AO32" s="37"/>
      <c r="AP32" s="37"/>
      <c r="AQ32" s="37"/>
      <c r="AR32" s="37"/>
      <c r="AS32" s="37"/>
      <c r="AT32" s="37"/>
      <c r="AU32" s="37"/>
      <c r="AV32" s="37"/>
      <c r="AW32" s="37"/>
      <c r="AX32" s="37"/>
      <c r="AY32" s="38" t="s">
        <v>238</v>
      </c>
      <c r="AZ32" s="38" t="s">
        <v>358</v>
      </c>
      <c r="BA32" s="47" t="s">
        <v>322</v>
      </c>
      <c r="BB32" s="40"/>
      <c r="BC32" s="65"/>
      <c r="BD32" s="65"/>
      <c r="BE32" s="41"/>
      <c r="BG32" s="15" t="s">
        <v>359</v>
      </c>
      <c r="BI32" s="42">
        <v>1</v>
      </c>
    </row>
    <row r="33" spans="1:64" ht="31.35" customHeight="1">
      <c r="A33" s="32">
        <f>A32+1</f>
        <v>25</v>
      </c>
      <c r="B33" s="33" t="s">
        <v>360</v>
      </c>
      <c r="C33" s="38" t="s">
        <v>28</v>
      </c>
      <c r="D33" s="35">
        <f t="shared" si="0"/>
        <v>0.54</v>
      </c>
      <c r="E33" s="36"/>
      <c r="F33" s="35">
        <f t="shared" si="5"/>
        <v>0.54</v>
      </c>
      <c r="G33" s="37"/>
      <c r="H33" s="37"/>
      <c r="I33" s="37"/>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37"/>
      <c r="AJ33" s="37"/>
      <c r="AK33" s="37"/>
      <c r="AL33" s="37"/>
      <c r="AM33" s="37"/>
      <c r="AN33" s="37"/>
      <c r="AO33" s="37"/>
      <c r="AP33" s="37"/>
      <c r="AQ33" s="37"/>
      <c r="AR33" s="37">
        <v>0.54</v>
      </c>
      <c r="AS33" s="37"/>
      <c r="AT33" s="37"/>
      <c r="AU33" s="37"/>
      <c r="AV33" s="37"/>
      <c r="AW33" s="37"/>
      <c r="AX33" s="37"/>
      <c r="AY33" s="34" t="s">
        <v>241</v>
      </c>
      <c r="AZ33" s="38" t="s">
        <v>361</v>
      </c>
      <c r="BA33" s="39" t="s">
        <v>322</v>
      </c>
      <c r="BB33" s="40"/>
      <c r="BE33" s="41"/>
      <c r="BG33" s="15" t="s">
        <v>359</v>
      </c>
      <c r="BI33" s="42">
        <v>1</v>
      </c>
    </row>
    <row r="34" spans="1:64" s="24" customFormat="1" ht="26.1" customHeight="1">
      <c r="A34" s="20" t="s">
        <v>362</v>
      </c>
      <c r="B34" s="25" t="s">
        <v>90</v>
      </c>
      <c r="C34" s="26"/>
      <c r="D34" s="27">
        <f t="shared" si="0"/>
        <v>323</v>
      </c>
      <c r="E34" s="27">
        <f>SUM(E35:E39)</f>
        <v>20.440000000000001</v>
      </c>
      <c r="F34" s="27">
        <f t="shared" si="5"/>
        <v>302.56</v>
      </c>
      <c r="G34" s="28">
        <f>SUM(G35:G39)</f>
        <v>27.19</v>
      </c>
      <c r="H34" s="28">
        <f t="shared" ref="H34:AX34" si="7">SUM(H35:H39)</f>
        <v>8.07</v>
      </c>
      <c r="I34" s="28">
        <f t="shared" si="7"/>
        <v>10.309999999999999</v>
      </c>
      <c r="J34" s="28">
        <f t="shared" si="7"/>
        <v>100.64999999999999</v>
      </c>
      <c r="K34" s="28">
        <f t="shared" si="7"/>
        <v>0</v>
      </c>
      <c r="L34" s="28">
        <f t="shared" si="7"/>
        <v>0</v>
      </c>
      <c r="M34" s="28">
        <f t="shared" si="7"/>
        <v>117.52</v>
      </c>
      <c r="N34" s="28">
        <f t="shared" si="7"/>
        <v>0</v>
      </c>
      <c r="O34" s="28">
        <f t="shared" si="7"/>
        <v>0</v>
      </c>
      <c r="P34" s="28">
        <f t="shared" si="7"/>
        <v>12.16</v>
      </c>
      <c r="Q34" s="28">
        <f t="shared" si="7"/>
        <v>0</v>
      </c>
      <c r="R34" s="28">
        <f t="shared" si="7"/>
        <v>0</v>
      </c>
      <c r="S34" s="28">
        <f t="shared" si="7"/>
        <v>0</v>
      </c>
      <c r="T34" s="28">
        <f t="shared" si="7"/>
        <v>0</v>
      </c>
      <c r="U34" s="28">
        <f t="shared" si="7"/>
        <v>0</v>
      </c>
      <c r="V34" s="28">
        <f t="shared" si="7"/>
        <v>0</v>
      </c>
      <c r="W34" s="28">
        <f t="shared" si="7"/>
        <v>0</v>
      </c>
      <c r="X34" s="28">
        <f t="shared" si="7"/>
        <v>0</v>
      </c>
      <c r="Y34" s="28">
        <f t="shared" si="7"/>
        <v>0</v>
      </c>
      <c r="Z34" s="28">
        <f t="shared" si="7"/>
        <v>6.4500000000000011</v>
      </c>
      <c r="AA34" s="28">
        <f t="shared" si="7"/>
        <v>2.06</v>
      </c>
      <c r="AB34" s="28">
        <f t="shared" si="7"/>
        <v>0</v>
      </c>
      <c r="AC34" s="28">
        <f t="shared" si="7"/>
        <v>0</v>
      </c>
      <c r="AD34" s="28">
        <f t="shared" si="7"/>
        <v>0</v>
      </c>
      <c r="AE34" s="28">
        <f t="shared" si="7"/>
        <v>0</v>
      </c>
      <c r="AF34" s="28">
        <f t="shared" si="7"/>
        <v>0</v>
      </c>
      <c r="AG34" s="28">
        <f t="shared" si="7"/>
        <v>0</v>
      </c>
      <c r="AH34" s="28">
        <f t="shared" si="7"/>
        <v>0</v>
      </c>
      <c r="AI34" s="28">
        <f t="shared" si="7"/>
        <v>0</v>
      </c>
      <c r="AJ34" s="28">
        <f t="shared" si="7"/>
        <v>0</v>
      </c>
      <c r="AK34" s="28">
        <f t="shared" si="7"/>
        <v>0.94000000000000006</v>
      </c>
      <c r="AL34" s="28">
        <f t="shared" si="7"/>
        <v>0</v>
      </c>
      <c r="AM34" s="28">
        <f t="shared" si="7"/>
        <v>0</v>
      </c>
      <c r="AN34" s="28">
        <f t="shared" si="7"/>
        <v>0</v>
      </c>
      <c r="AO34" s="28">
        <f t="shared" si="7"/>
        <v>0</v>
      </c>
      <c r="AP34" s="28">
        <f t="shared" si="7"/>
        <v>14</v>
      </c>
      <c r="AQ34" s="28">
        <f t="shared" si="7"/>
        <v>0</v>
      </c>
      <c r="AR34" s="28">
        <f t="shared" si="7"/>
        <v>0</v>
      </c>
      <c r="AS34" s="28">
        <f t="shared" si="7"/>
        <v>0</v>
      </c>
      <c r="AT34" s="28">
        <f t="shared" si="7"/>
        <v>0</v>
      </c>
      <c r="AU34" s="28">
        <f t="shared" si="7"/>
        <v>0</v>
      </c>
      <c r="AV34" s="28">
        <f t="shared" si="7"/>
        <v>3.21</v>
      </c>
      <c r="AW34" s="28">
        <f t="shared" si="7"/>
        <v>0</v>
      </c>
      <c r="AX34" s="28">
        <f t="shared" si="7"/>
        <v>0</v>
      </c>
      <c r="AY34" s="29"/>
      <c r="AZ34" s="29"/>
      <c r="BA34" s="30"/>
      <c r="BB34" s="31"/>
      <c r="BE34" s="59"/>
      <c r="BI34" s="42"/>
    </row>
    <row r="35" spans="1:64" ht="20.100000000000001" customHeight="1">
      <c r="A35" s="32">
        <f>A33+1</f>
        <v>26</v>
      </c>
      <c r="B35" s="56" t="s">
        <v>363</v>
      </c>
      <c r="C35" s="78" t="s">
        <v>91</v>
      </c>
      <c r="D35" s="35">
        <f t="shared" si="0"/>
        <v>65</v>
      </c>
      <c r="E35" s="35"/>
      <c r="F35" s="35">
        <f t="shared" si="5"/>
        <v>65</v>
      </c>
      <c r="G35" s="43"/>
      <c r="H35" s="43"/>
      <c r="I35" s="43">
        <v>0.8</v>
      </c>
      <c r="J35" s="43"/>
      <c r="K35" s="79"/>
      <c r="L35" s="43"/>
      <c r="M35" s="79">
        <v>63.489999999999995</v>
      </c>
      <c r="N35" s="43"/>
      <c r="O35" s="43"/>
      <c r="P35" s="43">
        <v>0.18</v>
      </c>
      <c r="Q35" s="43"/>
      <c r="R35" s="43"/>
      <c r="S35" s="43"/>
      <c r="T35" s="43"/>
      <c r="U35" s="43"/>
      <c r="V35" s="43"/>
      <c r="W35" s="43"/>
      <c r="X35" s="43"/>
      <c r="Y35" s="43"/>
      <c r="Z35" s="43"/>
      <c r="AA35" s="43"/>
      <c r="AB35" s="43"/>
      <c r="AC35" s="43"/>
      <c r="AD35" s="43"/>
      <c r="AE35" s="43"/>
      <c r="AF35" s="43"/>
      <c r="AG35" s="43"/>
      <c r="AH35" s="43"/>
      <c r="AI35" s="43"/>
      <c r="AJ35" s="43"/>
      <c r="AK35" s="43"/>
      <c r="AL35" s="43"/>
      <c r="AM35" s="43"/>
      <c r="AN35" s="43"/>
      <c r="AO35" s="43"/>
      <c r="AP35" s="43">
        <v>0.53</v>
      </c>
      <c r="AQ35" s="43"/>
      <c r="AR35" s="43"/>
      <c r="AS35" s="43"/>
      <c r="AT35" s="43"/>
      <c r="AU35" s="43"/>
      <c r="AV35" s="43"/>
      <c r="AW35" s="43"/>
      <c r="AX35" s="43"/>
      <c r="AY35" s="34" t="s">
        <v>230</v>
      </c>
      <c r="AZ35" s="34" t="s">
        <v>364</v>
      </c>
      <c r="BA35" s="39" t="s">
        <v>291</v>
      </c>
      <c r="BB35" s="40"/>
      <c r="BE35" s="41"/>
      <c r="BI35" s="42">
        <v>1</v>
      </c>
    </row>
    <row r="36" spans="1:64" ht="20.100000000000001" customHeight="1">
      <c r="A36" s="32">
        <f>A35+1</f>
        <v>27</v>
      </c>
      <c r="B36" s="56" t="s">
        <v>365</v>
      </c>
      <c r="C36" s="78" t="s">
        <v>91</v>
      </c>
      <c r="D36" s="35">
        <f t="shared" si="0"/>
        <v>46</v>
      </c>
      <c r="E36" s="35"/>
      <c r="F36" s="35">
        <f t="shared" si="5"/>
        <v>46</v>
      </c>
      <c r="G36" s="43">
        <v>7.4</v>
      </c>
      <c r="H36" s="43"/>
      <c r="I36" s="43">
        <v>0.45</v>
      </c>
      <c r="J36" s="43">
        <v>10.79</v>
      </c>
      <c r="K36" s="79"/>
      <c r="L36" s="43"/>
      <c r="M36" s="79">
        <v>23.58</v>
      </c>
      <c r="N36" s="43"/>
      <c r="O36" s="43"/>
      <c r="P36" s="43">
        <v>1.32</v>
      </c>
      <c r="Q36" s="43"/>
      <c r="R36" s="43"/>
      <c r="S36" s="43"/>
      <c r="T36" s="43"/>
      <c r="U36" s="43"/>
      <c r="V36" s="43"/>
      <c r="W36" s="43"/>
      <c r="X36" s="43"/>
      <c r="Y36" s="43"/>
      <c r="Z36" s="43">
        <v>1.05</v>
      </c>
      <c r="AA36" s="43">
        <v>0.28000000000000003</v>
      </c>
      <c r="AB36" s="43"/>
      <c r="AC36" s="43"/>
      <c r="AD36" s="43"/>
      <c r="AE36" s="43"/>
      <c r="AF36" s="43"/>
      <c r="AG36" s="43"/>
      <c r="AH36" s="43"/>
      <c r="AI36" s="43"/>
      <c r="AJ36" s="43"/>
      <c r="AK36" s="43"/>
      <c r="AL36" s="43"/>
      <c r="AM36" s="43"/>
      <c r="AN36" s="43"/>
      <c r="AO36" s="43"/>
      <c r="AP36" s="43">
        <v>1.1300000000000001</v>
      </c>
      <c r="AQ36" s="43"/>
      <c r="AR36" s="43"/>
      <c r="AS36" s="43"/>
      <c r="AT36" s="43"/>
      <c r="AU36" s="43"/>
      <c r="AV36" s="43"/>
      <c r="AW36" s="43"/>
      <c r="AX36" s="43"/>
      <c r="AY36" s="34" t="s">
        <v>232</v>
      </c>
      <c r="AZ36" s="34" t="s">
        <v>366</v>
      </c>
      <c r="BA36" s="39" t="s">
        <v>291</v>
      </c>
      <c r="BB36" s="40"/>
      <c r="BE36" s="41"/>
      <c r="BG36" s="15" t="s">
        <v>367</v>
      </c>
      <c r="BI36" s="42">
        <v>1</v>
      </c>
      <c r="BL36" s="15" t="s">
        <v>351</v>
      </c>
    </row>
    <row r="37" spans="1:64" s="71" customFormat="1" ht="20.100000000000001" customHeight="1">
      <c r="A37" s="32">
        <f>A36+1</f>
        <v>28</v>
      </c>
      <c r="B37" s="66" t="s">
        <v>368</v>
      </c>
      <c r="C37" s="78" t="s">
        <v>91</v>
      </c>
      <c r="D37" s="35">
        <f t="shared" si="0"/>
        <v>73.83</v>
      </c>
      <c r="E37" s="76">
        <v>20.440000000000001</v>
      </c>
      <c r="F37" s="35">
        <f t="shared" si="5"/>
        <v>53.39</v>
      </c>
      <c r="G37" s="80">
        <v>8.52</v>
      </c>
      <c r="H37" s="80">
        <v>0</v>
      </c>
      <c r="I37" s="80">
        <f>1.44+1.83</f>
        <v>3.27</v>
      </c>
      <c r="J37" s="80">
        <v>32.03</v>
      </c>
      <c r="K37" s="80"/>
      <c r="L37" s="80"/>
      <c r="M37" s="80"/>
      <c r="N37" s="80"/>
      <c r="O37" s="80"/>
      <c r="P37" s="80">
        <v>6.92</v>
      </c>
      <c r="Q37" s="80"/>
      <c r="R37" s="80"/>
      <c r="S37" s="80"/>
      <c r="T37" s="80"/>
      <c r="U37" s="80"/>
      <c r="V37" s="80"/>
      <c r="W37" s="80"/>
      <c r="X37" s="80"/>
      <c r="Y37" s="80"/>
      <c r="Z37" s="80">
        <v>1.23</v>
      </c>
      <c r="AA37" s="80">
        <v>0.57000000000000006</v>
      </c>
      <c r="AB37" s="80"/>
      <c r="AC37" s="80"/>
      <c r="AD37" s="80"/>
      <c r="AE37" s="80"/>
      <c r="AF37" s="80"/>
      <c r="AG37" s="80"/>
      <c r="AH37" s="80"/>
      <c r="AI37" s="80"/>
      <c r="AJ37" s="80"/>
      <c r="AK37" s="80">
        <v>0.04</v>
      </c>
      <c r="AL37" s="80"/>
      <c r="AM37" s="80"/>
      <c r="AN37" s="80"/>
      <c r="AO37" s="80"/>
      <c r="AP37" s="80">
        <v>0.81</v>
      </c>
      <c r="AQ37" s="80"/>
      <c r="AR37" s="80"/>
      <c r="AS37" s="80"/>
      <c r="AT37" s="80"/>
      <c r="AU37" s="80"/>
      <c r="AV37" s="80"/>
      <c r="AW37" s="80"/>
      <c r="AX37" s="80"/>
      <c r="AY37" s="70" t="s">
        <v>235</v>
      </c>
      <c r="AZ37" s="38" t="s">
        <v>369</v>
      </c>
      <c r="BA37" s="70" t="s">
        <v>291</v>
      </c>
      <c r="BB37" s="81"/>
      <c r="BC37" s="71" t="s">
        <v>370</v>
      </c>
      <c r="BI37" s="42">
        <v>1</v>
      </c>
      <c r="BK37" s="72"/>
    </row>
    <row r="38" spans="1:64" s="71" customFormat="1" ht="31.5">
      <c r="A38" s="32">
        <f>A37+1</f>
        <v>29</v>
      </c>
      <c r="B38" s="66" t="s">
        <v>371</v>
      </c>
      <c r="C38" s="78" t="s">
        <v>91</v>
      </c>
      <c r="D38" s="35">
        <f t="shared" si="0"/>
        <v>75</v>
      </c>
      <c r="E38" s="76"/>
      <c r="F38" s="35">
        <f t="shared" si="5"/>
        <v>75</v>
      </c>
      <c r="G38" s="77">
        <v>1.77</v>
      </c>
      <c r="H38" s="77">
        <v>8.07</v>
      </c>
      <c r="I38" s="77">
        <v>5.67</v>
      </c>
      <c r="J38" s="77">
        <f>31.22+13</f>
        <v>44.22</v>
      </c>
      <c r="K38" s="77"/>
      <c r="L38" s="77"/>
      <c r="M38" s="77">
        <v>1.76</v>
      </c>
      <c r="N38" s="77"/>
      <c r="O38" s="77"/>
      <c r="P38" s="77">
        <v>3.36</v>
      </c>
      <c r="Q38" s="77"/>
      <c r="R38" s="77"/>
      <c r="S38" s="77"/>
      <c r="T38" s="77"/>
      <c r="U38" s="77"/>
      <c r="V38" s="77"/>
      <c r="W38" s="77"/>
      <c r="X38" s="77"/>
      <c r="Y38" s="77"/>
      <c r="Z38" s="77">
        <v>1.45</v>
      </c>
      <c r="AA38" s="77">
        <v>0.44</v>
      </c>
      <c r="AB38" s="77"/>
      <c r="AC38" s="77"/>
      <c r="AD38" s="77"/>
      <c r="AE38" s="77"/>
      <c r="AF38" s="77"/>
      <c r="AG38" s="77"/>
      <c r="AH38" s="77"/>
      <c r="AI38" s="77"/>
      <c r="AJ38" s="77"/>
      <c r="AK38" s="77"/>
      <c r="AL38" s="77"/>
      <c r="AM38" s="77"/>
      <c r="AN38" s="77"/>
      <c r="AO38" s="77"/>
      <c r="AP38" s="77">
        <f>18.45-13</f>
        <v>5.4499999999999993</v>
      </c>
      <c r="AQ38" s="77"/>
      <c r="AR38" s="77"/>
      <c r="AS38" s="77"/>
      <c r="AT38" s="77"/>
      <c r="AU38" s="77"/>
      <c r="AV38" s="77">
        <v>2.81</v>
      </c>
      <c r="AW38" s="77"/>
      <c r="AX38" s="77"/>
      <c r="AY38" s="70" t="s">
        <v>372</v>
      </c>
      <c r="AZ38" s="38"/>
      <c r="BA38" s="47" t="s">
        <v>298</v>
      </c>
      <c r="BB38" s="48"/>
      <c r="BI38" s="42">
        <v>1</v>
      </c>
      <c r="BK38" s="72"/>
    </row>
    <row r="39" spans="1:64" ht="33" customHeight="1">
      <c r="A39" s="32">
        <f>A38+1</f>
        <v>30</v>
      </c>
      <c r="B39" s="56" t="s">
        <v>373</v>
      </c>
      <c r="C39" s="78" t="s">
        <v>91</v>
      </c>
      <c r="D39" s="35">
        <f t="shared" si="0"/>
        <v>63.169999999999995</v>
      </c>
      <c r="E39" s="35"/>
      <c r="F39" s="35">
        <f t="shared" si="5"/>
        <v>63.169999999999995</v>
      </c>
      <c r="G39" s="43">
        <v>9.5</v>
      </c>
      <c r="H39" s="43"/>
      <c r="I39" s="43">
        <v>0.12</v>
      </c>
      <c r="J39" s="43">
        <v>13.61</v>
      </c>
      <c r="K39" s="43"/>
      <c r="L39" s="43"/>
      <c r="M39" s="43">
        <f>30.52-1.83</f>
        <v>28.689999999999998</v>
      </c>
      <c r="N39" s="43"/>
      <c r="O39" s="43"/>
      <c r="P39" s="43">
        <v>0.38</v>
      </c>
      <c r="Q39" s="43"/>
      <c r="R39" s="43"/>
      <c r="S39" s="43"/>
      <c r="T39" s="43"/>
      <c r="U39" s="43"/>
      <c r="V39" s="43"/>
      <c r="W39" s="43"/>
      <c r="X39" s="43"/>
      <c r="Y39" s="43"/>
      <c r="Z39" s="43">
        <v>2.72</v>
      </c>
      <c r="AA39" s="43">
        <v>0.77</v>
      </c>
      <c r="AB39" s="43"/>
      <c r="AC39" s="43"/>
      <c r="AD39" s="43"/>
      <c r="AE39" s="43"/>
      <c r="AF39" s="43"/>
      <c r="AG39" s="43"/>
      <c r="AH39" s="43"/>
      <c r="AI39" s="43"/>
      <c r="AJ39" s="43"/>
      <c r="AK39" s="43">
        <v>0.9</v>
      </c>
      <c r="AL39" s="43"/>
      <c r="AM39" s="43"/>
      <c r="AN39" s="43"/>
      <c r="AO39" s="43"/>
      <c r="AP39" s="43">
        <v>6.08</v>
      </c>
      <c r="AQ39" s="43"/>
      <c r="AR39" s="43"/>
      <c r="AS39" s="43"/>
      <c r="AT39" s="43"/>
      <c r="AU39" s="43"/>
      <c r="AV39" s="43">
        <v>0.4</v>
      </c>
      <c r="AW39" s="43"/>
      <c r="AX39" s="43"/>
      <c r="AY39" s="34" t="s">
        <v>374</v>
      </c>
      <c r="AZ39" s="34" t="s">
        <v>375</v>
      </c>
      <c r="BA39" s="39" t="s">
        <v>291</v>
      </c>
      <c r="BB39" s="40"/>
      <c r="BC39" s="15" t="s">
        <v>376</v>
      </c>
      <c r="BD39" s="15" t="s">
        <v>377</v>
      </c>
      <c r="BI39" s="42">
        <v>1</v>
      </c>
    </row>
    <row r="40" spans="1:64" s="24" customFormat="1" ht="21" customHeight="1">
      <c r="A40" s="82" t="s">
        <v>378</v>
      </c>
      <c r="B40" s="25" t="s">
        <v>379</v>
      </c>
      <c r="C40" s="26"/>
      <c r="D40" s="27">
        <f t="shared" si="0"/>
        <v>36.410000000000011</v>
      </c>
      <c r="E40" s="83">
        <f>SUM(E41:E85)</f>
        <v>0</v>
      </c>
      <c r="F40" s="27">
        <f t="shared" si="5"/>
        <v>36.410000000000011</v>
      </c>
      <c r="G40" s="28">
        <f t="shared" ref="G40:AX40" si="8">SUM(G41:G85)</f>
        <v>13.329999999999998</v>
      </c>
      <c r="H40" s="28">
        <f t="shared" si="8"/>
        <v>3.98</v>
      </c>
      <c r="I40" s="28">
        <f t="shared" si="8"/>
        <v>9.09</v>
      </c>
      <c r="J40" s="28">
        <f t="shared" si="8"/>
        <v>1.93</v>
      </c>
      <c r="K40" s="28">
        <f t="shared" si="8"/>
        <v>0</v>
      </c>
      <c r="L40" s="28">
        <f t="shared" si="8"/>
        <v>0</v>
      </c>
      <c r="M40" s="28">
        <f t="shared" si="8"/>
        <v>6.14</v>
      </c>
      <c r="N40" s="28">
        <f t="shared" si="8"/>
        <v>0</v>
      </c>
      <c r="O40" s="28">
        <f t="shared" si="8"/>
        <v>0</v>
      </c>
      <c r="P40" s="28">
        <f t="shared" si="8"/>
        <v>0.02</v>
      </c>
      <c r="Q40" s="28">
        <f t="shared" si="8"/>
        <v>0</v>
      </c>
      <c r="R40" s="28">
        <f t="shared" si="8"/>
        <v>0</v>
      </c>
      <c r="S40" s="28">
        <f t="shared" si="8"/>
        <v>0</v>
      </c>
      <c r="T40" s="28">
        <f t="shared" si="8"/>
        <v>0</v>
      </c>
      <c r="U40" s="28">
        <f t="shared" si="8"/>
        <v>0</v>
      </c>
      <c r="V40" s="28">
        <f t="shared" si="8"/>
        <v>0</v>
      </c>
      <c r="W40" s="28">
        <f t="shared" si="8"/>
        <v>0</v>
      </c>
      <c r="X40" s="28">
        <f t="shared" si="8"/>
        <v>0</v>
      </c>
      <c r="Y40" s="28">
        <f t="shared" si="8"/>
        <v>0</v>
      </c>
      <c r="Z40" s="28">
        <f t="shared" si="8"/>
        <v>0.02</v>
      </c>
      <c r="AA40" s="28">
        <f t="shared" si="8"/>
        <v>0.24000000000000002</v>
      </c>
      <c r="AB40" s="28">
        <f t="shared" si="8"/>
        <v>0</v>
      </c>
      <c r="AC40" s="28">
        <f t="shared" si="8"/>
        <v>0</v>
      </c>
      <c r="AD40" s="28">
        <f t="shared" si="8"/>
        <v>0.31</v>
      </c>
      <c r="AE40" s="28">
        <f t="shared" si="8"/>
        <v>0</v>
      </c>
      <c r="AF40" s="28">
        <f t="shared" si="8"/>
        <v>0</v>
      </c>
      <c r="AG40" s="28">
        <f t="shared" si="8"/>
        <v>0</v>
      </c>
      <c r="AH40" s="28">
        <f t="shared" si="8"/>
        <v>0</v>
      </c>
      <c r="AI40" s="28">
        <f t="shared" si="8"/>
        <v>0</v>
      </c>
      <c r="AJ40" s="28">
        <f t="shared" si="8"/>
        <v>0</v>
      </c>
      <c r="AK40" s="28">
        <f t="shared" si="8"/>
        <v>0</v>
      </c>
      <c r="AL40" s="28">
        <f t="shared" si="8"/>
        <v>0.82000000000000006</v>
      </c>
      <c r="AM40" s="28">
        <f t="shared" si="8"/>
        <v>0</v>
      </c>
      <c r="AN40" s="28">
        <f t="shared" si="8"/>
        <v>0</v>
      </c>
      <c r="AO40" s="28">
        <f t="shared" si="8"/>
        <v>0</v>
      </c>
      <c r="AP40" s="28">
        <f t="shared" si="8"/>
        <v>0.13</v>
      </c>
      <c r="AQ40" s="28">
        <f t="shared" si="8"/>
        <v>0</v>
      </c>
      <c r="AR40" s="28">
        <f t="shared" si="8"/>
        <v>0.4</v>
      </c>
      <c r="AS40" s="28">
        <f t="shared" si="8"/>
        <v>0</v>
      </c>
      <c r="AT40" s="28">
        <f t="shared" si="8"/>
        <v>0</v>
      </c>
      <c r="AU40" s="28">
        <f t="shared" si="8"/>
        <v>0</v>
      </c>
      <c r="AV40" s="28">
        <f t="shared" si="8"/>
        <v>0</v>
      </c>
      <c r="AW40" s="28">
        <f t="shared" si="8"/>
        <v>0</v>
      </c>
      <c r="AX40" s="28">
        <f t="shared" si="8"/>
        <v>0</v>
      </c>
      <c r="AY40" s="29"/>
      <c r="AZ40" s="29"/>
      <c r="BA40" s="30"/>
      <c r="BB40" s="31"/>
      <c r="BI40" s="42"/>
    </row>
    <row r="41" spans="1:64" ht="19.350000000000001" customHeight="1">
      <c r="A41" s="32">
        <f>A39+1</f>
        <v>31</v>
      </c>
      <c r="B41" s="62" t="s">
        <v>379</v>
      </c>
      <c r="C41" s="78" t="s">
        <v>93</v>
      </c>
      <c r="D41" s="35">
        <f t="shared" si="0"/>
        <v>1</v>
      </c>
      <c r="E41" s="35"/>
      <c r="F41" s="35">
        <f t="shared" si="5"/>
        <v>1</v>
      </c>
      <c r="G41" s="43">
        <v>0.77</v>
      </c>
      <c r="H41" s="43"/>
      <c r="I41" s="43">
        <v>0.23</v>
      </c>
      <c r="J41" s="43"/>
      <c r="K41" s="43"/>
      <c r="L41" s="43"/>
      <c r="M41" s="43"/>
      <c r="N41" s="43"/>
      <c r="O41" s="43"/>
      <c r="P41" s="43"/>
      <c r="Q41" s="43"/>
      <c r="R41" s="43"/>
      <c r="S41" s="43"/>
      <c r="T41" s="43"/>
      <c r="U41" s="43"/>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34" t="s">
        <v>289</v>
      </c>
      <c r="AZ41" s="34" t="s">
        <v>380</v>
      </c>
      <c r="BA41" s="47" t="s">
        <v>298</v>
      </c>
      <c r="BB41" s="48"/>
      <c r="BC41" s="15" t="s">
        <v>381</v>
      </c>
      <c r="BI41" s="42">
        <v>1</v>
      </c>
    </row>
    <row r="42" spans="1:64" ht="34.35" customHeight="1">
      <c r="A42" s="32">
        <f>A41+1</f>
        <v>32</v>
      </c>
      <c r="B42" s="62" t="s">
        <v>379</v>
      </c>
      <c r="C42" s="78" t="s">
        <v>93</v>
      </c>
      <c r="D42" s="35">
        <f t="shared" si="0"/>
        <v>1</v>
      </c>
      <c r="E42" s="45"/>
      <c r="F42" s="35">
        <f t="shared" si="5"/>
        <v>1</v>
      </c>
      <c r="G42" s="46">
        <v>1</v>
      </c>
      <c r="H42" s="46"/>
      <c r="I42" s="46"/>
      <c r="J42" s="46"/>
      <c r="K42" s="46"/>
      <c r="L42" s="46"/>
      <c r="M42" s="46"/>
      <c r="N42" s="46"/>
      <c r="O42" s="46"/>
      <c r="P42" s="46"/>
      <c r="Q42" s="46"/>
      <c r="R42" s="46"/>
      <c r="S42" s="46"/>
      <c r="T42" s="46"/>
      <c r="U42" s="46"/>
      <c r="V42" s="46"/>
      <c r="W42" s="46"/>
      <c r="X42" s="46"/>
      <c r="Y42" s="46"/>
      <c r="Z42" s="46"/>
      <c r="AA42" s="46"/>
      <c r="AB42" s="46"/>
      <c r="AC42" s="46"/>
      <c r="AD42" s="46"/>
      <c r="AE42" s="46"/>
      <c r="AF42" s="46"/>
      <c r="AG42" s="46"/>
      <c r="AH42" s="46"/>
      <c r="AI42" s="46"/>
      <c r="AJ42" s="46"/>
      <c r="AK42" s="46"/>
      <c r="AL42" s="46"/>
      <c r="AM42" s="46"/>
      <c r="AN42" s="46"/>
      <c r="AO42" s="46"/>
      <c r="AP42" s="46"/>
      <c r="AQ42" s="46"/>
      <c r="AR42" s="46"/>
      <c r="AS42" s="46"/>
      <c r="AT42" s="46"/>
      <c r="AU42" s="46"/>
      <c r="AV42" s="46"/>
      <c r="AW42" s="46"/>
      <c r="AX42" s="46"/>
      <c r="AY42" s="34" t="s">
        <v>289</v>
      </c>
      <c r="AZ42" s="34" t="s">
        <v>382</v>
      </c>
      <c r="BA42" s="47" t="s">
        <v>298</v>
      </c>
      <c r="BB42" s="48"/>
      <c r="BC42" s="15" t="s">
        <v>383</v>
      </c>
      <c r="BI42" s="42">
        <v>1</v>
      </c>
    </row>
    <row r="43" spans="1:64" ht="34.35" customHeight="1">
      <c r="A43" s="32">
        <f t="shared" ref="A43:A85" si="9">A42+1</f>
        <v>33</v>
      </c>
      <c r="B43" s="62" t="s">
        <v>379</v>
      </c>
      <c r="C43" s="78" t="s">
        <v>93</v>
      </c>
      <c r="D43" s="35">
        <f t="shared" si="0"/>
        <v>0.5</v>
      </c>
      <c r="E43" s="35"/>
      <c r="F43" s="35">
        <f t="shared" ref="F43:F84" si="10">SUM(G43:AX43)</f>
        <v>0.5</v>
      </c>
      <c r="G43" s="43">
        <v>0.2</v>
      </c>
      <c r="H43" s="43"/>
      <c r="I43" s="43">
        <v>0.3</v>
      </c>
      <c r="J43" s="43"/>
      <c r="K43" s="43"/>
      <c r="L43" s="43"/>
      <c r="M43" s="43"/>
      <c r="N43" s="43"/>
      <c r="O43" s="43"/>
      <c r="P43" s="43"/>
      <c r="Q43" s="43"/>
      <c r="R43" s="43"/>
      <c r="S43" s="43"/>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3"/>
      <c r="AS43" s="43"/>
      <c r="AT43" s="43"/>
      <c r="AU43" s="43"/>
      <c r="AV43" s="43"/>
      <c r="AW43" s="43"/>
      <c r="AX43" s="43"/>
      <c r="AY43" s="34" t="s">
        <v>289</v>
      </c>
      <c r="AZ43" s="34" t="s">
        <v>384</v>
      </c>
      <c r="BA43" s="47" t="s">
        <v>298</v>
      </c>
      <c r="BB43" s="48"/>
      <c r="BI43" s="42">
        <v>1</v>
      </c>
    </row>
    <row r="44" spans="1:64" ht="20.45" customHeight="1">
      <c r="A44" s="32">
        <f>A43+1</f>
        <v>34</v>
      </c>
      <c r="B44" s="62" t="s">
        <v>379</v>
      </c>
      <c r="C44" s="78" t="s">
        <v>93</v>
      </c>
      <c r="D44" s="35">
        <f>E44+F44</f>
        <v>0.2</v>
      </c>
      <c r="E44" s="35"/>
      <c r="F44" s="35">
        <f>SUM(G44:AX44)</f>
        <v>0.2</v>
      </c>
      <c r="G44" s="43">
        <v>0.2</v>
      </c>
      <c r="H44" s="43"/>
      <c r="I44" s="43"/>
      <c r="J44" s="43"/>
      <c r="K44" s="43"/>
      <c r="L44" s="43"/>
      <c r="M44" s="43"/>
      <c r="N44" s="43"/>
      <c r="O44" s="43"/>
      <c r="P44" s="43"/>
      <c r="Q44" s="43"/>
      <c r="R44" s="43"/>
      <c r="S44" s="43"/>
      <c r="T44" s="43"/>
      <c r="U44" s="43"/>
      <c r="V44" s="43"/>
      <c r="W44" s="43"/>
      <c r="X44" s="43"/>
      <c r="Y44" s="43"/>
      <c r="Z44" s="43"/>
      <c r="AA44" s="43"/>
      <c r="AB44" s="43"/>
      <c r="AC44" s="43"/>
      <c r="AD44" s="43"/>
      <c r="AE44" s="43"/>
      <c r="AF44" s="43"/>
      <c r="AG44" s="43"/>
      <c r="AH44" s="43"/>
      <c r="AI44" s="43"/>
      <c r="AJ44" s="43"/>
      <c r="AK44" s="43"/>
      <c r="AL44" s="43"/>
      <c r="AM44" s="43"/>
      <c r="AN44" s="43"/>
      <c r="AO44" s="43"/>
      <c r="AP44" s="43"/>
      <c r="AQ44" s="43"/>
      <c r="AR44" s="43"/>
      <c r="AS44" s="43"/>
      <c r="AT44" s="43"/>
      <c r="AU44" s="43"/>
      <c r="AV44" s="43"/>
      <c r="AW44" s="43"/>
      <c r="AX44" s="43"/>
      <c r="AY44" s="34" t="s">
        <v>289</v>
      </c>
      <c r="AZ44" s="34" t="s">
        <v>385</v>
      </c>
      <c r="BA44" s="47" t="s">
        <v>298</v>
      </c>
      <c r="BB44" s="48"/>
      <c r="BG44" s="15" t="s">
        <v>311</v>
      </c>
      <c r="BI44" s="42"/>
    </row>
    <row r="45" spans="1:64" ht="20.45" customHeight="1">
      <c r="A45" s="32">
        <f>A44+1</f>
        <v>35</v>
      </c>
      <c r="B45" s="62" t="s">
        <v>379</v>
      </c>
      <c r="C45" s="78" t="s">
        <v>93</v>
      </c>
      <c r="D45" s="35">
        <f>E45+F45</f>
        <v>0.4</v>
      </c>
      <c r="E45" s="35"/>
      <c r="F45" s="35">
        <f>SUM(G45:AX45)</f>
        <v>0.4</v>
      </c>
      <c r="G45" s="43">
        <v>0.4</v>
      </c>
      <c r="H45" s="43"/>
      <c r="I45" s="43"/>
      <c r="J45" s="43"/>
      <c r="K45" s="43"/>
      <c r="L45" s="43"/>
      <c r="M45" s="43"/>
      <c r="N45" s="43"/>
      <c r="O45" s="43"/>
      <c r="P45" s="43"/>
      <c r="Q45" s="43"/>
      <c r="R45" s="43"/>
      <c r="S45" s="43"/>
      <c r="T45" s="43"/>
      <c r="U45" s="43"/>
      <c r="V45" s="43"/>
      <c r="W45" s="43"/>
      <c r="X45" s="43"/>
      <c r="Y45" s="43"/>
      <c r="Z45" s="43"/>
      <c r="AA45" s="43"/>
      <c r="AB45" s="43"/>
      <c r="AC45" s="43"/>
      <c r="AD45" s="43"/>
      <c r="AE45" s="43"/>
      <c r="AF45" s="43"/>
      <c r="AG45" s="43"/>
      <c r="AH45" s="43"/>
      <c r="AI45" s="43"/>
      <c r="AJ45" s="43"/>
      <c r="AK45" s="43"/>
      <c r="AL45" s="43"/>
      <c r="AM45" s="43"/>
      <c r="AN45" s="43"/>
      <c r="AO45" s="43"/>
      <c r="AP45" s="43"/>
      <c r="AQ45" s="43"/>
      <c r="AR45" s="43"/>
      <c r="AS45" s="43"/>
      <c r="AT45" s="43"/>
      <c r="AU45" s="43"/>
      <c r="AV45" s="43"/>
      <c r="AW45" s="43"/>
      <c r="AX45" s="43"/>
      <c r="AY45" s="34" t="s">
        <v>289</v>
      </c>
      <c r="AZ45" s="34" t="s">
        <v>315</v>
      </c>
      <c r="BA45" s="47" t="s">
        <v>298</v>
      </c>
      <c r="BB45" s="48"/>
      <c r="BG45" s="15" t="s">
        <v>311</v>
      </c>
      <c r="BI45" s="42"/>
    </row>
    <row r="46" spans="1:64" s="61" customFormat="1" ht="20.100000000000001" customHeight="1">
      <c r="A46" s="32">
        <f>A45+1</f>
        <v>36</v>
      </c>
      <c r="B46" s="56" t="s">
        <v>386</v>
      </c>
      <c r="C46" s="78" t="s">
        <v>93</v>
      </c>
      <c r="D46" s="35">
        <f t="shared" si="0"/>
        <v>2</v>
      </c>
      <c r="E46" s="35"/>
      <c r="F46" s="35">
        <f t="shared" si="10"/>
        <v>2</v>
      </c>
      <c r="G46" s="43">
        <v>2</v>
      </c>
      <c r="H46" s="43"/>
      <c r="I46" s="43"/>
      <c r="J46" s="43"/>
      <c r="K46" s="43"/>
      <c r="L46" s="43"/>
      <c r="M46" s="43"/>
      <c r="N46" s="43"/>
      <c r="O46" s="43"/>
      <c r="P46" s="43"/>
      <c r="Q46" s="43"/>
      <c r="R46" s="43"/>
      <c r="S46" s="43"/>
      <c r="T46" s="43"/>
      <c r="U46" s="43"/>
      <c r="V46" s="43"/>
      <c r="W46" s="43"/>
      <c r="X46" s="43"/>
      <c r="Y46" s="43"/>
      <c r="Z46" s="43"/>
      <c r="AA46" s="43"/>
      <c r="AB46" s="43"/>
      <c r="AC46" s="43"/>
      <c r="AD46" s="43"/>
      <c r="AE46" s="43"/>
      <c r="AF46" s="43"/>
      <c r="AG46" s="43"/>
      <c r="AH46" s="43"/>
      <c r="AI46" s="43"/>
      <c r="AJ46" s="43"/>
      <c r="AK46" s="43"/>
      <c r="AL46" s="43"/>
      <c r="AM46" s="43"/>
      <c r="AN46" s="43"/>
      <c r="AO46" s="43"/>
      <c r="AP46" s="43"/>
      <c r="AQ46" s="43"/>
      <c r="AR46" s="43"/>
      <c r="AS46" s="43"/>
      <c r="AT46" s="43"/>
      <c r="AU46" s="43"/>
      <c r="AV46" s="43"/>
      <c r="AW46" s="43"/>
      <c r="AX46" s="43"/>
      <c r="AY46" s="34" t="s">
        <v>222</v>
      </c>
      <c r="AZ46" s="34" t="s">
        <v>387</v>
      </c>
      <c r="BA46" s="47" t="s">
        <v>298</v>
      </c>
      <c r="BB46" s="48"/>
      <c r="BC46" s="41"/>
      <c r="BD46" s="41"/>
      <c r="BE46" s="15"/>
      <c r="BF46" s="15"/>
      <c r="BI46" s="42">
        <v>1</v>
      </c>
    </row>
    <row r="47" spans="1:64" ht="20.100000000000001" customHeight="1">
      <c r="A47" s="32">
        <f t="shared" si="9"/>
        <v>37</v>
      </c>
      <c r="B47" s="62" t="s">
        <v>379</v>
      </c>
      <c r="C47" s="78" t="s">
        <v>93</v>
      </c>
      <c r="D47" s="35">
        <f t="shared" si="0"/>
        <v>0.32</v>
      </c>
      <c r="E47" s="35"/>
      <c r="F47" s="35">
        <f t="shared" si="10"/>
        <v>0.32</v>
      </c>
      <c r="G47" s="43">
        <v>0.3</v>
      </c>
      <c r="H47" s="43"/>
      <c r="I47" s="43"/>
      <c r="J47" s="43"/>
      <c r="K47" s="43"/>
      <c r="L47" s="43"/>
      <c r="M47" s="43"/>
      <c r="N47" s="43"/>
      <c r="O47" s="43"/>
      <c r="P47" s="43">
        <v>0.02</v>
      </c>
      <c r="Q47" s="43"/>
      <c r="R47" s="43"/>
      <c r="S47" s="43"/>
      <c r="T47" s="43"/>
      <c r="U47" s="43"/>
      <c r="V47" s="43"/>
      <c r="W47" s="43"/>
      <c r="X47" s="43"/>
      <c r="Y47" s="43"/>
      <c r="Z47" s="43"/>
      <c r="AA47" s="43"/>
      <c r="AB47" s="43"/>
      <c r="AC47" s="43"/>
      <c r="AD47" s="43"/>
      <c r="AE47" s="43"/>
      <c r="AF47" s="43"/>
      <c r="AG47" s="43"/>
      <c r="AH47" s="43"/>
      <c r="AI47" s="43"/>
      <c r="AJ47" s="43"/>
      <c r="AK47" s="43"/>
      <c r="AL47" s="43"/>
      <c r="AM47" s="43"/>
      <c r="AN47" s="43"/>
      <c r="AO47" s="43"/>
      <c r="AP47" s="43"/>
      <c r="AQ47" s="43"/>
      <c r="AR47" s="43"/>
      <c r="AS47" s="43"/>
      <c r="AT47" s="43"/>
      <c r="AU47" s="43"/>
      <c r="AV47" s="43"/>
      <c r="AW47" s="43"/>
      <c r="AX47" s="43"/>
      <c r="AY47" s="34" t="s">
        <v>223</v>
      </c>
      <c r="AZ47" s="34" t="s">
        <v>328</v>
      </c>
      <c r="BA47" s="63" t="s">
        <v>291</v>
      </c>
      <c r="BB47" s="64"/>
      <c r="BC47" s="84" t="s">
        <v>388</v>
      </c>
      <c r="BD47" s="84"/>
      <c r="BE47" s="41"/>
      <c r="BI47" s="42">
        <v>1</v>
      </c>
    </row>
    <row r="48" spans="1:64" ht="20.100000000000001" customHeight="1">
      <c r="A48" s="32">
        <f t="shared" si="9"/>
        <v>38</v>
      </c>
      <c r="B48" s="62" t="s">
        <v>379</v>
      </c>
      <c r="C48" s="78" t="s">
        <v>93</v>
      </c>
      <c r="D48" s="35">
        <f t="shared" si="0"/>
        <v>2.4900000000000002</v>
      </c>
      <c r="E48" s="35"/>
      <c r="F48" s="35">
        <f>SUM(G48:AX48)</f>
        <v>2.4900000000000002</v>
      </c>
      <c r="G48" s="43">
        <v>1.17</v>
      </c>
      <c r="H48" s="43"/>
      <c r="I48" s="43">
        <v>0.05</v>
      </c>
      <c r="J48" s="43">
        <v>7.0000000000000007E-2</v>
      </c>
      <c r="K48" s="43"/>
      <c r="L48" s="43"/>
      <c r="M48" s="43">
        <f>0.9+0.16</f>
        <v>1.06</v>
      </c>
      <c r="N48" s="43"/>
      <c r="O48" s="43"/>
      <c r="P48" s="43"/>
      <c r="Q48" s="43"/>
      <c r="R48" s="43"/>
      <c r="S48" s="43"/>
      <c r="T48" s="43"/>
      <c r="U48" s="43"/>
      <c r="V48" s="43"/>
      <c r="W48" s="43"/>
      <c r="X48" s="43"/>
      <c r="Y48" s="43"/>
      <c r="Z48" s="43"/>
      <c r="AA48" s="43">
        <v>0.14000000000000001</v>
      </c>
      <c r="AB48" s="43"/>
      <c r="AC48" s="43"/>
      <c r="AD48" s="43"/>
      <c r="AE48" s="43"/>
      <c r="AF48" s="43"/>
      <c r="AG48" s="43"/>
      <c r="AH48" s="43"/>
      <c r="AI48" s="43"/>
      <c r="AJ48" s="43"/>
      <c r="AK48" s="43"/>
      <c r="AL48" s="43"/>
      <c r="AM48" s="43"/>
      <c r="AN48" s="43"/>
      <c r="AO48" s="43"/>
      <c r="AP48" s="43"/>
      <c r="AQ48" s="43"/>
      <c r="AR48" s="43"/>
      <c r="AS48" s="43"/>
      <c r="AT48" s="43"/>
      <c r="AU48" s="43"/>
      <c r="AV48" s="43"/>
      <c r="AW48" s="43"/>
      <c r="AX48" s="43"/>
      <c r="AY48" s="34" t="s">
        <v>224</v>
      </c>
      <c r="AZ48" s="34" t="s">
        <v>389</v>
      </c>
      <c r="BA48" s="63" t="s">
        <v>291</v>
      </c>
      <c r="BB48" s="64"/>
      <c r="BC48" s="84" t="s">
        <v>381</v>
      </c>
      <c r="BD48" s="84"/>
      <c r="BE48" s="41"/>
      <c r="BI48" s="42">
        <v>1</v>
      </c>
    </row>
    <row r="49" spans="1:72" ht="20.100000000000001" customHeight="1">
      <c r="A49" s="32">
        <f t="shared" si="9"/>
        <v>39</v>
      </c>
      <c r="B49" s="62" t="s">
        <v>379</v>
      </c>
      <c r="C49" s="78" t="s">
        <v>93</v>
      </c>
      <c r="D49" s="35">
        <f t="shared" si="0"/>
        <v>0.56000000000000005</v>
      </c>
      <c r="E49" s="35"/>
      <c r="F49" s="35">
        <f t="shared" si="10"/>
        <v>0.56000000000000005</v>
      </c>
      <c r="G49" s="43"/>
      <c r="H49" s="43"/>
      <c r="I49" s="43"/>
      <c r="J49" s="43">
        <v>0.56000000000000005</v>
      </c>
      <c r="K49" s="43"/>
      <c r="L49" s="43"/>
      <c r="M49" s="43"/>
      <c r="N49" s="43"/>
      <c r="O49" s="43"/>
      <c r="P49" s="43"/>
      <c r="Q49" s="43"/>
      <c r="R49" s="43"/>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34" t="s">
        <v>225</v>
      </c>
      <c r="AZ49" s="34" t="s">
        <v>390</v>
      </c>
      <c r="BA49" s="39" t="s">
        <v>291</v>
      </c>
      <c r="BB49" s="40"/>
      <c r="BE49" s="41"/>
      <c r="BI49" s="42">
        <v>1</v>
      </c>
    </row>
    <row r="50" spans="1:72" s="71" customFormat="1" ht="20.100000000000001" customHeight="1">
      <c r="A50" s="32">
        <f t="shared" si="9"/>
        <v>40</v>
      </c>
      <c r="B50" s="85" t="s">
        <v>391</v>
      </c>
      <c r="C50" s="78" t="s">
        <v>93</v>
      </c>
      <c r="D50" s="35">
        <f t="shared" si="0"/>
        <v>2</v>
      </c>
      <c r="E50" s="67"/>
      <c r="F50" s="35">
        <f t="shared" si="10"/>
        <v>2</v>
      </c>
      <c r="G50" s="68"/>
      <c r="H50" s="68"/>
      <c r="I50" s="68">
        <v>2</v>
      </c>
      <c r="J50" s="68"/>
      <c r="K50" s="68"/>
      <c r="L50" s="68"/>
      <c r="M50" s="68"/>
      <c r="N50" s="68"/>
      <c r="O50" s="68"/>
      <c r="P50" s="68"/>
      <c r="Q50" s="68"/>
      <c r="R50" s="68"/>
      <c r="S50" s="68"/>
      <c r="T50" s="68"/>
      <c r="U50" s="68"/>
      <c r="V50" s="68"/>
      <c r="W50" s="68"/>
      <c r="X50" s="68"/>
      <c r="Y50" s="68"/>
      <c r="Z50" s="68"/>
      <c r="AA50" s="68"/>
      <c r="AB50" s="68"/>
      <c r="AC50" s="68"/>
      <c r="AD50" s="68"/>
      <c r="AE50" s="68"/>
      <c r="AF50" s="68"/>
      <c r="AG50" s="68"/>
      <c r="AH50" s="68"/>
      <c r="AI50" s="68"/>
      <c r="AJ50" s="68"/>
      <c r="AK50" s="68"/>
      <c r="AL50" s="68"/>
      <c r="AM50" s="68"/>
      <c r="AN50" s="68"/>
      <c r="AO50" s="68"/>
      <c r="AP50" s="68"/>
      <c r="AQ50" s="68"/>
      <c r="AR50" s="68"/>
      <c r="AS50" s="68"/>
      <c r="AT50" s="68"/>
      <c r="AU50" s="68"/>
      <c r="AV50" s="68"/>
      <c r="AW50" s="68"/>
      <c r="AX50" s="68"/>
      <c r="AY50" s="70" t="s">
        <v>226</v>
      </c>
      <c r="AZ50" s="70" t="s">
        <v>392</v>
      </c>
      <c r="BA50" s="70" t="s">
        <v>291</v>
      </c>
      <c r="BB50" s="81"/>
      <c r="BC50" s="71" t="s">
        <v>393</v>
      </c>
      <c r="BI50" s="42">
        <v>1</v>
      </c>
      <c r="BK50" s="72"/>
    </row>
    <row r="51" spans="1:72" s="71" customFormat="1" ht="18.600000000000001" customHeight="1">
      <c r="A51" s="32">
        <f t="shared" si="9"/>
        <v>41</v>
      </c>
      <c r="B51" s="62" t="s">
        <v>379</v>
      </c>
      <c r="C51" s="78" t="s">
        <v>93</v>
      </c>
      <c r="D51" s="35">
        <f t="shared" si="0"/>
        <v>0.4</v>
      </c>
      <c r="E51" s="67"/>
      <c r="F51" s="35">
        <f t="shared" si="10"/>
        <v>0.4</v>
      </c>
      <c r="G51" s="68"/>
      <c r="H51" s="68"/>
      <c r="I51" s="68"/>
      <c r="J51" s="68"/>
      <c r="K51" s="68"/>
      <c r="L51" s="68"/>
      <c r="M51" s="68"/>
      <c r="N51" s="68"/>
      <c r="O51" s="68"/>
      <c r="P51" s="68"/>
      <c r="Q51" s="68"/>
      <c r="R51" s="68"/>
      <c r="S51" s="68"/>
      <c r="T51" s="68"/>
      <c r="U51" s="68"/>
      <c r="V51" s="68"/>
      <c r="W51" s="68"/>
      <c r="X51" s="68"/>
      <c r="Y51" s="68"/>
      <c r="Z51" s="68"/>
      <c r="AA51" s="68"/>
      <c r="AB51" s="68"/>
      <c r="AC51" s="68"/>
      <c r="AD51" s="68"/>
      <c r="AE51" s="68"/>
      <c r="AF51" s="68"/>
      <c r="AG51" s="68"/>
      <c r="AH51" s="68"/>
      <c r="AI51" s="68"/>
      <c r="AJ51" s="68"/>
      <c r="AK51" s="68"/>
      <c r="AL51" s="68">
        <v>0.4</v>
      </c>
      <c r="AM51" s="68"/>
      <c r="AN51" s="68"/>
      <c r="AO51" s="68"/>
      <c r="AP51" s="68"/>
      <c r="AQ51" s="68"/>
      <c r="AR51" s="68"/>
      <c r="AS51" s="68"/>
      <c r="AT51" s="68"/>
      <c r="AU51" s="68"/>
      <c r="AV51" s="68"/>
      <c r="AW51" s="68"/>
      <c r="AX51" s="68"/>
      <c r="AY51" s="70" t="s">
        <v>226</v>
      </c>
      <c r="AZ51" s="70" t="s">
        <v>394</v>
      </c>
      <c r="BA51" s="70" t="s">
        <v>291</v>
      </c>
      <c r="BB51" s="81"/>
      <c r="BD51" s="71" t="s">
        <v>395</v>
      </c>
      <c r="BI51" s="42">
        <v>1</v>
      </c>
      <c r="BK51" s="72"/>
    </row>
    <row r="52" spans="1:72" s="71" customFormat="1" ht="20.85" customHeight="1">
      <c r="A52" s="32">
        <f t="shared" si="9"/>
        <v>42</v>
      </c>
      <c r="B52" s="62" t="s">
        <v>379</v>
      </c>
      <c r="C52" s="78" t="s">
        <v>93</v>
      </c>
      <c r="D52" s="35">
        <f t="shared" si="0"/>
        <v>0.6</v>
      </c>
      <c r="E52" s="67"/>
      <c r="F52" s="35">
        <f>SUM(G52:AX52)</f>
        <v>0.6</v>
      </c>
      <c r="G52" s="68"/>
      <c r="H52" s="68"/>
      <c r="I52" s="68"/>
      <c r="J52" s="68">
        <v>0.6</v>
      </c>
      <c r="K52" s="68"/>
      <c r="L52" s="68"/>
      <c r="M52" s="68"/>
      <c r="N52" s="68"/>
      <c r="O52" s="68"/>
      <c r="P52" s="68"/>
      <c r="Q52" s="68"/>
      <c r="R52" s="68"/>
      <c r="S52" s="68"/>
      <c r="T52" s="68"/>
      <c r="U52" s="68"/>
      <c r="V52" s="68"/>
      <c r="W52" s="68"/>
      <c r="X52" s="68"/>
      <c r="Y52" s="68"/>
      <c r="Z52" s="68"/>
      <c r="AA52" s="68"/>
      <c r="AB52" s="68"/>
      <c r="AC52" s="68"/>
      <c r="AD52" s="68"/>
      <c r="AE52" s="68"/>
      <c r="AF52" s="68"/>
      <c r="AG52" s="68"/>
      <c r="AH52" s="68"/>
      <c r="AI52" s="68"/>
      <c r="AJ52" s="68"/>
      <c r="AK52" s="68"/>
      <c r="AL52" s="68"/>
      <c r="AM52" s="68"/>
      <c r="AN52" s="68"/>
      <c r="AO52" s="68"/>
      <c r="AP52" s="68"/>
      <c r="AQ52" s="68"/>
      <c r="AR52" s="68"/>
      <c r="AS52" s="68"/>
      <c r="AT52" s="68"/>
      <c r="AU52" s="68"/>
      <c r="AV52" s="68"/>
      <c r="AW52" s="68"/>
      <c r="AX52" s="68"/>
      <c r="AY52" s="70" t="s">
        <v>226</v>
      </c>
      <c r="AZ52" s="70" t="s">
        <v>396</v>
      </c>
      <c r="BA52" s="47" t="s">
        <v>298</v>
      </c>
      <c r="BB52" s="48"/>
      <c r="BC52" s="71" t="s">
        <v>397</v>
      </c>
      <c r="BI52" s="42">
        <v>1</v>
      </c>
      <c r="BK52" s="72"/>
    </row>
    <row r="53" spans="1:72" s="71" customFormat="1" ht="18" customHeight="1">
      <c r="A53" s="32">
        <f t="shared" si="9"/>
        <v>43</v>
      </c>
      <c r="B53" s="62" t="s">
        <v>379</v>
      </c>
      <c r="C53" s="78" t="s">
        <v>93</v>
      </c>
      <c r="D53" s="35">
        <f t="shared" si="0"/>
        <v>0.1</v>
      </c>
      <c r="E53" s="67"/>
      <c r="F53" s="35">
        <f t="shared" si="10"/>
        <v>0.1</v>
      </c>
      <c r="G53" s="68"/>
      <c r="H53" s="68"/>
      <c r="I53" s="68">
        <v>0.1</v>
      </c>
      <c r="J53" s="68"/>
      <c r="K53" s="68"/>
      <c r="L53" s="68"/>
      <c r="M53" s="68"/>
      <c r="N53" s="68"/>
      <c r="O53" s="68"/>
      <c r="P53" s="68"/>
      <c r="Q53" s="68"/>
      <c r="R53" s="68"/>
      <c r="S53" s="68"/>
      <c r="T53" s="68"/>
      <c r="U53" s="68"/>
      <c r="V53" s="68"/>
      <c r="W53" s="68"/>
      <c r="X53" s="68"/>
      <c r="Y53" s="68"/>
      <c r="Z53" s="68"/>
      <c r="AA53" s="68"/>
      <c r="AB53" s="68"/>
      <c r="AC53" s="68"/>
      <c r="AD53" s="68"/>
      <c r="AE53" s="68"/>
      <c r="AF53" s="68"/>
      <c r="AG53" s="68"/>
      <c r="AH53" s="68"/>
      <c r="AI53" s="68"/>
      <c r="AJ53" s="68"/>
      <c r="AK53" s="68"/>
      <c r="AL53" s="68"/>
      <c r="AM53" s="68"/>
      <c r="AN53" s="68"/>
      <c r="AO53" s="68"/>
      <c r="AP53" s="68"/>
      <c r="AQ53" s="68"/>
      <c r="AR53" s="68"/>
      <c r="AS53" s="68"/>
      <c r="AT53" s="68"/>
      <c r="AU53" s="68"/>
      <c r="AV53" s="68"/>
      <c r="AW53" s="68"/>
      <c r="AX53" s="68"/>
      <c r="AY53" s="70" t="s">
        <v>226</v>
      </c>
      <c r="AZ53" s="70" t="s">
        <v>394</v>
      </c>
      <c r="BA53" s="70" t="s">
        <v>291</v>
      </c>
      <c r="BB53" s="81"/>
      <c r="BD53" s="71" t="s">
        <v>398</v>
      </c>
      <c r="BI53" s="42">
        <v>1</v>
      </c>
      <c r="BK53" s="72"/>
    </row>
    <row r="54" spans="1:72" s="71" customFormat="1" ht="30" customHeight="1">
      <c r="A54" s="32">
        <f t="shared" si="9"/>
        <v>44</v>
      </c>
      <c r="B54" s="62" t="s">
        <v>379</v>
      </c>
      <c r="C54" s="78" t="s">
        <v>93</v>
      </c>
      <c r="D54" s="35">
        <f t="shared" si="0"/>
        <v>0.2</v>
      </c>
      <c r="E54" s="67"/>
      <c r="F54" s="35">
        <f>SUM(G54:AX54)</f>
        <v>0.2</v>
      </c>
      <c r="G54" s="68">
        <v>0.2</v>
      </c>
      <c r="H54" s="68"/>
      <c r="I54" s="68"/>
      <c r="J54" s="68"/>
      <c r="K54" s="68"/>
      <c r="L54" s="68"/>
      <c r="M54" s="68"/>
      <c r="N54" s="68"/>
      <c r="O54" s="68"/>
      <c r="P54" s="68"/>
      <c r="Q54" s="68"/>
      <c r="R54" s="68"/>
      <c r="S54" s="68"/>
      <c r="T54" s="68"/>
      <c r="U54" s="68"/>
      <c r="V54" s="68"/>
      <c r="W54" s="68"/>
      <c r="X54" s="68"/>
      <c r="Y54" s="68"/>
      <c r="Z54" s="68"/>
      <c r="AA54" s="68"/>
      <c r="AB54" s="68"/>
      <c r="AC54" s="68"/>
      <c r="AD54" s="68"/>
      <c r="AE54" s="68"/>
      <c r="AF54" s="68"/>
      <c r="AG54" s="68"/>
      <c r="AH54" s="68"/>
      <c r="AI54" s="68"/>
      <c r="AJ54" s="68"/>
      <c r="AK54" s="68"/>
      <c r="AL54" s="68"/>
      <c r="AM54" s="68"/>
      <c r="AN54" s="68"/>
      <c r="AO54" s="68"/>
      <c r="AP54" s="68"/>
      <c r="AQ54" s="68"/>
      <c r="AR54" s="68"/>
      <c r="AS54" s="68"/>
      <c r="AT54" s="68"/>
      <c r="AU54" s="68"/>
      <c r="AV54" s="68"/>
      <c r="AW54" s="68"/>
      <c r="AX54" s="68"/>
      <c r="AY54" s="70" t="s">
        <v>226</v>
      </c>
      <c r="AZ54" s="70" t="s">
        <v>399</v>
      </c>
      <c r="BA54" s="70" t="s">
        <v>298</v>
      </c>
      <c r="BB54" s="81" t="s">
        <v>400</v>
      </c>
      <c r="BC54" s="71" t="s">
        <v>381</v>
      </c>
      <c r="BI54" s="42">
        <v>1</v>
      </c>
      <c r="BK54" s="72"/>
    </row>
    <row r="55" spans="1:72" s="49" customFormat="1" ht="18.600000000000001" customHeight="1">
      <c r="A55" s="32">
        <f t="shared" si="9"/>
        <v>45</v>
      </c>
      <c r="B55" s="60" t="s">
        <v>391</v>
      </c>
      <c r="C55" s="78" t="s">
        <v>93</v>
      </c>
      <c r="D55" s="35">
        <f t="shared" si="0"/>
        <v>1.2</v>
      </c>
      <c r="E55" s="45"/>
      <c r="F55" s="35">
        <f t="shared" si="10"/>
        <v>1.2</v>
      </c>
      <c r="G55" s="46"/>
      <c r="H55" s="46">
        <v>0.7</v>
      </c>
      <c r="I55" s="46">
        <v>0.5</v>
      </c>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46"/>
      <c r="AK55" s="46"/>
      <c r="AL55" s="46"/>
      <c r="AM55" s="46"/>
      <c r="AN55" s="46"/>
      <c r="AO55" s="46"/>
      <c r="AP55" s="46"/>
      <c r="AQ55" s="46"/>
      <c r="AR55" s="46"/>
      <c r="AS55" s="46"/>
      <c r="AT55" s="46"/>
      <c r="AU55" s="46"/>
      <c r="AV55" s="46"/>
      <c r="AW55" s="46"/>
      <c r="AX55" s="46"/>
      <c r="AY55" s="47" t="s">
        <v>227</v>
      </c>
      <c r="AZ55" s="47" t="s">
        <v>401</v>
      </c>
      <c r="BA55" s="47" t="s">
        <v>291</v>
      </c>
      <c r="BB55" s="48"/>
      <c r="BC55" s="49" t="s">
        <v>402</v>
      </c>
      <c r="BI55" s="42">
        <v>1</v>
      </c>
      <c r="BK55" s="50"/>
    </row>
    <row r="56" spans="1:72" s="49" customFormat="1" ht="32.85" customHeight="1">
      <c r="A56" s="32">
        <f t="shared" si="9"/>
        <v>46</v>
      </c>
      <c r="B56" s="60" t="s">
        <v>403</v>
      </c>
      <c r="C56" s="78" t="s">
        <v>93</v>
      </c>
      <c r="D56" s="35">
        <f t="shared" si="0"/>
        <v>0.16</v>
      </c>
      <c r="E56" s="45"/>
      <c r="F56" s="35">
        <f t="shared" si="10"/>
        <v>0.16</v>
      </c>
      <c r="G56" s="46">
        <v>0.16</v>
      </c>
      <c r="H56" s="46"/>
      <c r="I56" s="46"/>
      <c r="J56" s="46"/>
      <c r="K56" s="46"/>
      <c r="L56" s="46"/>
      <c r="M56" s="46"/>
      <c r="N56" s="46"/>
      <c r="O56" s="46"/>
      <c r="P56" s="46"/>
      <c r="Q56" s="46"/>
      <c r="R56" s="46"/>
      <c r="S56" s="46"/>
      <c r="T56" s="46"/>
      <c r="U56" s="46"/>
      <c r="V56" s="46"/>
      <c r="W56" s="46"/>
      <c r="X56" s="46"/>
      <c r="Y56" s="46"/>
      <c r="Z56" s="46"/>
      <c r="AA56" s="46"/>
      <c r="AB56" s="46"/>
      <c r="AC56" s="46"/>
      <c r="AD56" s="46"/>
      <c r="AE56" s="46"/>
      <c r="AF56" s="46"/>
      <c r="AG56" s="46"/>
      <c r="AH56" s="46"/>
      <c r="AI56" s="46"/>
      <c r="AJ56" s="46"/>
      <c r="AK56" s="46"/>
      <c r="AL56" s="46"/>
      <c r="AM56" s="46"/>
      <c r="AN56" s="46"/>
      <c r="AO56" s="46"/>
      <c r="AP56" s="46"/>
      <c r="AQ56" s="46"/>
      <c r="AR56" s="46"/>
      <c r="AS56" s="46"/>
      <c r="AT56" s="46"/>
      <c r="AU56" s="46"/>
      <c r="AV56" s="46"/>
      <c r="AW56" s="46"/>
      <c r="AX56" s="46"/>
      <c r="AY56" s="47" t="s">
        <v>227</v>
      </c>
      <c r="AZ56" s="47" t="s">
        <v>404</v>
      </c>
      <c r="BA56" s="47" t="s">
        <v>291</v>
      </c>
      <c r="BB56" s="48"/>
      <c r="BI56" s="42">
        <v>1</v>
      </c>
      <c r="BK56" s="50"/>
    </row>
    <row r="57" spans="1:72" ht="35.1" customHeight="1">
      <c r="A57" s="32">
        <f t="shared" si="9"/>
        <v>47</v>
      </c>
      <c r="B57" s="56" t="s">
        <v>405</v>
      </c>
      <c r="C57" s="78" t="s">
        <v>93</v>
      </c>
      <c r="D57" s="35">
        <f t="shared" si="0"/>
        <v>0.26</v>
      </c>
      <c r="E57" s="35"/>
      <c r="F57" s="35">
        <f t="shared" si="10"/>
        <v>0.26</v>
      </c>
      <c r="G57" s="43"/>
      <c r="H57" s="43"/>
      <c r="I57" s="43"/>
      <c r="J57" s="43"/>
      <c r="K57" s="43"/>
      <c r="L57" s="43"/>
      <c r="M57" s="43"/>
      <c r="N57" s="43"/>
      <c r="O57" s="43"/>
      <c r="P57" s="43"/>
      <c r="Q57" s="43"/>
      <c r="R57" s="43"/>
      <c r="S57" s="43"/>
      <c r="T57" s="43"/>
      <c r="U57" s="43"/>
      <c r="V57" s="43"/>
      <c r="W57" s="43"/>
      <c r="X57" s="43"/>
      <c r="Y57" s="43"/>
      <c r="Z57" s="43"/>
      <c r="AA57" s="43"/>
      <c r="AB57" s="43"/>
      <c r="AC57" s="43"/>
      <c r="AD57" s="43"/>
      <c r="AE57" s="43"/>
      <c r="AF57" s="43"/>
      <c r="AG57" s="43"/>
      <c r="AH57" s="43"/>
      <c r="AI57" s="43"/>
      <c r="AJ57" s="43"/>
      <c r="AK57" s="43"/>
      <c r="AL57" s="43"/>
      <c r="AM57" s="43"/>
      <c r="AN57" s="43"/>
      <c r="AO57" s="43"/>
      <c r="AP57" s="43"/>
      <c r="AQ57" s="43"/>
      <c r="AR57" s="43">
        <v>0.26</v>
      </c>
      <c r="AS57" s="43"/>
      <c r="AT57" s="43"/>
      <c r="AU57" s="43"/>
      <c r="AV57" s="43"/>
      <c r="AW57" s="43"/>
      <c r="AX57" s="43"/>
      <c r="AY57" s="38" t="s">
        <v>228</v>
      </c>
      <c r="AZ57" s="34" t="s">
        <v>406</v>
      </c>
      <c r="BA57" s="47" t="s">
        <v>298</v>
      </c>
      <c r="BB57" s="48"/>
      <c r="BC57" s="58"/>
      <c r="BD57" s="58"/>
      <c r="BE57" s="86"/>
      <c r="BI57" s="42">
        <v>1</v>
      </c>
      <c r="BT57" s="15" t="s">
        <v>407</v>
      </c>
    </row>
    <row r="58" spans="1:72" s="24" customFormat="1" ht="34.35" customHeight="1">
      <c r="A58" s="32">
        <f t="shared" si="9"/>
        <v>48</v>
      </c>
      <c r="B58" s="62" t="s">
        <v>379</v>
      </c>
      <c r="C58" s="78" t="s">
        <v>93</v>
      </c>
      <c r="D58" s="35">
        <f t="shared" si="0"/>
        <v>0.4</v>
      </c>
      <c r="E58" s="36"/>
      <c r="F58" s="35">
        <f>SUM(G58:AX58)</f>
        <v>0.4</v>
      </c>
      <c r="G58" s="37"/>
      <c r="H58" s="37">
        <v>0.4</v>
      </c>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c r="AJ58" s="37"/>
      <c r="AK58" s="37"/>
      <c r="AL58" s="37"/>
      <c r="AM58" s="37"/>
      <c r="AN58" s="37"/>
      <c r="AO58" s="37"/>
      <c r="AP58" s="37"/>
      <c r="AQ58" s="37"/>
      <c r="AR58" s="37"/>
      <c r="AS58" s="37"/>
      <c r="AT58" s="37"/>
      <c r="AU58" s="37"/>
      <c r="AV58" s="37"/>
      <c r="AW58" s="37"/>
      <c r="AX58" s="37"/>
      <c r="AY58" s="34" t="s">
        <v>230</v>
      </c>
      <c r="AZ58" s="34" t="s">
        <v>408</v>
      </c>
      <c r="BA58" s="34" t="s">
        <v>291</v>
      </c>
      <c r="BB58" s="58"/>
      <c r="BC58" s="58" t="s">
        <v>381</v>
      </c>
      <c r="BE58" s="41"/>
      <c r="BI58" s="42">
        <v>1</v>
      </c>
    </row>
    <row r="59" spans="1:72" s="49" customFormat="1" ht="19.350000000000001" customHeight="1">
      <c r="A59" s="32">
        <f t="shared" si="9"/>
        <v>49</v>
      </c>
      <c r="B59" s="62" t="s">
        <v>379</v>
      </c>
      <c r="C59" s="78" t="s">
        <v>93</v>
      </c>
      <c r="D59" s="35">
        <f t="shared" si="0"/>
        <v>0.3</v>
      </c>
      <c r="E59" s="45"/>
      <c r="F59" s="35">
        <f t="shared" si="10"/>
        <v>0.3</v>
      </c>
      <c r="G59" s="46">
        <v>0.3</v>
      </c>
      <c r="H59" s="46"/>
      <c r="I59" s="46"/>
      <c r="J59" s="46"/>
      <c r="K59" s="46"/>
      <c r="L59" s="46"/>
      <c r="M59" s="46"/>
      <c r="N59" s="46"/>
      <c r="O59" s="46"/>
      <c r="P59" s="46"/>
      <c r="Q59" s="46"/>
      <c r="R59" s="46"/>
      <c r="S59" s="46"/>
      <c r="T59" s="46"/>
      <c r="U59" s="46"/>
      <c r="V59" s="46"/>
      <c r="W59" s="46"/>
      <c r="X59" s="46"/>
      <c r="Y59" s="46"/>
      <c r="Z59" s="46"/>
      <c r="AA59" s="46"/>
      <c r="AB59" s="46"/>
      <c r="AC59" s="46"/>
      <c r="AD59" s="46"/>
      <c r="AE59" s="46"/>
      <c r="AF59" s="46"/>
      <c r="AG59" s="46"/>
      <c r="AH59" s="46"/>
      <c r="AI59" s="46"/>
      <c r="AJ59" s="46"/>
      <c r="AK59" s="46"/>
      <c r="AL59" s="46"/>
      <c r="AM59" s="46"/>
      <c r="AN59" s="46"/>
      <c r="AO59" s="46"/>
      <c r="AP59" s="46"/>
      <c r="AQ59" s="46"/>
      <c r="AR59" s="46"/>
      <c r="AS59" s="46"/>
      <c r="AT59" s="46"/>
      <c r="AU59" s="46"/>
      <c r="AV59" s="46"/>
      <c r="AW59" s="46"/>
      <c r="AX59" s="46"/>
      <c r="AY59" s="34" t="s">
        <v>229</v>
      </c>
      <c r="AZ59" s="34" t="s">
        <v>308</v>
      </c>
      <c r="BA59" s="34" t="s">
        <v>291</v>
      </c>
      <c r="BB59" s="58"/>
      <c r="BC59" s="49" t="s">
        <v>388</v>
      </c>
      <c r="BI59" s="42">
        <v>1</v>
      </c>
      <c r="BK59" s="50"/>
    </row>
    <row r="60" spans="1:72" ht="19.350000000000001" customHeight="1">
      <c r="A60" s="32">
        <f t="shared" si="9"/>
        <v>50</v>
      </c>
      <c r="B60" s="56" t="s">
        <v>409</v>
      </c>
      <c r="C60" s="78" t="s">
        <v>93</v>
      </c>
      <c r="D60" s="35">
        <f t="shared" si="0"/>
        <v>0.08</v>
      </c>
      <c r="E60" s="35"/>
      <c r="F60" s="35">
        <f t="shared" si="10"/>
        <v>0.08</v>
      </c>
      <c r="G60" s="43">
        <v>0.08</v>
      </c>
      <c r="H60" s="43"/>
      <c r="I60" s="43"/>
      <c r="J60" s="43"/>
      <c r="K60" s="43"/>
      <c r="L60" s="43"/>
      <c r="M60" s="43"/>
      <c r="N60" s="43"/>
      <c r="O60" s="43"/>
      <c r="P60" s="43"/>
      <c r="Q60" s="43"/>
      <c r="R60" s="43"/>
      <c r="S60" s="43"/>
      <c r="T60" s="43"/>
      <c r="U60" s="43"/>
      <c r="V60" s="43"/>
      <c r="W60" s="43"/>
      <c r="X60" s="43"/>
      <c r="Y60" s="43"/>
      <c r="Z60" s="43"/>
      <c r="AA60" s="43"/>
      <c r="AB60" s="43"/>
      <c r="AC60" s="43"/>
      <c r="AD60" s="43"/>
      <c r="AE60" s="43"/>
      <c r="AF60" s="43"/>
      <c r="AG60" s="43"/>
      <c r="AH60" s="43"/>
      <c r="AI60" s="43"/>
      <c r="AJ60" s="43"/>
      <c r="AK60" s="43"/>
      <c r="AL60" s="43"/>
      <c r="AM60" s="43"/>
      <c r="AN60" s="43"/>
      <c r="AO60" s="43"/>
      <c r="AP60" s="43"/>
      <c r="AQ60" s="43"/>
      <c r="AR60" s="43"/>
      <c r="AS60" s="43"/>
      <c r="AT60" s="43"/>
      <c r="AU60" s="43"/>
      <c r="AV60" s="43"/>
      <c r="AW60" s="43"/>
      <c r="AX60" s="43"/>
      <c r="AY60" s="34" t="s">
        <v>232</v>
      </c>
      <c r="AZ60" s="34" t="s">
        <v>410</v>
      </c>
      <c r="BA60" s="63" t="s">
        <v>291</v>
      </c>
      <c r="BB60" s="64"/>
      <c r="BD60" s="15" t="s">
        <v>7</v>
      </c>
      <c r="BE60" s="41"/>
      <c r="BI60" s="42">
        <v>1</v>
      </c>
    </row>
    <row r="61" spans="1:72" ht="32.450000000000003" customHeight="1">
      <c r="A61" s="32">
        <f t="shared" si="9"/>
        <v>51</v>
      </c>
      <c r="B61" s="62" t="s">
        <v>379</v>
      </c>
      <c r="C61" s="78" t="s">
        <v>93</v>
      </c>
      <c r="D61" s="35">
        <f t="shared" si="0"/>
        <v>0.33999999999999997</v>
      </c>
      <c r="E61" s="35"/>
      <c r="F61" s="35">
        <f t="shared" si="10"/>
        <v>0.33999999999999997</v>
      </c>
      <c r="G61" s="43">
        <v>0.09</v>
      </c>
      <c r="H61" s="43"/>
      <c r="I61" s="43"/>
      <c r="J61" s="43"/>
      <c r="K61" s="43"/>
      <c r="L61" s="43"/>
      <c r="M61" s="43"/>
      <c r="N61" s="43"/>
      <c r="O61" s="43"/>
      <c r="P61" s="43"/>
      <c r="Q61" s="43"/>
      <c r="R61" s="43"/>
      <c r="S61" s="43"/>
      <c r="T61" s="43"/>
      <c r="U61" s="43"/>
      <c r="V61" s="43"/>
      <c r="W61" s="43"/>
      <c r="X61" s="43"/>
      <c r="Y61" s="43"/>
      <c r="Z61" s="43"/>
      <c r="AA61" s="43"/>
      <c r="AB61" s="43"/>
      <c r="AC61" s="43"/>
      <c r="AD61" s="43"/>
      <c r="AE61" s="43"/>
      <c r="AF61" s="43"/>
      <c r="AG61" s="43"/>
      <c r="AH61" s="43"/>
      <c r="AI61" s="43"/>
      <c r="AJ61" s="43"/>
      <c r="AK61" s="43"/>
      <c r="AL61" s="43">
        <v>0.25</v>
      </c>
      <c r="AM61" s="43"/>
      <c r="AN61" s="43"/>
      <c r="AO61" s="43"/>
      <c r="AP61" s="43"/>
      <c r="AQ61" s="43"/>
      <c r="AR61" s="43"/>
      <c r="AS61" s="43"/>
      <c r="AT61" s="43"/>
      <c r="AU61" s="43"/>
      <c r="AV61" s="43"/>
      <c r="AW61" s="43"/>
      <c r="AX61" s="43"/>
      <c r="AY61" s="34" t="s">
        <v>232</v>
      </c>
      <c r="AZ61" s="34" t="s">
        <v>411</v>
      </c>
      <c r="BA61" s="47" t="s">
        <v>298</v>
      </c>
      <c r="BB61" s="48"/>
      <c r="BC61" s="15" t="s">
        <v>412</v>
      </c>
      <c r="BE61" s="41"/>
      <c r="BG61" s="58" t="s">
        <v>413</v>
      </c>
      <c r="BI61" s="42">
        <v>1</v>
      </c>
    </row>
    <row r="62" spans="1:72" s="49" customFormat="1">
      <c r="A62" s="32">
        <f>A61+1</f>
        <v>52</v>
      </c>
      <c r="B62" s="62" t="s">
        <v>379</v>
      </c>
      <c r="C62" s="78" t="s">
        <v>93</v>
      </c>
      <c r="D62" s="35">
        <f t="shared" si="0"/>
        <v>1.27</v>
      </c>
      <c r="E62" s="45"/>
      <c r="F62" s="35">
        <f>SUM(G62:AX62)</f>
        <v>1.27</v>
      </c>
      <c r="G62" s="46">
        <v>0.8</v>
      </c>
      <c r="H62" s="46"/>
      <c r="I62" s="46">
        <v>0.47</v>
      </c>
      <c r="J62" s="46"/>
      <c r="K62" s="46"/>
      <c r="L62" s="46"/>
      <c r="M62" s="46"/>
      <c r="N62" s="46"/>
      <c r="O62" s="46"/>
      <c r="P62" s="46"/>
      <c r="Q62" s="46"/>
      <c r="R62" s="46"/>
      <c r="S62" s="46"/>
      <c r="T62" s="46"/>
      <c r="U62" s="46"/>
      <c r="V62" s="46"/>
      <c r="W62" s="46"/>
      <c r="X62" s="46"/>
      <c r="Y62" s="46"/>
      <c r="Z62" s="46"/>
      <c r="AA62" s="46"/>
      <c r="AB62" s="46"/>
      <c r="AC62" s="46"/>
      <c r="AD62" s="46"/>
      <c r="AE62" s="46"/>
      <c r="AF62" s="46"/>
      <c r="AG62" s="46"/>
      <c r="AH62" s="46"/>
      <c r="AI62" s="46"/>
      <c r="AJ62" s="46"/>
      <c r="AK62" s="46"/>
      <c r="AL62" s="46"/>
      <c r="AM62" s="46"/>
      <c r="AN62" s="46"/>
      <c r="AO62" s="46"/>
      <c r="AP62" s="46"/>
      <c r="AQ62" s="46"/>
      <c r="AR62" s="46"/>
      <c r="AS62" s="46"/>
      <c r="AT62" s="46"/>
      <c r="AU62" s="46"/>
      <c r="AV62" s="46"/>
      <c r="AW62" s="46"/>
      <c r="AX62" s="46"/>
      <c r="AY62" s="47" t="s">
        <v>233</v>
      </c>
      <c r="AZ62" s="47" t="s">
        <v>414</v>
      </c>
      <c r="BA62" s="47" t="s">
        <v>298</v>
      </c>
      <c r="BB62" s="48"/>
      <c r="BC62" s="87" t="s">
        <v>381</v>
      </c>
      <c r="BI62" s="42">
        <v>1</v>
      </c>
      <c r="BK62" s="50"/>
    </row>
    <row r="63" spans="1:72" s="49" customFormat="1" ht="19.350000000000001" customHeight="1">
      <c r="A63" s="32">
        <f t="shared" si="9"/>
        <v>53</v>
      </c>
      <c r="B63" s="62" t="s">
        <v>379</v>
      </c>
      <c r="C63" s="78" t="s">
        <v>93</v>
      </c>
      <c r="D63" s="35">
        <f t="shared" si="0"/>
        <v>0.7</v>
      </c>
      <c r="E63" s="67"/>
      <c r="F63" s="35">
        <f>SUM(G63:AX63)</f>
        <v>0.7</v>
      </c>
      <c r="G63" s="68">
        <v>0.7</v>
      </c>
      <c r="H63" s="68"/>
      <c r="I63" s="68"/>
      <c r="J63" s="68"/>
      <c r="K63" s="68"/>
      <c r="L63" s="68"/>
      <c r="M63" s="68"/>
      <c r="N63" s="68"/>
      <c r="O63" s="68"/>
      <c r="P63" s="68"/>
      <c r="Q63" s="68"/>
      <c r="R63" s="68"/>
      <c r="S63" s="68"/>
      <c r="T63" s="68"/>
      <c r="U63" s="68"/>
      <c r="V63" s="68"/>
      <c r="W63" s="68"/>
      <c r="X63" s="68"/>
      <c r="Y63" s="68"/>
      <c r="Z63" s="68"/>
      <c r="AA63" s="68"/>
      <c r="AB63" s="68"/>
      <c r="AC63" s="68"/>
      <c r="AD63" s="68"/>
      <c r="AE63" s="68"/>
      <c r="AF63" s="68"/>
      <c r="AG63" s="68"/>
      <c r="AH63" s="68"/>
      <c r="AI63" s="68"/>
      <c r="AJ63" s="68"/>
      <c r="AK63" s="68"/>
      <c r="AL63" s="68"/>
      <c r="AM63" s="68"/>
      <c r="AN63" s="68"/>
      <c r="AO63" s="68"/>
      <c r="AP63" s="68"/>
      <c r="AQ63" s="68"/>
      <c r="AR63" s="68"/>
      <c r="AS63" s="68"/>
      <c r="AT63" s="68"/>
      <c r="AU63" s="68"/>
      <c r="AV63" s="68"/>
      <c r="AW63" s="68"/>
      <c r="AX63" s="68"/>
      <c r="AY63" s="47" t="s">
        <v>234</v>
      </c>
      <c r="AZ63" s="47" t="s">
        <v>415</v>
      </c>
      <c r="BA63" s="47" t="s">
        <v>298</v>
      </c>
      <c r="BB63" s="48"/>
      <c r="BC63" s="49" t="s">
        <v>381</v>
      </c>
      <c r="BI63" s="42">
        <v>1</v>
      </c>
      <c r="BK63" s="50"/>
    </row>
    <row r="64" spans="1:72" s="71" customFormat="1" ht="34.35" customHeight="1">
      <c r="A64" s="32">
        <f t="shared" si="9"/>
        <v>54</v>
      </c>
      <c r="B64" s="66" t="s">
        <v>416</v>
      </c>
      <c r="C64" s="78" t="s">
        <v>93</v>
      </c>
      <c r="D64" s="35">
        <f t="shared" si="0"/>
        <v>0.37</v>
      </c>
      <c r="E64" s="76"/>
      <c r="F64" s="35">
        <f t="shared" si="10"/>
        <v>0.37</v>
      </c>
      <c r="G64" s="77"/>
      <c r="H64" s="77">
        <v>0.36</v>
      </c>
      <c r="I64" s="77"/>
      <c r="J64" s="77"/>
      <c r="K64" s="77"/>
      <c r="L64" s="77"/>
      <c r="M64" s="77"/>
      <c r="N64" s="77"/>
      <c r="O64" s="77"/>
      <c r="P64" s="77"/>
      <c r="Q64" s="77"/>
      <c r="R64" s="77"/>
      <c r="S64" s="77"/>
      <c r="T64" s="77"/>
      <c r="U64" s="77"/>
      <c r="V64" s="77"/>
      <c r="W64" s="77"/>
      <c r="X64" s="77"/>
      <c r="Y64" s="77"/>
      <c r="Z64" s="77"/>
      <c r="AA64" s="77">
        <v>0.01</v>
      </c>
      <c r="AB64" s="77"/>
      <c r="AC64" s="77"/>
      <c r="AD64" s="77"/>
      <c r="AE64" s="77"/>
      <c r="AF64" s="77"/>
      <c r="AG64" s="77"/>
      <c r="AH64" s="77"/>
      <c r="AI64" s="77"/>
      <c r="AJ64" s="77"/>
      <c r="AK64" s="77"/>
      <c r="AL64" s="77"/>
      <c r="AM64" s="77"/>
      <c r="AN64" s="77"/>
      <c r="AO64" s="77"/>
      <c r="AP64" s="77"/>
      <c r="AQ64" s="77"/>
      <c r="AR64" s="77"/>
      <c r="AS64" s="77"/>
      <c r="AT64" s="77"/>
      <c r="AU64" s="77"/>
      <c r="AV64" s="77"/>
      <c r="AW64" s="77"/>
      <c r="AX64" s="77"/>
      <c r="AY64" s="70" t="s">
        <v>235</v>
      </c>
      <c r="AZ64" s="70" t="s">
        <v>417</v>
      </c>
      <c r="BA64" s="70" t="s">
        <v>291</v>
      </c>
      <c r="BB64" s="81"/>
      <c r="BD64" s="71" t="s">
        <v>418</v>
      </c>
      <c r="BI64" s="42">
        <v>1</v>
      </c>
      <c r="BK64" s="72"/>
    </row>
    <row r="65" spans="1:63" s="71" customFormat="1" ht="18" customHeight="1">
      <c r="A65" s="32">
        <f t="shared" si="9"/>
        <v>55</v>
      </c>
      <c r="B65" s="66" t="s">
        <v>419</v>
      </c>
      <c r="C65" s="78" t="s">
        <v>93</v>
      </c>
      <c r="D65" s="35">
        <f t="shared" si="0"/>
        <v>0.39999999999999997</v>
      </c>
      <c r="E65" s="76"/>
      <c r="F65" s="35">
        <f t="shared" si="10"/>
        <v>0.39999999999999997</v>
      </c>
      <c r="G65" s="77">
        <v>0.04</v>
      </c>
      <c r="H65" s="77"/>
      <c r="I65" s="77">
        <v>0.32</v>
      </c>
      <c r="J65" s="77"/>
      <c r="K65" s="77"/>
      <c r="L65" s="77"/>
      <c r="M65" s="77"/>
      <c r="N65" s="77"/>
      <c r="O65" s="77"/>
      <c r="P65" s="77"/>
      <c r="Q65" s="77"/>
      <c r="R65" s="77"/>
      <c r="S65" s="77"/>
      <c r="T65" s="77"/>
      <c r="U65" s="77"/>
      <c r="V65" s="77"/>
      <c r="W65" s="77"/>
      <c r="X65" s="77"/>
      <c r="Y65" s="77"/>
      <c r="Z65" s="77"/>
      <c r="AA65" s="77">
        <v>0.04</v>
      </c>
      <c r="AB65" s="77"/>
      <c r="AC65" s="77"/>
      <c r="AD65" s="77"/>
      <c r="AE65" s="77"/>
      <c r="AF65" s="77"/>
      <c r="AG65" s="77"/>
      <c r="AH65" s="77"/>
      <c r="AI65" s="77"/>
      <c r="AJ65" s="77"/>
      <c r="AK65" s="77"/>
      <c r="AL65" s="77"/>
      <c r="AM65" s="77"/>
      <c r="AN65" s="77"/>
      <c r="AO65" s="77"/>
      <c r="AP65" s="77"/>
      <c r="AQ65" s="77"/>
      <c r="AR65" s="77"/>
      <c r="AS65" s="77"/>
      <c r="AT65" s="77"/>
      <c r="AU65" s="77"/>
      <c r="AV65" s="77"/>
      <c r="AW65" s="77"/>
      <c r="AX65" s="77"/>
      <c r="AY65" s="70" t="s">
        <v>235</v>
      </c>
      <c r="AZ65" s="70" t="s">
        <v>308</v>
      </c>
      <c r="BA65" s="70" t="s">
        <v>291</v>
      </c>
      <c r="BB65" s="81"/>
      <c r="BD65" s="71" t="s">
        <v>420</v>
      </c>
      <c r="BI65" s="42">
        <v>1</v>
      </c>
      <c r="BK65" s="72"/>
    </row>
    <row r="66" spans="1:63" s="71" customFormat="1" ht="18" customHeight="1">
      <c r="A66" s="32">
        <f t="shared" si="9"/>
        <v>56</v>
      </c>
      <c r="B66" s="62" t="s">
        <v>379</v>
      </c>
      <c r="C66" s="78" t="s">
        <v>93</v>
      </c>
      <c r="D66" s="35">
        <f t="shared" si="0"/>
        <v>1.44</v>
      </c>
      <c r="E66" s="76"/>
      <c r="F66" s="35">
        <f t="shared" si="10"/>
        <v>1.44</v>
      </c>
      <c r="G66" s="77"/>
      <c r="H66" s="77">
        <v>1.04</v>
      </c>
      <c r="I66" s="77">
        <v>0.4</v>
      </c>
      <c r="J66" s="77"/>
      <c r="K66" s="77"/>
      <c r="L66" s="77"/>
      <c r="M66" s="77"/>
      <c r="N66" s="77"/>
      <c r="O66" s="77"/>
      <c r="P66" s="77"/>
      <c r="Q66" s="77"/>
      <c r="R66" s="77"/>
      <c r="S66" s="77"/>
      <c r="T66" s="77"/>
      <c r="U66" s="77"/>
      <c r="V66" s="77"/>
      <c r="W66" s="77"/>
      <c r="X66" s="77"/>
      <c r="Y66" s="77"/>
      <c r="Z66" s="77"/>
      <c r="AA66" s="77"/>
      <c r="AB66" s="77"/>
      <c r="AC66" s="77"/>
      <c r="AD66" s="77"/>
      <c r="AE66" s="77"/>
      <c r="AF66" s="77"/>
      <c r="AG66" s="77"/>
      <c r="AH66" s="77"/>
      <c r="AI66" s="77"/>
      <c r="AJ66" s="77"/>
      <c r="AK66" s="77"/>
      <c r="AL66" s="77"/>
      <c r="AM66" s="77"/>
      <c r="AN66" s="77"/>
      <c r="AO66" s="77"/>
      <c r="AP66" s="77"/>
      <c r="AQ66" s="77"/>
      <c r="AR66" s="77"/>
      <c r="AS66" s="77"/>
      <c r="AT66" s="77"/>
      <c r="AU66" s="77"/>
      <c r="AV66" s="77"/>
      <c r="AW66" s="77"/>
      <c r="AX66" s="77"/>
      <c r="AY66" s="70" t="s">
        <v>235</v>
      </c>
      <c r="AZ66" s="70" t="s">
        <v>421</v>
      </c>
      <c r="BA66" s="70" t="s">
        <v>291</v>
      </c>
      <c r="BB66" s="81" t="s">
        <v>422</v>
      </c>
      <c r="BC66" s="71" t="s">
        <v>423</v>
      </c>
      <c r="BG66" s="71" t="s">
        <v>424</v>
      </c>
      <c r="BI66" s="42">
        <v>1</v>
      </c>
      <c r="BK66" s="72"/>
    </row>
    <row r="67" spans="1:63" s="71" customFormat="1" ht="18" customHeight="1">
      <c r="A67" s="32">
        <f t="shared" si="9"/>
        <v>57</v>
      </c>
      <c r="B67" s="62" t="s">
        <v>379</v>
      </c>
      <c r="C67" s="78" t="s">
        <v>93</v>
      </c>
      <c r="D67" s="35">
        <f t="shared" si="0"/>
        <v>0.5</v>
      </c>
      <c r="E67" s="76"/>
      <c r="F67" s="35">
        <f t="shared" si="10"/>
        <v>0.5</v>
      </c>
      <c r="G67" s="77">
        <v>0.5</v>
      </c>
      <c r="H67" s="77"/>
      <c r="I67" s="77"/>
      <c r="J67" s="77"/>
      <c r="K67" s="77"/>
      <c r="L67" s="77"/>
      <c r="M67" s="77"/>
      <c r="N67" s="77"/>
      <c r="O67" s="77"/>
      <c r="P67" s="77"/>
      <c r="Q67" s="77"/>
      <c r="R67" s="77"/>
      <c r="S67" s="77"/>
      <c r="T67" s="77"/>
      <c r="U67" s="77"/>
      <c r="V67" s="77"/>
      <c r="W67" s="77"/>
      <c r="X67" s="77"/>
      <c r="Y67" s="77"/>
      <c r="Z67" s="77"/>
      <c r="AA67" s="77"/>
      <c r="AB67" s="77"/>
      <c r="AC67" s="77"/>
      <c r="AD67" s="77"/>
      <c r="AE67" s="77"/>
      <c r="AF67" s="77"/>
      <c r="AG67" s="77"/>
      <c r="AH67" s="77"/>
      <c r="AI67" s="77"/>
      <c r="AJ67" s="77"/>
      <c r="AK67" s="77"/>
      <c r="AL67" s="77"/>
      <c r="AM67" s="77"/>
      <c r="AN67" s="77"/>
      <c r="AO67" s="77"/>
      <c r="AP67" s="77"/>
      <c r="AQ67" s="77"/>
      <c r="AR67" s="77"/>
      <c r="AS67" s="77"/>
      <c r="AT67" s="77"/>
      <c r="AU67" s="77"/>
      <c r="AV67" s="77"/>
      <c r="AW67" s="77"/>
      <c r="AX67" s="77"/>
      <c r="AY67" s="70" t="s">
        <v>235</v>
      </c>
      <c r="AZ67" s="70" t="s">
        <v>425</v>
      </c>
      <c r="BA67" s="70" t="s">
        <v>291</v>
      </c>
      <c r="BB67" s="81"/>
      <c r="BC67" s="71" t="s">
        <v>426</v>
      </c>
      <c r="BI67" s="42">
        <v>1</v>
      </c>
      <c r="BK67" s="72"/>
    </row>
    <row r="68" spans="1:63" s="71" customFormat="1" ht="18" customHeight="1">
      <c r="A68" s="32">
        <f t="shared" si="9"/>
        <v>58</v>
      </c>
      <c r="B68" s="62" t="s">
        <v>379</v>
      </c>
      <c r="C68" s="78" t="s">
        <v>93</v>
      </c>
      <c r="D68" s="35">
        <f t="shared" si="0"/>
        <v>0.7</v>
      </c>
      <c r="E68" s="76"/>
      <c r="F68" s="35">
        <f t="shared" si="10"/>
        <v>0.7</v>
      </c>
      <c r="G68" s="77"/>
      <c r="H68" s="77">
        <v>0.7</v>
      </c>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77"/>
      <c r="AJ68" s="77"/>
      <c r="AK68" s="77"/>
      <c r="AL68" s="77"/>
      <c r="AM68" s="77"/>
      <c r="AN68" s="77"/>
      <c r="AO68" s="77"/>
      <c r="AP68" s="77"/>
      <c r="AQ68" s="77"/>
      <c r="AR68" s="77"/>
      <c r="AS68" s="77"/>
      <c r="AT68" s="77"/>
      <c r="AU68" s="77"/>
      <c r="AV68" s="77"/>
      <c r="AW68" s="77"/>
      <c r="AX68" s="77"/>
      <c r="AY68" s="70" t="s">
        <v>235</v>
      </c>
      <c r="AZ68" s="70" t="s">
        <v>389</v>
      </c>
      <c r="BA68" s="47" t="s">
        <v>298</v>
      </c>
      <c r="BB68" s="48"/>
      <c r="BC68" s="71" t="s">
        <v>427</v>
      </c>
      <c r="BI68" s="42">
        <v>1</v>
      </c>
      <c r="BK68" s="72"/>
    </row>
    <row r="69" spans="1:63" s="71" customFormat="1" ht="18" customHeight="1">
      <c r="A69" s="32">
        <f t="shared" si="9"/>
        <v>59</v>
      </c>
      <c r="B69" s="62" t="s">
        <v>379</v>
      </c>
      <c r="C69" s="78" t="s">
        <v>93</v>
      </c>
      <c r="D69" s="35">
        <f t="shared" si="0"/>
        <v>0.46</v>
      </c>
      <c r="E69" s="76"/>
      <c r="F69" s="35">
        <f t="shared" si="10"/>
        <v>0.46</v>
      </c>
      <c r="G69" s="77">
        <v>0.18</v>
      </c>
      <c r="H69" s="77"/>
      <c r="I69" s="77">
        <v>0.26</v>
      </c>
      <c r="J69" s="77"/>
      <c r="K69" s="77"/>
      <c r="L69" s="77"/>
      <c r="M69" s="77"/>
      <c r="N69" s="77"/>
      <c r="O69" s="77"/>
      <c r="P69" s="77"/>
      <c r="Q69" s="77"/>
      <c r="R69" s="77"/>
      <c r="S69" s="77"/>
      <c r="T69" s="77"/>
      <c r="U69" s="77"/>
      <c r="V69" s="77"/>
      <c r="W69" s="77"/>
      <c r="X69" s="77"/>
      <c r="Y69" s="77"/>
      <c r="Z69" s="77"/>
      <c r="AA69" s="77">
        <v>0.02</v>
      </c>
      <c r="AB69" s="77"/>
      <c r="AC69" s="77"/>
      <c r="AD69" s="77"/>
      <c r="AE69" s="77"/>
      <c r="AF69" s="77"/>
      <c r="AG69" s="77"/>
      <c r="AH69" s="77"/>
      <c r="AI69" s="77"/>
      <c r="AJ69" s="77"/>
      <c r="AK69" s="77"/>
      <c r="AL69" s="77"/>
      <c r="AM69" s="77"/>
      <c r="AN69" s="77"/>
      <c r="AO69" s="77"/>
      <c r="AP69" s="77"/>
      <c r="AQ69" s="77"/>
      <c r="AR69" s="77"/>
      <c r="AS69" s="77"/>
      <c r="AT69" s="77"/>
      <c r="AU69" s="77"/>
      <c r="AV69" s="77"/>
      <c r="AW69" s="77"/>
      <c r="AX69" s="77"/>
      <c r="AY69" s="70" t="s">
        <v>235</v>
      </c>
      <c r="AZ69" s="70" t="s">
        <v>305</v>
      </c>
      <c r="BA69" s="70" t="s">
        <v>291</v>
      </c>
      <c r="BB69" s="72" t="s">
        <v>428</v>
      </c>
      <c r="BI69" s="42">
        <v>1</v>
      </c>
      <c r="BK69" s="72"/>
    </row>
    <row r="70" spans="1:63" ht="18" customHeight="1">
      <c r="A70" s="32">
        <f t="shared" si="9"/>
        <v>60</v>
      </c>
      <c r="B70" s="62" t="s">
        <v>379</v>
      </c>
      <c r="C70" s="78" t="s">
        <v>93</v>
      </c>
      <c r="D70" s="35">
        <f t="shared" si="0"/>
        <v>4.24</v>
      </c>
      <c r="E70" s="35"/>
      <c r="F70" s="35">
        <f t="shared" si="10"/>
        <v>4.24</v>
      </c>
      <c r="G70" s="43"/>
      <c r="H70" s="43"/>
      <c r="I70" s="43">
        <v>0.11</v>
      </c>
      <c r="J70" s="43"/>
      <c r="K70" s="43"/>
      <c r="L70" s="43"/>
      <c r="M70" s="43">
        <v>4.13</v>
      </c>
      <c r="N70" s="43"/>
      <c r="O70" s="43"/>
      <c r="P70" s="43"/>
      <c r="Q70" s="43"/>
      <c r="R70" s="43"/>
      <c r="S70" s="43"/>
      <c r="T70" s="43"/>
      <c r="U70" s="43"/>
      <c r="V70" s="43"/>
      <c r="W70" s="43"/>
      <c r="X70" s="43"/>
      <c r="Y70" s="43"/>
      <c r="Z70" s="43"/>
      <c r="AA70" s="43"/>
      <c r="AB70" s="43"/>
      <c r="AC70" s="43"/>
      <c r="AD70" s="43"/>
      <c r="AE70" s="43"/>
      <c r="AF70" s="43"/>
      <c r="AG70" s="43"/>
      <c r="AH70" s="43"/>
      <c r="AI70" s="43"/>
      <c r="AJ70" s="43"/>
      <c r="AK70" s="43"/>
      <c r="AL70" s="43"/>
      <c r="AM70" s="43"/>
      <c r="AN70" s="43"/>
      <c r="AO70" s="43"/>
      <c r="AP70" s="43"/>
      <c r="AQ70" s="43"/>
      <c r="AR70" s="43"/>
      <c r="AS70" s="43"/>
      <c r="AT70" s="43"/>
      <c r="AU70" s="43"/>
      <c r="AV70" s="43"/>
      <c r="AW70" s="43"/>
      <c r="AX70" s="43"/>
      <c r="AY70" s="34" t="s">
        <v>429</v>
      </c>
      <c r="AZ70" s="34" t="s">
        <v>430</v>
      </c>
      <c r="BA70" s="39" t="s">
        <v>291</v>
      </c>
      <c r="BB70" s="40" t="s">
        <v>351</v>
      </c>
      <c r="BE70" s="41"/>
      <c r="BI70" s="42">
        <v>1</v>
      </c>
    </row>
    <row r="71" spans="1:63" ht="18" customHeight="1">
      <c r="A71" s="32">
        <f t="shared" si="9"/>
        <v>61</v>
      </c>
      <c r="B71" s="62" t="s">
        <v>379</v>
      </c>
      <c r="C71" s="78" t="s">
        <v>93</v>
      </c>
      <c r="D71" s="35">
        <f t="shared" ref="D71:D134" si="11">E71+F71</f>
        <v>0.30000000000000004</v>
      </c>
      <c r="E71" s="35"/>
      <c r="F71" s="35">
        <f t="shared" si="10"/>
        <v>0.30000000000000004</v>
      </c>
      <c r="G71" s="43"/>
      <c r="H71" s="43"/>
      <c r="I71" s="43"/>
      <c r="J71" s="43"/>
      <c r="K71" s="43"/>
      <c r="L71" s="43"/>
      <c r="M71" s="43"/>
      <c r="N71" s="43"/>
      <c r="O71" s="43"/>
      <c r="P71" s="43"/>
      <c r="Q71" s="43"/>
      <c r="R71" s="43"/>
      <c r="S71" s="43"/>
      <c r="T71" s="43"/>
      <c r="U71" s="43"/>
      <c r="V71" s="43"/>
      <c r="W71" s="43"/>
      <c r="X71" s="43"/>
      <c r="Y71" s="43"/>
      <c r="Z71" s="43"/>
      <c r="AA71" s="43"/>
      <c r="AB71" s="43"/>
      <c r="AC71" s="43"/>
      <c r="AD71" s="43"/>
      <c r="AE71" s="43"/>
      <c r="AF71" s="43"/>
      <c r="AG71" s="43"/>
      <c r="AH71" s="43"/>
      <c r="AI71" s="43"/>
      <c r="AJ71" s="43"/>
      <c r="AK71" s="43"/>
      <c r="AL71" s="43">
        <v>0.17</v>
      </c>
      <c r="AM71" s="43"/>
      <c r="AN71" s="43"/>
      <c r="AO71" s="43"/>
      <c r="AP71" s="43">
        <v>0.13</v>
      </c>
      <c r="AQ71" s="43"/>
      <c r="AR71" s="43"/>
      <c r="AS71" s="43"/>
      <c r="AT71" s="43"/>
      <c r="AU71" s="43"/>
      <c r="AV71" s="43"/>
      <c r="AW71" s="43"/>
      <c r="AX71" s="43"/>
      <c r="AY71" s="34" t="s">
        <v>429</v>
      </c>
      <c r="AZ71" s="34" t="s">
        <v>431</v>
      </c>
      <c r="BA71" s="39" t="s">
        <v>291</v>
      </c>
      <c r="BB71" s="40"/>
      <c r="BD71" s="15" t="s">
        <v>432</v>
      </c>
      <c r="BE71" s="41"/>
      <c r="BI71" s="42">
        <v>1</v>
      </c>
    </row>
    <row r="72" spans="1:63" ht="35.1" customHeight="1">
      <c r="A72" s="32">
        <f t="shared" si="9"/>
        <v>62</v>
      </c>
      <c r="B72" s="88" t="s">
        <v>433</v>
      </c>
      <c r="C72" s="78" t="s">
        <v>93</v>
      </c>
      <c r="D72" s="35">
        <f t="shared" si="11"/>
        <v>0.4</v>
      </c>
      <c r="E72" s="35"/>
      <c r="F72" s="35">
        <f t="shared" si="10"/>
        <v>0.4</v>
      </c>
      <c r="G72" s="43">
        <v>0.4</v>
      </c>
      <c r="H72" s="43"/>
      <c r="I72" s="43"/>
      <c r="J72" s="43"/>
      <c r="K72" s="43"/>
      <c r="L72" s="43"/>
      <c r="M72" s="43"/>
      <c r="N72" s="43"/>
      <c r="O72" s="43"/>
      <c r="P72" s="43"/>
      <c r="Q72" s="43"/>
      <c r="R72" s="43"/>
      <c r="S72" s="43"/>
      <c r="T72" s="43"/>
      <c r="U72" s="43"/>
      <c r="V72" s="43"/>
      <c r="W72" s="43"/>
      <c r="X72" s="43"/>
      <c r="Y72" s="43"/>
      <c r="Z72" s="43"/>
      <c r="AA72" s="43"/>
      <c r="AB72" s="43"/>
      <c r="AC72" s="43"/>
      <c r="AD72" s="43"/>
      <c r="AE72" s="43"/>
      <c r="AF72" s="43"/>
      <c r="AG72" s="43"/>
      <c r="AH72" s="43"/>
      <c r="AI72" s="43"/>
      <c r="AJ72" s="43"/>
      <c r="AK72" s="43"/>
      <c r="AL72" s="43"/>
      <c r="AM72" s="43"/>
      <c r="AN72" s="43"/>
      <c r="AO72" s="43"/>
      <c r="AP72" s="43"/>
      <c r="AQ72" s="43"/>
      <c r="AR72" s="43"/>
      <c r="AS72" s="43"/>
      <c r="AT72" s="43"/>
      <c r="AU72" s="43"/>
      <c r="AV72" s="43"/>
      <c r="AW72" s="43"/>
      <c r="AX72" s="43"/>
      <c r="AY72" s="34" t="s">
        <v>429</v>
      </c>
      <c r="AZ72" s="34" t="s">
        <v>434</v>
      </c>
      <c r="BA72" s="47" t="s">
        <v>298</v>
      </c>
      <c r="BB72" s="48"/>
      <c r="BE72" s="41"/>
      <c r="BG72" s="15" t="s">
        <v>435</v>
      </c>
      <c r="BI72" s="42">
        <v>1</v>
      </c>
    </row>
    <row r="73" spans="1:63" ht="19.350000000000001" customHeight="1">
      <c r="A73" s="32">
        <f t="shared" si="9"/>
        <v>63</v>
      </c>
      <c r="B73" s="62" t="s">
        <v>379</v>
      </c>
      <c r="C73" s="78" t="s">
        <v>93</v>
      </c>
      <c r="D73" s="35">
        <f t="shared" si="11"/>
        <v>1</v>
      </c>
      <c r="E73" s="35"/>
      <c r="F73" s="35">
        <f t="shared" si="10"/>
        <v>1</v>
      </c>
      <c r="G73" s="43">
        <v>0.4</v>
      </c>
      <c r="H73" s="43"/>
      <c r="I73" s="43"/>
      <c r="J73" s="43">
        <v>0.35</v>
      </c>
      <c r="K73" s="43"/>
      <c r="L73" s="43"/>
      <c r="M73" s="43">
        <v>0.25</v>
      </c>
      <c r="N73" s="43"/>
      <c r="O73" s="43"/>
      <c r="P73" s="43"/>
      <c r="Q73" s="43"/>
      <c r="R73" s="43"/>
      <c r="S73" s="43"/>
      <c r="T73" s="43"/>
      <c r="U73" s="43"/>
      <c r="V73" s="43"/>
      <c r="W73" s="43"/>
      <c r="X73" s="43"/>
      <c r="Y73" s="43"/>
      <c r="Z73" s="43"/>
      <c r="AA73" s="43"/>
      <c r="AB73" s="43"/>
      <c r="AC73" s="43"/>
      <c r="AD73" s="43"/>
      <c r="AE73" s="43"/>
      <c r="AF73" s="43"/>
      <c r="AG73" s="43"/>
      <c r="AH73" s="43"/>
      <c r="AI73" s="43"/>
      <c r="AJ73" s="43"/>
      <c r="AK73" s="43"/>
      <c r="AL73" s="43"/>
      <c r="AM73" s="43"/>
      <c r="AN73" s="43"/>
      <c r="AO73" s="43"/>
      <c r="AP73" s="43"/>
      <c r="AQ73" s="43"/>
      <c r="AR73" s="43"/>
      <c r="AS73" s="43"/>
      <c r="AT73" s="43"/>
      <c r="AU73" s="43"/>
      <c r="AV73" s="43"/>
      <c r="AW73" s="43"/>
      <c r="AX73" s="43"/>
      <c r="AY73" s="34" t="s">
        <v>237</v>
      </c>
      <c r="AZ73" s="34" t="s">
        <v>436</v>
      </c>
      <c r="BA73" s="39" t="s">
        <v>291</v>
      </c>
      <c r="BB73" s="40"/>
      <c r="BC73" s="40"/>
      <c r="BD73" s="40" t="s">
        <v>308</v>
      </c>
      <c r="BE73" s="40"/>
      <c r="BI73" s="42">
        <v>1</v>
      </c>
    </row>
    <row r="74" spans="1:63" ht="19.350000000000001" customHeight="1">
      <c r="A74" s="32">
        <f t="shared" si="9"/>
        <v>64</v>
      </c>
      <c r="B74" s="62" t="s">
        <v>379</v>
      </c>
      <c r="C74" s="78" t="s">
        <v>93</v>
      </c>
      <c r="D74" s="35">
        <f t="shared" si="11"/>
        <v>0.15</v>
      </c>
      <c r="E74" s="35"/>
      <c r="F74" s="35">
        <f t="shared" si="10"/>
        <v>0.15</v>
      </c>
      <c r="G74" s="43"/>
      <c r="H74" s="43"/>
      <c r="I74" s="43"/>
      <c r="J74" s="43">
        <v>0.15</v>
      </c>
      <c r="K74" s="43"/>
      <c r="L74" s="43"/>
      <c r="M74" s="43"/>
      <c r="N74" s="43"/>
      <c r="O74" s="43"/>
      <c r="P74" s="43"/>
      <c r="Q74" s="43"/>
      <c r="R74" s="43"/>
      <c r="S74" s="43"/>
      <c r="T74" s="43"/>
      <c r="U74" s="43"/>
      <c r="V74" s="43"/>
      <c r="W74" s="43"/>
      <c r="X74" s="43"/>
      <c r="Y74" s="43"/>
      <c r="Z74" s="43"/>
      <c r="AA74" s="43"/>
      <c r="AB74" s="43"/>
      <c r="AC74" s="43"/>
      <c r="AD74" s="43"/>
      <c r="AE74" s="43"/>
      <c r="AF74" s="43"/>
      <c r="AG74" s="43"/>
      <c r="AH74" s="43"/>
      <c r="AI74" s="43"/>
      <c r="AJ74" s="43"/>
      <c r="AK74" s="43"/>
      <c r="AL74" s="43"/>
      <c r="AM74" s="43"/>
      <c r="AN74" s="43"/>
      <c r="AO74" s="43"/>
      <c r="AP74" s="43"/>
      <c r="AQ74" s="43"/>
      <c r="AR74" s="43"/>
      <c r="AS74" s="43"/>
      <c r="AT74" s="43"/>
      <c r="AU74" s="43"/>
      <c r="AV74" s="43"/>
      <c r="AW74" s="43"/>
      <c r="AX74" s="43"/>
      <c r="AY74" s="34" t="s">
        <v>237</v>
      </c>
      <c r="AZ74" s="34" t="s">
        <v>308</v>
      </c>
      <c r="BA74" s="47" t="s">
        <v>298</v>
      </c>
      <c r="BB74" s="48"/>
      <c r="BC74" s="40" t="s">
        <v>437</v>
      </c>
      <c r="BD74" s="40" t="s">
        <v>438</v>
      </c>
      <c r="BE74" s="40" t="s">
        <v>439</v>
      </c>
      <c r="BI74" s="42">
        <v>1</v>
      </c>
    </row>
    <row r="75" spans="1:63" ht="31.5">
      <c r="A75" s="32">
        <f t="shared" si="9"/>
        <v>65</v>
      </c>
      <c r="B75" s="62" t="s">
        <v>379</v>
      </c>
      <c r="C75" s="78" t="s">
        <v>93</v>
      </c>
      <c r="D75" s="35">
        <f t="shared" si="11"/>
        <v>2.3099999999999996</v>
      </c>
      <c r="E75" s="35"/>
      <c r="F75" s="35">
        <f t="shared" si="10"/>
        <v>2.3099999999999996</v>
      </c>
      <c r="G75" s="43">
        <v>1.07</v>
      </c>
      <c r="H75" s="43">
        <v>0.15</v>
      </c>
      <c r="I75" s="43">
        <v>0.39</v>
      </c>
      <c r="J75" s="43"/>
      <c r="K75" s="43"/>
      <c r="L75" s="43"/>
      <c r="M75" s="43">
        <v>0.7</v>
      </c>
      <c r="N75" s="43"/>
      <c r="O75" s="43"/>
      <c r="P75" s="43"/>
      <c r="Q75" s="43"/>
      <c r="R75" s="43"/>
      <c r="S75" s="43"/>
      <c r="T75" s="43"/>
      <c r="U75" s="43"/>
      <c r="V75" s="43"/>
      <c r="W75" s="43"/>
      <c r="X75" s="43"/>
      <c r="Y75" s="43"/>
      <c r="Z75" s="43"/>
      <c r="AA75" s="43"/>
      <c r="AB75" s="43"/>
      <c r="AC75" s="43"/>
      <c r="AD75" s="43"/>
      <c r="AE75" s="43"/>
      <c r="AF75" s="43"/>
      <c r="AG75" s="43"/>
      <c r="AH75" s="43"/>
      <c r="AI75" s="43"/>
      <c r="AJ75" s="43"/>
      <c r="AK75" s="43"/>
      <c r="AL75" s="43"/>
      <c r="AM75" s="43"/>
      <c r="AN75" s="43"/>
      <c r="AO75" s="43"/>
      <c r="AP75" s="43"/>
      <c r="AQ75" s="43"/>
      <c r="AR75" s="43"/>
      <c r="AS75" s="43"/>
      <c r="AT75" s="43"/>
      <c r="AU75" s="43"/>
      <c r="AV75" s="43"/>
      <c r="AW75" s="43"/>
      <c r="AX75" s="43"/>
      <c r="AY75" s="34" t="s">
        <v>238</v>
      </c>
      <c r="AZ75" s="34" t="s">
        <v>440</v>
      </c>
      <c r="BA75" s="39" t="s">
        <v>291</v>
      </c>
      <c r="BB75" s="40" t="s">
        <v>351</v>
      </c>
      <c r="BC75" s="84" t="s">
        <v>441</v>
      </c>
      <c r="BD75" s="84" t="s">
        <v>442</v>
      </c>
      <c r="BE75" s="41"/>
      <c r="BG75" s="15" t="s">
        <v>353</v>
      </c>
      <c r="BI75" s="42">
        <v>1</v>
      </c>
    </row>
    <row r="76" spans="1:63" ht="31.5">
      <c r="A76" s="32">
        <f t="shared" si="9"/>
        <v>66</v>
      </c>
      <c r="B76" s="56" t="s">
        <v>443</v>
      </c>
      <c r="C76" s="78" t="s">
        <v>93</v>
      </c>
      <c r="D76" s="35">
        <f t="shared" si="11"/>
        <v>1</v>
      </c>
      <c r="E76" s="35"/>
      <c r="F76" s="35">
        <f t="shared" si="10"/>
        <v>1</v>
      </c>
      <c r="G76" s="43">
        <v>0.37</v>
      </c>
      <c r="H76" s="43">
        <v>0.63</v>
      </c>
      <c r="I76" s="43"/>
      <c r="J76" s="43"/>
      <c r="K76" s="43"/>
      <c r="L76" s="43"/>
      <c r="M76" s="43"/>
      <c r="N76" s="43"/>
      <c r="O76" s="43"/>
      <c r="P76" s="43"/>
      <c r="Q76" s="43"/>
      <c r="R76" s="43"/>
      <c r="S76" s="43"/>
      <c r="T76" s="43"/>
      <c r="U76" s="43"/>
      <c r="V76" s="43"/>
      <c r="W76" s="43"/>
      <c r="X76" s="43"/>
      <c r="Y76" s="43"/>
      <c r="Z76" s="43"/>
      <c r="AA76" s="43"/>
      <c r="AB76" s="43"/>
      <c r="AC76" s="43"/>
      <c r="AD76" s="43"/>
      <c r="AE76" s="43"/>
      <c r="AF76" s="43"/>
      <c r="AG76" s="43"/>
      <c r="AH76" s="43"/>
      <c r="AI76" s="43"/>
      <c r="AJ76" s="43"/>
      <c r="AK76" s="43"/>
      <c r="AL76" s="43"/>
      <c r="AM76" s="43"/>
      <c r="AN76" s="43"/>
      <c r="AO76" s="43"/>
      <c r="AP76" s="43"/>
      <c r="AQ76" s="43"/>
      <c r="AR76" s="43"/>
      <c r="AS76" s="43"/>
      <c r="AT76" s="43"/>
      <c r="AU76" s="43"/>
      <c r="AV76" s="43"/>
      <c r="AW76" s="43"/>
      <c r="AX76" s="43"/>
      <c r="AY76" s="34" t="s">
        <v>238</v>
      </c>
      <c r="AZ76" s="34" t="s">
        <v>444</v>
      </c>
      <c r="BA76" s="39" t="s">
        <v>291</v>
      </c>
      <c r="BB76" s="40" t="s">
        <v>351</v>
      </c>
      <c r="BC76" s="84">
        <f>4.01-0.52-0.18</f>
        <v>3.3099999999999996</v>
      </c>
      <c r="BD76" s="84"/>
      <c r="BE76" s="41"/>
      <c r="BG76" s="15" t="s">
        <v>445</v>
      </c>
      <c r="BI76" s="42">
        <v>1</v>
      </c>
    </row>
    <row r="77" spans="1:63" ht="20.100000000000001" customHeight="1">
      <c r="A77" s="32">
        <f t="shared" si="9"/>
        <v>67</v>
      </c>
      <c r="B77" s="62" t="s">
        <v>379</v>
      </c>
      <c r="C77" s="78" t="s">
        <v>93</v>
      </c>
      <c r="D77" s="35">
        <f t="shared" si="11"/>
        <v>0.5</v>
      </c>
      <c r="E77" s="35"/>
      <c r="F77" s="35">
        <f t="shared" si="10"/>
        <v>0.5</v>
      </c>
      <c r="G77" s="43">
        <v>0.25</v>
      </c>
      <c r="H77" s="43"/>
      <c r="I77" s="43"/>
      <c r="J77" s="43">
        <v>0.2</v>
      </c>
      <c r="K77" s="43"/>
      <c r="L77" s="43"/>
      <c r="M77" s="43"/>
      <c r="N77" s="43"/>
      <c r="O77" s="43"/>
      <c r="P77" s="43"/>
      <c r="Q77" s="43"/>
      <c r="R77" s="43"/>
      <c r="S77" s="43"/>
      <c r="T77" s="43"/>
      <c r="U77" s="43"/>
      <c r="V77" s="43"/>
      <c r="W77" s="43"/>
      <c r="X77" s="43"/>
      <c r="Y77" s="43"/>
      <c r="Z77" s="43">
        <v>0.02</v>
      </c>
      <c r="AA77" s="43">
        <v>0.03</v>
      </c>
      <c r="AB77" s="43"/>
      <c r="AC77" s="43"/>
      <c r="AD77" s="43"/>
      <c r="AE77" s="43"/>
      <c r="AF77" s="43"/>
      <c r="AG77" s="43"/>
      <c r="AH77" s="43"/>
      <c r="AI77" s="43"/>
      <c r="AJ77" s="43"/>
      <c r="AK77" s="43"/>
      <c r="AL77" s="43"/>
      <c r="AM77" s="43"/>
      <c r="AN77" s="43"/>
      <c r="AO77" s="43"/>
      <c r="AP77" s="43"/>
      <c r="AQ77" s="43"/>
      <c r="AR77" s="43"/>
      <c r="AS77" s="43"/>
      <c r="AT77" s="43"/>
      <c r="AU77" s="43"/>
      <c r="AV77" s="43"/>
      <c r="AW77" s="43"/>
      <c r="AX77" s="43"/>
      <c r="AY77" s="34" t="s">
        <v>239</v>
      </c>
      <c r="AZ77" s="34" t="s">
        <v>446</v>
      </c>
      <c r="BA77" s="47" t="s">
        <v>298</v>
      </c>
      <c r="BB77" s="48"/>
      <c r="BE77" s="41"/>
      <c r="BI77" s="42">
        <v>1</v>
      </c>
      <c r="BJ77" s="15" t="s">
        <v>447</v>
      </c>
      <c r="BK77" s="15" t="s">
        <v>448</v>
      </c>
    </row>
    <row r="78" spans="1:63" ht="31.5">
      <c r="A78" s="32">
        <f>A77+1</f>
        <v>68</v>
      </c>
      <c r="B78" s="62" t="s">
        <v>379</v>
      </c>
      <c r="C78" s="78" t="s">
        <v>93</v>
      </c>
      <c r="D78" s="35">
        <f t="shared" si="11"/>
        <v>0.31</v>
      </c>
      <c r="E78" s="35"/>
      <c r="F78" s="35">
        <f t="shared" si="10"/>
        <v>0.31</v>
      </c>
      <c r="G78" s="43"/>
      <c r="H78" s="43"/>
      <c r="I78" s="43"/>
      <c r="J78" s="43"/>
      <c r="K78" s="43"/>
      <c r="L78" s="43"/>
      <c r="M78" s="43"/>
      <c r="N78" s="43"/>
      <c r="O78" s="43"/>
      <c r="P78" s="43"/>
      <c r="Q78" s="43"/>
      <c r="R78" s="43"/>
      <c r="S78" s="43"/>
      <c r="T78" s="43"/>
      <c r="U78" s="43"/>
      <c r="V78" s="43"/>
      <c r="W78" s="43"/>
      <c r="X78" s="43"/>
      <c r="Y78" s="43"/>
      <c r="Z78" s="43"/>
      <c r="AA78" s="43"/>
      <c r="AB78" s="43"/>
      <c r="AC78" s="43"/>
      <c r="AD78" s="43">
        <v>0.31</v>
      </c>
      <c r="AE78" s="43"/>
      <c r="AF78" s="43"/>
      <c r="AG78" s="43"/>
      <c r="AH78" s="43"/>
      <c r="AI78" s="43"/>
      <c r="AJ78" s="43"/>
      <c r="AK78" s="43"/>
      <c r="AL78" s="43"/>
      <c r="AM78" s="43"/>
      <c r="AN78" s="43"/>
      <c r="AO78" s="43"/>
      <c r="AP78" s="43"/>
      <c r="AQ78" s="43"/>
      <c r="AR78" s="43"/>
      <c r="AS78" s="43"/>
      <c r="AT78" s="43"/>
      <c r="AU78" s="43"/>
      <c r="AV78" s="43"/>
      <c r="AW78" s="43"/>
      <c r="AX78" s="43"/>
      <c r="AY78" s="38" t="s">
        <v>240</v>
      </c>
      <c r="AZ78" s="34" t="s">
        <v>449</v>
      </c>
      <c r="BA78" s="47" t="s">
        <v>298</v>
      </c>
      <c r="BB78" s="48"/>
      <c r="BC78" s="58"/>
      <c r="BD78" s="58" t="s">
        <v>50</v>
      </c>
      <c r="BE78" s="41"/>
      <c r="BI78" s="42">
        <v>1</v>
      </c>
    </row>
    <row r="79" spans="1:63" ht="20.100000000000001" customHeight="1">
      <c r="A79" s="32">
        <f t="shared" si="9"/>
        <v>69</v>
      </c>
      <c r="B79" s="62" t="s">
        <v>379</v>
      </c>
      <c r="C79" s="78" t="s">
        <v>93</v>
      </c>
      <c r="D79" s="35">
        <f t="shared" si="11"/>
        <v>0.14000000000000001</v>
      </c>
      <c r="E79" s="35"/>
      <c r="F79" s="35">
        <f t="shared" si="10"/>
        <v>0.14000000000000001</v>
      </c>
      <c r="G79" s="43"/>
      <c r="H79" s="43"/>
      <c r="I79" s="43"/>
      <c r="J79" s="43"/>
      <c r="K79" s="43"/>
      <c r="L79" s="43"/>
      <c r="M79" s="43"/>
      <c r="N79" s="43"/>
      <c r="O79" s="43"/>
      <c r="P79" s="43"/>
      <c r="Q79" s="43"/>
      <c r="R79" s="43"/>
      <c r="S79" s="43"/>
      <c r="T79" s="43"/>
      <c r="U79" s="43"/>
      <c r="V79" s="43"/>
      <c r="W79" s="43"/>
      <c r="X79" s="43"/>
      <c r="Y79" s="43"/>
      <c r="Z79" s="43"/>
      <c r="AA79" s="43"/>
      <c r="AB79" s="43"/>
      <c r="AC79" s="43"/>
      <c r="AD79" s="43"/>
      <c r="AE79" s="43"/>
      <c r="AF79" s="43"/>
      <c r="AG79" s="43"/>
      <c r="AH79" s="43"/>
      <c r="AI79" s="43"/>
      <c r="AJ79" s="43"/>
      <c r="AK79" s="43"/>
      <c r="AL79" s="43"/>
      <c r="AM79" s="43"/>
      <c r="AN79" s="43"/>
      <c r="AO79" s="43"/>
      <c r="AP79" s="43"/>
      <c r="AQ79" s="43"/>
      <c r="AR79" s="43">
        <v>0.14000000000000001</v>
      </c>
      <c r="AS79" s="43"/>
      <c r="AT79" s="43"/>
      <c r="AU79" s="43"/>
      <c r="AV79" s="43"/>
      <c r="AW79" s="43"/>
      <c r="AX79" s="43"/>
      <c r="AY79" s="38" t="s">
        <v>240</v>
      </c>
      <c r="AZ79" s="34" t="s">
        <v>305</v>
      </c>
      <c r="BA79" s="47" t="s">
        <v>298</v>
      </c>
      <c r="BB79" s="48"/>
      <c r="BC79" s="58"/>
      <c r="BD79" s="58"/>
      <c r="BE79" s="41"/>
      <c r="BI79" s="42">
        <v>1</v>
      </c>
    </row>
    <row r="80" spans="1:63" ht="33.6" customHeight="1">
      <c r="A80" s="32">
        <f t="shared" si="9"/>
        <v>70</v>
      </c>
      <c r="B80" s="56" t="s">
        <v>450</v>
      </c>
      <c r="C80" s="78" t="s">
        <v>93</v>
      </c>
      <c r="D80" s="35">
        <f t="shared" si="11"/>
        <v>0.41000000000000003</v>
      </c>
      <c r="E80" s="35"/>
      <c r="F80" s="35">
        <f t="shared" si="10"/>
        <v>0.41000000000000003</v>
      </c>
      <c r="G80" s="43">
        <v>0.15</v>
      </c>
      <c r="H80" s="43"/>
      <c r="I80" s="43">
        <v>0.26</v>
      </c>
      <c r="J80" s="43"/>
      <c r="K80" s="43"/>
      <c r="L80" s="43"/>
      <c r="M80" s="43"/>
      <c r="N80" s="43"/>
      <c r="O80" s="43"/>
      <c r="P80" s="43"/>
      <c r="Q80" s="43"/>
      <c r="R80" s="43"/>
      <c r="S80" s="43"/>
      <c r="T80" s="43"/>
      <c r="U80" s="43"/>
      <c r="V80" s="43"/>
      <c r="W80" s="43"/>
      <c r="X80" s="43"/>
      <c r="Y80" s="43"/>
      <c r="Z80" s="43"/>
      <c r="AA80" s="43"/>
      <c r="AB80" s="43"/>
      <c r="AC80" s="43"/>
      <c r="AD80" s="43"/>
      <c r="AE80" s="43"/>
      <c r="AF80" s="43"/>
      <c r="AG80" s="43"/>
      <c r="AH80" s="43"/>
      <c r="AI80" s="43"/>
      <c r="AJ80" s="43"/>
      <c r="AK80" s="43"/>
      <c r="AL80" s="43"/>
      <c r="AM80" s="43"/>
      <c r="AN80" s="43"/>
      <c r="AO80" s="43"/>
      <c r="AP80" s="43"/>
      <c r="AQ80" s="43"/>
      <c r="AR80" s="43"/>
      <c r="AS80" s="43"/>
      <c r="AT80" s="43"/>
      <c r="AU80" s="43"/>
      <c r="AV80" s="43"/>
      <c r="AW80" s="43"/>
      <c r="AX80" s="43"/>
      <c r="AY80" s="38" t="s">
        <v>240</v>
      </c>
      <c r="AZ80" s="34" t="s">
        <v>451</v>
      </c>
      <c r="BA80" s="39" t="s">
        <v>322</v>
      </c>
      <c r="BB80" s="40"/>
      <c r="BC80" s="58"/>
      <c r="BD80" s="58"/>
      <c r="BE80" s="41"/>
      <c r="BI80" s="42">
        <v>1</v>
      </c>
    </row>
    <row r="81" spans="1:63" ht="19.350000000000001" customHeight="1">
      <c r="A81" s="32">
        <f t="shared" si="9"/>
        <v>71</v>
      </c>
      <c r="B81" s="62" t="s">
        <v>379</v>
      </c>
      <c r="C81" s="78" t="s">
        <v>93</v>
      </c>
      <c r="D81" s="35">
        <f t="shared" si="11"/>
        <v>0.16</v>
      </c>
      <c r="E81" s="35"/>
      <c r="F81" s="35">
        <f>SUM(G81:AX81)</f>
        <v>0.16</v>
      </c>
      <c r="G81" s="43">
        <v>0.16</v>
      </c>
      <c r="H81" s="43"/>
      <c r="I81" s="43"/>
      <c r="J81" s="43"/>
      <c r="K81" s="43"/>
      <c r="L81" s="43"/>
      <c r="M81" s="43"/>
      <c r="N81" s="43"/>
      <c r="O81" s="43"/>
      <c r="P81" s="43"/>
      <c r="Q81" s="43"/>
      <c r="R81" s="43"/>
      <c r="S81" s="43"/>
      <c r="T81" s="43"/>
      <c r="U81" s="43"/>
      <c r="V81" s="43"/>
      <c r="W81" s="43"/>
      <c r="X81" s="43"/>
      <c r="Y81" s="43"/>
      <c r="Z81" s="43"/>
      <c r="AA81" s="43"/>
      <c r="AB81" s="43"/>
      <c r="AC81" s="43"/>
      <c r="AD81" s="43"/>
      <c r="AE81" s="43"/>
      <c r="AF81" s="43"/>
      <c r="AG81" s="43"/>
      <c r="AH81" s="43"/>
      <c r="AI81" s="43"/>
      <c r="AJ81" s="43"/>
      <c r="AK81" s="43"/>
      <c r="AL81" s="43"/>
      <c r="AM81" s="43"/>
      <c r="AN81" s="43"/>
      <c r="AO81" s="43"/>
      <c r="AP81" s="43"/>
      <c r="AQ81" s="43"/>
      <c r="AR81" s="43"/>
      <c r="AS81" s="43"/>
      <c r="AT81" s="43"/>
      <c r="AU81" s="43"/>
      <c r="AV81" s="43"/>
      <c r="AW81" s="43"/>
      <c r="AX81" s="43"/>
      <c r="AY81" s="34" t="s">
        <v>240</v>
      </c>
      <c r="AZ81" s="34" t="s">
        <v>452</v>
      </c>
      <c r="BA81" s="47" t="s">
        <v>298</v>
      </c>
      <c r="BB81" s="40"/>
      <c r="BC81" s="15" t="s">
        <v>453</v>
      </c>
      <c r="BI81" s="42">
        <v>1</v>
      </c>
    </row>
    <row r="82" spans="1:63" ht="20.85" customHeight="1">
      <c r="A82" s="32">
        <f t="shared" si="9"/>
        <v>72</v>
      </c>
      <c r="B82" s="56" t="s">
        <v>454</v>
      </c>
      <c r="C82" s="78" t="s">
        <v>93</v>
      </c>
      <c r="D82" s="35">
        <f t="shared" si="11"/>
        <v>2.59</v>
      </c>
      <c r="E82" s="35"/>
      <c r="F82" s="35">
        <f>SUM(G82:AX82)</f>
        <v>2.59</v>
      </c>
      <c r="G82" s="43"/>
      <c r="H82" s="43"/>
      <c r="I82" s="43">
        <v>2.59</v>
      </c>
      <c r="J82" s="43"/>
      <c r="K82" s="43"/>
      <c r="L82" s="43"/>
      <c r="M82" s="43"/>
      <c r="N82" s="43"/>
      <c r="O82" s="43"/>
      <c r="P82" s="43"/>
      <c r="Q82" s="43"/>
      <c r="R82" s="43"/>
      <c r="S82" s="43"/>
      <c r="T82" s="43"/>
      <c r="U82" s="43"/>
      <c r="V82" s="43"/>
      <c r="W82" s="43"/>
      <c r="X82" s="43"/>
      <c r="Y82" s="43"/>
      <c r="Z82" s="43"/>
      <c r="AA82" s="43"/>
      <c r="AB82" s="43"/>
      <c r="AC82" s="43"/>
      <c r="AD82" s="43"/>
      <c r="AE82" s="43"/>
      <c r="AF82" s="43"/>
      <c r="AG82" s="43"/>
      <c r="AH82" s="43"/>
      <c r="AI82" s="43"/>
      <c r="AJ82" s="43"/>
      <c r="AK82" s="43"/>
      <c r="AL82" s="43"/>
      <c r="AM82" s="43"/>
      <c r="AN82" s="43"/>
      <c r="AO82" s="43"/>
      <c r="AP82" s="43"/>
      <c r="AQ82" s="43"/>
      <c r="AR82" s="43"/>
      <c r="AS82" s="43"/>
      <c r="AT82" s="43"/>
      <c r="AU82" s="43"/>
      <c r="AV82" s="43"/>
      <c r="AW82" s="43"/>
      <c r="AX82" s="43"/>
      <c r="AY82" s="38" t="s">
        <v>240</v>
      </c>
      <c r="AZ82" s="34" t="s">
        <v>455</v>
      </c>
      <c r="BA82" s="47" t="s">
        <v>298</v>
      </c>
      <c r="BB82" s="48"/>
      <c r="BC82" s="15" t="s">
        <v>456</v>
      </c>
      <c r="BD82" s="15" t="s">
        <v>12</v>
      </c>
      <c r="BE82" s="41"/>
      <c r="BI82" s="42">
        <v>1</v>
      </c>
    </row>
    <row r="83" spans="1:63" ht="20.85" customHeight="1">
      <c r="A83" s="32">
        <f t="shared" si="9"/>
        <v>73</v>
      </c>
      <c r="B83" s="56" t="s">
        <v>454</v>
      </c>
      <c r="C83" s="78" t="s">
        <v>93</v>
      </c>
      <c r="D83" s="35">
        <f t="shared" si="11"/>
        <v>1.1100000000000001</v>
      </c>
      <c r="E83" s="35"/>
      <c r="F83" s="35">
        <f>SUM(G83:AX83)</f>
        <v>1.1100000000000001</v>
      </c>
      <c r="G83" s="43"/>
      <c r="H83" s="43"/>
      <c r="I83" s="43">
        <v>1.1100000000000001</v>
      </c>
      <c r="J83" s="43"/>
      <c r="K83" s="43"/>
      <c r="L83" s="43"/>
      <c r="M83" s="43"/>
      <c r="N83" s="43"/>
      <c r="O83" s="43"/>
      <c r="P83" s="43"/>
      <c r="Q83" s="43"/>
      <c r="R83" s="43"/>
      <c r="S83" s="43"/>
      <c r="T83" s="43"/>
      <c r="U83" s="43"/>
      <c r="V83" s="43"/>
      <c r="W83" s="43"/>
      <c r="X83" s="43"/>
      <c r="Y83" s="43"/>
      <c r="Z83" s="43"/>
      <c r="AA83" s="43"/>
      <c r="AB83" s="43"/>
      <c r="AC83" s="43"/>
      <c r="AD83" s="43"/>
      <c r="AE83" s="43"/>
      <c r="AF83" s="43"/>
      <c r="AG83" s="43"/>
      <c r="AH83" s="43"/>
      <c r="AI83" s="43"/>
      <c r="AJ83" s="43"/>
      <c r="AK83" s="43"/>
      <c r="AL83" s="43"/>
      <c r="AM83" s="43"/>
      <c r="AN83" s="43"/>
      <c r="AO83" s="43"/>
      <c r="AP83" s="43"/>
      <c r="AQ83" s="43"/>
      <c r="AR83" s="43"/>
      <c r="AS83" s="43"/>
      <c r="AT83" s="43"/>
      <c r="AU83" s="43"/>
      <c r="AV83" s="43"/>
      <c r="AW83" s="43"/>
      <c r="AX83" s="43"/>
      <c r="AY83" s="38" t="s">
        <v>240</v>
      </c>
      <c r="AZ83" s="34" t="s">
        <v>457</v>
      </c>
      <c r="BA83" s="47" t="s">
        <v>298</v>
      </c>
      <c r="BB83" s="40"/>
      <c r="BC83" s="15" t="s">
        <v>456</v>
      </c>
      <c r="BD83" s="15" t="s">
        <v>12</v>
      </c>
      <c r="BI83" s="42">
        <v>1</v>
      </c>
    </row>
    <row r="84" spans="1:63" ht="23.1" customHeight="1">
      <c r="A84" s="32">
        <f t="shared" si="9"/>
        <v>74</v>
      </c>
      <c r="B84" s="62" t="s">
        <v>379</v>
      </c>
      <c r="C84" s="78" t="s">
        <v>93</v>
      </c>
      <c r="D84" s="35">
        <f t="shared" si="11"/>
        <v>0.53</v>
      </c>
      <c r="E84" s="35"/>
      <c r="F84" s="35">
        <f t="shared" si="10"/>
        <v>0.53</v>
      </c>
      <c r="G84" s="43">
        <v>0.53</v>
      </c>
      <c r="H84" s="43"/>
      <c r="I84" s="43"/>
      <c r="J84" s="43"/>
      <c r="K84" s="43"/>
      <c r="L84" s="43"/>
      <c r="M84" s="43"/>
      <c r="N84" s="43"/>
      <c r="O84" s="43"/>
      <c r="P84" s="43"/>
      <c r="Q84" s="43"/>
      <c r="R84" s="43"/>
      <c r="S84" s="43"/>
      <c r="T84" s="43"/>
      <c r="U84" s="43"/>
      <c r="V84" s="43"/>
      <c r="W84" s="43"/>
      <c r="X84" s="43"/>
      <c r="Y84" s="43"/>
      <c r="Z84" s="43"/>
      <c r="AA84" s="43"/>
      <c r="AB84" s="43"/>
      <c r="AC84" s="43"/>
      <c r="AD84" s="43"/>
      <c r="AE84" s="43"/>
      <c r="AF84" s="43"/>
      <c r="AG84" s="43"/>
      <c r="AH84" s="43"/>
      <c r="AI84" s="43"/>
      <c r="AJ84" s="43"/>
      <c r="AK84" s="43"/>
      <c r="AL84" s="43"/>
      <c r="AM84" s="43"/>
      <c r="AN84" s="43"/>
      <c r="AO84" s="43"/>
      <c r="AP84" s="43"/>
      <c r="AQ84" s="43"/>
      <c r="AR84" s="43"/>
      <c r="AS84" s="43"/>
      <c r="AT84" s="43"/>
      <c r="AU84" s="43"/>
      <c r="AV84" s="43"/>
      <c r="AW84" s="43"/>
      <c r="AX84" s="43"/>
      <c r="AY84" s="34" t="s">
        <v>241</v>
      </c>
      <c r="AZ84" s="34" t="s">
        <v>458</v>
      </c>
      <c r="BA84" s="39" t="s">
        <v>291</v>
      </c>
      <c r="BB84" s="40"/>
      <c r="BC84" s="15" t="s">
        <v>459</v>
      </c>
      <c r="BE84" s="41"/>
      <c r="BI84" s="42">
        <v>1</v>
      </c>
    </row>
    <row r="85" spans="1:63" ht="20.100000000000001" customHeight="1">
      <c r="A85" s="32">
        <f t="shared" si="9"/>
        <v>75</v>
      </c>
      <c r="B85" s="62" t="s">
        <v>379</v>
      </c>
      <c r="C85" s="78" t="s">
        <v>93</v>
      </c>
      <c r="D85" s="35">
        <f t="shared" si="11"/>
        <v>0.91</v>
      </c>
      <c r="E85" s="35"/>
      <c r="F85" s="35">
        <f>SUM(G85:AX85)</f>
        <v>0.91</v>
      </c>
      <c r="G85" s="43">
        <v>0.91</v>
      </c>
      <c r="H85" s="43"/>
      <c r="I85" s="43"/>
      <c r="J85" s="43"/>
      <c r="K85" s="43"/>
      <c r="L85" s="43"/>
      <c r="M85" s="43"/>
      <c r="N85" s="43"/>
      <c r="O85" s="43"/>
      <c r="P85" s="43"/>
      <c r="Q85" s="43"/>
      <c r="R85" s="43"/>
      <c r="S85" s="43"/>
      <c r="T85" s="43"/>
      <c r="U85" s="43"/>
      <c r="V85" s="43"/>
      <c r="W85" s="43"/>
      <c r="X85" s="43"/>
      <c r="Y85" s="43"/>
      <c r="Z85" s="43"/>
      <c r="AA85" s="43"/>
      <c r="AB85" s="43"/>
      <c r="AC85" s="43"/>
      <c r="AD85" s="43"/>
      <c r="AE85" s="43"/>
      <c r="AF85" s="43"/>
      <c r="AG85" s="43"/>
      <c r="AH85" s="43"/>
      <c r="AI85" s="43"/>
      <c r="AJ85" s="43"/>
      <c r="AK85" s="43"/>
      <c r="AL85" s="43"/>
      <c r="AM85" s="43"/>
      <c r="AN85" s="43"/>
      <c r="AO85" s="43"/>
      <c r="AP85" s="43"/>
      <c r="AQ85" s="43"/>
      <c r="AR85" s="43"/>
      <c r="AS85" s="43"/>
      <c r="AT85" s="43"/>
      <c r="AU85" s="43"/>
      <c r="AV85" s="43"/>
      <c r="AW85" s="43"/>
      <c r="AX85" s="43"/>
      <c r="AY85" s="34" t="s">
        <v>241</v>
      </c>
      <c r="AZ85" s="34" t="s">
        <v>458</v>
      </c>
      <c r="BA85" s="47" t="s">
        <v>298</v>
      </c>
      <c r="BB85" s="40" t="s">
        <v>460</v>
      </c>
      <c r="BC85" s="15" t="s">
        <v>461</v>
      </c>
      <c r="BI85" s="42">
        <v>1</v>
      </c>
    </row>
    <row r="86" spans="1:63" s="24" customFormat="1" ht="23.1" customHeight="1">
      <c r="A86" s="20" t="s">
        <v>462</v>
      </c>
      <c r="B86" s="25" t="s">
        <v>94</v>
      </c>
      <c r="C86" s="26"/>
      <c r="D86" s="27">
        <f t="shared" si="11"/>
        <v>82.930000000000021</v>
      </c>
      <c r="E86" s="83">
        <f>SUM(E87:E137)</f>
        <v>2.0300000000000002</v>
      </c>
      <c r="F86" s="27">
        <f>SUM(G86:AX86)</f>
        <v>80.90000000000002</v>
      </c>
      <c r="G86" s="28">
        <f t="shared" ref="G86:AX86" si="12">SUM(G87:G137)</f>
        <v>13.010000000000002</v>
      </c>
      <c r="H86" s="28">
        <f t="shared" si="12"/>
        <v>5.01</v>
      </c>
      <c r="I86" s="28">
        <f t="shared" si="12"/>
        <v>10.520000000000001</v>
      </c>
      <c r="J86" s="28">
        <f t="shared" si="12"/>
        <v>8.1</v>
      </c>
      <c r="K86" s="28">
        <f t="shared" si="12"/>
        <v>0</v>
      </c>
      <c r="L86" s="28">
        <f t="shared" si="12"/>
        <v>0</v>
      </c>
      <c r="M86" s="28">
        <f t="shared" si="12"/>
        <v>42.870000000000005</v>
      </c>
      <c r="N86" s="28">
        <f t="shared" si="12"/>
        <v>0</v>
      </c>
      <c r="O86" s="28">
        <f t="shared" si="12"/>
        <v>0</v>
      </c>
      <c r="P86" s="28">
        <f t="shared" si="12"/>
        <v>0.61</v>
      </c>
      <c r="Q86" s="28">
        <f t="shared" si="12"/>
        <v>0</v>
      </c>
      <c r="R86" s="28">
        <f t="shared" si="12"/>
        <v>0</v>
      </c>
      <c r="S86" s="28">
        <f t="shared" si="12"/>
        <v>0</v>
      </c>
      <c r="T86" s="28">
        <f t="shared" si="12"/>
        <v>0</v>
      </c>
      <c r="U86" s="28">
        <f t="shared" si="12"/>
        <v>0</v>
      </c>
      <c r="V86" s="28">
        <f t="shared" si="12"/>
        <v>0</v>
      </c>
      <c r="W86" s="28">
        <f t="shared" si="12"/>
        <v>0</v>
      </c>
      <c r="X86" s="28">
        <f t="shared" si="12"/>
        <v>0</v>
      </c>
      <c r="Y86" s="28">
        <f t="shared" si="12"/>
        <v>0</v>
      </c>
      <c r="Z86" s="28">
        <f t="shared" si="12"/>
        <v>0.16</v>
      </c>
      <c r="AA86" s="28">
        <f t="shared" si="12"/>
        <v>0.28000000000000003</v>
      </c>
      <c r="AB86" s="28">
        <f t="shared" si="12"/>
        <v>0</v>
      </c>
      <c r="AC86" s="28">
        <f t="shared" si="12"/>
        <v>0</v>
      </c>
      <c r="AD86" s="28">
        <f t="shared" si="12"/>
        <v>0</v>
      </c>
      <c r="AE86" s="28">
        <f t="shared" si="12"/>
        <v>0</v>
      </c>
      <c r="AF86" s="28">
        <f t="shared" si="12"/>
        <v>0</v>
      </c>
      <c r="AG86" s="28">
        <f t="shared" si="12"/>
        <v>0</v>
      </c>
      <c r="AH86" s="28">
        <f t="shared" si="12"/>
        <v>0</v>
      </c>
      <c r="AI86" s="28">
        <f t="shared" si="12"/>
        <v>0</v>
      </c>
      <c r="AJ86" s="28">
        <f t="shared" si="12"/>
        <v>0</v>
      </c>
      <c r="AK86" s="28">
        <f t="shared" si="12"/>
        <v>0</v>
      </c>
      <c r="AL86" s="28">
        <f t="shared" si="12"/>
        <v>0</v>
      </c>
      <c r="AM86" s="28">
        <f t="shared" si="12"/>
        <v>0</v>
      </c>
      <c r="AN86" s="28">
        <f t="shared" si="12"/>
        <v>0</v>
      </c>
      <c r="AO86" s="28">
        <f t="shared" si="12"/>
        <v>0</v>
      </c>
      <c r="AP86" s="28">
        <f t="shared" si="12"/>
        <v>0</v>
      </c>
      <c r="AQ86" s="28">
        <f t="shared" si="12"/>
        <v>0</v>
      </c>
      <c r="AR86" s="28">
        <f t="shared" si="12"/>
        <v>0</v>
      </c>
      <c r="AS86" s="28">
        <f t="shared" si="12"/>
        <v>0</v>
      </c>
      <c r="AT86" s="28">
        <f t="shared" si="12"/>
        <v>0</v>
      </c>
      <c r="AU86" s="28">
        <f t="shared" si="12"/>
        <v>0</v>
      </c>
      <c r="AV86" s="28">
        <f t="shared" si="12"/>
        <v>0</v>
      </c>
      <c r="AW86" s="28">
        <f t="shared" si="12"/>
        <v>0</v>
      </c>
      <c r="AX86" s="28">
        <f t="shared" si="12"/>
        <v>0.34</v>
      </c>
      <c r="AY86" s="29"/>
      <c r="AZ86" s="29"/>
      <c r="BA86" s="30"/>
      <c r="BB86" s="31"/>
      <c r="BE86" s="59"/>
      <c r="BI86" s="42"/>
    </row>
    <row r="87" spans="1:63" ht="35.1" customHeight="1">
      <c r="A87" s="32">
        <f>A85+1</f>
        <v>76</v>
      </c>
      <c r="B87" s="56" t="s">
        <v>463</v>
      </c>
      <c r="C87" s="78" t="s">
        <v>32</v>
      </c>
      <c r="D87" s="35">
        <f t="shared" si="11"/>
        <v>2.25</v>
      </c>
      <c r="E87" s="36">
        <v>1.58</v>
      </c>
      <c r="F87" s="35">
        <f>SUM(G87:AX87)</f>
        <v>0.67</v>
      </c>
      <c r="G87" s="37"/>
      <c r="H87" s="37"/>
      <c r="I87" s="37"/>
      <c r="J87" s="37"/>
      <c r="K87" s="37"/>
      <c r="L87" s="37"/>
      <c r="M87" s="37">
        <v>0.67</v>
      </c>
      <c r="N87" s="37"/>
      <c r="O87" s="37"/>
      <c r="P87" s="37"/>
      <c r="Q87" s="37"/>
      <c r="R87" s="37"/>
      <c r="S87" s="37"/>
      <c r="T87" s="37"/>
      <c r="U87" s="37"/>
      <c r="V87" s="37"/>
      <c r="W87" s="37"/>
      <c r="X87" s="37"/>
      <c r="Y87" s="37"/>
      <c r="Z87" s="37"/>
      <c r="AA87" s="37"/>
      <c r="AB87" s="37"/>
      <c r="AC87" s="37"/>
      <c r="AD87" s="37"/>
      <c r="AE87" s="37"/>
      <c r="AF87" s="37"/>
      <c r="AG87" s="37"/>
      <c r="AH87" s="37"/>
      <c r="AI87" s="37"/>
      <c r="AJ87" s="37"/>
      <c r="AK87" s="37"/>
      <c r="AL87" s="37"/>
      <c r="AM87" s="37"/>
      <c r="AN87" s="37"/>
      <c r="AO87" s="37"/>
      <c r="AP87" s="37"/>
      <c r="AQ87" s="37"/>
      <c r="AR87" s="37"/>
      <c r="AS87" s="37"/>
      <c r="AT87" s="37"/>
      <c r="AU87" s="37"/>
      <c r="AV87" s="37"/>
      <c r="AW87" s="37"/>
      <c r="AX87" s="37"/>
      <c r="AY87" s="34" t="s">
        <v>317</v>
      </c>
      <c r="AZ87" s="34" t="s">
        <v>464</v>
      </c>
      <c r="BA87" s="39" t="s">
        <v>291</v>
      </c>
      <c r="BB87" s="40"/>
      <c r="BD87" s="15">
        <f>200*4.5+300*7.5</f>
        <v>3150</v>
      </c>
      <c r="BE87" s="41"/>
      <c r="BG87" s="15" t="s">
        <v>465</v>
      </c>
      <c r="BI87" s="42">
        <v>1</v>
      </c>
      <c r="BJ87" s="15" t="s">
        <v>466</v>
      </c>
      <c r="BK87" s="15" t="s">
        <v>448</v>
      </c>
    </row>
    <row r="88" spans="1:63" ht="19.350000000000001" customHeight="1">
      <c r="A88" s="32">
        <f>A87+1</f>
        <v>77</v>
      </c>
      <c r="B88" s="56" t="s">
        <v>463</v>
      </c>
      <c r="C88" s="78" t="s">
        <v>32</v>
      </c>
      <c r="D88" s="35">
        <f t="shared" si="11"/>
        <v>0.55000000000000004</v>
      </c>
      <c r="E88" s="36"/>
      <c r="F88" s="35">
        <f t="shared" ref="F88:F137" si="13">SUM(G88:AX88)</f>
        <v>0.55000000000000004</v>
      </c>
      <c r="G88" s="37">
        <v>0.27</v>
      </c>
      <c r="H88" s="37"/>
      <c r="I88" s="37">
        <v>0.22</v>
      </c>
      <c r="J88" s="37">
        <v>0.06</v>
      </c>
      <c r="K88" s="37"/>
      <c r="L88" s="37"/>
      <c r="M88" s="37"/>
      <c r="N88" s="37"/>
      <c r="O88" s="37"/>
      <c r="P88" s="37"/>
      <c r="Q88" s="37"/>
      <c r="R88" s="37"/>
      <c r="S88" s="37"/>
      <c r="T88" s="37"/>
      <c r="U88" s="37"/>
      <c r="V88" s="37"/>
      <c r="W88" s="37"/>
      <c r="X88" s="37"/>
      <c r="Y88" s="37"/>
      <c r="Z88" s="37"/>
      <c r="AA88" s="37"/>
      <c r="AB88" s="37"/>
      <c r="AC88" s="37"/>
      <c r="AD88" s="37"/>
      <c r="AE88" s="37"/>
      <c r="AF88" s="37"/>
      <c r="AG88" s="37"/>
      <c r="AH88" s="37"/>
      <c r="AI88" s="37"/>
      <c r="AJ88" s="37"/>
      <c r="AK88" s="37"/>
      <c r="AL88" s="37"/>
      <c r="AM88" s="37"/>
      <c r="AN88" s="37"/>
      <c r="AO88" s="37"/>
      <c r="AP88" s="37"/>
      <c r="AQ88" s="37"/>
      <c r="AR88" s="37"/>
      <c r="AS88" s="37"/>
      <c r="AT88" s="37"/>
      <c r="AU88" s="37"/>
      <c r="AV88" s="37"/>
      <c r="AW88" s="37"/>
      <c r="AX88" s="37"/>
      <c r="AY88" s="34" t="s">
        <v>317</v>
      </c>
      <c r="AZ88" s="34" t="s">
        <v>467</v>
      </c>
      <c r="BA88" s="47" t="s">
        <v>298</v>
      </c>
      <c r="BB88" s="48"/>
      <c r="BE88" s="41"/>
      <c r="BI88" s="42">
        <v>1</v>
      </c>
    </row>
    <row r="89" spans="1:63" ht="19.350000000000001" customHeight="1">
      <c r="A89" s="32">
        <f>A88+1</f>
        <v>78</v>
      </c>
      <c r="B89" s="56" t="s">
        <v>463</v>
      </c>
      <c r="C89" s="78" t="s">
        <v>32</v>
      </c>
      <c r="D89" s="35">
        <f t="shared" si="11"/>
        <v>0.2</v>
      </c>
      <c r="E89" s="35">
        <v>0.2</v>
      </c>
      <c r="F89" s="89">
        <f t="shared" si="13"/>
        <v>0</v>
      </c>
      <c r="G89" s="43"/>
      <c r="H89" s="43"/>
      <c r="I89" s="43"/>
      <c r="J89" s="43"/>
      <c r="K89" s="43"/>
      <c r="L89" s="43"/>
      <c r="M89" s="43"/>
      <c r="N89" s="43"/>
      <c r="O89" s="43"/>
      <c r="P89" s="43"/>
      <c r="Q89" s="43"/>
      <c r="R89" s="43"/>
      <c r="S89" s="43"/>
      <c r="T89" s="43"/>
      <c r="U89" s="43"/>
      <c r="V89" s="43"/>
      <c r="W89" s="43"/>
      <c r="X89" s="43"/>
      <c r="Y89" s="43"/>
      <c r="Z89" s="43"/>
      <c r="AA89" s="43"/>
      <c r="AB89" s="43"/>
      <c r="AC89" s="43"/>
      <c r="AD89" s="43"/>
      <c r="AE89" s="43"/>
      <c r="AF89" s="43"/>
      <c r="AG89" s="43"/>
      <c r="AH89" s="43"/>
      <c r="AI89" s="43"/>
      <c r="AJ89" s="43"/>
      <c r="AK89" s="43"/>
      <c r="AL89" s="43"/>
      <c r="AM89" s="43"/>
      <c r="AN89" s="43"/>
      <c r="AO89" s="43"/>
      <c r="AP89" s="43"/>
      <c r="AQ89" s="43"/>
      <c r="AR89" s="43"/>
      <c r="AS89" s="43"/>
      <c r="AT89" s="43"/>
      <c r="AU89" s="43"/>
      <c r="AV89" s="43"/>
      <c r="AW89" s="43"/>
      <c r="AX89" s="43"/>
      <c r="AY89" s="34" t="s">
        <v>221</v>
      </c>
      <c r="AZ89" s="34" t="s">
        <v>468</v>
      </c>
      <c r="BA89" s="39" t="s">
        <v>291</v>
      </c>
      <c r="BB89" s="40"/>
      <c r="BC89" s="15" t="s">
        <v>469</v>
      </c>
      <c r="BI89" s="42">
        <v>1</v>
      </c>
    </row>
    <row r="90" spans="1:63" ht="19.350000000000001" customHeight="1">
      <c r="A90" s="32">
        <f t="shared" ref="A90:A137" si="14">A89+1</f>
        <v>79</v>
      </c>
      <c r="B90" s="56" t="s">
        <v>463</v>
      </c>
      <c r="C90" s="78" t="s">
        <v>32</v>
      </c>
      <c r="D90" s="35">
        <f t="shared" si="11"/>
        <v>2.5</v>
      </c>
      <c r="E90" s="35"/>
      <c r="F90" s="35">
        <f t="shared" si="13"/>
        <v>2.5</v>
      </c>
      <c r="G90" s="43">
        <v>0.1</v>
      </c>
      <c r="H90" s="43"/>
      <c r="I90" s="43"/>
      <c r="J90" s="43"/>
      <c r="K90" s="43"/>
      <c r="L90" s="43"/>
      <c r="M90" s="43">
        <v>2.4</v>
      </c>
      <c r="N90" s="43"/>
      <c r="O90" s="43"/>
      <c r="P90" s="43"/>
      <c r="Q90" s="43"/>
      <c r="R90" s="43"/>
      <c r="S90" s="43"/>
      <c r="T90" s="43"/>
      <c r="U90" s="43"/>
      <c r="V90" s="43"/>
      <c r="W90" s="43"/>
      <c r="X90" s="43"/>
      <c r="Y90" s="43"/>
      <c r="Z90" s="43"/>
      <c r="AA90" s="43"/>
      <c r="AB90" s="43"/>
      <c r="AC90" s="43"/>
      <c r="AD90" s="43"/>
      <c r="AE90" s="43"/>
      <c r="AF90" s="43"/>
      <c r="AG90" s="43"/>
      <c r="AH90" s="43"/>
      <c r="AI90" s="43"/>
      <c r="AJ90" s="43"/>
      <c r="AK90" s="43"/>
      <c r="AL90" s="43"/>
      <c r="AM90" s="43"/>
      <c r="AN90" s="43"/>
      <c r="AO90" s="43"/>
      <c r="AP90" s="43"/>
      <c r="AQ90" s="43"/>
      <c r="AR90" s="43"/>
      <c r="AS90" s="43"/>
      <c r="AT90" s="43"/>
      <c r="AU90" s="43"/>
      <c r="AV90" s="43"/>
      <c r="AW90" s="43"/>
      <c r="AX90" s="43"/>
      <c r="AY90" s="34" t="s">
        <v>221</v>
      </c>
      <c r="AZ90" s="34" t="s">
        <v>468</v>
      </c>
      <c r="BA90" s="47" t="s">
        <v>298</v>
      </c>
      <c r="BB90" s="48"/>
      <c r="BC90" s="15" t="s">
        <v>351</v>
      </c>
      <c r="BI90" s="42">
        <v>1</v>
      </c>
      <c r="BJ90" s="15" t="s">
        <v>470</v>
      </c>
      <c r="BK90" s="15" t="s">
        <v>448</v>
      </c>
    </row>
    <row r="91" spans="1:63" s="61" customFormat="1" ht="19.350000000000001" customHeight="1">
      <c r="A91" s="32">
        <f t="shared" si="14"/>
        <v>80</v>
      </c>
      <c r="B91" s="56" t="s">
        <v>463</v>
      </c>
      <c r="C91" s="78" t="s">
        <v>32</v>
      </c>
      <c r="D91" s="35">
        <f t="shared" si="11"/>
        <v>0.2</v>
      </c>
      <c r="E91" s="35"/>
      <c r="F91" s="35">
        <f t="shared" si="13"/>
        <v>0.2</v>
      </c>
      <c r="G91" s="43">
        <v>0.2</v>
      </c>
      <c r="H91" s="43"/>
      <c r="I91" s="43"/>
      <c r="J91" s="43"/>
      <c r="K91" s="43"/>
      <c r="L91" s="43"/>
      <c r="M91" s="43"/>
      <c r="N91" s="43"/>
      <c r="O91" s="43"/>
      <c r="P91" s="43"/>
      <c r="Q91" s="43"/>
      <c r="R91" s="43"/>
      <c r="S91" s="43"/>
      <c r="T91" s="43"/>
      <c r="U91" s="43"/>
      <c r="V91" s="43"/>
      <c r="W91" s="43"/>
      <c r="X91" s="43"/>
      <c r="Y91" s="43"/>
      <c r="Z91" s="43"/>
      <c r="AA91" s="43"/>
      <c r="AB91" s="43"/>
      <c r="AC91" s="43"/>
      <c r="AD91" s="43"/>
      <c r="AE91" s="43"/>
      <c r="AF91" s="43"/>
      <c r="AG91" s="43"/>
      <c r="AH91" s="43"/>
      <c r="AI91" s="43"/>
      <c r="AJ91" s="43"/>
      <c r="AK91" s="43"/>
      <c r="AL91" s="43"/>
      <c r="AM91" s="43"/>
      <c r="AN91" s="43"/>
      <c r="AO91" s="43"/>
      <c r="AP91" s="43"/>
      <c r="AQ91" s="43"/>
      <c r="AR91" s="43"/>
      <c r="AS91" s="43"/>
      <c r="AT91" s="43"/>
      <c r="AU91" s="43"/>
      <c r="AV91" s="43"/>
      <c r="AW91" s="43"/>
      <c r="AX91" s="43"/>
      <c r="AY91" s="34" t="s">
        <v>222</v>
      </c>
      <c r="AZ91" s="34" t="s">
        <v>308</v>
      </c>
      <c r="BA91" s="47" t="s">
        <v>298</v>
      </c>
      <c r="BB91" s="48"/>
      <c r="BC91" s="41"/>
      <c r="BD91" s="41"/>
      <c r="BE91" s="15"/>
      <c r="BF91" s="15"/>
      <c r="BI91" s="42">
        <v>1</v>
      </c>
    </row>
    <row r="92" spans="1:63" s="24" customFormat="1" ht="23.1" customHeight="1">
      <c r="A92" s="32">
        <f>A91+1</f>
        <v>81</v>
      </c>
      <c r="B92" s="56" t="s">
        <v>463</v>
      </c>
      <c r="C92" s="78" t="s">
        <v>32</v>
      </c>
      <c r="D92" s="43">
        <f>E92+F92</f>
        <v>0.5</v>
      </c>
      <c r="E92" s="43"/>
      <c r="F92" s="43">
        <f>SUM(G92:AX92)</f>
        <v>0.5</v>
      </c>
      <c r="G92" s="43">
        <v>0.33</v>
      </c>
      <c r="H92" s="43"/>
      <c r="I92" s="43"/>
      <c r="J92" s="43">
        <v>0.17</v>
      </c>
      <c r="K92" s="43"/>
      <c r="L92" s="43"/>
      <c r="M92" s="43"/>
      <c r="N92" s="43"/>
      <c r="O92" s="43"/>
      <c r="P92" s="43"/>
      <c r="Q92" s="43"/>
      <c r="R92" s="43"/>
      <c r="S92" s="43"/>
      <c r="T92" s="43"/>
      <c r="U92" s="43"/>
      <c r="V92" s="43"/>
      <c r="W92" s="43"/>
      <c r="X92" s="43"/>
      <c r="Y92" s="43"/>
      <c r="Z92" s="43"/>
      <c r="AA92" s="43"/>
      <c r="AB92" s="43"/>
      <c r="AC92" s="43"/>
      <c r="AD92" s="43"/>
      <c r="AE92" s="43"/>
      <c r="AF92" s="43"/>
      <c r="AG92" s="43"/>
      <c r="AH92" s="43"/>
      <c r="AI92" s="43"/>
      <c r="AJ92" s="43"/>
      <c r="AK92" s="43"/>
      <c r="AL92" s="43"/>
      <c r="AM92" s="43"/>
      <c r="AN92" s="43"/>
      <c r="AO92" s="43"/>
      <c r="AP92" s="43"/>
      <c r="AQ92" s="43"/>
      <c r="AR92" s="43"/>
      <c r="AS92" s="43"/>
      <c r="AT92" s="43"/>
      <c r="AU92" s="43"/>
      <c r="AV92" s="43"/>
      <c r="AW92" s="43"/>
      <c r="AX92" s="43"/>
      <c r="AY92" s="34" t="s">
        <v>222</v>
      </c>
      <c r="AZ92" s="34" t="s">
        <v>471</v>
      </c>
      <c r="BA92" s="47" t="s">
        <v>298</v>
      </c>
      <c r="BB92" s="64" t="s">
        <v>381</v>
      </c>
      <c r="BE92" s="59"/>
      <c r="BG92" s="24" t="s">
        <v>311</v>
      </c>
      <c r="BI92" s="42"/>
    </row>
    <row r="93" spans="1:63" ht="19.350000000000001" customHeight="1">
      <c r="A93" s="32">
        <f>A92+1</f>
        <v>82</v>
      </c>
      <c r="B93" s="56" t="s">
        <v>463</v>
      </c>
      <c r="C93" s="78" t="s">
        <v>32</v>
      </c>
      <c r="D93" s="35">
        <f t="shared" si="11"/>
        <v>2</v>
      </c>
      <c r="E93" s="35"/>
      <c r="F93" s="35">
        <f t="shared" si="13"/>
        <v>2</v>
      </c>
      <c r="G93" s="43"/>
      <c r="H93" s="43"/>
      <c r="I93" s="43"/>
      <c r="J93" s="43"/>
      <c r="K93" s="43"/>
      <c r="L93" s="43"/>
      <c r="M93" s="43">
        <v>2</v>
      </c>
      <c r="N93" s="43"/>
      <c r="O93" s="43"/>
      <c r="P93" s="43"/>
      <c r="Q93" s="43"/>
      <c r="R93" s="43"/>
      <c r="S93" s="43"/>
      <c r="T93" s="43"/>
      <c r="U93" s="43"/>
      <c r="V93" s="43"/>
      <c r="W93" s="43"/>
      <c r="X93" s="43"/>
      <c r="Y93" s="43"/>
      <c r="Z93" s="43"/>
      <c r="AA93" s="43"/>
      <c r="AB93" s="43"/>
      <c r="AC93" s="43"/>
      <c r="AD93" s="43"/>
      <c r="AE93" s="43"/>
      <c r="AF93" s="43"/>
      <c r="AG93" s="43"/>
      <c r="AH93" s="43"/>
      <c r="AI93" s="43"/>
      <c r="AJ93" s="43"/>
      <c r="AK93" s="43"/>
      <c r="AL93" s="43"/>
      <c r="AM93" s="43"/>
      <c r="AN93" s="43"/>
      <c r="AO93" s="43"/>
      <c r="AP93" s="43"/>
      <c r="AQ93" s="43"/>
      <c r="AR93" s="43"/>
      <c r="AS93" s="43"/>
      <c r="AT93" s="43"/>
      <c r="AU93" s="43"/>
      <c r="AV93" s="43"/>
      <c r="AW93" s="43"/>
      <c r="AX93" s="43"/>
      <c r="AY93" s="34" t="s">
        <v>223</v>
      </c>
      <c r="AZ93" s="47" t="s">
        <v>472</v>
      </c>
      <c r="BA93" s="47" t="s">
        <v>298</v>
      </c>
      <c r="BB93" s="48"/>
      <c r="BC93" s="65" t="s">
        <v>473</v>
      </c>
      <c r="BD93" s="65"/>
      <c r="BI93" s="42">
        <v>1</v>
      </c>
      <c r="BJ93" s="15" t="s">
        <v>474</v>
      </c>
      <c r="BK93" s="15" t="s">
        <v>448</v>
      </c>
    </row>
    <row r="94" spans="1:63" ht="19.350000000000001" customHeight="1">
      <c r="A94" s="32">
        <f t="shared" si="14"/>
        <v>83</v>
      </c>
      <c r="B94" s="56" t="s">
        <v>463</v>
      </c>
      <c r="C94" s="78" t="s">
        <v>32</v>
      </c>
      <c r="D94" s="35">
        <f t="shared" si="11"/>
        <v>0.23</v>
      </c>
      <c r="E94" s="35"/>
      <c r="F94" s="35">
        <f>SUM(G94:AX94)</f>
        <v>0.23</v>
      </c>
      <c r="G94" s="43"/>
      <c r="H94" s="43">
        <v>0.23</v>
      </c>
      <c r="I94" s="43"/>
      <c r="J94" s="43"/>
      <c r="K94" s="43"/>
      <c r="L94" s="43"/>
      <c r="M94" s="43"/>
      <c r="N94" s="43"/>
      <c r="O94" s="43"/>
      <c r="P94" s="43"/>
      <c r="Q94" s="43"/>
      <c r="R94" s="43"/>
      <c r="S94" s="43"/>
      <c r="T94" s="43"/>
      <c r="U94" s="43"/>
      <c r="V94" s="43"/>
      <c r="W94" s="43"/>
      <c r="X94" s="43"/>
      <c r="Y94" s="43"/>
      <c r="Z94" s="43"/>
      <c r="AA94" s="43"/>
      <c r="AB94" s="43"/>
      <c r="AC94" s="43"/>
      <c r="AD94" s="43"/>
      <c r="AE94" s="43"/>
      <c r="AF94" s="43"/>
      <c r="AG94" s="43"/>
      <c r="AH94" s="43"/>
      <c r="AI94" s="43"/>
      <c r="AJ94" s="43"/>
      <c r="AK94" s="43"/>
      <c r="AL94" s="43"/>
      <c r="AM94" s="43"/>
      <c r="AN94" s="43"/>
      <c r="AO94" s="43"/>
      <c r="AP94" s="43"/>
      <c r="AQ94" s="43"/>
      <c r="AR94" s="43"/>
      <c r="AS94" s="43"/>
      <c r="AT94" s="43"/>
      <c r="AU94" s="43"/>
      <c r="AV94" s="43"/>
      <c r="AW94" s="43"/>
      <c r="AX94" s="43"/>
      <c r="AY94" s="34" t="s">
        <v>223</v>
      </c>
      <c r="AZ94" s="47" t="s">
        <v>475</v>
      </c>
      <c r="BA94" s="47" t="s">
        <v>291</v>
      </c>
      <c r="BB94" s="48"/>
      <c r="BC94" s="65" t="s">
        <v>311</v>
      </c>
      <c r="BD94" s="65"/>
      <c r="BI94" s="42">
        <v>1</v>
      </c>
    </row>
    <row r="95" spans="1:63" ht="19.350000000000001" customHeight="1">
      <c r="A95" s="32">
        <f t="shared" si="14"/>
        <v>84</v>
      </c>
      <c r="B95" s="56" t="s">
        <v>463</v>
      </c>
      <c r="C95" s="78" t="s">
        <v>32</v>
      </c>
      <c r="D95" s="35">
        <f t="shared" si="11"/>
        <v>0.23</v>
      </c>
      <c r="E95" s="35"/>
      <c r="F95" s="35">
        <f>SUM(G95:AX95)</f>
        <v>0.23</v>
      </c>
      <c r="G95" s="43"/>
      <c r="H95" s="43">
        <v>0.23</v>
      </c>
      <c r="I95" s="43"/>
      <c r="J95" s="43"/>
      <c r="K95" s="43"/>
      <c r="L95" s="43"/>
      <c r="M95" s="43"/>
      <c r="N95" s="43"/>
      <c r="O95" s="43"/>
      <c r="P95" s="43"/>
      <c r="Q95" s="43"/>
      <c r="R95" s="43"/>
      <c r="S95" s="43"/>
      <c r="T95" s="43"/>
      <c r="U95" s="43"/>
      <c r="V95" s="43"/>
      <c r="W95" s="43"/>
      <c r="X95" s="43"/>
      <c r="Y95" s="43"/>
      <c r="Z95" s="43"/>
      <c r="AA95" s="43"/>
      <c r="AB95" s="43"/>
      <c r="AC95" s="43"/>
      <c r="AD95" s="43"/>
      <c r="AE95" s="43"/>
      <c r="AF95" s="43"/>
      <c r="AG95" s="43"/>
      <c r="AH95" s="43"/>
      <c r="AI95" s="43"/>
      <c r="AJ95" s="43"/>
      <c r="AK95" s="43"/>
      <c r="AL95" s="43"/>
      <c r="AM95" s="43"/>
      <c r="AN95" s="43"/>
      <c r="AO95" s="43"/>
      <c r="AP95" s="43"/>
      <c r="AQ95" s="43"/>
      <c r="AR95" s="43"/>
      <c r="AS95" s="43"/>
      <c r="AT95" s="43"/>
      <c r="AU95" s="43"/>
      <c r="AV95" s="43"/>
      <c r="AW95" s="43"/>
      <c r="AX95" s="43"/>
      <c r="AY95" s="34" t="s">
        <v>223</v>
      </c>
      <c r="AZ95" s="47" t="s">
        <v>476</v>
      </c>
      <c r="BA95" s="47" t="s">
        <v>291</v>
      </c>
      <c r="BB95" s="48" t="s">
        <v>381</v>
      </c>
      <c r="BC95" s="65"/>
      <c r="BD95" s="65"/>
      <c r="BI95" s="42">
        <v>1</v>
      </c>
    </row>
    <row r="96" spans="1:63" ht="19.350000000000001" customHeight="1">
      <c r="A96" s="32">
        <f t="shared" si="14"/>
        <v>85</v>
      </c>
      <c r="B96" s="44" t="s">
        <v>477</v>
      </c>
      <c r="C96" s="78" t="s">
        <v>32</v>
      </c>
      <c r="D96" s="35">
        <f t="shared" si="11"/>
        <v>0.3</v>
      </c>
      <c r="E96" s="35"/>
      <c r="F96" s="35">
        <f>SUM(G96:AX96)</f>
        <v>0.3</v>
      </c>
      <c r="G96" s="43">
        <v>0.3</v>
      </c>
      <c r="H96" s="43"/>
      <c r="I96" s="43"/>
      <c r="J96" s="43"/>
      <c r="K96" s="43"/>
      <c r="L96" s="43"/>
      <c r="M96" s="43"/>
      <c r="N96" s="43"/>
      <c r="O96" s="43"/>
      <c r="P96" s="43"/>
      <c r="Q96" s="43"/>
      <c r="R96" s="43"/>
      <c r="S96" s="43"/>
      <c r="T96" s="43"/>
      <c r="U96" s="43"/>
      <c r="V96" s="43"/>
      <c r="W96" s="43"/>
      <c r="X96" s="43"/>
      <c r="Y96" s="43"/>
      <c r="Z96" s="43"/>
      <c r="AA96" s="43"/>
      <c r="AB96" s="43"/>
      <c r="AC96" s="43"/>
      <c r="AD96" s="43"/>
      <c r="AE96" s="43"/>
      <c r="AF96" s="43"/>
      <c r="AG96" s="43"/>
      <c r="AH96" s="43"/>
      <c r="AI96" s="43"/>
      <c r="AJ96" s="43"/>
      <c r="AK96" s="43"/>
      <c r="AL96" s="43"/>
      <c r="AM96" s="43"/>
      <c r="AN96" s="43"/>
      <c r="AO96" s="43"/>
      <c r="AP96" s="43"/>
      <c r="AQ96" s="43"/>
      <c r="AR96" s="43"/>
      <c r="AS96" s="43"/>
      <c r="AT96" s="43"/>
      <c r="AU96" s="43"/>
      <c r="AV96" s="43"/>
      <c r="AW96" s="43"/>
      <c r="AX96" s="43"/>
      <c r="AY96" s="34" t="s">
        <v>223</v>
      </c>
      <c r="AZ96" s="47" t="s">
        <v>389</v>
      </c>
      <c r="BA96" s="47" t="s">
        <v>291</v>
      </c>
      <c r="BB96" s="48" t="s">
        <v>381</v>
      </c>
      <c r="BC96" s="65"/>
      <c r="BD96" s="65"/>
      <c r="BI96" s="42">
        <v>1</v>
      </c>
    </row>
    <row r="97" spans="1:63" s="49" customFormat="1" ht="32.85" customHeight="1">
      <c r="A97" s="32">
        <f t="shared" si="14"/>
        <v>86</v>
      </c>
      <c r="B97" s="56" t="s">
        <v>463</v>
      </c>
      <c r="C97" s="78" t="s">
        <v>32</v>
      </c>
      <c r="D97" s="35">
        <f t="shared" si="11"/>
        <v>2.23</v>
      </c>
      <c r="E97" s="45"/>
      <c r="F97" s="35">
        <f t="shared" si="13"/>
        <v>2.23</v>
      </c>
      <c r="G97" s="46">
        <v>1.39</v>
      </c>
      <c r="H97" s="46"/>
      <c r="I97" s="46"/>
      <c r="J97" s="46"/>
      <c r="K97" s="46"/>
      <c r="L97" s="46"/>
      <c r="M97" s="46">
        <v>0.84</v>
      </c>
      <c r="N97" s="46"/>
      <c r="O97" s="46"/>
      <c r="P97" s="46"/>
      <c r="Q97" s="46"/>
      <c r="R97" s="46"/>
      <c r="S97" s="46"/>
      <c r="T97" s="46"/>
      <c r="U97" s="46"/>
      <c r="V97" s="46"/>
      <c r="W97" s="46"/>
      <c r="X97" s="46"/>
      <c r="Y97" s="46"/>
      <c r="Z97" s="46"/>
      <c r="AA97" s="46"/>
      <c r="AB97" s="46"/>
      <c r="AC97" s="46"/>
      <c r="AD97" s="46"/>
      <c r="AE97" s="46"/>
      <c r="AF97" s="46"/>
      <c r="AG97" s="46"/>
      <c r="AH97" s="46"/>
      <c r="AI97" s="46"/>
      <c r="AJ97" s="46"/>
      <c r="AK97" s="46"/>
      <c r="AL97" s="46"/>
      <c r="AM97" s="46"/>
      <c r="AN97" s="46"/>
      <c r="AO97" s="46"/>
      <c r="AP97" s="46"/>
      <c r="AQ97" s="46"/>
      <c r="AR97" s="46"/>
      <c r="AS97" s="46"/>
      <c r="AT97" s="46"/>
      <c r="AU97" s="46"/>
      <c r="AV97" s="46"/>
      <c r="AW97" s="46"/>
      <c r="AX97" s="46"/>
      <c r="AY97" s="47" t="s">
        <v>224</v>
      </c>
      <c r="AZ97" s="34" t="s">
        <v>478</v>
      </c>
      <c r="BA97" s="47" t="s">
        <v>291</v>
      </c>
      <c r="BB97" s="48"/>
      <c r="BI97" s="42">
        <v>1</v>
      </c>
      <c r="BK97" s="50"/>
    </row>
    <row r="98" spans="1:63" ht="35.1" customHeight="1">
      <c r="A98" s="32">
        <f t="shared" si="14"/>
        <v>87</v>
      </c>
      <c r="B98" s="56" t="s">
        <v>463</v>
      </c>
      <c r="C98" s="78" t="s">
        <v>32</v>
      </c>
      <c r="D98" s="35">
        <f t="shared" si="11"/>
        <v>1</v>
      </c>
      <c r="E98" s="35"/>
      <c r="F98" s="35">
        <f t="shared" si="13"/>
        <v>1</v>
      </c>
      <c r="G98" s="43"/>
      <c r="H98" s="43">
        <v>0.05</v>
      </c>
      <c r="I98" s="43">
        <f>0.47+0.46</f>
        <v>0.92999999999999994</v>
      </c>
      <c r="J98" s="43"/>
      <c r="K98" s="43"/>
      <c r="L98" s="43"/>
      <c r="M98" s="43"/>
      <c r="N98" s="43"/>
      <c r="O98" s="43"/>
      <c r="P98" s="43"/>
      <c r="Q98" s="43"/>
      <c r="R98" s="43"/>
      <c r="S98" s="43"/>
      <c r="T98" s="43"/>
      <c r="U98" s="43"/>
      <c r="V98" s="43"/>
      <c r="W98" s="43"/>
      <c r="X98" s="43"/>
      <c r="Y98" s="43"/>
      <c r="Z98" s="43">
        <v>0.02</v>
      </c>
      <c r="AA98" s="43"/>
      <c r="AB98" s="43"/>
      <c r="AC98" s="43"/>
      <c r="AD98" s="43"/>
      <c r="AE98" s="43"/>
      <c r="AF98" s="43"/>
      <c r="AG98" s="43"/>
      <c r="AH98" s="43"/>
      <c r="AI98" s="43"/>
      <c r="AJ98" s="43"/>
      <c r="AK98" s="43"/>
      <c r="AL98" s="43"/>
      <c r="AM98" s="43"/>
      <c r="AN98" s="43"/>
      <c r="AO98" s="43"/>
      <c r="AP98" s="43"/>
      <c r="AQ98" s="43"/>
      <c r="AR98" s="43"/>
      <c r="AS98" s="43"/>
      <c r="AT98" s="43"/>
      <c r="AU98" s="43"/>
      <c r="AV98" s="43"/>
      <c r="AW98" s="43"/>
      <c r="AX98" s="43"/>
      <c r="AY98" s="34" t="s">
        <v>225</v>
      </c>
      <c r="AZ98" s="34" t="s">
        <v>479</v>
      </c>
      <c r="BA98" s="39" t="s">
        <v>291</v>
      </c>
      <c r="BB98" s="40"/>
      <c r="BC98" s="58" t="s">
        <v>480</v>
      </c>
      <c r="BI98" s="42">
        <v>1</v>
      </c>
    </row>
    <row r="99" spans="1:63" ht="33" customHeight="1">
      <c r="A99" s="32">
        <f t="shared" si="14"/>
        <v>88</v>
      </c>
      <c r="B99" s="44" t="s">
        <v>463</v>
      </c>
      <c r="C99" s="78" t="s">
        <v>32</v>
      </c>
      <c r="D99" s="35">
        <f t="shared" si="11"/>
        <v>2</v>
      </c>
      <c r="E99" s="35"/>
      <c r="F99" s="35">
        <f t="shared" si="13"/>
        <v>2</v>
      </c>
      <c r="G99" s="43"/>
      <c r="H99" s="43"/>
      <c r="I99" s="43"/>
      <c r="J99" s="43"/>
      <c r="K99" s="43"/>
      <c r="L99" s="43"/>
      <c r="M99" s="43">
        <v>2</v>
      </c>
      <c r="N99" s="43"/>
      <c r="O99" s="43"/>
      <c r="P99" s="43"/>
      <c r="Q99" s="43"/>
      <c r="R99" s="43"/>
      <c r="S99" s="43"/>
      <c r="T99" s="43"/>
      <c r="U99" s="43"/>
      <c r="V99" s="43"/>
      <c r="W99" s="43"/>
      <c r="X99" s="43"/>
      <c r="Y99" s="43"/>
      <c r="Z99" s="43"/>
      <c r="AA99" s="43"/>
      <c r="AB99" s="43"/>
      <c r="AC99" s="43"/>
      <c r="AD99" s="43"/>
      <c r="AE99" s="43"/>
      <c r="AF99" s="43"/>
      <c r="AG99" s="43"/>
      <c r="AH99" s="43"/>
      <c r="AI99" s="43"/>
      <c r="AJ99" s="43"/>
      <c r="AK99" s="43"/>
      <c r="AL99" s="43"/>
      <c r="AM99" s="43"/>
      <c r="AN99" s="43"/>
      <c r="AO99" s="43"/>
      <c r="AP99" s="43"/>
      <c r="AQ99" s="43"/>
      <c r="AR99" s="43"/>
      <c r="AS99" s="43"/>
      <c r="AT99" s="43"/>
      <c r="AU99" s="43"/>
      <c r="AV99" s="43"/>
      <c r="AW99" s="43"/>
      <c r="AX99" s="43"/>
      <c r="AY99" s="34" t="s">
        <v>225</v>
      </c>
      <c r="AZ99" s="34" t="s">
        <v>481</v>
      </c>
      <c r="BA99" s="47" t="s">
        <v>298</v>
      </c>
      <c r="BB99" s="48"/>
      <c r="BI99" s="42">
        <v>1</v>
      </c>
      <c r="BJ99" s="15" t="s">
        <v>482</v>
      </c>
      <c r="BK99" s="15" t="s">
        <v>448</v>
      </c>
    </row>
    <row r="100" spans="1:63" s="71" customFormat="1" ht="18.600000000000001" customHeight="1">
      <c r="A100" s="32">
        <f t="shared" si="14"/>
        <v>89</v>
      </c>
      <c r="B100" s="56" t="s">
        <v>463</v>
      </c>
      <c r="C100" s="78" t="s">
        <v>32</v>
      </c>
      <c r="D100" s="35">
        <f t="shared" si="11"/>
        <v>0.87999999999999989</v>
      </c>
      <c r="E100" s="67"/>
      <c r="F100" s="35">
        <f t="shared" si="13"/>
        <v>0.87999999999999989</v>
      </c>
      <c r="G100" s="68">
        <v>0.57999999999999996</v>
      </c>
      <c r="H100" s="68"/>
      <c r="I100" s="68">
        <v>0.3</v>
      </c>
      <c r="J100" s="68"/>
      <c r="K100" s="68"/>
      <c r="L100" s="68"/>
      <c r="M100" s="68"/>
      <c r="N100" s="68"/>
      <c r="O100" s="68"/>
      <c r="P100" s="68"/>
      <c r="Q100" s="68"/>
      <c r="R100" s="68"/>
      <c r="S100" s="68"/>
      <c r="T100" s="68"/>
      <c r="U100" s="68"/>
      <c r="V100" s="68"/>
      <c r="W100" s="68"/>
      <c r="X100" s="68"/>
      <c r="Y100" s="68"/>
      <c r="Z100" s="68"/>
      <c r="AA100" s="68"/>
      <c r="AB100" s="68"/>
      <c r="AC100" s="68"/>
      <c r="AD100" s="68"/>
      <c r="AE100" s="68"/>
      <c r="AF100" s="68"/>
      <c r="AG100" s="68"/>
      <c r="AH100" s="68"/>
      <c r="AI100" s="68"/>
      <c r="AJ100" s="68"/>
      <c r="AK100" s="68"/>
      <c r="AL100" s="68"/>
      <c r="AM100" s="68"/>
      <c r="AN100" s="68"/>
      <c r="AO100" s="68"/>
      <c r="AP100" s="68"/>
      <c r="AQ100" s="68"/>
      <c r="AR100" s="68"/>
      <c r="AS100" s="68"/>
      <c r="AT100" s="68"/>
      <c r="AU100" s="68"/>
      <c r="AV100" s="68"/>
      <c r="AW100" s="68"/>
      <c r="AX100" s="68"/>
      <c r="AY100" s="70" t="s">
        <v>226</v>
      </c>
      <c r="AZ100" s="70" t="s">
        <v>483</v>
      </c>
      <c r="BA100" s="47" t="s">
        <v>298</v>
      </c>
      <c r="BB100" s="48"/>
      <c r="BI100" s="42">
        <v>1</v>
      </c>
      <c r="BK100" s="72"/>
    </row>
    <row r="101" spans="1:63" s="71" customFormat="1" ht="34.35" customHeight="1">
      <c r="A101" s="32">
        <f t="shared" si="14"/>
        <v>90</v>
      </c>
      <c r="B101" s="56" t="s">
        <v>463</v>
      </c>
      <c r="C101" s="78" t="s">
        <v>32</v>
      </c>
      <c r="D101" s="35">
        <f t="shared" si="11"/>
        <v>0.45</v>
      </c>
      <c r="E101" s="45"/>
      <c r="F101" s="35">
        <f>SUM(G101:AX101)</f>
        <v>0.45</v>
      </c>
      <c r="G101" s="46"/>
      <c r="H101" s="46"/>
      <c r="I101" s="46"/>
      <c r="J101" s="46">
        <v>0.45</v>
      </c>
      <c r="K101" s="46"/>
      <c r="L101" s="46"/>
      <c r="M101" s="46"/>
      <c r="N101" s="46"/>
      <c r="O101" s="4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46"/>
      <c r="AR101" s="46"/>
      <c r="AS101" s="46"/>
      <c r="AT101" s="46"/>
      <c r="AU101" s="46"/>
      <c r="AV101" s="46"/>
      <c r="AW101" s="46"/>
      <c r="AX101" s="46"/>
      <c r="AY101" s="47" t="s">
        <v>227</v>
      </c>
      <c r="AZ101" s="34" t="s">
        <v>484</v>
      </c>
      <c r="BA101" s="47" t="s">
        <v>298</v>
      </c>
      <c r="BB101" s="15" t="s">
        <v>311</v>
      </c>
      <c r="BI101" s="42">
        <v>1</v>
      </c>
      <c r="BK101" s="72"/>
    </row>
    <row r="102" spans="1:63" s="49" customFormat="1" ht="32.450000000000003" customHeight="1">
      <c r="A102" s="32">
        <f t="shared" si="14"/>
        <v>91</v>
      </c>
      <c r="B102" s="56" t="s">
        <v>463</v>
      </c>
      <c r="C102" s="78" t="s">
        <v>32</v>
      </c>
      <c r="D102" s="35">
        <f t="shared" si="11"/>
        <v>0.7</v>
      </c>
      <c r="E102" s="45"/>
      <c r="F102" s="35">
        <f t="shared" si="13"/>
        <v>0.7</v>
      </c>
      <c r="G102" s="46"/>
      <c r="H102" s="46"/>
      <c r="I102" s="46">
        <v>0.7</v>
      </c>
      <c r="J102" s="46"/>
      <c r="K102" s="46"/>
      <c r="L102" s="46"/>
      <c r="M102" s="46"/>
      <c r="N102" s="46"/>
      <c r="O102" s="46"/>
      <c r="P102" s="46"/>
      <c r="Q102" s="46"/>
      <c r="R102" s="46"/>
      <c r="S102" s="46"/>
      <c r="T102" s="46"/>
      <c r="U102" s="46"/>
      <c r="V102" s="46"/>
      <c r="W102" s="46"/>
      <c r="X102" s="46"/>
      <c r="Y102" s="46"/>
      <c r="Z102" s="46"/>
      <c r="AA102" s="46"/>
      <c r="AB102" s="46"/>
      <c r="AC102" s="46"/>
      <c r="AD102" s="46"/>
      <c r="AE102" s="46"/>
      <c r="AF102" s="46"/>
      <c r="AG102" s="46"/>
      <c r="AH102" s="46"/>
      <c r="AI102" s="46"/>
      <c r="AJ102" s="46"/>
      <c r="AK102" s="46"/>
      <c r="AL102" s="46"/>
      <c r="AM102" s="46"/>
      <c r="AN102" s="46"/>
      <c r="AO102" s="46"/>
      <c r="AP102" s="46"/>
      <c r="AQ102" s="46"/>
      <c r="AR102" s="46"/>
      <c r="AS102" s="46"/>
      <c r="AT102" s="46"/>
      <c r="AU102" s="46"/>
      <c r="AV102" s="46"/>
      <c r="AW102" s="46"/>
      <c r="AX102" s="46"/>
      <c r="AY102" s="47" t="s">
        <v>227</v>
      </c>
      <c r="AZ102" s="34" t="s">
        <v>485</v>
      </c>
      <c r="BA102" s="47" t="s">
        <v>291</v>
      </c>
      <c r="BB102" s="48"/>
      <c r="BC102" s="49" t="s">
        <v>486</v>
      </c>
      <c r="BI102" s="42">
        <v>1</v>
      </c>
      <c r="BK102" s="50"/>
    </row>
    <row r="103" spans="1:63" ht="32.450000000000003" customHeight="1">
      <c r="A103" s="32">
        <f t="shared" si="14"/>
        <v>92</v>
      </c>
      <c r="B103" s="56" t="s">
        <v>463</v>
      </c>
      <c r="C103" s="78" t="s">
        <v>32</v>
      </c>
      <c r="D103" s="35">
        <f t="shared" si="11"/>
        <v>2.15</v>
      </c>
      <c r="E103" s="35"/>
      <c r="F103" s="35">
        <f t="shared" si="13"/>
        <v>2.15</v>
      </c>
      <c r="G103" s="43">
        <v>1.56</v>
      </c>
      <c r="H103" s="43">
        <v>0.4</v>
      </c>
      <c r="I103" s="43">
        <v>0.19</v>
      </c>
      <c r="J103" s="43"/>
      <c r="K103" s="43"/>
      <c r="L103" s="43"/>
      <c r="M103" s="43"/>
      <c r="N103" s="43"/>
      <c r="O103" s="43"/>
      <c r="P103" s="43"/>
      <c r="Q103" s="43"/>
      <c r="R103" s="43"/>
      <c r="S103" s="43"/>
      <c r="T103" s="43"/>
      <c r="U103" s="43"/>
      <c r="V103" s="43"/>
      <c r="W103" s="43"/>
      <c r="X103" s="43"/>
      <c r="Y103" s="43"/>
      <c r="Z103" s="43"/>
      <c r="AA103" s="43"/>
      <c r="AB103" s="43"/>
      <c r="AC103" s="43"/>
      <c r="AD103" s="43"/>
      <c r="AE103" s="43"/>
      <c r="AF103" s="43"/>
      <c r="AG103" s="43"/>
      <c r="AH103" s="43"/>
      <c r="AI103" s="43"/>
      <c r="AJ103" s="43"/>
      <c r="AK103" s="43"/>
      <c r="AL103" s="43"/>
      <c r="AM103" s="43"/>
      <c r="AN103" s="43"/>
      <c r="AO103" s="43"/>
      <c r="AP103" s="43"/>
      <c r="AQ103" s="43"/>
      <c r="AR103" s="43"/>
      <c r="AS103" s="43"/>
      <c r="AT103" s="43"/>
      <c r="AU103" s="43"/>
      <c r="AV103" s="43"/>
      <c r="AW103" s="43"/>
      <c r="AX103" s="43"/>
      <c r="AY103" s="34" t="s">
        <v>487</v>
      </c>
      <c r="AZ103" s="34" t="s">
        <v>488</v>
      </c>
      <c r="BA103" s="39" t="s">
        <v>291</v>
      </c>
      <c r="BB103" s="40"/>
      <c r="BC103" s="15" t="s">
        <v>489</v>
      </c>
      <c r="BI103" s="42">
        <v>1</v>
      </c>
    </row>
    <row r="104" spans="1:63">
      <c r="A104" s="32">
        <f t="shared" si="14"/>
        <v>93</v>
      </c>
      <c r="B104" s="56" t="s">
        <v>463</v>
      </c>
      <c r="C104" s="78" t="s">
        <v>32</v>
      </c>
      <c r="D104" s="35">
        <f t="shared" si="11"/>
        <v>8</v>
      </c>
      <c r="E104" s="35"/>
      <c r="F104" s="35">
        <f>SUM(G104:AX104)</f>
        <v>8</v>
      </c>
      <c r="G104" s="43">
        <v>1.1499999999999999</v>
      </c>
      <c r="H104" s="43">
        <v>0.3</v>
      </c>
      <c r="I104" s="43">
        <v>2.35</v>
      </c>
      <c r="J104" s="43"/>
      <c r="K104" s="43"/>
      <c r="L104" s="43"/>
      <c r="M104" s="43">
        <v>4.2</v>
      </c>
      <c r="N104" s="43"/>
      <c r="O104" s="43"/>
      <c r="P104" s="43"/>
      <c r="Q104" s="43"/>
      <c r="R104" s="43"/>
      <c r="S104" s="43"/>
      <c r="T104" s="43"/>
      <c r="U104" s="43"/>
      <c r="V104" s="43"/>
      <c r="W104" s="43"/>
      <c r="X104" s="43"/>
      <c r="Y104" s="43"/>
      <c r="Z104" s="43"/>
      <c r="AA104" s="43"/>
      <c r="AB104" s="43"/>
      <c r="AC104" s="43"/>
      <c r="AD104" s="43"/>
      <c r="AE104" s="43"/>
      <c r="AF104" s="43"/>
      <c r="AG104" s="43"/>
      <c r="AH104" s="43"/>
      <c r="AI104" s="43"/>
      <c r="AJ104" s="43"/>
      <c r="AK104" s="43"/>
      <c r="AL104" s="43"/>
      <c r="AM104" s="43"/>
      <c r="AN104" s="43"/>
      <c r="AO104" s="43"/>
      <c r="AP104" s="43"/>
      <c r="AQ104" s="43"/>
      <c r="AR104" s="43"/>
      <c r="AS104" s="43"/>
      <c r="AT104" s="43"/>
      <c r="AU104" s="43"/>
      <c r="AV104" s="43"/>
      <c r="AW104" s="43"/>
      <c r="AX104" s="43"/>
      <c r="AY104" s="34" t="s">
        <v>487</v>
      </c>
      <c r="AZ104" s="34" t="s">
        <v>490</v>
      </c>
      <c r="BA104" s="47" t="s">
        <v>298</v>
      </c>
      <c r="BB104" s="48"/>
      <c r="BC104" s="15" t="s">
        <v>381</v>
      </c>
      <c r="BI104" s="42">
        <v>1</v>
      </c>
    </row>
    <row r="105" spans="1:63" s="91" customFormat="1" ht="19.350000000000001" customHeight="1">
      <c r="A105" s="32">
        <f t="shared" si="14"/>
        <v>94</v>
      </c>
      <c r="B105" s="56" t="s">
        <v>463</v>
      </c>
      <c r="C105" s="78" t="s">
        <v>32</v>
      </c>
      <c r="D105" s="35">
        <f t="shared" si="11"/>
        <v>0.5</v>
      </c>
      <c r="E105" s="35"/>
      <c r="F105" s="35">
        <f t="shared" si="13"/>
        <v>0.5</v>
      </c>
      <c r="G105" s="43">
        <v>0.5</v>
      </c>
      <c r="H105" s="90"/>
      <c r="I105" s="90"/>
      <c r="J105" s="90"/>
      <c r="K105" s="90"/>
      <c r="L105" s="90"/>
      <c r="M105" s="90"/>
      <c r="N105" s="90"/>
      <c r="O105" s="90"/>
      <c r="P105" s="90"/>
      <c r="Q105" s="90"/>
      <c r="R105" s="90"/>
      <c r="S105" s="90"/>
      <c r="T105" s="90"/>
      <c r="U105" s="90"/>
      <c r="V105" s="90"/>
      <c r="W105" s="90"/>
      <c r="X105" s="90"/>
      <c r="Y105" s="90"/>
      <c r="Z105" s="90"/>
      <c r="AA105" s="90"/>
      <c r="AB105" s="90"/>
      <c r="AC105" s="90"/>
      <c r="AD105" s="90"/>
      <c r="AE105" s="90"/>
      <c r="AF105" s="90"/>
      <c r="AG105" s="90"/>
      <c r="AH105" s="90"/>
      <c r="AI105" s="90"/>
      <c r="AJ105" s="90"/>
      <c r="AK105" s="90"/>
      <c r="AL105" s="90"/>
      <c r="AM105" s="90"/>
      <c r="AN105" s="90"/>
      <c r="AO105" s="90"/>
      <c r="AP105" s="90"/>
      <c r="AQ105" s="90"/>
      <c r="AR105" s="90"/>
      <c r="AS105" s="90"/>
      <c r="AT105" s="90"/>
      <c r="AU105" s="90"/>
      <c r="AV105" s="90"/>
      <c r="AW105" s="90"/>
      <c r="AX105" s="90"/>
      <c r="AY105" s="34" t="s">
        <v>229</v>
      </c>
      <c r="AZ105" s="34" t="s">
        <v>417</v>
      </c>
      <c r="BA105" s="34" t="s">
        <v>291</v>
      </c>
      <c r="BB105" s="58"/>
      <c r="BI105" s="42">
        <v>1</v>
      </c>
      <c r="BK105" s="92"/>
    </row>
    <row r="106" spans="1:63" s="49" customFormat="1">
      <c r="A106" s="32">
        <f t="shared" si="14"/>
        <v>95</v>
      </c>
      <c r="B106" s="56" t="s">
        <v>463</v>
      </c>
      <c r="C106" s="78" t="s">
        <v>32</v>
      </c>
      <c r="D106" s="35">
        <f t="shared" si="11"/>
        <v>1</v>
      </c>
      <c r="E106" s="35"/>
      <c r="F106" s="35">
        <f t="shared" si="13"/>
        <v>1</v>
      </c>
      <c r="G106" s="46"/>
      <c r="H106" s="46"/>
      <c r="I106" s="46"/>
      <c r="J106" s="46"/>
      <c r="K106" s="46"/>
      <c r="L106" s="46"/>
      <c r="M106" s="43">
        <v>1</v>
      </c>
      <c r="N106" s="46"/>
      <c r="O106" s="46"/>
      <c r="P106" s="46"/>
      <c r="Q106" s="46"/>
      <c r="R106" s="46"/>
      <c r="S106" s="46"/>
      <c r="T106" s="46"/>
      <c r="U106" s="46"/>
      <c r="V106" s="46"/>
      <c r="W106" s="46"/>
      <c r="X106" s="46"/>
      <c r="Y106" s="46"/>
      <c r="Z106" s="46"/>
      <c r="AA106" s="46"/>
      <c r="AB106" s="46"/>
      <c r="AC106" s="46"/>
      <c r="AD106" s="46"/>
      <c r="AE106" s="46"/>
      <c r="AF106" s="46"/>
      <c r="AG106" s="46"/>
      <c r="AH106" s="46"/>
      <c r="AI106" s="46"/>
      <c r="AJ106" s="46"/>
      <c r="AK106" s="46"/>
      <c r="AL106" s="46"/>
      <c r="AM106" s="46"/>
      <c r="AN106" s="46"/>
      <c r="AO106" s="46"/>
      <c r="AP106" s="46"/>
      <c r="AQ106" s="46"/>
      <c r="AR106" s="46"/>
      <c r="AS106" s="46"/>
      <c r="AT106" s="46"/>
      <c r="AU106" s="46"/>
      <c r="AV106" s="46"/>
      <c r="AW106" s="46"/>
      <c r="AX106" s="46"/>
      <c r="AY106" s="34" t="s">
        <v>229</v>
      </c>
      <c r="AZ106" s="34" t="s">
        <v>417</v>
      </c>
      <c r="BA106" s="47" t="s">
        <v>298</v>
      </c>
      <c r="BB106" s="58"/>
      <c r="BC106" s="49" t="s">
        <v>491</v>
      </c>
      <c r="BI106" s="42">
        <v>1</v>
      </c>
      <c r="BK106" s="50"/>
    </row>
    <row r="107" spans="1:63" s="91" customFormat="1">
      <c r="A107" s="32">
        <f t="shared" si="14"/>
        <v>96</v>
      </c>
      <c r="B107" s="56" t="s">
        <v>463</v>
      </c>
      <c r="C107" s="78" t="s">
        <v>32</v>
      </c>
      <c r="D107" s="35">
        <f t="shared" si="11"/>
        <v>0.42</v>
      </c>
      <c r="E107" s="35"/>
      <c r="F107" s="35">
        <f t="shared" si="13"/>
        <v>0.42</v>
      </c>
      <c r="G107" s="90"/>
      <c r="H107" s="90"/>
      <c r="I107" s="90"/>
      <c r="J107" s="90"/>
      <c r="K107" s="90"/>
      <c r="L107" s="90"/>
      <c r="M107" s="43">
        <v>0.42</v>
      </c>
      <c r="N107" s="90"/>
      <c r="O107" s="90"/>
      <c r="P107" s="90"/>
      <c r="Q107" s="90"/>
      <c r="R107" s="90"/>
      <c r="S107" s="90"/>
      <c r="T107" s="90"/>
      <c r="U107" s="90"/>
      <c r="V107" s="90"/>
      <c r="W107" s="90"/>
      <c r="X107" s="90"/>
      <c r="Y107" s="90"/>
      <c r="Z107" s="90"/>
      <c r="AA107" s="90"/>
      <c r="AB107" s="90"/>
      <c r="AC107" s="90"/>
      <c r="AD107" s="90"/>
      <c r="AE107" s="90"/>
      <c r="AF107" s="90"/>
      <c r="AG107" s="90"/>
      <c r="AH107" s="90"/>
      <c r="AI107" s="90"/>
      <c r="AJ107" s="90"/>
      <c r="AK107" s="90"/>
      <c r="AL107" s="90"/>
      <c r="AM107" s="90"/>
      <c r="AN107" s="90"/>
      <c r="AO107" s="90"/>
      <c r="AP107" s="90"/>
      <c r="AQ107" s="90"/>
      <c r="AR107" s="90"/>
      <c r="AS107" s="90"/>
      <c r="AT107" s="90"/>
      <c r="AU107" s="90"/>
      <c r="AV107" s="90"/>
      <c r="AW107" s="90"/>
      <c r="AX107" s="90"/>
      <c r="AY107" s="34" t="s">
        <v>229</v>
      </c>
      <c r="AZ107" s="34" t="s">
        <v>451</v>
      </c>
      <c r="BA107" s="47" t="s">
        <v>298</v>
      </c>
      <c r="BB107" s="58" t="s">
        <v>492</v>
      </c>
      <c r="BC107" s="49" t="s">
        <v>493</v>
      </c>
      <c r="BD107" s="49"/>
      <c r="BE107" s="49"/>
      <c r="BI107" s="42">
        <v>1</v>
      </c>
      <c r="BK107" s="92"/>
    </row>
    <row r="108" spans="1:63" s="49" customFormat="1" ht="19.350000000000001" customHeight="1">
      <c r="A108" s="32">
        <f t="shared" si="14"/>
        <v>97</v>
      </c>
      <c r="B108" s="44" t="s">
        <v>463</v>
      </c>
      <c r="C108" s="78" t="s">
        <v>32</v>
      </c>
      <c r="D108" s="35">
        <f t="shared" si="11"/>
        <v>2.5</v>
      </c>
      <c r="E108" s="35"/>
      <c r="F108" s="35">
        <f t="shared" si="13"/>
        <v>2.5</v>
      </c>
      <c r="G108" s="46"/>
      <c r="H108" s="46"/>
      <c r="I108" s="46"/>
      <c r="J108" s="46"/>
      <c r="K108" s="46"/>
      <c r="L108" s="46"/>
      <c r="M108" s="46">
        <v>2.5</v>
      </c>
      <c r="N108" s="46"/>
      <c r="O108" s="46"/>
      <c r="P108" s="46"/>
      <c r="Q108" s="46"/>
      <c r="R108" s="46"/>
      <c r="S108" s="46"/>
      <c r="T108" s="46"/>
      <c r="U108" s="46"/>
      <c r="V108" s="46"/>
      <c r="W108" s="46"/>
      <c r="X108" s="46"/>
      <c r="Y108" s="46"/>
      <c r="Z108" s="46"/>
      <c r="AA108" s="46"/>
      <c r="AB108" s="46"/>
      <c r="AC108" s="46"/>
      <c r="AD108" s="46"/>
      <c r="AE108" s="46"/>
      <c r="AF108" s="46"/>
      <c r="AG108" s="46"/>
      <c r="AH108" s="46"/>
      <c r="AI108" s="46"/>
      <c r="AJ108" s="46"/>
      <c r="AK108" s="46"/>
      <c r="AL108" s="46"/>
      <c r="AM108" s="46"/>
      <c r="AN108" s="46"/>
      <c r="AO108" s="46"/>
      <c r="AP108" s="46"/>
      <c r="AQ108" s="46"/>
      <c r="AR108" s="46"/>
      <c r="AS108" s="46"/>
      <c r="AT108" s="46"/>
      <c r="AU108" s="46"/>
      <c r="AV108" s="46"/>
      <c r="AW108" s="46"/>
      <c r="AX108" s="46"/>
      <c r="AY108" s="34" t="s">
        <v>229</v>
      </c>
      <c r="AZ108" s="47" t="s">
        <v>494</v>
      </c>
      <c r="BA108" s="34" t="s">
        <v>291</v>
      </c>
      <c r="BB108" s="58"/>
      <c r="BC108" s="49" t="s">
        <v>495</v>
      </c>
      <c r="BI108" s="42">
        <v>1</v>
      </c>
      <c r="BJ108" s="49" t="s">
        <v>496</v>
      </c>
      <c r="BK108" s="50" t="s">
        <v>448</v>
      </c>
    </row>
    <row r="109" spans="1:63" ht="19.350000000000001" customHeight="1">
      <c r="A109" s="32">
        <f>A108+1</f>
        <v>98</v>
      </c>
      <c r="B109" s="56" t="s">
        <v>463</v>
      </c>
      <c r="C109" s="78" t="s">
        <v>32</v>
      </c>
      <c r="D109" s="35">
        <f t="shared" si="11"/>
        <v>0.45</v>
      </c>
      <c r="E109" s="35"/>
      <c r="F109" s="35">
        <f>SUM(G109:AX109)</f>
        <v>0.45</v>
      </c>
      <c r="G109" s="43">
        <v>0.45</v>
      </c>
      <c r="H109" s="43"/>
      <c r="I109" s="43"/>
      <c r="J109" s="43"/>
      <c r="K109" s="43"/>
      <c r="L109" s="43"/>
      <c r="M109" s="43"/>
      <c r="N109" s="43"/>
      <c r="O109" s="43"/>
      <c r="P109" s="43"/>
      <c r="Q109" s="43"/>
      <c r="R109" s="43"/>
      <c r="S109" s="43"/>
      <c r="T109" s="43"/>
      <c r="U109" s="43"/>
      <c r="V109" s="43"/>
      <c r="W109" s="43"/>
      <c r="X109" s="43"/>
      <c r="Y109" s="43"/>
      <c r="Z109" s="43"/>
      <c r="AA109" s="43"/>
      <c r="AB109" s="43"/>
      <c r="AC109" s="43"/>
      <c r="AD109" s="43"/>
      <c r="AE109" s="43"/>
      <c r="AF109" s="43"/>
      <c r="AG109" s="43"/>
      <c r="AH109" s="43"/>
      <c r="AI109" s="43"/>
      <c r="AJ109" s="43"/>
      <c r="AK109" s="43"/>
      <c r="AL109" s="43"/>
      <c r="AM109" s="43"/>
      <c r="AN109" s="43"/>
      <c r="AO109" s="43"/>
      <c r="AP109" s="43"/>
      <c r="AQ109" s="43"/>
      <c r="AR109" s="43"/>
      <c r="AS109" s="43"/>
      <c r="AT109" s="43"/>
      <c r="AU109" s="43"/>
      <c r="AV109" s="43"/>
      <c r="AW109" s="43"/>
      <c r="AX109" s="43"/>
      <c r="AY109" s="34" t="s">
        <v>231</v>
      </c>
      <c r="AZ109" s="34" t="s">
        <v>451</v>
      </c>
      <c r="BA109" s="47" t="s">
        <v>298</v>
      </c>
      <c r="BB109" s="40" t="s">
        <v>497</v>
      </c>
      <c r="BC109" s="15" t="s">
        <v>498</v>
      </c>
      <c r="BE109" s="41"/>
      <c r="BI109" s="42">
        <v>1</v>
      </c>
    </row>
    <row r="110" spans="1:63" ht="19.350000000000001" customHeight="1">
      <c r="A110" s="32">
        <f t="shared" si="14"/>
        <v>99</v>
      </c>
      <c r="B110" s="44" t="s">
        <v>463</v>
      </c>
      <c r="C110" s="78" t="s">
        <v>32</v>
      </c>
      <c r="D110" s="35">
        <f t="shared" si="11"/>
        <v>3</v>
      </c>
      <c r="E110" s="35"/>
      <c r="F110" s="35">
        <f t="shared" si="13"/>
        <v>3</v>
      </c>
      <c r="G110" s="43"/>
      <c r="H110" s="43"/>
      <c r="I110" s="43"/>
      <c r="J110" s="43"/>
      <c r="K110" s="37"/>
      <c r="L110" s="43"/>
      <c r="M110" s="37">
        <v>3</v>
      </c>
      <c r="N110" s="43"/>
      <c r="O110" s="43"/>
      <c r="P110" s="43"/>
      <c r="Q110" s="43"/>
      <c r="R110" s="43"/>
      <c r="S110" s="43"/>
      <c r="T110" s="43"/>
      <c r="U110" s="43"/>
      <c r="V110" s="43"/>
      <c r="W110" s="43"/>
      <c r="X110" s="43"/>
      <c r="Y110" s="43"/>
      <c r="Z110" s="43"/>
      <c r="AA110" s="43"/>
      <c r="AB110" s="43"/>
      <c r="AC110" s="43"/>
      <c r="AD110" s="43"/>
      <c r="AE110" s="43"/>
      <c r="AF110" s="43"/>
      <c r="AG110" s="43"/>
      <c r="AH110" s="43"/>
      <c r="AI110" s="43"/>
      <c r="AJ110" s="43"/>
      <c r="AK110" s="43"/>
      <c r="AL110" s="43"/>
      <c r="AM110" s="43"/>
      <c r="AN110" s="43"/>
      <c r="AO110" s="43"/>
      <c r="AP110" s="43"/>
      <c r="AQ110" s="43"/>
      <c r="AR110" s="43"/>
      <c r="AS110" s="43"/>
      <c r="AT110" s="43"/>
      <c r="AU110" s="43"/>
      <c r="AV110" s="43"/>
      <c r="AW110" s="43"/>
      <c r="AX110" s="43"/>
      <c r="AY110" s="34" t="s">
        <v>232</v>
      </c>
      <c r="AZ110" s="34" t="s">
        <v>328</v>
      </c>
      <c r="BA110" s="47" t="s">
        <v>298</v>
      </c>
      <c r="BB110" s="48"/>
      <c r="BD110" s="15" t="s">
        <v>18</v>
      </c>
      <c r="BE110" s="41" t="s">
        <v>499</v>
      </c>
      <c r="BI110" s="42">
        <v>1</v>
      </c>
      <c r="BJ110" s="15" t="s">
        <v>500</v>
      </c>
      <c r="BK110" s="15" t="s">
        <v>448</v>
      </c>
    </row>
    <row r="111" spans="1:63" ht="33" customHeight="1">
      <c r="A111" s="32">
        <f t="shared" si="14"/>
        <v>100</v>
      </c>
      <c r="B111" s="56" t="s">
        <v>501</v>
      </c>
      <c r="C111" s="78" t="s">
        <v>32</v>
      </c>
      <c r="D111" s="35">
        <f t="shared" si="11"/>
        <v>1.3800000000000001</v>
      </c>
      <c r="E111" s="35"/>
      <c r="F111" s="35">
        <f t="shared" si="13"/>
        <v>1.3800000000000001</v>
      </c>
      <c r="G111" s="43">
        <v>0.06</v>
      </c>
      <c r="H111" s="43"/>
      <c r="I111" s="43"/>
      <c r="J111" s="43"/>
      <c r="K111" s="37"/>
      <c r="L111" s="43"/>
      <c r="M111" s="37">
        <v>1.32</v>
      </c>
      <c r="N111" s="43"/>
      <c r="O111" s="43"/>
      <c r="P111" s="43"/>
      <c r="Q111" s="43"/>
      <c r="R111" s="43"/>
      <c r="S111" s="43"/>
      <c r="T111" s="43"/>
      <c r="U111" s="43"/>
      <c r="V111" s="43"/>
      <c r="W111" s="43"/>
      <c r="X111" s="43"/>
      <c r="Y111" s="43"/>
      <c r="Z111" s="43"/>
      <c r="AA111" s="43"/>
      <c r="AB111" s="43"/>
      <c r="AC111" s="43"/>
      <c r="AD111" s="43"/>
      <c r="AE111" s="43"/>
      <c r="AF111" s="43"/>
      <c r="AG111" s="43"/>
      <c r="AH111" s="43"/>
      <c r="AI111" s="43"/>
      <c r="AJ111" s="43"/>
      <c r="AK111" s="43"/>
      <c r="AL111" s="43"/>
      <c r="AM111" s="43"/>
      <c r="AN111" s="43"/>
      <c r="AO111" s="43"/>
      <c r="AP111" s="43"/>
      <c r="AQ111" s="43"/>
      <c r="AR111" s="43"/>
      <c r="AS111" s="43"/>
      <c r="AT111" s="43"/>
      <c r="AU111" s="43"/>
      <c r="AV111" s="43"/>
      <c r="AW111" s="43"/>
      <c r="AX111" s="43"/>
      <c r="AY111" s="34" t="s">
        <v>233</v>
      </c>
      <c r="AZ111" s="34" t="s">
        <v>502</v>
      </c>
      <c r="BA111" s="93" t="s">
        <v>291</v>
      </c>
      <c r="BB111" s="50"/>
      <c r="BE111" s="41"/>
      <c r="BI111" s="42">
        <v>1</v>
      </c>
    </row>
    <row r="112" spans="1:63" s="49" customFormat="1" ht="22.35" customHeight="1">
      <c r="A112" s="32">
        <f t="shared" si="14"/>
        <v>101</v>
      </c>
      <c r="B112" s="56" t="s">
        <v>463</v>
      </c>
      <c r="C112" s="78" t="s">
        <v>32</v>
      </c>
      <c r="D112" s="35">
        <f t="shared" si="11"/>
        <v>0.8</v>
      </c>
      <c r="E112" s="45"/>
      <c r="F112" s="35">
        <f t="shared" si="13"/>
        <v>0.8</v>
      </c>
      <c r="G112" s="46"/>
      <c r="H112" s="46"/>
      <c r="I112" s="46"/>
      <c r="J112" s="46">
        <v>0.8</v>
      </c>
      <c r="K112" s="46"/>
      <c r="L112" s="46"/>
      <c r="M112" s="46"/>
      <c r="N112" s="46"/>
      <c r="O112" s="46"/>
      <c r="P112" s="46"/>
      <c r="Q112" s="46"/>
      <c r="R112" s="46"/>
      <c r="S112" s="46"/>
      <c r="T112" s="46"/>
      <c r="U112" s="46"/>
      <c r="V112" s="46"/>
      <c r="W112" s="46"/>
      <c r="X112" s="46"/>
      <c r="Y112" s="46"/>
      <c r="Z112" s="46"/>
      <c r="AA112" s="46"/>
      <c r="AB112" s="46"/>
      <c r="AC112" s="46"/>
      <c r="AD112" s="46"/>
      <c r="AE112" s="46"/>
      <c r="AF112" s="46"/>
      <c r="AG112" s="46"/>
      <c r="AH112" s="46"/>
      <c r="AI112" s="46"/>
      <c r="AJ112" s="46"/>
      <c r="AK112" s="46"/>
      <c r="AL112" s="46"/>
      <c r="AM112" s="46"/>
      <c r="AN112" s="46"/>
      <c r="AO112" s="46"/>
      <c r="AP112" s="46"/>
      <c r="AQ112" s="46"/>
      <c r="AR112" s="46"/>
      <c r="AS112" s="46"/>
      <c r="AT112" s="46"/>
      <c r="AU112" s="46"/>
      <c r="AV112" s="46"/>
      <c r="AW112" s="46"/>
      <c r="AX112" s="46"/>
      <c r="AY112" s="47" t="s">
        <v>233</v>
      </c>
      <c r="AZ112" s="47" t="s">
        <v>503</v>
      </c>
      <c r="BA112" s="93" t="s">
        <v>291</v>
      </c>
      <c r="BB112" s="50"/>
      <c r="BI112" s="42">
        <v>1</v>
      </c>
      <c r="BK112" s="50"/>
    </row>
    <row r="113" spans="1:63" s="49" customFormat="1" ht="22.35" customHeight="1">
      <c r="A113" s="32">
        <f t="shared" si="14"/>
        <v>102</v>
      </c>
      <c r="B113" s="44" t="s">
        <v>463</v>
      </c>
      <c r="C113" s="78" t="s">
        <v>32</v>
      </c>
      <c r="D113" s="35">
        <f t="shared" si="11"/>
        <v>2.5</v>
      </c>
      <c r="E113" s="45"/>
      <c r="F113" s="35">
        <f t="shared" si="13"/>
        <v>2.5</v>
      </c>
      <c r="G113" s="46"/>
      <c r="H113" s="46"/>
      <c r="I113" s="46"/>
      <c r="J113" s="46">
        <v>0.28999999999999998</v>
      </c>
      <c r="K113" s="46"/>
      <c r="L113" s="46"/>
      <c r="M113" s="46">
        <v>1.85</v>
      </c>
      <c r="N113" s="46"/>
      <c r="O113" s="46"/>
      <c r="P113" s="46">
        <v>0.36</v>
      </c>
      <c r="Q113" s="46"/>
      <c r="R113" s="46"/>
      <c r="S113" s="46"/>
      <c r="T113" s="46"/>
      <c r="U113" s="46"/>
      <c r="V113" s="46"/>
      <c r="W113" s="46"/>
      <c r="X113" s="46"/>
      <c r="Y113" s="46"/>
      <c r="Z113" s="46"/>
      <c r="AA113" s="46"/>
      <c r="AB113" s="46"/>
      <c r="AC113" s="46"/>
      <c r="AD113" s="46"/>
      <c r="AE113" s="46"/>
      <c r="AF113" s="46"/>
      <c r="AG113" s="46"/>
      <c r="AH113" s="46"/>
      <c r="AI113" s="46"/>
      <c r="AJ113" s="46"/>
      <c r="AK113" s="46"/>
      <c r="AL113" s="46"/>
      <c r="AM113" s="46"/>
      <c r="AN113" s="46"/>
      <c r="AO113" s="46"/>
      <c r="AP113" s="46"/>
      <c r="AQ113" s="46"/>
      <c r="AR113" s="46"/>
      <c r="AS113" s="46"/>
      <c r="AT113" s="46"/>
      <c r="AU113" s="46"/>
      <c r="AV113" s="46"/>
      <c r="AW113" s="46"/>
      <c r="AX113" s="46"/>
      <c r="AY113" s="47" t="s">
        <v>233</v>
      </c>
      <c r="AZ113" s="47" t="s">
        <v>503</v>
      </c>
      <c r="BA113" s="93" t="s">
        <v>291</v>
      </c>
      <c r="BB113" s="50"/>
      <c r="BC113" s="49" t="s">
        <v>504</v>
      </c>
      <c r="BI113" s="42">
        <v>1</v>
      </c>
      <c r="BJ113" s="49" t="s">
        <v>496</v>
      </c>
      <c r="BK113" s="50" t="s">
        <v>448</v>
      </c>
    </row>
    <row r="114" spans="1:63" s="49" customFormat="1" ht="47.25">
      <c r="A114" s="32">
        <f t="shared" si="14"/>
        <v>103</v>
      </c>
      <c r="B114" s="56" t="s">
        <v>463</v>
      </c>
      <c r="C114" s="78" t="s">
        <v>32</v>
      </c>
      <c r="D114" s="35">
        <f t="shared" si="11"/>
        <v>1.83</v>
      </c>
      <c r="E114" s="45"/>
      <c r="F114" s="35">
        <f t="shared" si="13"/>
        <v>1.83</v>
      </c>
      <c r="G114" s="46"/>
      <c r="H114" s="46">
        <v>0.78</v>
      </c>
      <c r="I114" s="46"/>
      <c r="J114" s="46">
        <v>1.05</v>
      </c>
      <c r="K114" s="46"/>
      <c r="L114" s="46"/>
      <c r="M114" s="46"/>
      <c r="N114" s="46"/>
      <c r="O114" s="46"/>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c r="AM114" s="46"/>
      <c r="AN114" s="46"/>
      <c r="AO114" s="46"/>
      <c r="AP114" s="46"/>
      <c r="AQ114" s="46"/>
      <c r="AR114" s="46"/>
      <c r="AS114" s="46"/>
      <c r="AT114" s="46"/>
      <c r="AU114" s="46"/>
      <c r="AV114" s="46"/>
      <c r="AW114" s="46"/>
      <c r="AX114" s="46"/>
      <c r="AY114" s="47" t="s">
        <v>234</v>
      </c>
      <c r="AZ114" s="47" t="s">
        <v>505</v>
      </c>
      <c r="BA114" s="47" t="s">
        <v>291</v>
      </c>
      <c r="BB114" s="50" t="s">
        <v>506</v>
      </c>
      <c r="BC114" s="48"/>
      <c r="BD114" s="48" t="s">
        <v>507</v>
      </c>
      <c r="BI114" s="42">
        <v>1</v>
      </c>
      <c r="BK114" s="50"/>
    </row>
    <row r="115" spans="1:63" s="71" customFormat="1" ht="18" customHeight="1">
      <c r="A115" s="32">
        <f t="shared" si="14"/>
        <v>104</v>
      </c>
      <c r="B115" s="56" t="s">
        <v>463</v>
      </c>
      <c r="C115" s="78" t="s">
        <v>32</v>
      </c>
      <c r="D115" s="35">
        <f t="shared" si="11"/>
        <v>1</v>
      </c>
      <c r="E115" s="76"/>
      <c r="F115" s="35">
        <f t="shared" si="13"/>
        <v>1</v>
      </c>
      <c r="G115" s="77"/>
      <c r="H115" s="77"/>
      <c r="I115" s="77"/>
      <c r="J115" s="77">
        <v>1</v>
      </c>
      <c r="K115" s="77"/>
      <c r="L115" s="77"/>
      <c r="M115" s="77"/>
      <c r="N115" s="77"/>
      <c r="O115" s="77"/>
      <c r="P115" s="77"/>
      <c r="Q115" s="77"/>
      <c r="R115" s="77"/>
      <c r="S115" s="77"/>
      <c r="T115" s="77"/>
      <c r="U115" s="77"/>
      <c r="V115" s="77"/>
      <c r="W115" s="77"/>
      <c r="X115" s="77"/>
      <c r="Y115" s="77"/>
      <c r="Z115" s="77"/>
      <c r="AA115" s="77"/>
      <c r="AB115" s="77"/>
      <c r="AC115" s="77"/>
      <c r="AD115" s="77"/>
      <c r="AE115" s="77"/>
      <c r="AF115" s="77"/>
      <c r="AG115" s="77"/>
      <c r="AH115" s="77"/>
      <c r="AI115" s="77"/>
      <c r="AJ115" s="77"/>
      <c r="AK115" s="77"/>
      <c r="AL115" s="77"/>
      <c r="AM115" s="77"/>
      <c r="AN115" s="77"/>
      <c r="AO115" s="77"/>
      <c r="AP115" s="77"/>
      <c r="AQ115" s="77"/>
      <c r="AR115" s="77"/>
      <c r="AS115" s="77"/>
      <c r="AT115" s="77"/>
      <c r="AU115" s="77"/>
      <c r="AV115" s="77"/>
      <c r="AW115" s="77"/>
      <c r="AX115" s="77"/>
      <c r="AY115" s="70" t="s">
        <v>235</v>
      </c>
      <c r="AZ115" s="94" t="s">
        <v>389</v>
      </c>
      <c r="BA115" s="70" t="s">
        <v>291</v>
      </c>
      <c r="BB115" s="95"/>
      <c r="BC115" s="96" t="s">
        <v>508</v>
      </c>
      <c r="BI115" s="42">
        <v>1</v>
      </c>
      <c r="BK115" s="72"/>
    </row>
    <row r="116" spans="1:63" s="71" customFormat="1" ht="20.100000000000001" customHeight="1">
      <c r="A116" s="32">
        <f t="shared" si="14"/>
        <v>105</v>
      </c>
      <c r="B116" s="60" t="s">
        <v>509</v>
      </c>
      <c r="C116" s="78" t="s">
        <v>32</v>
      </c>
      <c r="D116" s="35">
        <f t="shared" si="11"/>
        <v>0.4</v>
      </c>
      <c r="E116" s="76">
        <v>0.25</v>
      </c>
      <c r="F116" s="35">
        <f>SUM(G116:AX116)</f>
        <v>0.15</v>
      </c>
      <c r="G116" s="77"/>
      <c r="H116" s="77">
        <v>0.15</v>
      </c>
      <c r="I116" s="77"/>
      <c r="J116" s="77"/>
      <c r="K116" s="77"/>
      <c r="L116" s="77"/>
      <c r="M116" s="77"/>
      <c r="N116" s="77"/>
      <c r="O116" s="77"/>
      <c r="P116" s="77"/>
      <c r="Q116" s="77"/>
      <c r="R116" s="77"/>
      <c r="S116" s="77"/>
      <c r="T116" s="77"/>
      <c r="U116" s="77"/>
      <c r="V116" s="77"/>
      <c r="W116" s="77"/>
      <c r="X116" s="77"/>
      <c r="Y116" s="77"/>
      <c r="Z116" s="77"/>
      <c r="AA116" s="77"/>
      <c r="AB116" s="77"/>
      <c r="AC116" s="77"/>
      <c r="AD116" s="77"/>
      <c r="AE116" s="77"/>
      <c r="AF116" s="77"/>
      <c r="AG116" s="77"/>
      <c r="AH116" s="77"/>
      <c r="AI116" s="77"/>
      <c r="AJ116" s="77"/>
      <c r="AK116" s="77"/>
      <c r="AL116" s="77"/>
      <c r="AM116" s="77"/>
      <c r="AN116" s="77"/>
      <c r="AO116" s="77"/>
      <c r="AP116" s="77"/>
      <c r="AQ116" s="77"/>
      <c r="AR116" s="77"/>
      <c r="AS116" s="77"/>
      <c r="AT116" s="77"/>
      <c r="AU116" s="77"/>
      <c r="AV116" s="77"/>
      <c r="AW116" s="77"/>
      <c r="AX116" s="77"/>
      <c r="AY116" s="70" t="s">
        <v>235</v>
      </c>
      <c r="AZ116" s="70" t="s">
        <v>389</v>
      </c>
      <c r="BA116" s="70" t="s">
        <v>291</v>
      </c>
      <c r="BB116" s="81" t="s">
        <v>510</v>
      </c>
      <c r="BC116" s="71" t="s">
        <v>511</v>
      </c>
      <c r="BD116" s="71" t="s">
        <v>512</v>
      </c>
      <c r="BI116" s="42">
        <v>1</v>
      </c>
      <c r="BK116" s="72"/>
    </row>
    <row r="117" spans="1:63" ht="31.5">
      <c r="A117" s="32">
        <f t="shared" si="14"/>
        <v>106</v>
      </c>
      <c r="B117" s="56" t="s">
        <v>463</v>
      </c>
      <c r="C117" s="78" t="s">
        <v>32</v>
      </c>
      <c r="D117" s="35">
        <f t="shared" si="11"/>
        <v>0.35</v>
      </c>
      <c r="E117" s="35"/>
      <c r="F117" s="35">
        <f t="shared" si="13"/>
        <v>0.35</v>
      </c>
      <c r="G117" s="43"/>
      <c r="H117" s="43"/>
      <c r="I117" s="43"/>
      <c r="J117" s="43">
        <v>0.35</v>
      </c>
      <c r="K117" s="43"/>
      <c r="L117" s="43"/>
      <c r="M117" s="43"/>
      <c r="N117" s="43"/>
      <c r="O117" s="43"/>
      <c r="P117" s="43"/>
      <c r="Q117" s="43"/>
      <c r="R117" s="43"/>
      <c r="S117" s="43"/>
      <c r="T117" s="43"/>
      <c r="U117" s="43"/>
      <c r="V117" s="43"/>
      <c r="W117" s="43"/>
      <c r="X117" s="43"/>
      <c r="Y117" s="43"/>
      <c r="Z117" s="43"/>
      <c r="AA117" s="43"/>
      <c r="AB117" s="43"/>
      <c r="AC117" s="43"/>
      <c r="AD117" s="43"/>
      <c r="AE117" s="43"/>
      <c r="AF117" s="43"/>
      <c r="AG117" s="43"/>
      <c r="AH117" s="43"/>
      <c r="AI117" s="43"/>
      <c r="AJ117" s="43"/>
      <c r="AK117" s="43"/>
      <c r="AL117" s="43"/>
      <c r="AM117" s="43"/>
      <c r="AN117" s="43"/>
      <c r="AO117" s="43"/>
      <c r="AP117" s="43"/>
      <c r="AQ117" s="43"/>
      <c r="AR117" s="43"/>
      <c r="AS117" s="43"/>
      <c r="AT117" s="43"/>
      <c r="AU117" s="43"/>
      <c r="AV117" s="43"/>
      <c r="AW117" s="43"/>
      <c r="AX117" s="43"/>
      <c r="AY117" s="34" t="s">
        <v>429</v>
      </c>
      <c r="AZ117" s="34" t="s">
        <v>513</v>
      </c>
      <c r="BA117" s="39" t="s">
        <v>291</v>
      </c>
      <c r="BB117" s="40"/>
      <c r="BI117" s="42">
        <v>1</v>
      </c>
    </row>
    <row r="118" spans="1:63" ht="19.350000000000001" customHeight="1">
      <c r="A118" s="32">
        <f t="shared" si="14"/>
        <v>107</v>
      </c>
      <c r="B118" s="56" t="s">
        <v>463</v>
      </c>
      <c r="C118" s="78" t="s">
        <v>32</v>
      </c>
      <c r="D118" s="35">
        <f t="shared" si="11"/>
        <v>1.5</v>
      </c>
      <c r="E118" s="35"/>
      <c r="F118" s="35">
        <f t="shared" si="13"/>
        <v>1.5</v>
      </c>
      <c r="G118" s="43"/>
      <c r="H118" s="43"/>
      <c r="I118" s="43"/>
      <c r="J118" s="43"/>
      <c r="K118" s="43"/>
      <c r="L118" s="43"/>
      <c r="M118" s="43">
        <v>1.5</v>
      </c>
      <c r="N118" s="43"/>
      <c r="O118" s="43"/>
      <c r="P118" s="43"/>
      <c r="Q118" s="43"/>
      <c r="R118" s="43"/>
      <c r="S118" s="43"/>
      <c r="T118" s="43"/>
      <c r="U118" s="43"/>
      <c r="V118" s="43"/>
      <c r="W118" s="43"/>
      <c r="X118" s="43"/>
      <c r="Y118" s="43"/>
      <c r="Z118" s="43"/>
      <c r="AA118" s="43"/>
      <c r="AB118" s="43"/>
      <c r="AC118" s="43"/>
      <c r="AD118" s="43"/>
      <c r="AE118" s="43"/>
      <c r="AF118" s="43"/>
      <c r="AG118" s="43"/>
      <c r="AH118" s="43"/>
      <c r="AI118" s="43"/>
      <c r="AJ118" s="43"/>
      <c r="AK118" s="43"/>
      <c r="AL118" s="43"/>
      <c r="AM118" s="43"/>
      <c r="AN118" s="43"/>
      <c r="AO118" s="43"/>
      <c r="AP118" s="43"/>
      <c r="AQ118" s="43"/>
      <c r="AR118" s="43"/>
      <c r="AS118" s="43"/>
      <c r="AT118" s="43"/>
      <c r="AU118" s="43"/>
      <c r="AV118" s="43"/>
      <c r="AW118" s="43"/>
      <c r="AX118" s="43"/>
      <c r="AY118" s="34" t="s">
        <v>429</v>
      </c>
      <c r="AZ118" s="34" t="s">
        <v>514</v>
      </c>
      <c r="BA118" s="39" t="s">
        <v>291</v>
      </c>
      <c r="BB118" s="40"/>
      <c r="BD118" s="15" t="s">
        <v>515</v>
      </c>
      <c r="BI118" s="42">
        <v>1</v>
      </c>
    </row>
    <row r="119" spans="1:63" ht="19.350000000000001" customHeight="1">
      <c r="A119" s="32">
        <f t="shared" si="14"/>
        <v>108</v>
      </c>
      <c r="B119" s="56" t="s">
        <v>463</v>
      </c>
      <c r="C119" s="78" t="s">
        <v>32</v>
      </c>
      <c r="D119" s="35">
        <f t="shared" si="11"/>
        <v>0.42</v>
      </c>
      <c r="E119" s="35"/>
      <c r="F119" s="35">
        <f t="shared" si="13"/>
        <v>0.42</v>
      </c>
      <c r="G119" s="43"/>
      <c r="H119" s="43"/>
      <c r="I119" s="43"/>
      <c r="J119" s="43">
        <v>0.42</v>
      </c>
      <c r="K119" s="43"/>
      <c r="L119" s="43"/>
      <c r="M119" s="43"/>
      <c r="N119" s="43"/>
      <c r="O119" s="43"/>
      <c r="P119" s="43"/>
      <c r="Q119" s="43"/>
      <c r="R119" s="43"/>
      <c r="S119" s="43"/>
      <c r="T119" s="43"/>
      <c r="U119" s="43"/>
      <c r="V119" s="43"/>
      <c r="W119" s="43"/>
      <c r="X119" s="43"/>
      <c r="Y119" s="43"/>
      <c r="Z119" s="43"/>
      <c r="AA119" s="43"/>
      <c r="AB119" s="43"/>
      <c r="AC119" s="43"/>
      <c r="AD119" s="43"/>
      <c r="AE119" s="43"/>
      <c r="AF119" s="43"/>
      <c r="AG119" s="43"/>
      <c r="AH119" s="43"/>
      <c r="AI119" s="43"/>
      <c r="AJ119" s="43"/>
      <c r="AK119" s="43"/>
      <c r="AL119" s="43"/>
      <c r="AM119" s="43"/>
      <c r="AN119" s="43"/>
      <c r="AO119" s="43"/>
      <c r="AP119" s="43"/>
      <c r="AQ119" s="43"/>
      <c r="AR119" s="43"/>
      <c r="AS119" s="43"/>
      <c r="AT119" s="43"/>
      <c r="AU119" s="43"/>
      <c r="AV119" s="43"/>
      <c r="AW119" s="43"/>
      <c r="AX119" s="43"/>
      <c r="AY119" s="34" t="s">
        <v>429</v>
      </c>
      <c r="AZ119" s="34" t="s">
        <v>514</v>
      </c>
      <c r="BA119" s="47" t="s">
        <v>298</v>
      </c>
      <c r="BB119" s="48"/>
      <c r="BD119" s="15" t="s">
        <v>516</v>
      </c>
      <c r="BI119" s="42">
        <v>1</v>
      </c>
    </row>
    <row r="120" spans="1:63" ht="19.350000000000001" customHeight="1">
      <c r="A120" s="32">
        <f t="shared" si="14"/>
        <v>109</v>
      </c>
      <c r="B120" s="44" t="s">
        <v>463</v>
      </c>
      <c r="C120" s="78" t="s">
        <v>32</v>
      </c>
      <c r="D120" s="35">
        <f t="shared" si="11"/>
        <v>4</v>
      </c>
      <c r="E120" s="35"/>
      <c r="F120" s="35">
        <f t="shared" si="13"/>
        <v>4</v>
      </c>
      <c r="G120" s="43">
        <v>0.09</v>
      </c>
      <c r="H120" s="43"/>
      <c r="I120" s="43"/>
      <c r="J120" s="43">
        <v>0.24</v>
      </c>
      <c r="K120" s="43"/>
      <c r="L120" s="43"/>
      <c r="M120" s="43">
        <v>3.42</v>
      </c>
      <c r="N120" s="43"/>
      <c r="O120" s="43"/>
      <c r="P120" s="43">
        <v>0.25</v>
      </c>
      <c r="Q120" s="43"/>
      <c r="R120" s="43"/>
      <c r="S120" s="43"/>
      <c r="T120" s="43"/>
      <c r="U120" s="43"/>
      <c r="V120" s="43"/>
      <c r="W120" s="43"/>
      <c r="X120" s="43"/>
      <c r="Y120" s="43"/>
      <c r="Z120" s="43"/>
      <c r="AA120" s="43"/>
      <c r="AB120" s="43"/>
      <c r="AC120" s="43"/>
      <c r="AD120" s="43"/>
      <c r="AE120" s="43"/>
      <c r="AF120" s="43"/>
      <c r="AG120" s="43"/>
      <c r="AH120" s="43"/>
      <c r="AI120" s="43"/>
      <c r="AJ120" s="43"/>
      <c r="AK120" s="43"/>
      <c r="AL120" s="43"/>
      <c r="AM120" s="43"/>
      <c r="AN120" s="43"/>
      <c r="AO120" s="43"/>
      <c r="AP120" s="43"/>
      <c r="AQ120" s="43"/>
      <c r="AR120" s="43"/>
      <c r="AS120" s="43"/>
      <c r="AT120" s="43"/>
      <c r="AU120" s="43"/>
      <c r="AV120" s="43"/>
      <c r="AW120" s="43"/>
      <c r="AX120" s="43"/>
      <c r="AY120" s="34" t="s">
        <v>429</v>
      </c>
      <c r="AZ120" s="34" t="s">
        <v>430</v>
      </c>
      <c r="BA120" s="39" t="s">
        <v>291</v>
      </c>
      <c r="BB120" s="40"/>
      <c r="BI120" s="42">
        <v>1</v>
      </c>
      <c r="BJ120" s="15" t="s">
        <v>517</v>
      </c>
      <c r="BK120" s="15" t="s">
        <v>448</v>
      </c>
    </row>
    <row r="121" spans="1:63" ht="30.6" customHeight="1">
      <c r="A121" s="32">
        <f t="shared" si="14"/>
        <v>110</v>
      </c>
      <c r="B121" s="44" t="s">
        <v>463</v>
      </c>
      <c r="C121" s="78" t="s">
        <v>32</v>
      </c>
      <c r="D121" s="35">
        <f t="shared" si="11"/>
        <v>1</v>
      </c>
      <c r="E121" s="35"/>
      <c r="F121" s="35">
        <f t="shared" si="13"/>
        <v>1</v>
      </c>
      <c r="G121" s="43">
        <v>1</v>
      </c>
      <c r="H121" s="43"/>
      <c r="I121" s="43"/>
      <c r="J121" s="43"/>
      <c r="K121" s="43"/>
      <c r="L121" s="43"/>
      <c r="M121" s="43"/>
      <c r="N121" s="43"/>
      <c r="O121" s="43"/>
      <c r="P121" s="43"/>
      <c r="Q121" s="43"/>
      <c r="R121" s="43"/>
      <c r="S121" s="43"/>
      <c r="T121" s="43"/>
      <c r="U121" s="43"/>
      <c r="V121" s="43"/>
      <c r="W121" s="43"/>
      <c r="X121" s="43"/>
      <c r="Y121" s="43"/>
      <c r="Z121" s="43"/>
      <c r="AA121" s="43"/>
      <c r="AB121" s="43"/>
      <c r="AC121" s="43"/>
      <c r="AD121" s="43"/>
      <c r="AE121" s="43"/>
      <c r="AF121" s="43"/>
      <c r="AG121" s="43"/>
      <c r="AH121" s="43"/>
      <c r="AI121" s="43"/>
      <c r="AJ121" s="43"/>
      <c r="AK121" s="43"/>
      <c r="AL121" s="43"/>
      <c r="AM121" s="43"/>
      <c r="AN121" s="43"/>
      <c r="AO121" s="43"/>
      <c r="AP121" s="43"/>
      <c r="AQ121" s="43"/>
      <c r="AR121" s="43"/>
      <c r="AS121" s="43"/>
      <c r="AT121" s="43"/>
      <c r="AU121" s="43"/>
      <c r="AV121" s="43"/>
      <c r="AW121" s="43"/>
      <c r="AX121" s="43"/>
      <c r="AY121" s="34" t="s">
        <v>237</v>
      </c>
      <c r="AZ121" s="34" t="s">
        <v>518</v>
      </c>
      <c r="BA121" s="47" t="s">
        <v>291</v>
      </c>
      <c r="BB121" s="48"/>
      <c r="BC121" s="40" t="s">
        <v>519</v>
      </c>
      <c r="BD121" s="40" t="s">
        <v>520</v>
      </c>
      <c r="BE121" s="40" t="s">
        <v>7</v>
      </c>
      <c r="BI121" s="42">
        <v>1</v>
      </c>
      <c r="BJ121" s="15" t="s">
        <v>521</v>
      </c>
      <c r="BK121" s="15" t="s">
        <v>448</v>
      </c>
    </row>
    <row r="122" spans="1:63" ht="19.350000000000001" customHeight="1">
      <c r="A122" s="32">
        <f t="shared" si="14"/>
        <v>111</v>
      </c>
      <c r="B122" s="56" t="s">
        <v>463</v>
      </c>
      <c r="C122" s="78" t="s">
        <v>32</v>
      </c>
      <c r="D122" s="35">
        <f t="shared" si="11"/>
        <v>1.95</v>
      </c>
      <c r="E122" s="35"/>
      <c r="F122" s="35">
        <f t="shared" si="13"/>
        <v>1.95</v>
      </c>
      <c r="G122" s="43">
        <v>1.95</v>
      </c>
      <c r="H122" s="43"/>
      <c r="I122" s="43"/>
      <c r="J122" s="43"/>
      <c r="K122" s="43"/>
      <c r="L122" s="43"/>
      <c r="M122" s="43"/>
      <c r="N122" s="43"/>
      <c r="O122" s="43"/>
      <c r="P122" s="43"/>
      <c r="Q122" s="43"/>
      <c r="R122" s="43"/>
      <c r="S122" s="43"/>
      <c r="T122" s="43"/>
      <c r="U122" s="43"/>
      <c r="V122" s="43"/>
      <c r="W122" s="43"/>
      <c r="X122" s="43"/>
      <c r="Y122" s="43"/>
      <c r="Z122" s="43"/>
      <c r="AA122" s="43"/>
      <c r="AB122" s="43"/>
      <c r="AC122" s="43"/>
      <c r="AD122" s="43"/>
      <c r="AE122" s="43"/>
      <c r="AF122" s="43"/>
      <c r="AG122" s="43"/>
      <c r="AH122" s="43"/>
      <c r="AI122" s="43"/>
      <c r="AJ122" s="43"/>
      <c r="AK122" s="43"/>
      <c r="AL122" s="43"/>
      <c r="AM122" s="43"/>
      <c r="AN122" s="43"/>
      <c r="AO122" s="43"/>
      <c r="AP122" s="43"/>
      <c r="AQ122" s="43"/>
      <c r="AR122" s="43"/>
      <c r="AS122" s="43"/>
      <c r="AT122" s="43"/>
      <c r="AU122" s="43"/>
      <c r="AV122" s="43"/>
      <c r="AW122" s="43"/>
      <c r="AX122" s="43"/>
      <c r="AY122" s="34" t="s">
        <v>237</v>
      </c>
      <c r="AZ122" s="34" t="s">
        <v>471</v>
      </c>
      <c r="BA122" s="39" t="s">
        <v>291</v>
      </c>
      <c r="BB122" s="40"/>
      <c r="BC122" s="40"/>
      <c r="BD122" s="40"/>
      <c r="BE122" s="40" t="s">
        <v>7</v>
      </c>
      <c r="BI122" s="42">
        <v>1</v>
      </c>
    </row>
    <row r="123" spans="1:63" ht="19.350000000000001" customHeight="1">
      <c r="A123" s="32">
        <f>A122+1</f>
        <v>112</v>
      </c>
      <c r="B123" s="56" t="s">
        <v>463</v>
      </c>
      <c r="C123" s="78" t="s">
        <v>32</v>
      </c>
      <c r="D123" s="35">
        <f t="shared" si="11"/>
        <v>2</v>
      </c>
      <c r="E123" s="35"/>
      <c r="F123" s="35">
        <f t="shared" si="13"/>
        <v>2</v>
      </c>
      <c r="G123" s="43"/>
      <c r="H123" s="43"/>
      <c r="I123" s="43"/>
      <c r="J123" s="43"/>
      <c r="K123" s="43"/>
      <c r="L123" s="43"/>
      <c r="M123" s="43">
        <v>2</v>
      </c>
      <c r="N123" s="43"/>
      <c r="O123" s="43"/>
      <c r="P123" s="43"/>
      <c r="Q123" s="43"/>
      <c r="R123" s="43"/>
      <c r="S123" s="43"/>
      <c r="T123" s="43"/>
      <c r="U123" s="43"/>
      <c r="V123" s="43"/>
      <c r="W123" s="43"/>
      <c r="X123" s="43"/>
      <c r="Y123" s="43"/>
      <c r="Z123" s="43"/>
      <c r="AA123" s="43"/>
      <c r="AB123" s="43"/>
      <c r="AC123" s="43"/>
      <c r="AD123" s="43"/>
      <c r="AE123" s="43"/>
      <c r="AF123" s="43"/>
      <c r="AG123" s="43"/>
      <c r="AH123" s="43"/>
      <c r="AI123" s="43"/>
      <c r="AJ123" s="43"/>
      <c r="AK123" s="43"/>
      <c r="AL123" s="43"/>
      <c r="AM123" s="43"/>
      <c r="AN123" s="43"/>
      <c r="AO123" s="43"/>
      <c r="AP123" s="43"/>
      <c r="AQ123" s="43"/>
      <c r="AR123" s="43"/>
      <c r="AS123" s="43"/>
      <c r="AT123" s="43"/>
      <c r="AU123" s="43"/>
      <c r="AV123" s="43"/>
      <c r="AW123" s="43"/>
      <c r="AX123" s="43"/>
      <c r="AY123" s="34" t="s">
        <v>237</v>
      </c>
      <c r="AZ123" s="34" t="s">
        <v>522</v>
      </c>
      <c r="BA123" s="47" t="s">
        <v>298</v>
      </c>
      <c r="BB123" s="48"/>
      <c r="BC123" s="40" t="s">
        <v>523</v>
      </c>
      <c r="BD123" s="40"/>
      <c r="BE123" s="40" t="s">
        <v>18</v>
      </c>
      <c r="BI123" s="42">
        <v>1</v>
      </c>
    </row>
    <row r="124" spans="1:63" ht="20.45" customHeight="1">
      <c r="A124" s="32">
        <f t="shared" si="14"/>
        <v>113</v>
      </c>
      <c r="B124" s="44" t="s">
        <v>463</v>
      </c>
      <c r="C124" s="78" t="s">
        <v>32</v>
      </c>
      <c r="D124" s="35">
        <f t="shared" si="11"/>
        <v>1</v>
      </c>
      <c r="E124" s="35"/>
      <c r="F124" s="35">
        <f t="shared" si="13"/>
        <v>1</v>
      </c>
      <c r="G124" s="43"/>
      <c r="H124" s="43"/>
      <c r="I124" s="43"/>
      <c r="J124" s="43"/>
      <c r="K124" s="43"/>
      <c r="L124" s="43"/>
      <c r="M124" s="43">
        <v>1</v>
      </c>
      <c r="N124" s="43"/>
      <c r="O124" s="43"/>
      <c r="P124" s="43"/>
      <c r="Q124" s="43"/>
      <c r="R124" s="43"/>
      <c r="S124" s="43"/>
      <c r="T124" s="43"/>
      <c r="U124" s="43"/>
      <c r="V124" s="43"/>
      <c r="W124" s="43"/>
      <c r="X124" s="43"/>
      <c r="Y124" s="43"/>
      <c r="Z124" s="43"/>
      <c r="AA124" s="43"/>
      <c r="AB124" s="43"/>
      <c r="AC124" s="43"/>
      <c r="AD124" s="43"/>
      <c r="AE124" s="43"/>
      <c r="AF124" s="43"/>
      <c r="AG124" s="43"/>
      <c r="AH124" s="43"/>
      <c r="AI124" s="43"/>
      <c r="AJ124" s="43"/>
      <c r="AK124" s="43"/>
      <c r="AL124" s="43"/>
      <c r="AM124" s="43"/>
      <c r="AN124" s="43"/>
      <c r="AO124" s="43"/>
      <c r="AP124" s="43"/>
      <c r="AQ124" s="43"/>
      <c r="AR124" s="43"/>
      <c r="AS124" s="43"/>
      <c r="AT124" s="43"/>
      <c r="AU124" s="43"/>
      <c r="AV124" s="43"/>
      <c r="AW124" s="43"/>
      <c r="AX124" s="43"/>
      <c r="AY124" s="34" t="s">
        <v>237</v>
      </c>
      <c r="AZ124" s="34" t="s">
        <v>524</v>
      </c>
      <c r="BA124" s="47" t="s">
        <v>298</v>
      </c>
      <c r="BB124" s="40"/>
      <c r="BC124" s="40" t="s">
        <v>525</v>
      </c>
      <c r="BD124" s="40" t="s">
        <v>526</v>
      </c>
      <c r="BE124" s="40" t="s">
        <v>18</v>
      </c>
      <c r="BI124" s="42">
        <v>1</v>
      </c>
      <c r="BJ124" s="15" t="s">
        <v>527</v>
      </c>
      <c r="BK124" s="15" t="s">
        <v>448</v>
      </c>
    </row>
    <row r="125" spans="1:63" ht="31.5">
      <c r="A125" s="32">
        <f t="shared" si="14"/>
        <v>114</v>
      </c>
      <c r="B125" s="62" t="s">
        <v>528</v>
      </c>
      <c r="C125" s="78" t="s">
        <v>32</v>
      </c>
      <c r="D125" s="35">
        <f t="shared" si="11"/>
        <v>6.1899999999999995</v>
      </c>
      <c r="E125" s="35"/>
      <c r="F125" s="35">
        <f t="shared" si="13"/>
        <v>6.1899999999999995</v>
      </c>
      <c r="G125" s="43">
        <v>0.8</v>
      </c>
      <c r="H125" s="43">
        <v>2.0099999999999998</v>
      </c>
      <c r="I125" s="43">
        <v>1.54</v>
      </c>
      <c r="J125" s="43">
        <v>1.62</v>
      </c>
      <c r="K125" s="43"/>
      <c r="L125" s="43"/>
      <c r="M125" s="43"/>
      <c r="N125" s="43"/>
      <c r="O125" s="43"/>
      <c r="P125" s="43"/>
      <c r="Q125" s="43"/>
      <c r="R125" s="43"/>
      <c r="S125" s="43"/>
      <c r="T125" s="43"/>
      <c r="U125" s="43"/>
      <c r="V125" s="43"/>
      <c r="W125" s="43"/>
      <c r="X125" s="43"/>
      <c r="Y125" s="43"/>
      <c r="Z125" s="43">
        <v>0.14000000000000001</v>
      </c>
      <c r="AA125" s="43">
        <v>0.08</v>
      </c>
      <c r="AB125" s="43"/>
      <c r="AC125" s="43"/>
      <c r="AD125" s="43"/>
      <c r="AE125" s="43"/>
      <c r="AF125" s="43"/>
      <c r="AG125" s="43"/>
      <c r="AH125" s="43"/>
      <c r="AI125" s="43"/>
      <c r="AJ125" s="43"/>
      <c r="AK125" s="43"/>
      <c r="AL125" s="43"/>
      <c r="AM125" s="43"/>
      <c r="AN125" s="43"/>
      <c r="AO125" s="43"/>
      <c r="AP125" s="43"/>
      <c r="AQ125" s="43"/>
      <c r="AR125" s="43"/>
      <c r="AS125" s="43"/>
      <c r="AT125" s="43"/>
      <c r="AU125" s="43"/>
      <c r="AV125" s="43"/>
      <c r="AW125" s="43"/>
      <c r="AX125" s="43"/>
      <c r="AY125" s="38" t="s">
        <v>238</v>
      </c>
      <c r="AZ125" s="34" t="s">
        <v>529</v>
      </c>
      <c r="BA125" s="63" t="s">
        <v>291</v>
      </c>
      <c r="BB125" s="64"/>
      <c r="BC125" s="65"/>
      <c r="BD125" s="65" t="s">
        <v>530</v>
      </c>
      <c r="BG125" s="15" t="s">
        <v>531</v>
      </c>
      <c r="BI125" s="42">
        <v>1</v>
      </c>
    </row>
    <row r="126" spans="1:63" ht="17.45" customHeight="1">
      <c r="A126" s="32">
        <f t="shared" si="14"/>
        <v>115</v>
      </c>
      <c r="B126" s="56" t="s">
        <v>463</v>
      </c>
      <c r="C126" s="78" t="s">
        <v>32</v>
      </c>
      <c r="D126" s="35">
        <f t="shared" si="11"/>
        <v>2</v>
      </c>
      <c r="E126" s="35"/>
      <c r="F126" s="35">
        <f>SUM(G126:AX126)</f>
        <v>2</v>
      </c>
      <c r="G126" s="43"/>
      <c r="H126" s="43"/>
      <c r="I126" s="43">
        <v>2</v>
      </c>
      <c r="J126" s="43"/>
      <c r="K126" s="43"/>
      <c r="L126" s="43"/>
      <c r="M126" s="43"/>
      <c r="N126" s="43"/>
      <c r="O126" s="43"/>
      <c r="P126" s="43"/>
      <c r="Q126" s="43"/>
      <c r="R126" s="43"/>
      <c r="S126" s="43"/>
      <c r="T126" s="43"/>
      <c r="U126" s="43"/>
      <c r="V126" s="43"/>
      <c r="W126" s="43"/>
      <c r="X126" s="43"/>
      <c r="Y126" s="43"/>
      <c r="Z126" s="43"/>
      <c r="AA126" s="43"/>
      <c r="AB126" s="43"/>
      <c r="AC126" s="43"/>
      <c r="AD126" s="43"/>
      <c r="AE126" s="43"/>
      <c r="AF126" s="43"/>
      <c r="AG126" s="43"/>
      <c r="AH126" s="43"/>
      <c r="AI126" s="43"/>
      <c r="AJ126" s="43"/>
      <c r="AK126" s="43"/>
      <c r="AL126" s="43"/>
      <c r="AM126" s="43"/>
      <c r="AN126" s="43"/>
      <c r="AO126" s="43"/>
      <c r="AP126" s="43"/>
      <c r="AQ126" s="43"/>
      <c r="AR126" s="43"/>
      <c r="AS126" s="43"/>
      <c r="AT126" s="43"/>
      <c r="AU126" s="43"/>
      <c r="AV126" s="43"/>
      <c r="AW126" s="43"/>
      <c r="AX126" s="43"/>
      <c r="AY126" s="38" t="s">
        <v>238</v>
      </c>
      <c r="AZ126" s="34" t="s">
        <v>532</v>
      </c>
      <c r="BA126" s="47" t="s">
        <v>298</v>
      </c>
      <c r="BB126" s="40"/>
      <c r="BC126" s="65" t="s">
        <v>381</v>
      </c>
      <c r="BD126" s="65"/>
      <c r="BI126" s="42">
        <v>1</v>
      </c>
    </row>
    <row r="127" spans="1:63" ht="19.350000000000001" customHeight="1">
      <c r="A127" s="32">
        <f>A126+1</f>
        <v>116</v>
      </c>
      <c r="B127" s="56" t="s">
        <v>463</v>
      </c>
      <c r="C127" s="78" t="s">
        <v>32</v>
      </c>
      <c r="D127" s="35">
        <f t="shared" si="11"/>
        <v>1</v>
      </c>
      <c r="E127" s="35"/>
      <c r="F127" s="35">
        <f t="shared" si="13"/>
        <v>1</v>
      </c>
      <c r="G127" s="43"/>
      <c r="H127" s="43"/>
      <c r="I127" s="43"/>
      <c r="J127" s="43"/>
      <c r="K127" s="43"/>
      <c r="L127" s="43"/>
      <c r="M127" s="43">
        <v>1</v>
      </c>
      <c r="N127" s="43"/>
      <c r="O127" s="43"/>
      <c r="P127" s="43"/>
      <c r="Q127" s="43"/>
      <c r="R127" s="43"/>
      <c r="S127" s="43"/>
      <c r="T127" s="43"/>
      <c r="U127" s="43"/>
      <c r="V127" s="43"/>
      <c r="W127" s="43"/>
      <c r="X127" s="43"/>
      <c r="Y127" s="43"/>
      <c r="Z127" s="43"/>
      <c r="AA127" s="43"/>
      <c r="AB127" s="43"/>
      <c r="AC127" s="43"/>
      <c r="AD127" s="43"/>
      <c r="AE127" s="43"/>
      <c r="AF127" s="43"/>
      <c r="AG127" s="43"/>
      <c r="AH127" s="43"/>
      <c r="AI127" s="43"/>
      <c r="AJ127" s="43"/>
      <c r="AK127" s="43"/>
      <c r="AL127" s="43"/>
      <c r="AM127" s="43"/>
      <c r="AN127" s="43"/>
      <c r="AO127" s="43"/>
      <c r="AP127" s="43"/>
      <c r="AQ127" s="43"/>
      <c r="AR127" s="43"/>
      <c r="AS127" s="43"/>
      <c r="AT127" s="43"/>
      <c r="AU127" s="43"/>
      <c r="AV127" s="43"/>
      <c r="AW127" s="43"/>
      <c r="AX127" s="43"/>
      <c r="AY127" s="34" t="s">
        <v>239</v>
      </c>
      <c r="AZ127" s="34" t="s">
        <v>533</v>
      </c>
      <c r="BA127" s="39" t="s">
        <v>291</v>
      </c>
      <c r="BB127" s="40"/>
      <c r="BI127" s="42">
        <v>1</v>
      </c>
    </row>
    <row r="128" spans="1:63">
      <c r="A128" s="32">
        <f t="shared" si="14"/>
        <v>117</v>
      </c>
      <c r="B128" s="56" t="s">
        <v>463</v>
      </c>
      <c r="C128" s="78" t="s">
        <v>32</v>
      </c>
      <c r="D128" s="35">
        <f t="shared" si="11"/>
        <v>1.9500000000000002</v>
      </c>
      <c r="E128" s="35"/>
      <c r="F128" s="35">
        <f t="shared" si="13"/>
        <v>1.9500000000000002</v>
      </c>
      <c r="G128" s="43"/>
      <c r="H128" s="43">
        <v>0.3</v>
      </c>
      <c r="I128" s="43">
        <v>1.55</v>
      </c>
      <c r="J128" s="43"/>
      <c r="K128" s="43"/>
      <c r="L128" s="43"/>
      <c r="M128" s="43"/>
      <c r="N128" s="43"/>
      <c r="O128" s="43"/>
      <c r="P128" s="43"/>
      <c r="Q128" s="43"/>
      <c r="R128" s="43"/>
      <c r="S128" s="43"/>
      <c r="T128" s="43"/>
      <c r="U128" s="43"/>
      <c r="V128" s="43"/>
      <c r="W128" s="43"/>
      <c r="X128" s="43"/>
      <c r="Y128" s="43"/>
      <c r="Z128" s="43"/>
      <c r="AA128" s="43">
        <v>0.1</v>
      </c>
      <c r="AB128" s="43"/>
      <c r="AC128" s="43"/>
      <c r="AD128" s="43"/>
      <c r="AE128" s="43"/>
      <c r="AF128" s="43"/>
      <c r="AG128" s="43"/>
      <c r="AH128" s="43"/>
      <c r="AI128" s="43"/>
      <c r="AJ128" s="43"/>
      <c r="AK128" s="43"/>
      <c r="AL128" s="43"/>
      <c r="AM128" s="43"/>
      <c r="AN128" s="43"/>
      <c r="AO128" s="43"/>
      <c r="AP128" s="43"/>
      <c r="AQ128" s="43"/>
      <c r="AR128" s="43"/>
      <c r="AS128" s="43"/>
      <c r="AT128" s="43"/>
      <c r="AU128" s="43"/>
      <c r="AV128" s="43"/>
      <c r="AW128" s="43"/>
      <c r="AX128" s="43"/>
      <c r="AY128" s="34" t="s">
        <v>239</v>
      </c>
      <c r="AZ128" s="34" t="s">
        <v>534</v>
      </c>
      <c r="BA128" s="39" t="s">
        <v>291</v>
      </c>
      <c r="BB128" s="40"/>
      <c r="BI128" s="42">
        <v>1</v>
      </c>
    </row>
    <row r="129" spans="1:63" ht="20.85" customHeight="1">
      <c r="A129" s="32">
        <f t="shared" si="14"/>
        <v>118</v>
      </c>
      <c r="B129" s="44" t="s">
        <v>463</v>
      </c>
      <c r="C129" s="78" t="s">
        <v>32</v>
      </c>
      <c r="D129" s="35">
        <f t="shared" si="11"/>
        <v>0.65</v>
      </c>
      <c r="E129" s="35"/>
      <c r="F129" s="35">
        <f t="shared" si="13"/>
        <v>0.65</v>
      </c>
      <c r="G129" s="43"/>
      <c r="H129" s="43"/>
      <c r="I129" s="43">
        <v>0.65</v>
      </c>
      <c r="J129" s="43"/>
      <c r="K129" s="43"/>
      <c r="L129" s="43"/>
      <c r="M129" s="43"/>
      <c r="N129" s="43"/>
      <c r="O129" s="43"/>
      <c r="P129" s="43"/>
      <c r="Q129" s="43"/>
      <c r="R129" s="43"/>
      <c r="S129" s="43"/>
      <c r="T129" s="43"/>
      <c r="U129" s="43"/>
      <c r="V129" s="43"/>
      <c r="W129" s="43"/>
      <c r="X129" s="43"/>
      <c r="Y129" s="43"/>
      <c r="Z129" s="43"/>
      <c r="AA129" s="43"/>
      <c r="AB129" s="43"/>
      <c r="AC129" s="43"/>
      <c r="AD129" s="43"/>
      <c r="AE129" s="43"/>
      <c r="AF129" s="43"/>
      <c r="AG129" s="43"/>
      <c r="AH129" s="43"/>
      <c r="AI129" s="43"/>
      <c r="AJ129" s="43"/>
      <c r="AK129" s="43"/>
      <c r="AL129" s="43"/>
      <c r="AM129" s="43"/>
      <c r="AN129" s="43"/>
      <c r="AO129" s="43"/>
      <c r="AP129" s="43"/>
      <c r="AQ129" s="43"/>
      <c r="AR129" s="43"/>
      <c r="AS129" s="43"/>
      <c r="AT129" s="43"/>
      <c r="AU129" s="43"/>
      <c r="AV129" s="43"/>
      <c r="AW129" s="43"/>
      <c r="AX129" s="43"/>
      <c r="AY129" s="34" t="s">
        <v>239</v>
      </c>
      <c r="AZ129" s="34" t="s">
        <v>535</v>
      </c>
      <c r="BA129" s="47" t="s">
        <v>298</v>
      </c>
      <c r="BB129" s="48"/>
      <c r="BI129" s="42">
        <v>1</v>
      </c>
      <c r="BJ129" s="15" t="s">
        <v>536</v>
      </c>
      <c r="BK129" s="15" t="s">
        <v>448</v>
      </c>
    </row>
    <row r="130" spans="1:63" ht="20.85" customHeight="1">
      <c r="A130" s="32">
        <f t="shared" si="14"/>
        <v>119</v>
      </c>
      <c r="B130" s="56" t="s">
        <v>463</v>
      </c>
      <c r="C130" s="78" t="s">
        <v>32</v>
      </c>
      <c r="D130" s="35">
        <f t="shared" si="11"/>
        <v>1.8</v>
      </c>
      <c r="E130" s="35"/>
      <c r="F130" s="35">
        <f t="shared" si="13"/>
        <v>1.8</v>
      </c>
      <c r="G130" s="43"/>
      <c r="H130" s="43"/>
      <c r="I130" s="43"/>
      <c r="J130" s="43"/>
      <c r="K130" s="43"/>
      <c r="L130" s="43"/>
      <c r="M130" s="43">
        <v>1.8</v>
      </c>
      <c r="N130" s="43"/>
      <c r="O130" s="43"/>
      <c r="P130" s="43"/>
      <c r="Q130" s="43"/>
      <c r="R130" s="43"/>
      <c r="S130" s="43"/>
      <c r="T130" s="43"/>
      <c r="U130" s="43"/>
      <c r="V130" s="43"/>
      <c r="W130" s="43"/>
      <c r="X130" s="43"/>
      <c r="Y130" s="43"/>
      <c r="Z130" s="43"/>
      <c r="AA130" s="43"/>
      <c r="AB130" s="43"/>
      <c r="AC130" s="43"/>
      <c r="AD130" s="43"/>
      <c r="AE130" s="43"/>
      <c r="AF130" s="43"/>
      <c r="AG130" s="43"/>
      <c r="AH130" s="43"/>
      <c r="AI130" s="43"/>
      <c r="AJ130" s="43"/>
      <c r="AK130" s="43"/>
      <c r="AL130" s="43"/>
      <c r="AM130" s="43"/>
      <c r="AN130" s="43"/>
      <c r="AO130" s="43"/>
      <c r="AP130" s="43"/>
      <c r="AQ130" s="43"/>
      <c r="AR130" s="43"/>
      <c r="AS130" s="43"/>
      <c r="AT130" s="43"/>
      <c r="AU130" s="43"/>
      <c r="AV130" s="43"/>
      <c r="AW130" s="43"/>
      <c r="AX130" s="43"/>
      <c r="AY130" s="34" t="s">
        <v>239</v>
      </c>
      <c r="AZ130" s="34" t="s">
        <v>537</v>
      </c>
      <c r="BA130" s="39" t="s">
        <v>291</v>
      </c>
      <c r="BB130" s="40"/>
      <c r="BI130" s="42">
        <v>1</v>
      </c>
    </row>
    <row r="131" spans="1:63" ht="20.85" customHeight="1">
      <c r="A131" s="32">
        <f t="shared" si="14"/>
        <v>120</v>
      </c>
      <c r="B131" s="44" t="s">
        <v>463</v>
      </c>
      <c r="C131" s="78" t="s">
        <v>32</v>
      </c>
      <c r="D131" s="35">
        <f t="shared" si="11"/>
        <v>2.02</v>
      </c>
      <c r="E131" s="35"/>
      <c r="F131" s="35">
        <f>SUM(G131:AX131)</f>
        <v>2.02</v>
      </c>
      <c r="G131" s="43"/>
      <c r="H131" s="43"/>
      <c r="I131" s="43"/>
      <c r="J131" s="43"/>
      <c r="K131" s="43"/>
      <c r="L131" s="43"/>
      <c r="M131" s="43">
        <v>2.02</v>
      </c>
      <c r="N131" s="43"/>
      <c r="O131" s="43"/>
      <c r="P131" s="43"/>
      <c r="Q131" s="43"/>
      <c r="R131" s="43"/>
      <c r="S131" s="43"/>
      <c r="T131" s="43"/>
      <c r="U131" s="43"/>
      <c r="V131" s="43"/>
      <c r="W131" s="43"/>
      <c r="X131" s="43"/>
      <c r="Y131" s="43"/>
      <c r="Z131" s="43"/>
      <c r="AA131" s="43"/>
      <c r="AB131" s="43"/>
      <c r="AC131" s="43"/>
      <c r="AD131" s="43"/>
      <c r="AE131" s="43"/>
      <c r="AF131" s="43"/>
      <c r="AG131" s="43"/>
      <c r="AH131" s="43"/>
      <c r="AI131" s="43"/>
      <c r="AJ131" s="43"/>
      <c r="AK131" s="43"/>
      <c r="AL131" s="43"/>
      <c r="AM131" s="43"/>
      <c r="AN131" s="43"/>
      <c r="AO131" s="43"/>
      <c r="AP131" s="43"/>
      <c r="AQ131" s="43"/>
      <c r="AR131" s="43"/>
      <c r="AS131" s="43"/>
      <c r="AT131" s="43"/>
      <c r="AU131" s="43"/>
      <c r="AV131" s="43"/>
      <c r="AW131" s="43"/>
      <c r="AX131" s="43"/>
      <c r="AY131" s="34" t="s">
        <v>239</v>
      </c>
      <c r="AZ131" s="34" t="s">
        <v>471</v>
      </c>
      <c r="BA131" s="47" t="s">
        <v>298</v>
      </c>
      <c r="BB131" s="40"/>
      <c r="BC131" s="15" t="s">
        <v>381</v>
      </c>
      <c r="BI131" s="42">
        <v>1</v>
      </c>
      <c r="BJ131" s="15" t="s">
        <v>538</v>
      </c>
      <c r="BK131" s="15" t="s">
        <v>448</v>
      </c>
    </row>
    <row r="132" spans="1:63" ht="21" customHeight="1">
      <c r="A132" s="32">
        <f t="shared" si="14"/>
        <v>121</v>
      </c>
      <c r="B132" s="56" t="s">
        <v>463</v>
      </c>
      <c r="C132" s="78" t="s">
        <v>32</v>
      </c>
      <c r="D132" s="35">
        <f t="shared" si="11"/>
        <v>1.65</v>
      </c>
      <c r="E132" s="35"/>
      <c r="F132" s="35">
        <f t="shared" si="13"/>
        <v>1.65</v>
      </c>
      <c r="G132" s="43"/>
      <c r="H132" s="43"/>
      <c r="I132" s="43"/>
      <c r="J132" s="43">
        <v>1.65</v>
      </c>
      <c r="K132" s="43"/>
      <c r="L132" s="43"/>
      <c r="M132" s="43"/>
      <c r="N132" s="43"/>
      <c r="O132" s="43"/>
      <c r="P132" s="43"/>
      <c r="Q132" s="43"/>
      <c r="R132" s="43"/>
      <c r="S132" s="43"/>
      <c r="T132" s="43"/>
      <c r="U132" s="43"/>
      <c r="V132" s="43"/>
      <c r="W132" s="43"/>
      <c r="X132" s="43"/>
      <c r="Y132" s="43"/>
      <c r="Z132" s="43"/>
      <c r="AA132" s="43"/>
      <c r="AB132" s="43"/>
      <c r="AC132" s="43"/>
      <c r="AD132" s="43"/>
      <c r="AE132" s="43"/>
      <c r="AF132" s="43"/>
      <c r="AG132" s="43"/>
      <c r="AH132" s="43"/>
      <c r="AI132" s="43"/>
      <c r="AJ132" s="43"/>
      <c r="AK132" s="43"/>
      <c r="AL132" s="43"/>
      <c r="AM132" s="43"/>
      <c r="AN132" s="43"/>
      <c r="AO132" s="43"/>
      <c r="AP132" s="43"/>
      <c r="AQ132" s="43"/>
      <c r="AR132" s="43"/>
      <c r="AS132" s="43"/>
      <c r="AT132" s="43"/>
      <c r="AU132" s="43"/>
      <c r="AV132" s="43"/>
      <c r="AW132" s="43"/>
      <c r="AX132" s="43"/>
      <c r="AY132" s="34" t="s">
        <v>239</v>
      </c>
      <c r="AZ132" s="34" t="s">
        <v>539</v>
      </c>
      <c r="BA132" s="47" t="s">
        <v>298</v>
      </c>
      <c r="BB132" s="48"/>
      <c r="BC132" s="15" t="s">
        <v>540</v>
      </c>
      <c r="BD132" s="15" t="s">
        <v>541</v>
      </c>
      <c r="BI132" s="42">
        <v>1</v>
      </c>
    </row>
    <row r="133" spans="1:63" ht="20.100000000000001" customHeight="1">
      <c r="A133" s="32">
        <f>A132+1</f>
        <v>122</v>
      </c>
      <c r="B133" s="44" t="s">
        <v>463</v>
      </c>
      <c r="C133" s="78" t="s">
        <v>32</v>
      </c>
      <c r="D133" s="35">
        <f>E133+F133</f>
        <v>1</v>
      </c>
      <c r="E133" s="35"/>
      <c r="F133" s="35">
        <f>SUM(G133:AX133)</f>
        <v>1</v>
      </c>
      <c r="G133" s="43"/>
      <c r="H133" s="43"/>
      <c r="I133" s="43"/>
      <c r="J133" s="43"/>
      <c r="K133" s="43"/>
      <c r="L133" s="43"/>
      <c r="M133" s="43">
        <v>1</v>
      </c>
      <c r="N133" s="43"/>
      <c r="O133" s="43"/>
      <c r="P133" s="43"/>
      <c r="Q133" s="43"/>
      <c r="R133" s="43"/>
      <c r="S133" s="43"/>
      <c r="T133" s="43"/>
      <c r="U133" s="43"/>
      <c r="V133" s="43"/>
      <c r="W133" s="43"/>
      <c r="X133" s="43"/>
      <c r="Y133" s="43"/>
      <c r="Z133" s="43"/>
      <c r="AA133" s="43"/>
      <c r="AB133" s="43"/>
      <c r="AC133" s="43"/>
      <c r="AD133" s="43"/>
      <c r="AE133" s="43"/>
      <c r="AF133" s="43"/>
      <c r="AG133" s="43"/>
      <c r="AH133" s="43"/>
      <c r="AI133" s="43"/>
      <c r="AJ133" s="43"/>
      <c r="AK133" s="43"/>
      <c r="AL133" s="43"/>
      <c r="AM133" s="43"/>
      <c r="AN133" s="43"/>
      <c r="AO133" s="43"/>
      <c r="AP133" s="43"/>
      <c r="AQ133" s="43"/>
      <c r="AR133" s="43"/>
      <c r="AS133" s="43"/>
      <c r="AT133" s="43"/>
      <c r="AU133" s="43"/>
      <c r="AV133" s="43"/>
      <c r="AW133" s="43"/>
      <c r="AX133" s="43"/>
      <c r="AY133" s="34" t="s">
        <v>239</v>
      </c>
      <c r="AZ133" s="34" t="s">
        <v>542</v>
      </c>
      <c r="BA133" s="47" t="s">
        <v>298</v>
      </c>
      <c r="BB133" s="48"/>
      <c r="BE133" s="41"/>
      <c r="BI133" s="42">
        <v>1</v>
      </c>
      <c r="BJ133" s="15" t="s">
        <v>543</v>
      </c>
      <c r="BK133" s="15" t="s">
        <v>448</v>
      </c>
    </row>
    <row r="134" spans="1:63" ht="20.85" customHeight="1">
      <c r="A134" s="32">
        <f>A133+1</f>
        <v>123</v>
      </c>
      <c r="B134" s="56" t="s">
        <v>463</v>
      </c>
      <c r="C134" s="78" t="s">
        <v>32</v>
      </c>
      <c r="D134" s="35">
        <f t="shared" si="11"/>
        <v>1.8000000000000003</v>
      </c>
      <c r="E134" s="35"/>
      <c r="F134" s="35">
        <f>SUM(G134:AX134)</f>
        <v>1.8000000000000003</v>
      </c>
      <c r="G134" s="43">
        <v>0.84</v>
      </c>
      <c r="H134" s="43">
        <v>0.18</v>
      </c>
      <c r="I134" s="43">
        <v>0.09</v>
      </c>
      <c r="J134" s="43"/>
      <c r="K134" s="43"/>
      <c r="L134" s="43"/>
      <c r="M134" s="43">
        <v>0.25</v>
      </c>
      <c r="N134" s="43"/>
      <c r="O134" s="43"/>
      <c r="P134" s="43"/>
      <c r="Q134" s="43"/>
      <c r="R134" s="43"/>
      <c r="S134" s="43"/>
      <c r="T134" s="43"/>
      <c r="U134" s="43"/>
      <c r="V134" s="43"/>
      <c r="W134" s="43"/>
      <c r="X134" s="43"/>
      <c r="Y134" s="43"/>
      <c r="Z134" s="43"/>
      <c r="AA134" s="43">
        <v>0.1</v>
      </c>
      <c r="AB134" s="43"/>
      <c r="AC134" s="43"/>
      <c r="AD134" s="43"/>
      <c r="AE134" s="43"/>
      <c r="AF134" s="43"/>
      <c r="AG134" s="43"/>
      <c r="AH134" s="43"/>
      <c r="AI134" s="43"/>
      <c r="AJ134" s="43"/>
      <c r="AK134" s="43"/>
      <c r="AL134" s="43"/>
      <c r="AM134" s="43"/>
      <c r="AN134" s="43"/>
      <c r="AO134" s="43"/>
      <c r="AP134" s="43"/>
      <c r="AQ134" s="43"/>
      <c r="AR134" s="43"/>
      <c r="AS134" s="43"/>
      <c r="AT134" s="43"/>
      <c r="AU134" s="43"/>
      <c r="AV134" s="43"/>
      <c r="AW134" s="43"/>
      <c r="AX134" s="43">
        <v>0.34</v>
      </c>
      <c r="AY134" s="34" t="s">
        <v>241</v>
      </c>
      <c r="AZ134" s="34" t="s">
        <v>544</v>
      </c>
      <c r="BA134" s="47" t="s">
        <v>298</v>
      </c>
      <c r="BB134" s="15" t="s">
        <v>545</v>
      </c>
      <c r="BC134" s="15" t="s">
        <v>381</v>
      </c>
      <c r="BI134" s="42">
        <v>1</v>
      </c>
    </row>
    <row r="135" spans="1:63" ht="20.85" customHeight="1">
      <c r="A135" s="32">
        <f>A134+1</f>
        <v>124</v>
      </c>
      <c r="B135" s="44" t="s">
        <v>463</v>
      </c>
      <c r="C135" s="78" t="s">
        <v>32</v>
      </c>
      <c r="D135" s="35">
        <f>E135+F135</f>
        <v>5</v>
      </c>
      <c r="E135" s="35"/>
      <c r="F135" s="35">
        <f>SUM(G135:AX135)</f>
        <v>5</v>
      </c>
      <c r="G135" s="43"/>
      <c r="H135" s="43"/>
      <c r="I135" s="43"/>
      <c r="J135" s="43"/>
      <c r="K135" s="43"/>
      <c r="L135" s="43"/>
      <c r="M135" s="43">
        <v>5</v>
      </c>
      <c r="N135" s="43"/>
      <c r="O135" s="43"/>
      <c r="P135" s="43"/>
      <c r="Q135" s="43"/>
      <c r="R135" s="43"/>
      <c r="S135" s="43"/>
      <c r="T135" s="43"/>
      <c r="U135" s="43"/>
      <c r="V135" s="43"/>
      <c r="W135" s="43"/>
      <c r="X135" s="43"/>
      <c r="Y135" s="43"/>
      <c r="Z135" s="43"/>
      <c r="AA135" s="43"/>
      <c r="AB135" s="43"/>
      <c r="AC135" s="43"/>
      <c r="AD135" s="43"/>
      <c r="AE135" s="43"/>
      <c r="AF135" s="43"/>
      <c r="AG135" s="43"/>
      <c r="AH135" s="43"/>
      <c r="AI135" s="43"/>
      <c r="AJ135" s="43"/>
      <c r="AK135" s="43"/>
      <c r="AL135" s="43"/>
      <c r="AM135" s="43"/>
      <c r="AN135" s="43"/>
      <c r="AO135" s="43"/>
      <c r="AP135" s="43"/>
      <c r="AQ135" s="43"/>
      <c r="AR135" s="43"/>
      <c r="AS135" s="43"/>
      <c r="AT135" s="43"/>
      <c r="AU135" s="43"/>
      <c r="AV135" s="43"/>
      <c r="AW135" s="43"/>
      <c r="AX135" s="43"/>
      <c r="AY135" s="34" t="s">
        <v>241</v>
      </c>
      <c r="AZ135" s="34" t="s">
        <v>387</v>
      </c>
      <c r="BA135" s="47" t="s">
        <v>298</v>
      </c>
      <c r="BB135" s="15"/>
      <c r="BI135" s="42"/>
      <c r="BJ135" s="15" t="s">
        <v>311</v>
      </c>
      <c r="BK135" s="15" t="s">
        <v>546</v>
      </c>
    </row>
    <row r="136" spans="1:63" ht="20.85" customHeight="1">
      <c r="A136" s="32">
        <f>A135+1</f>
        <v>125</v>
      </c>
      <c r="B136" s="56" t="s">
        <v>547</v>
      </c>
      <c r="C136" s="78" t="s">
        <v>32</v>
      </c>
      <c r="D136" s="35">
        <f t="shared" ref="D136:D208" si="15">E136+F136</f>
        <v>1.5</v>
      </c>
      <c r="E136" s="35"/>
      <c r="F136" s="35">
        <f t="shared" si="13"/>
        <v>1.5</v>
      </c>
      <c r="G136" s="43">
        <v>1.1200000000000001</v>
      </c>
      <c r="H136" s="43">
        <v>0.38</v>
      </c>
      <c r="I136" s="43"/>
      <c r="J136" s="43"/>
      <c r="K136" s="43"/>
      <c r="L136" s="43"/>
      <c r="M136" s="43"/>
      <c r="N136" s="43"/>
      <c r="O136" s="43"/>
      <c r="P136" s="43"/>
      <c r="Q136" s="43"/>
      <c r="R136" s="43"/>
      <c r="S136" s="43"/>
      <c r="T136" s="43"/>
      <c r="U136" s="43"/>
      <c r="V136" s="43"/>
      <c r="W136" s="43"/>
      <c r="X136" s="43"/>
      <c r="Y136" s="43"/>
      <c r="Z136" s="43"/>
      <c r="AA136" s="43"/>
      <c r="AB136" s="43"/>
      <c r="AC136" s="43"/>
      <c r="AD136" s="43"/>
      <c r="AE136" s="43"/>
      <c r="AF136" s="43"/>
      <c r="AG136" s="43"/>
      <c r="AH136" s="43"/>
      <c r="AI136" s="43"/>
      <c r="AJ136" s="43"/>
      <c r="AK136" s="43"/>
      <c r="AL136" s="43"/>
      <c r="AM136" s="43"/>
      <c r="AN136" s="43"/>
      <c r="AO136" s="43"/>
      <c r="AP136" s="43"/>
      <c r="AQ136" s="43"/>
      <c r="AR136" s="43"/>
      <c r="AS136" s="43"/>
      <c r="AT136" s="43"/>
      <c r="AU136" s="43"/>
      <c r="AV136" s="43"/>
      <c r="AW136" s="43"/>
      <c r="AX136" s="43"/>
      <c r="AY136" s="38" t="s">
        <v>240</v>
      </c>
      <c r="AZ136" s="34" t="s">
        <v>548</v>
      </c>
      <c r="BA136" s="47" t="s">
        <v>298</v>
      </c>
      <c r="BB136" s="48"/>
      <c r="BD136" s="15" t="s">
        <v>323</v>
      </c>
      <c r="BI136" s="42">
        <v>1</v>
      </c>
    </row>
    <row r="137" spans="1:63" ht="20.85" customHeight="1">
      <c r="A137" s="32">
        <f t="shared" si="14"/>
        <v>126</v>
      </c>
      <c r="B137" s="56" t="s">
        <v>463</v>
      </c>
      <c r="C137" s="78" t="s">
        <v>32</v>
      </c>
      <c r="D137" s="35">
        <f t="shared" si="15"/>
        <v>2</v>
      </c>
      <c r="E137" s="35"/>
      <c r="F137" s="35">
        <f t="shared" si="13"/>
        <v>2</v>
      </c>
      <c r="G137" s="43">
        <v>0.32</v>
      </c>
      <c r="H137" s="43"/>
      <c r="I137" s="43"/>
      <c r="J137" s="43"/>
      <c r="K137" s="43"/>
      <c r="L137" s="43"/>
      <c r="M137" s="43">
        <v>1.68</v>
      </c>
      <c r="N137" s="43"/>
      <c r="O137" s="43"/>
      <c r="P137" s="43"/>
      <c r="Q137" s="43"/>
      <c r="R137" s="43"/>
      <c r="S137" s="43"/>
      <c r="T137" s="43"/>
      <c r="U137" s="43"/>
      <c r="V137" s="43"/>
      <c r="W137" s="43"/>
      <c r="X137" s="43"/>
      <c r="Y137" s="43"/>
      <c r="Z137" s="43"/>
      <c r="AA137" s="43"/>
      <c r="AB137" s="43"/>
      <c r="AC137" s="43"/>
      <c r="AD137" s="43"/>
      <c r="AE137" s="43"/>
      <c r="AF137" s="43"/>
      <c r="AG137" s="43"/>
      <c r="AH137" s="43"/>
      <c r="AI137" s="43"/>
      <c r="AJ137" s="43"/>
      <c r="AK137" s="43"/>
      <c r="AL137" s="43"/>
      <c r="AM137" s="43"/>
      <c r="AN137" s="43"/>
      <c r="AO137" s="43"/>
      <c r="AP137" s="43"/>
      <c r="AQ137" s="43"/>
      <c r="AR137" s="43"/>
      <c r="AS137" s="43"/>
      <c r="AT137" s="43"/>
      <c r="AU137" s="43"/>
      <c r="AV137" s="43"/>
      <c r="AW137" s="43"/>
      <c r="AX137" s="43"/>
      <c r="AY137" s="38" t="s">
        <v>240</v>
      </c>
      <c r="AZ137" s="34" t="s">
        <v>549</v>
      </c>
      <c r="BA137" s="47" t="s">
        <v>322</v>
      </c>
      <c r="BB137" s="48"/>
      <c r="BC137" s="58"/>
      <c r="BD137" s="58" t="s">
        <v>550</v>
      </c>
      <c r="BE137" s="41"/>
      <c r="BI137" s="42">
        <v>1</v>
      </c>
    </row>
    <row r="138" spans="1:63" s="24" customFormat="1" ht="23.1" customHeight="1">
      <c r="A138" s="20" t="s">
        <v>551</v>
      </c>
      <c r="B138" s="25" t="s">
        <v>106</v>
      </c>
      <c r="C138" s="26"/>
      <c r="D138" s="83">
        <f t="shared" si="15"/>
        <v>27.869999999999997</v>
      </c>
      <c r="E138" s="83">
        <f>SUM(E139:E142)</f>
        <v>0</v>
      </c>
      <c r="F138" s="83">
        <f t="shared" ref="F138:F159" si="16">SUM(G138:AX138)</f>
        <v>27.869999999999997</v>
      </c>
      <c r="G138" s="28">
        <f>SUM(G139:G142)</f>
        <v>0</v>
      </c>
      <c r="H138" s="28">
        <f t="shared" ref="H138:AW138" si="17">SUM(H139:H142)</f>
        <v>0</v>
      </c>
      <c r="I138" s="28">
        <f t="shared" si="17"/>
        <v>0</v>
      </c>
      <c r="J138" s="28">
        <f t="shared" si="17"/>
        <v>2.79</v>
      </c>
      <c r="K138" s="28">
        <f t="shared" si="17"/>
        <v>0</v>
      </c>
      <c r="L138" s="28">
        <f t="shared" si="17"/>
        <v>0</v>
      </c>
      <c r="M138" s="28">
        <f t="shared" si="17"/>
        <v>24.9</v>
      </c>
      <c r="N138" s="28">
        <f t="shared" si="17"/>
        <v>0</v>
      </c>
      <c r="O138" s="28">
        <f t="shared" si="17"/>
        <v>0</v>
      </c>
      <c r="P138" s="28">
        <f t="shared" si="17"/>
        <v>0</v>
      </c>
      <c r="Q138" s="28">
        <f t="shared" si="17"/>
        <v>0</v>
      </c>
      <c r="R138" s="28">
        <f t="shared" si="17"/>
        <v>0</v>
      </c>
      <c r="S138" s="28">
        <f t="shared" si="17"/>
        <v>0</v>
      </c>
      <c r="T138" s="28">
        <f t="shared" si="17"/>
        <v>0</v>
      </c>
      <c r="U138" s="28">
        <f t="shared" si="17"/>
        <v>0</v>
      </c>
      <c r="V138" s="28">
        <f t="shared" si="17"/>
        <v>0</v>
      </c>
      <c r="W138" s="28">
        <f t="shared" si="17"/>
        <v>0</v>
      </c>
      <c r="X138" s="28">
        <f t="shared" si="17"/>
        <v>0</v>
      </c>
      <c r="Y138" s="28">
        <f t="shared" si="17"/>
        <v>0</v>
      </c>
      <c r="Z138" s="28">
        <f t="shared" si="17"/>
        <v>0</v>
      </c>
      <c r="AA138" s="28">
        <f t="shared" si="17"/>
        <v>0</v>
      </c>
      <c r="AB138" s="28">
        <f t="shared" si="17"/>
        <v>0</v>
      </c>
      <c r="AC138" s="28">
        <f t="shared" si="17"/>
        <v>0</v>
      </c>
      <c r="AD138" s="28">
        <f t="shared" si="17"/>
        <v>0</v>
      </c>
      <c r="AE138" s="28">
        <f t="shared" si="17"/>
        <v>0</v>
      </c>
      <c r="AF138" s="28">
        <f t="shared" si="17"/>
        <v>0</v>
      </c>
      <c r="AG138" s="28">
        <f t="shared" si="17"/>
        <v>0</v>
      </c>
      <c r="AH138" s="28">
        <f t="shared" si="17"/>
        <v>0</v>
      </c>
      <c r="AI138" s="28">
        <f t="shared" si="17"/>
        <v>0</v>
      </c>
      <c r="AJ138" s="28">
        <f t="shared" si="17"/>
        <v>0</v>
      </c>
      <c r="AK138" s="28">
        <f t="shared" si="17"/>
        <v>0</v>
      </c>
      <c r="AL138" s="28">
        <f t="shared" si="17"/>
        <v>0</v>
      </c>
      <c r="AM138" s="28">
        <f t="shared" si="17"/>
        <v>0</v>
      </c>
      <c r="AN138" s="28">
        <f t="shared" si="17"/>
        <v>0</v>
      </c>
      <c r="AO138" s="28">
        <f t="shared" si="17"/>
        <v>0</v>
      </c>
      <c r="AP138" s="28">
        <f t="shared" si="17"/>
        <v>0.18</v>
      </c>
      <c r="AQ138" s="28">
        <f t="shared" si="17"/>
        <v>0</v>
      </c>
      <c r="AR138" s="28">
        <f t="shared" si="17"/>
        <v>0</v>
      </c>
      <c r="AS138" s="28">
        <f t="shared" si="17"/>
        <v>0</v>
      </c>
      <c r="AT138" s="28">
        <f t="shared" si="17"/>
        <v>0</v>
      </c>
      <c r="AU138" s="28">
        <f t="shared" si="17"/>
        <v>0</v>
      </c>
      <c r="AV138" s="28">
        <f t="shared" si="17"/>
        <v>0</v>
      </c>
      <c r="AW138" s="28">
        <f t="shared" si="17"/>
        <v>0</v>
      </c>
      <c r="AX138" s="28">
        <f>SUM(AX139:AX142)</f>
        <v>0</v>
      </c>
      <c r="AY138" s="29"/>
      <c r="AZ138" s="29"/>
      <c r="BA138" s="30"/>
      <c r="BB138" s="31"/>
      <c r="BE138" s="59"/>
      <c r="BI138" s="42"/>
    </row>
    <row r="139" spans="1:63" s="97" customFormat="1" ht="31.5">
      <c r="A139" s="32">
        <f>A137+1</f>
        <v>127</v>
      </c>
      <c r="B139" s="56" t="s">
        <v>552</v>
      </c>
      <c r="C139" s="78" t="s">
        <v>35</v>
      </c>
      <c r="D139" s="35">
        <f t="shared" si="15"/>
        <v>3.5</v>
      </c>
      <c r="E139" s="35"/>
      <c r="F139" s="35">
        <f t="shared" si="16"/>
        <v>3.5</v>
      </c>
      <c r="G139" s="28"/>
      <c r="H139" s="28"/>
      <c r="I139" s="28"/>
      <c r="J139" s="28"/>
      <c r="K139" s="28"/>
      <c r="L139" s="28"/>
      <c r="M139" s="28">
        <v>3.5</v>
      </c>
      <c r="N139" s="28"/>
      <c r="O139" s="28"/>
      <c r="P139" s="28"/>
      <c r="Q139" s="28"/>
      <c r="R139" s="28"/>
      <c r="S139" s="28"/>
      <c r="T139" s="28"/>
      <c r="U139" s="28"/>
      <c r="V139" s="28"/>
      <c r="W139" s="28"/>
      <c r="X139" s="28"/>
      <c r="Y139" s="28"/>
      <c r="Z139" s="28"/>
      <c r="AA139" s="28"/>
      <c r="AB139" s="28"/>
      <c r="AC139" s="28"/>
      <c r="AD139" s="28"/>
      <c r="AE139" s="28"/>
      <c r="AF139" s="28"/>
      <c r="AG139" s="28"/>
      <c r="AH139" s="28"/>
      <c r="AI139" s="28"/>
      <c r="AJ139" s="28"/>
      <c r="AK139" s="28"/>
      <c r="AL139" s="28"/>
      <c r="AM139" s="28"/>
      <c r="AN139" s="28"/>
      <c r="AO139" s="28"/>
      <c r="AP139" s="28"/>
      <c r="AQ139" s="28"/>
      <c r="AR139" s="28"/>
      <c r="AS139" s="28"/>
      <c r="AT139" s="28"/>
      <c r="AU139" s="28"/>
      <c r="AV139" s="28"/>
      <c r="AW139" s="28"/>
      <c r="AX139" s="28"/>
      <c r="AY139" s="34" t="s">
        <v>222</v>
      </c>
      <c r="AZ139" s="34" t="s">
        <v>553</v>
      </c>
      <c r="BA139" s="39" t="s">
        <v>291</v>
      </c>
      <c r="BB139" s="40"/>
      <c r="BC139" s="41"/>
      <c r="BD139" s="41"/>
      <c r="BE139" s="24"/>
      <c r="BF139" s="24"/>
      <c r="BI139" s="42">
        <v>1</v>
      </c>
    </row>
    <row r="140" spans="1:63" ht="31.5">
      <c r="A140" s="32">
        <f>A139+1</f>
        <v>128</v>
      </c>
      <c r="B140" s="56" t="s">
        <v>554</v>
      </c>
      <c r="C140" s="78" t="s">
        <v>35</v>
      </c>
      <c r="D140" s="35">
        <f t="shared" si="15"/>
        <v>16.579999999999998</v>
      </c>
      <c r="E140" s="35"/>
      <c r="F140" s="35">
        <f t="shared" si="16"/>
        <v>16.579999999999998</v>
      </c>
      <c r="G140" s="43"/>
      <c r="H140" s="43"/>
      <c r="I140" s="43"/>
      <c r="J140" s="43"/>
      <c r="K140" s="37"/>
      <c r="L140" s="37"/>
      <c r="M140" s="37">
        <v>16.399999999999999</v>
      </c>
      <c r="N140" s="43"/>
      <c r="O140" s="43"/>
      <c r="P140" s="43"/>
      <c r="Q140" s="43"/>
      <c r="R140" s="43"/>
      <c r="S140" s="43"/>
      <c r="T140" s="43"/>
      <c r="U140" s="43"/>
      <c r="V140" s="43"/>
      <c r="W140" s="43"/>
      <c r="X140" s="43"/>
      <c r="Y140" s="43"/>
      <c r="Z140" s="43"/>
      <c r="AA140" s="43"/>
      <c r="AB140" s="43"/>
      <c r="AC140" s="43"/>
      <c r="AD140" s="43"/>
      <c r="AE140" s="43"/>
      <c r="AF140" s="43"/>
      <c r="AG140" s="43"/>
      <c r="AH140" s="43"/>
      <c r="AI140" s="43"/>
      <c r="AJ140" s="43"/>
      <c r="AK140" s="43"/>
      <c r="AL140" s="43"/>
      <c r="AM140" s="43"/>
      <c r="AN140" s="43"/>
      <c r="AO140" s="43"/>
      <c r="AP140" s="43">
        <v>0.18</v>
      </c>
      <c r="AQ140" s="43"/>
      <c r="AR140" s="43"/>
      <c r="AS140" s="43"/>
      <c r="AT140" s="43"/>
      <c r="AU140" s="43"/>
      <c r="AV140" s="43"/>
      <c r="AW140" s="43"/>
      <c r="AX140" s="43"/>
      <c r="AY140" s="34" t="s">
        <v>228</v>
      </c>
      <c r="AZ140" s="34" t="s">
        <v>555</v>
      </c>
      <c r="BA140" s="39" t="s">
        <v>291</v>
      </c>
      <c r="BB140" s="40"/>
      <c r="BE140" s="41"/>
      <c r="BI140" s="42">
        <v>1</v>
      </c>
    </row>
    <row r="141" spans="1:63" ht="20.100000000000001" customHeight="1">
      <c r="A141" s="32">
        <f>A140+1</f>
        <v>129</v>
      </c>
      <c r="B141" s="56" t="s">
        <v>556</v>
      </c>
      <c r="C141" s="78" t="s">
        <v>35</v>
      </c>
      <c r="D141" s="35">
        <f>E141+F141</f>
        <v>2.79</v>
      </c>
      <c r="E141" s="35"/>
      <c r="F141" s="35">
        <f>SUM(G141:AX141)</f>
        <v>2.79</v>
      </c>
      <c r="G141" s="43"/>
      <c r="H141" s="43"/>
      <c r="I141" s="43"/>
      <c r="J141" s="43">
        <v>2.79</v>
      </c>
      <c r="K141" s="37"/>
      <c r="L141" s="37"/>
      <c r="M141" s="37"/>
      <c r="N141" s="43"/>
      <c r="O141" s="43"/>
      <c r="P141" s="43"/>
      <c r="Q141" s="43"/>
      <c r="R141" s="43"/>
      <c r="S141" s="43"/>
      <c r="T141" s="43"/>
      <c r="U141" s="43"/>
      <c r="V141" s="43"/>
      <c r="W141" s="43"/>
      <c r="X141" s="43"/>
      <c r="Y141" s="43"/>
      <c r="Z141" s="43"/>
      <c r="AA141" s="43"/>
      <c r="AB141" s="43"/>
      <c r="AC141" s="43"/>
      <c r="AD141" s="43"/>
      <c r="AE141" s="43"/>
      <c r="AF141" s="43"/>
      <c r="AG141" s="43"/>
      <c r="AH141" s="43"/>
      <c r="AI141" s="43"/>
      <c r="AJ141" s="43"/>
      <c r="AK141" s="43"/>
      <c r="AL141" s="43"/>
      <c r="AM141" s="43"/>
      <c r="AN141" s="43"/>
      <c r="AO141" s="43"/>
      <c r="AP141" s="43"/>
      <c r="AQ141" s="43"/>
      <c r="AR141" s="43"/>
      <c r="AS141" s="43"/>
      <c r="AT141" s="43"/>
      <c r="AU141" s="43"/>
      <c r="AV141" s="43"/>
      <c r="AW141" s="43"/>
      <c r="AX141" s="43"/>
      <c r="AY141" s="34" t="s">
        <v>241</v>
      </c>
      <c r="AZ141" s="34" t="s">
        <v>471</v>
      </c>
      <c r="BA141" s="47" t="s">
        <v>298</v>
      </c>
      <c r="BB141" s="40"/>
      <c r="BE141" s="41"/>
      <c r="BI141" s="42"/>
      <c r="BJ141" s="15" t="s">
        <v>557</v>
      </c>
      <c r="BK141" s="15" t="s">
        <v>546</v>
      </c>
    </row>
    <row r="142" spans="1:63" ht="32.1" customHeight="1">
      <c r="A142" s="32">
        <f>A141+1</f>
        <v>130</v>
      </c>
      <c r="B142" s="56" t="s">
        <v>558</v>
      </c>
      <c r="C142" s="78" t="s">
        <v>35</v>
      </c>
      <c r="D142" s="35">
        <f t="shared" si="15"/>
        <v>5</v>
      </c>
      <c r="E142" s="35"/>
      <c r="F142" s="35">
        <f t="shared" si="16"/>
        <v>5</v>
      </c>
      <c r="G142" s="43"/>
      <c r="H142" s="43"/>
      <c r="I142" s="43"/>
      <c r="J142" s="43"/>
      <c r="K142" s="37"/>
      <c r="L142" s="43"/>
      <c r="M142" s="37">
        <v>5</v>
      </c>
      <c r="N142" s="43"/>
      <c r="O142" s="43"/>
      <c r="P142" s="43"/>
      <c r="Q142" s="43"/>
      <c r="R142" s="43"/>
      <c r="S142" s="43"/>
      <c r="T142" s="43"/>
      <c r="U142" s="43"/>
      <c r="V142" s="43"/>
      <c r="W142" s="43"/>
      <c r="X142" s="43"/>
      <c r="Y142" s="43"/>
      <c r="Z142" s="43"/>
      <c r="AA142" s="43"/>
      <c r="AB142" s="43"/>
      <c r="AC142" s="43"/>
      <c r="AD142" s="43"/>
      <c r="AE142" s="43"/>
      <c r="AF142" s="43"/>
      <c r="AG142" s="43"/>
      <c r="AH142" s="43"/>
      <c r="AI142" s="43"/>
      <c r="AJ142" s="43"/>
      <c r="AK142" s="43"/>
      <c r="AL142" s="43"/>
      <c r="AM142" s="43"/>
      <c r="AN142" s="43"/>
      <c r="AO142" s="43"/>
      <c r="AP142" s="43"/>
      <c r="AQ142" s="43"/>
      <c r="AR142" s="43"/>
      <c r="AS142" s="43"/>
      <c r="AT142" s="43"/>
      <c r="AU142" s="43"/>
      <c r="AV142" s="43"/>
      <c r="AW142" s="43"/>
      <c r="AX142" s="43"/>
      <c r="AY142" s="34" t="s">
        <v>232</v>
      </c>
      <c r="AZ142" s="34" t="s">
        <v>559</v>
      </c>
      <c r="BA142" s="63" t="s">
        <v>291</v>
      </c>
      <c r="BB142" s="64"/>
      <c r="BD142" s="15" t="s">
        <v>18</v>
      </c>
      <c r="BE142" s="41"/>
      <c r="BI142" s="42">
        <v>1</v>
      </c>
    </row>
    <row r="143" spans="1:63" s="24" customFormat="1" ht="21" customHeight="1">
      <c r="A143" s="20" t="s">
        <v>560</v>
      </c>
      <c r="B143" s="98" t="s">
        <v>98</v>
      </c>
      <c r="C143" s="99"/>
      <c r="D143" s="27">
        <f t="shared" si="15"/>
        <v>109.02000000000001</v>
      </c>
      <c r="E143" s="100">
        <f>E144</f>
        <v>0</v>
      </c>
      <c r="F143" s="27">
        <f t="shared" si="16"/>
        <v>109.02000000000001</v>
      </c>
      <c r="G143" s="101">
        <f t="shared" ref="G143:AX143" si="18">SUM(G144:G158)</f>
        <v>0</v>
      </c>
      <c r="H143" s="101">
        <f t="shared" si="18"/>
        <v>0</v>
      </c>
      <c r="I143" s="101">
        <f t="shared" si="18"/>
        <v>0</v>
      </c>
      <c r="J143" s="101">
        <f t="shared" si="18"/>
        <v>0</v>
      </c>
      <c r="K143" s="101">
        <f t="shared" si="18"/>
        <v>0</v>
      </c>
      <c r="L143" s="101">
        <f t="shared" si="18"/>
        <v>0</v>
      </c>
      <c r="M143" s="101">
        <f t="shared" si="18"/>
        <v>51.9</v>
      </c>
      <c r="N143" s="101">
        <f t="shared" si="18"/>
        <v>0</v>
      </c>
      <c r="O143" s="101">
        <f t="shared" si="18"/>
        <v>0</v>
      </c>
      <c r="P143" s="101">
        <f t="shared" si="18"/>
        <v>0</v>
      </c>
      <c r="Q143" s="101">
        <f t="shared" si="18"/>
        <v>0</v>
      </c>
      <c r="R143" s="101">
        <f t="shared" si="18"/>
        <v>0</v>
      </c>
      <c r="S143" s="101">
        <f t="shared" si="18"/>
        <v>0</v>
      </c>
      <c r="T143" s="101">
        <f t="shared" si="18"/>
        <v>0</v>
      </c>
      <c r="U143" s="101">
        <f t="shared" si="18"/>
        <v>0</v>
      </c>
      <c r="V143" s="101">
        <f t="shared" si="18"/>
        <v>0</v>
      </c>
      <c r="W143" s="101">
        <f t="shared" si="18"/>
        <v>0</v>
      </c>
      <c r="X143" s="101">
        <f t="shared" si="18"/>
        <v>0</v>
      </c>
      <c r="Y143" s="101">
        <f t="shared" si="18"/>
        <v>0</v>
      </c>
      <c r="Z143" s="101">
        <f t="shared" si="18"/>
        <v>0</v>
      </c>
      <c r="AA143" s="101">
        <f t="shared" si="18"/>
        <v>0</v>
      </c>
      <c r="AB143" s="101">
        <f t="shared" si="18"/>
        <v>0</v>
      </c>
      <c r="AC143" s="101">
        <f t="shared" si="18"/>
        <v>0</v>
      </c>
      <c r="AD143" s="101">
        <f t="shared" si="18"/>
        <v>0</v>
      </c>
      <c r="AE143" s="101">
        <f t="shared" si="18"/>
        <v>0</v>
      </c>
      <c r="AF143" s="101">
        <f t="shared" si="18"/>
        <v>0</v>
      </c>
      <c r="AG143" s="101">
        <f t="shared" si="18"/>
        <v>0</v>
      </c>
      <c r="AH143" s="101">
        <f t="shared" si="18"/>
        <v>0</v>
      </c>
      <c r="AI143" s="101">
        <f t="shared" si="18"/>
        <v>0</v>
      </c>
      <c r="AJ143" s="101">
        <f t="shared" si="18"/>
        <v>0</v>
      </c>
      <c r="AK143" s="101">
        <f t="shared" si="18"/>
        <v>0</v>
      </c>
      <c r="AL143" s="101">
        <f t="shared" si="18"/>
        <v>0</v>
      </c>
      <c r="AM143" s="101">
        <f t="shared" si="18"/>
        <v>0</v>
      </c>
      <c r="AN143" s="101">
        <f t="shared" si="18"/>
        <v>0</v>
      </c>
      <c r="AO143" s="101">
        <f t="shared" si="18"/>
        <v>0</v>
      </c>
      <c r="AP143" s="101">
        <f t="shared" si="18"/>
        <v>0</v>
      </c>
      <c r="AQ143" s="101">
        <f t="shared" si="18"/>
        <v>0</v>
      </c>
      <c r="AR143" s="101">
        <f t="shared" si="18"/>
        <v>0</v>
      </c>
      <c r="AS143" s="101">
        <f t="shared" si="18"/>
        <v>0</v>
      </c>
      <c r="AT143" s="101">
        <f t="shared" si="18"/>
        <v>0</v>
      </c>
      <c r="AU143" s="101">
        <f t="shared" si="18"/>
        <v>0</v>
      </c>
      <c r="AV143" s="101">
        <f t="shared" si="18"/>
        <v>0</v>
      </c>
      <c r="AW143" s="101">
        <f t="shared" si="18"/>
        <v>0</v>
      </c>
      <c r="AX143" s="101">
        <f t="shared" si="18"/>
        <v>57.120000000000005</v>
      </c>
      <c r="AY143" s="29"/>
      <c r="AZ143" s="29"/>
      <c r="BA143" s="30"/>
      <c r="BB143" s="31"/>
      <c r="BE143" s="59"/>
      <c r="BI143" s="42"/>
    </row>
    <row r="144" spans="1:63" s="24" customFormat="1" ht="21" customHeight="1">
      <c r="A144" s="32">
        <f>A142+1</f>
        <v>131</v>
      </c>
      <c r="B144" s="88" t="s">
        <v>561</v>
      </c>
      <c r="C144" s="102" t="s">
        <v>34</v>
      </c>
      <c r="D144" s="35">
        <f t="shared" si="15"/>
        <v>3</v>
      </c>
      <c r="E144" s="36"/>
      <c r="F144" s="35">
        <f t="shared" si="16"/>
        <v>3</v>
      </c>
      <c r="G144" s="37"/>
      <c r="H144" s="37"/>
      <c r="I144" s="37"/>
      <c r="J144" s="37"/>
      <c r="K144" s="37"/>
      <c r="L144" s="37"/>
      <c r="M144" s="37">
        <v>3</v>
      </c>
      <c r="N144" s="37"/>
      <c r="O144" s="37"/>
      <c r="P144" s="37"/>
      <c r="Q144" s="37"/>
      <c r="R144" s="37"/>
      <c r="S144" s="37"/>
      <c r="T144" s="37"/>
      <c r="U144" s="37"/>
      <c r="V144" s="37"/>
      <c r="W144" s="37"/>
      <c r="X144" s="37"/>
      <c r="Y144" s="37"/>
      <c r="Z144" s="37"/>
      <c r="AA144" s="37"/>
      <c r="AB144" s="37"/>
      <c r="AC144" s="37"/>
      <c r="AD144" s="37"/>
      <c r="AE144" s="37"/>
      <c r="AF144" s="37"/>
      <c r="AG144" s="37"/>
      <c r="AH144" s="37"/>
      <c r="AI144" s="37"/>
      <c r="AJ144" s="37"/>
      <c r="AK144" s="37"/>
      <c r="AL144" s="37"/>
      <c r="AM144" s="37"/>
      <c r="AN144" s="37"/>
      <c r="AO144" s="37"/>
      <c r="AP144" s="37"/>
      <c r="AQ144" s="37"/>
      <c r="AR144" s="37"/>
      <c r="AS144" s="37"/>
      <c r="AT144" s="37"/>
      <c r="AU144" s="37"/>
      <c r="AV144" s="37"/>
      <c r="AW144" s="37"/>
      <c r="AX144" s="37"/>
      <c r="AY144" s="34" t="s">
        <v>237</v>
      </c>
      <c r="AZ144" s="34" t="s">
        <v>471</v>
      </c>
      <c r="BA144" s="63" t="s">
        <v>291</v>
      </c>
      <c r="BB144" s="64"/>
      <c r="BC144" s="40"/>
      <c r="BD144" s="40" t="s">
        <v>425</v>
      </c>
      <c r="BE144" s="40"/>
      <c r="BI144" s="42">
        <v>1</v>
      </c>
      <c r="BJ144" s="24" t="s">
        <v>562</v>
      </c>
    </row>
    <row r="145" spans="1:64" s="24" customFormat="1" ht="32.450000000000003" customHeight="1">
      <c r="A145" s="32">
        <f t="shared" ref="A145:A158" si="19">A144+1</f>
        <v>132</v>
      </c>
      <c r="B145" s="56" t="s">
        <v>563</v>
      </c>
      <c r="C145" s="102" t="s">
        <v>34</v>
      </c>
      <c r="D145" s="35">
        <f t="shared" si="15"/>
        <v>9.23</v>
      </c>
      <c r="E145" s="36"/>
      <c r="F145" s="35">
        <f t="shared" si="16"/>
        <v>9.23</v>
      </c>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c r="AM145" s="37"/>
      <c r="AN145" s="37"/>
      <c r="AO145" s="37"/>
      <c r="AP145" s="37"/>
      <c r="AQ145" s="37"/>
      <c r="AR145" s="37"/>
      <c r="AS145" s="37"/>
      <c r="AT145" s="37"/>
      <c r="AU145" s="37"/>
      <c r="AV145" s="37"/>
      <c r="AW145" s="37"/>
      <c r="AX145" s="37">
        <v>9.23</v>
      </c>
      <c r="AY145" s="34" t="s">
        <v>240</v>
      </c>
      <c r="AZ145" s="34" t="s">
        <v>328</v>
      </c>
      <c r="BA145" s="47" t="s">
        <v>298</v>
      </c>
      <c r="BB145" s="64"/>
      <c r="BC145" s="40"/>
      <c r="BD145" s="40"/>
      <c r="BE145" s="40"/>
      <c r="BI145" s="42"/>
      <c r="BJ145" s="24" t="s">
        <v>564</v>
      </c>
    </row>
    <row r="146" spans="1:64" s="24" customFormat="1" ht="32.450000000000003" customHeight="1">
      <c r="A146" s="32">
        <f t="shared" si="19"/>
        <v>133</v>
      </c>
      <c r="B146" s="56" t="s">
        <v>565</v>
      </c>
      <c r="C146" s="102" t="s">
        <v>34</v>
      </c>
      <c r="D146" s="35">
        <f t="shared" si="15"/>
        <v>20.440000000000001</v>
      </c>
      <c r="E146" s="36"/>
      <c r="F146" s="35">
        <f t="shared" si="16"/>
        <v>20.440000000000001</v>
      </c>
      <c r="G146" s="37"/>
      <c r="H146" s="37"/>
      <c r="I146" s="37"/>
      <c r="J146" s="37"/>
      <c r="K146" s="37"/>
      <c r="L146" s="37"/>
      <c r="M146" s="37"/>
      <c r="N146" s="37"/>
      <c r="O146" s="37"/>
      <c r="P146" s="37"/>
      <c r="Q146" s="37"/>
      <c r="R146" s="37"/>
      <c r="S146" s="37"/>
      <c r="T146" s="37"/>
      <c r="U146" s="37"/>
      <c r="V146" s="37"/>
      <c r="W146" s="37"/>
      <c r="X146" s="37"/>
      <c r="Y146" s="37"/>
      <c r="Z146" s="37"/>
      <c r="AA146" s="37"/>
      <c r="AB146" s="37"/>
      <c r="AC146" s="37"/>
      <c r="AD146" s="37"/>
      <c r="AE146" s="37"/>
      <c r="AF146" s="37"/>
      <c r="AG146" s="37"/>
      <c r="AH146" s="37"/>
      <c r="AI146" s="37"/>
      <c r="AJ146" s="37"/>
      <c r="AK146" s="37"/>
      <c r="AL146" s="37"/>
      <c r="AM146" s="37"/>
      <c r="AN146" s="37"/>
      <c r="AO146" s="37"/>
      <c r="AP146" s="37"/>
      <c r="AQ146" s="37"/>
      <c r="AR146" s="37"/>
      <c r="AS146" s="37"/>
      <c r="AT146" s="37"/>
      <c r="AU146" s="37"/>
      <c r="AV146" s="37"/>
      <c r="AW146" s="37"/>
      <c r="AX146" s="37">
        <v>20.440000000000001</v>
      </c>
      <c r="AY146" s="34" t="s">
        <v>566</v>
      </c>
      <c r="AZ146" s="34"/>
      <c r="BA146" s="47" t="s">
        <v>298</v>
      </c>
      <c r="BB146" s="64"/>
      <c r="BC146" s="40"/>
      <c r="BD146" s="40"/>
      <c r="BE146" s="40"/>
      <c r="BI146" s="42"/>
      <c r="BJ146" s="24" t="s">
        <v>564</v>
      </c>
    </row>
    <row r="147" spans="1:64" s="24" customFormat="1" ht="32.450000000000003" customHeight="1">
      <c r="A147" s="32">
        <f t="shared" si="19"/>
        <v>134</v>
      </c>
      <c r="B147" s="56" t="s">
        <v>567</v>
      </c>
      <c r="C147" s="102" t="s">
        <v>34</v>
      </c>
      <c r="D147" s="35">
        <f t="shared" si="15"/>
        <v>7.38</v>
      </c>
      <c r="E147" s="36"/>
      <c r="F147" s="35">
        <f t="shared" si="16"/>
        <v>7.38</v>
      </c>
      <c r="G147" s="37"/>
      <c r="H147" s="37"/>
      <c r="I147" s="37"/>
      <c r="J147" s="37"/>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37"/>
      <c r="AJ147" s="37"/>
      <c r="AK147" s="37"/>
      <c r="AL147" s="37"/>
      <c r="AM147" s="37"/>
      <c r="AN147" s="37"/>
      <c r="AO147" s="37"/>
      <c r="AP147" s="37"/>
      <c r="AQ147" s="37"/>
      <c r="AR147" s="37"/>
      <c r="AS147" s="37"/>
      <c r="AT147" s="37"/>
      <c r="AU147" s="37"/>
      <c r="AV147" s="37"/>
      <c r="AW147" s="37"/>
      <c r="AX147" s="37">
        <v>7.38</v>
      </c>
      <c r="AY147" s="34" t="s">
        <v>566</v>
      </c>
      <c r="AZ147" s="34"/>
      <c r="BA147" s="47" t="s">
        <v>298</v>
      </c>
      <c r="BB147" s="64"/>
      <c r="BC147" s="40"/>
      <c r="BD147" s="40"/>
      <c r="BE147" s="40"/>
      <c r="BI147" s="42"/>
      <c r="BJ147" s="24" t="s">
        <v>564</v>
      </c>
    </row>
    <row r="148" spans="1:64" s="24" customFormat="1" ht="32.450000000000003" customHeight="1">
      <c r="A148" s="32">
        <f t="shared" si="19"/>
        <v>135</v>
      </c>
      <c r="B148" s="56" t="s">
        <v>568</v>
      </c>
      <c r="C148" s="102" t="s">
        <v>34</v>
      </c>
      <c r="D148" s="35">
        <f t="shared" si="15"/>
        <v>12.24</v>
      </c>
      <c r="E148" s="36"/>
      <c r="F148" s="35">
        <f t="shared" si="16"/>
        <v>12.24</v>
      </c>
      <c r="G148" s="37"/>
      <c r="H148" s="37"/>
      <c r="I148" s="37"/>
      <c r="J148" s="37"/>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37"/>
      <c r="AJ148" s="37"/>
      <c r="AK148" s="37"/>
      <c r="AL148" s="37"/>
      <c r="AM148" s="37"/>
      <c r="AN148" s="37"/>
      <c r="AO148" s="37"/>
      <c r="AP148" s="37"/>
      <c r="AQ148" s="37"/>
      <c r="AR148" s="37"/>
      <c r="AS148" s="37"/>
      <c r="AT148" s="37"/>
      <c r="AU148" s="37"/>
      <c r="AV148" s="37"/>
      <c r="AW148" s="37"/>
      <c r="AX148" s="37">
        <v>12.24</v>
      </c>
      <c r="AY148" s="34" t="s">
        <v>372</v>
      </c>
      <c r="AZ148" s="34"/>
      <c r="BA148" s="47" t="s">
        <v>298</v>
      </c>
      <c r="BB148" s="64"/>
      <c r="BC148" s="40"/>
      <c r="BD148" s="40"/>
      <c r="BE148" s="40"/>
      <c r="BI148" s="42"/>
      <c r="BJ148" s="24" t="s">
        <v>564</v>
      </c>
    </row>
    <row r="149" spans="1:64" s="24" customFormat="1" ht="32.450000000000003" customHeight="1">
      <c r="A149" s="32">
        <f t="shared" si="19"/>
        <v>136</v>
      </c>
      <c r="B149" s="56" t="s">
        <v>569</v>
      </c>
      <c r="C149" s="102" t="s">
        <v>34</v>
      </c>
      <c r="D149" s="35">
        <f t="shared" si="15"/>
        <v>2.54</v>
      </c>
      <c r="E149" s="36"/>
      <c r="F149" s="35">
        <f t="shared" si="16"/>
        <v>2.54</v>
      </c>
      <c r="G149" s="37"/>
      <c r="H149" s="37"/>
      <c r="I149" s="37"/>
      <c r="J149" s="37"/>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37"/>
      <c r="AJ149" s="37"/>
      <c r="AK149" s="37"/>
      <c r="AL149" s="37"/>
      <c r="AM149" s="37"/>
      <c r="AN149" s="37"/>
      <c r="AO149" s="37"/>
      <c r="AP149" s="37"/>
      <c r="AQ149" s="37"/>
      <c r="AR149" s="37"/>
      <c r="AS149" s="37"/>
      <c r="AT149" s="37"/>
      <c r="AU149" s="37"/>
      <c r="AV149" s="37"/>
      <c r="AW149" s="37"/>
      <c r="AX149" s="37">
        <v>2.54</v>
      </c>
      <c r="AY149" s="34" t="s">
        <v>570</v>
      </c>
      <c r="AZ149" s="34"/>
      <c r="BA149" s="47" t="s">
        <v>298</v>
      </c>
      <c r="BB149" s="64"/>
      <c r="BC149" s="40"/>
      <c r="BD149" s="40"/>
      <c r="BE149" s="40"/>
      <c r="BI149" s="42"/>
      <c r="BJ149" s="24" t="s">
        <v>564</v>
      </c>
    </row>
    <row r="150" spans="1:64" s="24" customFormat="1" ht="32.450000000000003" customHeight="1">
      <c r="A150" s="32">
        <f t="shared" si="19"/>
        <v>137</v>
      </c>
      <c r="B150" s="56" t="s">
        <v>569</v>
      </c>
      <c r="C150" s="102" t="s">
        <v>34</v>
      </c>
      <c r="D150" s="35">
        <f t="shared" si="15"/>
        <v>1.73</v>
      </c>
      <c r="E150" s="36"/>
      <c r="F150" s="35">
        <f t="shared" si="16"/>
        <v>1.73</v>
      </c>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c r="AM150" s="37"/>
      <c r="AN150" s="37"/>
      <c r="AO150" s="37"/>
      <c r="AP150" s="37"/>
      <c r="AQ150" s="37"/>
      <c r="AR150" s="37"/>
      <c r="AS150" s="37"/>
      <c r="AT150" s="37"/>
      <c r="AU150" s="37"/>
      <c r="AV150" s="37"/>
      <c r="AW150" s="37"/>
      <c r="AX150" s="37">
        <v>1.73</v>
      </c>
      <c r="AY150" s="34" t="s">
        <v>570</v>
      </c>
      <c r="AZ150" s="34"/>
      <c r="BA150" s="47" t="s">
        <v>298</v>
      </c>
      <c r="BB150" s="64"/>
      <c r="BC150" s="40"/>
      <c r="BD150" s="40"/>
      <c r="BE150" s="40"/>
      <c r="BI150" s="42"/>
      <c r="BJ150" s="24" t="s">
        <v>564</v>
      </c>
    </row>
    <row r="151" spans="1:64" s="24" customFormat="1" ht="32.450000000000003" customHeight="1">
      <c r="A151" s="32">
        <f t="shared" si="19"/>
        <v>138</v>
      </c>
      <c r="B151" s="56" t="s">
        <v>571</v>
      </c>
      <c r="C151" s="102" t="s">
        <v>34</v>
      </c>
      <c r="D151" s="35">
        <f t="shared" si="15"/>
        <v>3.56</v>
      </c>
      <c r="E151" s="36"/>
      <c r="F151" s="35">
        <f t="shared" si="16"/>
        <v>3.56</v>
      </c>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c r="AM151" s="37"/>
      <c r="AN151" s="37"/>
      <c r="AO151" s="37"/>
      <c r="AP151" s="37"/>
      <c r="AQ151" s="37"/>
      <c r="AR151" s="37"/>
      <c r="AS151" s="37"/>
      <c r="AT151" s="37"/>
      <c r="AU151" s="37"/>
      <c r="AV151" s="37"/>
      <c r="AW151" s="37"/>
      <c r="AX151" s="37">
        <v>3.56</v>
      </c>
      <c r="AY151" s="34" t="s">
        <v>572</v>
      </c>
      <c r="AZ151" s="34"/>
      <c r="BA151" s="47" t="s">
        <v>298</v>
      </c>
      <c r="BB151" s="64"/>
      <c r="BC151" s="40"/>
      <c r="BD151" s="40"/>
      <c r="BE151" s="40"/>
      <c r="BI151" s="42"/>
      <c r="BJ151" s="24" t="s">
        <v>564</v>
      </c>
    </row>
    <row r="152" spans="1:64" s="24" customFormat="1" ht="20.100000000000001" customHeight="1">
      <c r="A152" s="32">
        <f t="shared" si="19"/>
        <v>139</v>
      </c>
      <c r="B152" s="88" t="s">
        <v>573</v>
      </c>
      <c r="C152" s="102" t="s">
        <v>34</v>
      </c>
      <c r="D152" s="35">
        <f t="shared" si="15"/>
        <v>4</v>
      </c>
      <c r="E152" s="36"/>
      <c r="F152" s="35">
        <f t="shared" si="16"/>
        <v>4</v>
      </c>
      <c r="G152" s="37"/>
      <c r="H152" s="37"/>
      <c r="I152" s="37"/>
      <c r="J152" s="37"/>
      <c r="K152" s="37"/>
      <c r="L152" s="37"/>
      <c r="M152" s="37">
        <v>4</v>
      </c>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c r="AM152" s="37"/>
      <c r="AN152" s="37"/>
      <c r="AO152" s="37"/>
      <c r="AP152" s="37"/>
      <c r="AQ152" s="37"/>
      <c r="AR152" s="37"/>
      <c r="AS152" s="37"/>
      <c r="AT152" s="37"/>
      <c r="AU152" s="37"/>
      <c r="AV152" s="37"/>
      <c r="AW152" s="37"/>
      <c r="AX152" s="37"/>
      <c r="AY152" s="34" t="s">
        <v>221</v>
      </c>
      <c r="AZ152" s="34" t="s">
        <v>574</v>
      </c>
      <c r="BA152" s="47" t="s">
        <v>298</v>
      </c>
      <c r="BB152" s="64"/>
      <c r="BC152" s="40" t="s">
        <v>575</v>
      </c>
      <c r="BD152" s="40"/>
      <c r="BE152" s="40"/>
      <c r="BI152" s="42">
        <v>1</v>
      </c>
    </row>
    <row r="153" spans="1:64" s="24" customFormat="1" ht="31.5">
      <c r="A153" s="32">
        <f t="shared" si="19"/>
        <v>140</v>
      </c>
      <c r="B153" s="88" t="s">
        <v>573</v>
      </c>
      <c r="C153" s="102" t="s">
        <v>34</v>
      </c>
      <c r="D153" s="35">
        <f t="shared" si="15"/>
        <v>17.8</v>
      </c>
      <c r="E153" s="36"/>
      <c r="F153" s="35">
        <f t="shared" si="16"/>
        <v>17.8</v>
      </c>
      <c r="G153" s="37"/>
      <c r="H153" s="37"/>
      <c r="I153" s="37"/>
      <c r="J153" s="37"/>
      <c r="K153" s="37"/>
      <c r="L153" s="37"/>
      <c r="M153" s="37">
        <v>17.8</v>
      </c>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c r="AM153" s="37"/>
      <c r="AN153" s="37"/>
      <c r="AO153" s="37"/>
      <c r="AP153" s="37"/>
      <c r="AQ153" s="37"/>
      <c r="AR153" s="37"/>
      <c r="AS153" s="37"/>
      <c r="AT153" s="37"/>
      <c r="AU153" s="37"/>
      <c r="AV153" s="37"/>
      <c r="AW153" s="37"/>
      <c r="AX153" s="37"/>
      <c r="AY153" s="34" t="s">
        <v>239</v>
      </c>
      <c r="AZ153" s="34" t="s">
        <v>576</v>
      </c>
      <c r="BA153" s="47" t="s">
        <v>298</v>
      </c>
      <c r="BB153" s="58" t="s">
        <v>577</v>
      </c>
      <c r="BC153" s="40" t="s">
        <v>575</v>
      </c>
      <c r="BD153" s="40"/>
      <c r="BE153" s="40"/>
      <c r="BI153" s="42">
        <v>1</v>
      </c>
    </row>
    <row r="154" spans="1:64" s="24" customFormat="1" ht="18.600000000000001" customHeight="1">
      <c r="A154" s="32">
        <f t="shared" si="19"/>
        <v>141</v>
      </c>
      <c r="B154" s="88" t="s">
        <v>573</v>
      </c>
      <c r="C154" s="102" t="s">
        <v>34</v>
      </c>
      <c r="D154" s="35">
        <f t="shared" si="15"/>
        <v>6.1</v>
      </c>
      <c r="E154" s="36"/>
      <c r="F154" s="35">
        <f t="shared" si="16"/>
        <v>6.1</v>
      </c>
      <c r="G154" s="37"/>
      <c r="H154" s="37"/>
      <c r="I154" s="37"/>
      <c r="J154" s="37"/>
      <c r="K154" s="37"/>
      <c r="L154" s="37"/>
      <c r="M154" s="37">
        <v>6.1</v>
      </c>
      <c r="N154" s="37"/>
      <c r="O154" s="37"/>
      <c r="P154" s="37"/>
      <c r="Q154" s="37"/>
      <c r="R154" s="37"/>
      <c r="S154" s="37"/>
      <c r="T154" s="37"/>
      <c r="U154" s="37"/>
      <c r="V154" s="37"/>
      <c r="W154" s="37"/>
      <c r="X154" s="37"/>
      <c r="Y154" s="37"/>
      <c r="Z154" s="37"/>
      <c r="AA154" s="37"/>
      <c r="AB154" s="37"/>
      <c r="AC154" s="37"/>
      <c r="AD154" s="37"/>
      <c r="AE154" s="37"/>
      <c r="AF154" s="37"/>
      <c r="AG154" s="37"/>
      <c r="AH154" s="37"/>
      <c r="AI154" s="37"/>
      <c r="AJ154" s="37"/>
      <c r="AK154" s="37"/>
      <c r="AL154" s="37"/>
      <c r="AM154" s="37"/>
      <c r="AN154" s="37"/>
      <c r="AO154" s="37"/>
      <c r="AP154" s="37"/>
      <c r="AQ154" s="37"/>
      <c r="AR154" s="37"/>
      <c r="AS154" s="37"/>
      <c r="AT154" s="37"/>
      <c r="AU154" s="37"/>
      <c r="AV154" s="37"/>
      <c r="AW154" s="37"/>
      <c r="AX154" s="37"/>
      <c r="AY154" s="34" t="s">
        <v>234</v>
      </c>
      <c r="AZ154" s="34" t="s">
        <v>328</v>
      </c>
      <c r="BA154" s="47" t="s">
        <v>298</v>
      </c>
      <c r="BB154" s="64"/>
      <c r="BC154" s="40" t="s">
        <v>575</v>
      </c>
      <c r="BD154" s="40"/>
      <c r="BE154" s="40"/>
      <c r="BI154" s="42">
        <v>1</v>
      </c>
    </row>
    <row r="155" spans="1:64" s="24" customFormat="1" ht="18.600000000000001" customHeight="1">
      <c r="A155" s="32">
        <f t="shared" si="19"/>
        <v>142</v>
      </c>
      <c r="B155" s="60" t="s">
        <v>573</v>
      </c>
      <c r="C155" s="78" t="s">
        <v>34</v>
      </c>
      <c r="D155" s="35">
        <f t="shared" si="15"/>
        <v>1</v>
      </c>
      <c r="E155" s="36"/>
      <c r="F155" s="35">
        <f>SUM(G155:AX155)</f>
        <v>1</v>
      </c>
      <c r="G155" s="43"/>
      <c r="H155" s="43"/>
      <c r="I155" s="43"/>
      <c r="J155" s="43"/>
      <c r="K155" s="43"/>
      <c r="L155" s="43"/>
      <c r="M155" s="43">
        <v>1</v>
      </c>
      <c r="N155" s="43"/>
      <c r="O155" s="43"/>
      <c r="P155" s="43"/>
      <c r="Q155" s="43"/>
      <c r="R155" s="43"/>
      <c r="S155" s="43"/>
      <c r="T155" s="43"/>
      <c r="U155" s="43"/>
      <c r="V155" s="43"/>
      <c r="W155" s="43"/>
      <c r="X155" s="43"/>
      <c r="Y155" s="43"/>
      <c r="Z155" s="43"/>
      <c r="AA155" s="43"/>
      <c r="AB155" s="43"/>
      <c r="AC155" s="43"/>
      <c r="AD155" s="43"/>
      <c r="AE155" s="43"/>
      <c r="AF155" s="43"/>
      <c r="AG155" s="43"/>
      <c r="AH155" s="43"/>
      <c r="AI155" s="43"/>
      <c r="AJ155" s="43"/>
      <c r="AK155" s="43"/>
      <c r="AL155" s="43"/>
      <c r="AM155" s="43"/>
      <c r="AN155" s="43"/>
      <c r="AO155" s="43"/>
      <c r="AP155" s="43"/>
      <c r="AQ155" s="43"/>
      <c r="AR155" s="43"/>
      <c r="AS155" s="43"/>
      <c r="AT155" s="43"/>
      <c r="AU155" s="43"/>
      <c r="AV155" s="43"/>
      <c r="AW155" s="43"/>
      <c r="AX155" s="43"/>
      <c r="AY155" s="34" t="s">
        <v>222</v>
      </c>
      <c r="AZ155" s="34" t="s">
        <v>410</v>
      </c>
      <c r="BA155" s="47" t="s">
        <v>298</v>
      </c>
      <c r="BB155" s="15" t="s">
        <v>578</v>
      </c>
      <c r="BC155" s="40"/>
      <c r="BD155" s="40"/>
      <c r="BE155" s="40"/>
      <c r="BI155" s="42">
        <v>1</v>
      </c>
    </row>
    <row r="156" spans="1:64" s="24" customFormat="1" ht="18.600000000000001" customHeight="1">
      <c r="A156" s="32">
        <f t="shared" si="19"/>
        <v>143</v>
      </c>
      <c r="B156" s="88" t="s">
        <v>573</v>
      </c>
      <c r="C156" s="102" t="s">
        <v>34</v>
      </c>
      <c r="D156" s="35">
        <f t="shared" si="15"/>
        <v>1</v>
      </c>
      <c r="E156" s="36"/>
      <c r="F156" s="35">
        <f>SUM(G156:AX156)</f>
        <v>1</v>
      </c>
      <c r="G156" s="37"/>
      <c r="H156" s="37"/>
      <c r="I156" s="37"/>
      <c r="J156" s="37"/>
      <c r="K156" s="37"/>
      <c r="L156" s="37"/>
      <c r="M156" s="37">
        <v>1</v>
      </c>
      <c r="N156" s="37"/>
      <c r="O156" s="37"/>
      <c r="P156" s="37"/>
      <c r="Q156" s="37"/>
      <c r="R156" s="37"/>
      <c r="S156" s="37"/>
      <c r="T156" s="37"/>
      <c r="U156" s="37"/>
      <c r="V156" s="37"/>
      <c r="W156" s="37"/>
      <c r="X156" s="37"/>
      <c r="Y156" s="37"/>
      <c r="Z156" s="37"/>
      <c r="AA156" s="37"/>
      <c r="AB156" s="37"/>
      <c r="AC156" s="37"/>
      <c r="AD156" s="37"/>
      <c r="AE156" s="37"/>
      <c r="AF156" s="37"/>
      <c r="AG156" s="37"/>
      <c r="AH156" s="37"/>
      <c r="AI156" s="37"/>
      <c r="AJ156" s="37"/>
      <c r="AK156" s="37"/>
      <c r="AL156" s="37"/>
      <c r="AM156" s="37"/>
      <c r="AN156" s="37"/>
      <c r="AO156" s="37"/>
      <c r="AP156" s="37"/>
      <c r="AQ156" s="37"/>
      <c r="AR156" s="37"/>
      <c r="AS156" s="37"/>
      <c r="AT156" s="37"/>
      <c r="AU156" s="37"/>
      <c r="AV156" s="37"/>
      <c r="AW156" s="37"/>
      <c r="AX156" s="37"/>
      <c r="AY156" s="34" t="s">
        <v>222</v>
      </c>
      <c r="AZ156" s="34" t="s">
        <v>387</v>
      </c>
      <c r="BA156" s="47" t="s">
        <v>298</v>
      </c>
      <c r="BB156" s="15" t="s">
        <v>578</v>
      </c>
      <c r="BC156" s="40"/>
      <c r="BD156" s="40"/>
      <c r="BE156" s="40"/>
      <c r="BI156" s="42">
        <v>1</v>
      </c>
    </row>
    <row r="157" spans="1:64" s="24" customFormat="1" ht="18.600000000000001" customHeight="1">
      <c r="A157" s="32">
        <f t="shared" si="19"/>
        <v>144</v>
      </c>
      <c r="B157" s="88" t="s">
        <v>573</v>
      </c>
      <c r="C157" s="102" t="s">
        <v>34</v>
      </c>
      <c r="D157" s="35">
        <f>E157+F157</f>
        <v>1</v>
      </c>
      <c r="E157" s="36"/>
      <c r="F157" s="35">
        <f>SUM(G157:AX157)</f>
        <v>1</v>
      </c>
      <c r="G157" s="37"/>
      <c r="H157" s="37"/>
      <c r="I157" s="37"/>
      <c r="J157" s="37"/>
      <c r="K157" s="37"/>
      <c r="L157" s="37"/>
      <c r="M157" s="37">
        <v>1</v>
      </c>
      <c r="N157" s="37"/>
      <c r="O157" s="37"/>
      <c r="P157" s="37"/>
      <c r="Q157" s="37"/>
      <c r="R157" s="37"/>
      <c r="S157" s="37"/>
      <c r="T157" s="37"/>
      <c r="U157" s="37"/>
      <c r="V157" s="37"/>
      <c r="W157" s="37"/>
      <c r="X157" s="37"/>
      <c r="Y157" s="37"/>
      <c r="Z157" s="37"/>
      <c r="AA157" s="37"/>
      <c r="AB157" s="37"/>
      <c r="AC157" s="37"/>
      <c r="AD157" s="37"/>
      <c r="AE157" s="37"/>
      <c r="AF157" s="37"/>
      <c r="AG157" s="37"/>
      <c r="AH157" s="37"/>
      <c r="AI157" s="37"/>
      <c r="AJ157" s="37"/>
      <c r="AK157" s="37"/>
      <c r="AL157" s="37"/>
      <c r="AM157" s="37"/>
      <c r="AN157" s="37"/>
      <c r="AO157" s="37"/>
      <c r="AP157" s="37"/>
      <c r="AQ157" s="37"/>
      <c r="AR157" s="37"/>
      <c r="AS157" s="37"/>
      <c r="AT157" s="37"/>
      <c r="AU157" s="37"/>
      <c r="AV157" s="37"/>
      <c r="AW157" s="37"/>
      <c r="AX157" s="37"/>
      <c r="AY157" s="34" t="s">
        <v>234</v>
      </c>
      <c r="AZ157" s="34" t="s">
        <v>389</v>
      </c>
      <c r="BA157" s="47" t="s">
        <v>298</v>
      </c>
      <c r="BB157" s="15"/>
      <c r="BC157" s="40"/>
      <c r="BD157" s="40"/>
      <c r="BE157" s="40"/>
      <c r="BG157" s="24" t="s">
        <v>311</v>
      </c>
      <c r="BI157" s="42"/>
    </row>
    <row r="158" spans="1:64" s="24" customFormat="1" ht="63">
      <c r="A158" s="32">
        <f t="shared" si="19"/>
        <v>145</v>
      </c>
      <c r="B158" s="88" t="s">
        <v>573</v>
      </c>
      <c r="C158" s="102" t="s">
        <v>34</v>
      </c>
      <c r="D158" s="35">
        <f t="shared" si="15"/>
        <v>18</v>
      </c>
      <c r="E158" s="36"/>
      <c r="F158" s="35">
        <f t="shared" si="16"/>
        <v>18</v>
      </c>
      <c r="G158" s="37"/>
      <c r="H158" s="37"/>
      <c r="I158" s="37"/>
      <c r="J158" s="37"/>
      <c r="K158" s="37"/>
      <c r="L158" s="37"/>
      <c r="M158" s="37">
        <v>18</v>
      </c>
      <c r="N158" s="37"/>
      <c r="O158" s="37"/>
      <c r="P158" s="37"/>
      <c r="Q158" s="37"/>
      <c r="R158" s="37"/>
      <c r="S158" s="37"/>
      <c r="T158" s="37"/>
      <c r="U158" s="37"/>
      <c r="V158" s="37"/>
      <c r="W158" s="37"/>
      <c r="X158" s="37"/>
      <c r="Y158" s="37"/>
      <c r="Z158" s="37"/>
      <c r="AA158" s="37"/>
      <c r="AB158" s="37"/>
      <c r="AC158" s="37"/>
      <c r="AD158" s="37"/>
      <c r="AE158" s="37"/>
      <c r="AF158" s="37"/>
      <c r="AG158" s="37"/>
      <c r="AH158" s="37"/>
      <c r="AI158" s="37"/>
      <c r="AJ158" s="37"/>
      <c r="AK158" s="37"/>
      <c r="AL158" s="37"/>
      <c r="AM158" s="37"/>
      <c r="AN158" s="37"/>
      <c r="AO158" s="37"/>
      <c r="AP158" s="37"/>
      <c r="AQ158" s="37"/>
      <c r="AR158" s="37"/>
      <c r="AS158" s="37"/>
      <c r="AT158" s="37"/>
      <c r="AU158" s="37"/>
      <c r="AV158" s="37"/>
      <c r="AW158" s="37"/>
      <c r="AX158" s="37"/>
      <c r="AY158" s="34" t="s">
        <v>228</v>
      </c>
      <c r="AZ158" s="34" t="s">
        <v>579</v>
      </c>
      <c r="BA158" s="47" t="s">
        <v>298</v>
      </c>
      <c r="BB158" s="64"/>
      <c r="BC158" s="40" t="s">
        <v>575</v>
      </c>
      <c r="BD158" s="40"/>
      <c r="BE158" s="40"/>
      <c r="BI158" s="42">
        <v>1</v>
      </c>
    </row>
    <row r="159" spans="1:64" s="24" customFormat="1" ht="31.5">
      <c r="A159" s="32">
        <v>146</v>
      </c>
      <c r="B159" s="88" t="s">
        <v>573</v>
      </c>
      <c r="C159" s="102" t="s">
        <v>34</v>
      </c>
      <c r="D159" s="35">
        <f t="shared" si="15"/>
        <v>6</v>
      </c>
      <c r="E159" s="36"/>
      <c r="F159" s="35">
        <f t="shared" si="16"/>
        <v>6</v>
      </c>
      <c r="G159" s="37"/>
      <c r="H159" s="37"/>
      <c r="I159" s="37"/>
      <c r="J159" s="37"/>
      <c r="K159" s="37"/>
      <c r="L159" s="37"/>
      <c r="M159" s="37">
        <v>6</v>
      </c>
      <c r="N159" s="37"/>
      <c r="O159" s="37"/>
      <c r="P159" s="37"/>
      <c r="Q159" s="37"/>
      <c r="R159" s="37"/>
      <c r="S159" s="37"/>
      <c r="T159" s="37"/>
      <c r="U159" s="37"/>
      <c r="V159" s="37"/>
      <c r="W159" s="37"/>
      <c r="X159" s="37"/>
      <c r="Y159" s="37"/>
      <c r="Z159" s="37"/>
      <c r="AA159" s="37"/>
      <c r="AB159" s="37"/>
      <c r="AC159" s="37"/>
      <c r="AD159" s="37"/>
      <c r="AE159" s="37"/>
      <c r="AF159" s="37"/>
      <c r="AG159" s="37"/>
      <c r="AH159" s="37"/>
      <c r="AI159" s="37"/>
      <c r="AJ159" s="37"/>
      <c r="AK159" s="37"/>
      <c r="AL159" s="37"/>
      <c r="AM159" s="37"/>
      <c r="AN159" s="37"/>
      <c r="AO159" s="37"/>
      <c r="AP159" s="37"/>
      <c r="AQ159" s="37"/>
      <c r="AR159" s="37"/>
      <c r="AS159" s="37"/>
      <c r="AT159" s="37"/>
      <c r="AU159" s="37"/>
      <c r="AV159" s="37"/>
      <c r="AW159" s="37"/>
      <c r="AX159" s="37"/>
      <c r="AY159" s="34" t="s">
        <v>223</v>
      </c>
      <c r="AZ159" s="34" t="s">
        <v>580</v>
      </c>
      <c r="BA159" s="47" t="s">
        <v>298</v>
      </c>
      <c r="BB159" s="64"/>
      <c r="BC159" s="40"/>
      <c r="BD159" s="40"/>
      <c r="BE159" s="40"/>
      <c r="BI159" s="42"/>
      <c r="BL159" s="24" t="s">
        <v>311</v>
      </c>
    </row>
    <row r="160" spans="1:64" s="24" customFormat="1" ht="24.6" customHeight="1">
      <c r="A160" s="20" t="s">
        <v>581</v>
      </c>
      <c r="B160" s="25" t="s">
        <v>122</v>
      </c>
      <c r="C160" s="26"/>
      <c r="D160" s="27">
        <f t="shared" si="15"/>
        <v>391.41</v>
      </c>
      <c r="E160" s="27">
        <f>SUM(E161:E208)</f>
        <v>94.63000000000001</v>
      </c>
      <c r="F160" s="27">
        <f>SUM(G160:AX160)</f>
        <v>296.78000000000003</v>
      </c>
      <c r="G160" s="28">
        <f t="shared" ref="G160:AX160" si="20">SUM(G161:G208)</f>
        <v>60.510000000000012</v>
      </c>
      <c r="H160" s="28">
        <f t="shared" si="20"/>
        <v>16.84</v>
      </c>
      <c r="I160" s="28">
        <f t="shared" si="20"/>
        <v>27.920000000000009</v>
      </c>
      <c r="J160" s="28">
        <f t="shared" si="20"/>
        <v>87.15</v>
      </c>
      <c r="K160" s="28">
        <f t="shared" si="20"/>
        <v>1.34</v>
      </c>
      <c r="L160" s="28">
        <f t="shared" si="20"/>
        <v>1.84</v>
      </c>
      <c r="M160" s="28">
        <f t="shared" si="20"/>
        <v>75.39</v>
      </c>
      <c r="N160" s="28">
        <f t="shared" si="20"/>
        <v>0</v>
      </c>
      <c r="O160" s="28">
        <f t="shared" si="20"/>
        <v>0</v>
      </c>
      <c r="P160" s="28">
        <f t="shared" si="20"/>
        <v>4.9699999999999989</v>
      </c>
      <c r="Q160" s="28">
        <f t="shared" si="20"/>
        <v>0.04</v>
      </c>
      <c r="R160" s="28">
        <f t="shared" si="20"/>
        <v>0</v>
      </c>
      <c r="S160" s="28">
        <f t="shared" si="20"/>
        <v>0</v>
      </c>
      <c r="T160" s="28">
        <f t="shared" si="20"/>
        <v>0</v>
      </c>
      <c r="U160" s="28">
        <f t="shared" si="20"/>
        <v>0</v>
      </c>
      <c r="V160" s="28">
        <f t="shared" si="20"/>
        <v>0.18</v>
      </c>
      <c r="W160" s="28">
        <f t="shared" si="20"/>
        <v>0.04</v>
      </c>
      <c r="X160" s="28">
        <f t="shared" si="20"/>
        <v>0</v>
      </c>
      <c r="Y160" s="28">
        <f t="shared" si="20"/>
        <v>0</v>
      </c>
      <c r="Z160" s="28">
        <f t="shared" si="20"/>
        <v>0</v>
      </c>
      <c r="AA160" s="28">
        <f t="shared" si="20"/>
        <v>2.3199999999999998</v>
      </c>
      <c r="AB160" s="28">
        <f t="shared" si="20"/>
        <v>0</v>
      </c>
      <c r="AC160" s="28">
        <f t="shared" si="20"/>
        <v>0</v>
      </c>
      <c r="AD160" s="28">
        <f t="shared" si="20"/>
        <v>0.06</v>
      </c>
      <c r="AE160" s="28">
        <f t="shared" si="20"/>
        <v>0</v>
      </c>
      <c r="AF160" s="28">
        <f t="shared" si="20"/>
        <v>0.01</v>
      </c>
      <c r="AG160" s="28">
        <f t="shared" si="20"/>
        <v>0</v>
      </c>
      <c r="AH160" s="28">
        <f t="shared" si="20"/>
        <v>0</v>
      </c>
      <c r="AI160" s="28">
        <f t="shared" si="20"/>
        <v>0</v>
      </c>
      <c r="AJ160" s="28">
        <f t="shared" si="20"/>
        <v>0</v>
      </c>
      <c r="AK160" s="28">
        <f t="shared" si="20"/>
        <v>0.98</v>
      </c>
      <c r="AL160" s="28">
        <f t="shared" si="20"/>
        <v>0</v>
      </c>
      <c r="AM160" s="28">
        <f t="shared" si="20"/>
        <v>0</v>
      </c>
      <c r="AN160" s="28">
        <f t="shared" si="20"/>
        <v>0.21000000000000002</v>
      </c>
      <c r="AO160" s="28">
        <f t="shared" si="20"/>
        <v>0</v>
      </c>
      <c r="AP160" s="28">
        <f t="shared" si="20"/>
        <v>12.520000000000001</v>
      </c>
      <c r="AQ160" s="28">
        <f t="shared" si="20"/>
        <v>0.95</v>
      </c>
      <c r="AR160" s="28">
        <f t="shared" si="20"/>
        <v>0</v>
      </c>
      <c r="AS160" s="28">
        <f t="shared" si="20"/>
        <v>0</v>
      </c>
      <c r="AT160" s="28">
        <f t="shared" si="20"/>
        <v>0</v>
      </c>
      <c r="AU160" s="28">
        <f t="shared" si="20"/>
        <v>1.04</v>
      </c>
      <c r="AV160" s="28">
        <f t="shared" si="20"/>
        <v>1.1900000000000002</v>
      </c>
      <c r="AW160" s="28">
        <f t="shared" si="20"/>
        <v>0</v>
      </c>
      <c r="AX160" s="28">
        <f t="shared" si="20"/>
        <v>1.28</v>
      </c>
      <c r="AY160" s="29"/>
      <c r="AZ160" s="29"/>
      <c r="BA160" s="30"/>
      <c r="BB160" s="31"/>
      <c r="BI160" s="42"/>
    </row>
    <row r="161" spans="1:63" ht="78.75">
      <c r="A161" s="32">
        <f>A159+1</f>
        <v>147</v>
      </c>
      <c r="B161" s="56" t="s">
        <v>582</v>
      </c>
      <c r="C161" s="78" t="s">
        <v>44</v>
      </c>
      <c r="D161" s="35">
        <f t="shared" si="15"/>
        <v>138.48000000000002</v>
      </c>
      <c r="E161" s="35">
        <v>24.03</v>
      </c>
      <c r="F161" s="35">
        <f>SUM(G161:AX161)</f>
        <v>114.45</v>
      </c>
      <c r="G161" s="43">
        <v>30.55</v>
      </c>
      <c r="H161" s="43">
        <v>5.14</v>
      </c>
      <c r="I161" s="43">
        <f>7.11+0.47</f>
        <v>7.58</v>
      </c>
      <c r="J161" s="43">
        <v>36.270000000000003</v>
      </c>
      <c r="K161" s="43"/>
      <c r="L161" s="43">
        <f>2.31-0.47</f>
        <v>1.84</v>
      </c>
      <c r="M161" s="43">
        <v>23.68</v>
      </c>
      <c r="N161" s="43"/>
      <c r="O161" s="43"/>
      <c r="P161" s="43">
        <v>2.0299999999999998</v>
      </c>
      <c r="Q161" s="43"/>
      <c r="R161" s="43"/>
      <c r="S161" s="43"/>
      <c r="T161" s="43"/>
      <c r="U161" s="43"/>
      <c r="V161" s="43"/>
      <c r="W161" s="43"/>
      <c r="X161" s="43"/>
      <c r="Y161" s="43"/>
      <c r="Z161" s="43"/>
      <c r="AA161" s="43">
        <v>0.94</v>
      </c>
      <c r="AB161" s="43"/>
      <c r="AC161" s="43"/>
      <c r="AD161" s="43"/>
      <c r="AE161" s="43"/>
      <c r="AF161" s="43"/>
      <c r="AG161" s="43"/>
      <c r="AH161" s="43"/>
      <c r="AI161" s="43"/>
      <c r="AJ161" s="43"/>
      <c r="AK161" s="43">
        <v>0.8</v>
      </c>
      <c r="AL161" s="43"/>
      <c r="AM161" s="43"/>
      <c r="AN161" s="43">
        <v>0.04</v>
      </c>
      <c r="AO161" s="43"/>
      <c r="AP161" s="43">
        <v>3.4</v>
      </c>
      <c r="AQ161" s="43"/>
      <c r="AR161" s="43"/>
      <c r="AS161" s="43"/>
      <c r="AT161" s="43"/>
      <c r="AU161" s="43">
        <v>0.69</v>
      </c>
      <c r="AV161" s="43">
        <v>1.02</v>
      </c>
      <c r="AW161" s="43"/>
      <c r="AX161" s="43">
        <v>0.47</v>
      </c>
      <c r="AY161" s="103" t="s">
        <v>583</v>
      </c>
      <c r="AZ161" s="34"/>
      <c r="BA161" s="63" t="s">
        <v>291</v>
      </c>
      <c r="BB161" s="64"/>
      <c r="BG161" s="15" t="s">
        <v>584</v>
      </c>
      <c r="BI161" s="42">
        <v>1</v>
      </c>
    </row>
    <row r="162" spans="1:63" ht="47.25">
      <c r="A162" s="32">
        <f>A161+1</f>
        <v>148</v>
      </c>
      <c r="B162" s="56" t="s">
        <v>585</v>
      </c>
      <c r="C162" s="78" t="s">
        <v>44</v>
      </c>
      <c r="D162" s="35">
        <f t="shared" si="15"/>
        <v>47.24</v>
      </c>
      <c r="E162" s="35">
        <v>15.93</v>
      </c>
      <c r="F162" s="35">
        <f t="shared" ref="F162:F208" si="21">SUM(G162:AX162)</f>
        <v>31.310000000000002</v>
      </c>
      <c r="G162" s="43">
        <v>4.72</v>
      </c>
      <c r="H162" s="43">
        <v>0.04</v>
      </c>
      <c r="I162" s="43">
        <v>2.73</v>
      </c>
      <c r="J162" s="43">
        <v>4.9800000000000004</v>
      </c>
      <c r="K162" s="43"/>
      <c r="L162" s="43"/>
      <c r="M162" s="43">
        <v>12.66</v>
      </c>
      <c r="N162" s="43"/>
      <c r="O162" s="43"/>
      <c r="P162" s="43">
        <v>1.1499999999999999</v>
      </c>
      <c r="Q162" s="43"/>
      <c r="R162" s="43"/>
      <c r="S162" s="43"/>
      <c r="T162" s="43"/>
      <c r="U162" s="43"/>
      <c r="V162" s="43"/>
      <c r="W162" s="43"/>
      <c r="X162" s="43"/>
      <c r="Y162" s="43"/>
      <c r="Z162" s="43"/>
      <c r="AA162" s="104">
        <v>0.56999999999999995</v>
      </c>
      <c r="AB162" s="43"/>
      <c r="AC162" s="43"/>
      <c r="AD162" s="43">
        <v>0.06</v>
      </c>
      <c r="AE162" s="43"/>
      <c r="AF162" s="43"/>
      <c r="AG162" s="43"/>
      <c r="AH162" s="43"/>
      <c r="AI162" s="43"/>
      <c r="AJ162" s="43"/>
      <c r="AK162" s="43"/>
      <c r="AL162" s="43"/>
      <c r="AM162" s="43"/>
      <c r="AN162" s="43"/>
      <c r="AO162" s="43"/>
      <c r="AP162" s="104">
        <v>4.1900000000000004</v>
      </c>
      <c r="AQ162" s="43"/>
      <c r="AR162" s="43"/>
      <c r="AS162" s="43"/>
      <c r="AT162" s="43"/>
      <c r="AU162" s="43"/>
      <c r="AV162" s="43"/>
      <c r="AW162" s="43"/>
      <c r="AX162" s="43">
        <v>0.21</v>
      </c>
      <c r="AY162" s="103" t="s">
        <v>586</v>
      </c>
      <c r="AZ162" s="34"/>
      <c r="BA162" s="39" t="s">
        <v>291</v>
      </c>
      <c r="BB162" s="40"/>
      <c r="BG162" s="15" t="s">
        <v>587</v>
      </c>
      <c r="BI162" s="42">
        <v>1</v>
      </c>
    </row>
    <row r="163" spans="1:63" s="24" customFormat="1" ht="49.35" customHeight="1">
      <c r="A163" s="32">
        <f>A162+1</f>
        <v>149</v>
      </c>
      <c r="B163" s="33" t="s">
        <v>588</v>
      </c>
      <c r="C163" s="78" t="s">
        <v>44</v>
      </c>
      <c r="D163" s="35">
        <f t="shared" si="15"/>
        <v>24.870000000000005</v>
      </c>
      <c r="E163" s="35">
        <v>5.26</v>
      </c>
      <c r="F163" s="35">
        <f t="shared" si="21"/>
        <v>19.610000000000003</v>
      </c>
      <c r="G163" s="43">
        <v>7.12</v>
      </c>
      <c r="H163" s="43">
        <v>0.91</v>
      </c>
      <c r="I163" s="43">
        <v>0.11</v>
      </c>
      <c r="J163" s="43">
        <f>0.79+0.05</f>
        <v>0.84000000000000008</v>
      </c>
      <c r="K163" s="43"/>
      <c r="L163" s="43"/>
      <c r="M163" s="43">
        <f>8.12+1.01</f>
        <v>9.129999999999999</v>
      </c>
      <c r="N163" s="43"/>
      <c r="O163" s="43"/>
      <c r="P163" s="43">
        <f>0.73+0.04</f>
        <v>0.77</v>
      </c>
      <c r="Q163" s="43"/>
      <c r="R163" s="43"/>
      <c r="S163" s="43"/>
      <c r="T163" s="43"/>
      <c r="U163" s="43"/>
      <c r="V163" s="43"/>
      <c r="W163" s="43"/>
      <c r="X163" s="43"/>
      <c r="Y163" s="43"/>
      <c r="Z163" s="43"/>
      <c r="AA163" s="43">
        <v>0.37</v>
      </c>
      <c r="AB163" s="43"/>
      <c r="AC163" s="43"/>
      <c r="AD163" s="43"/>
      <c r="AE163" s="43"/>
      <c r="AF163" s="43"/>
      <c r="AG163" s="43"/>
      <c r="AH163" s="43"/>
      <c r="AI163" s="43"/>
      <c r="AJ163" s="43"/>
      <c r="AK163" s="43"/>
      <c r="AL163" s="43"/>
      <c r="AM163" s="43"/>
      <c r="AN163" s="43">
        <v>0.09</v>
      </c>
      <c r="AO163" s="43"/>
      <c r="AP163" s="43">
        <f>0.11+0.08</f>
        <v>0.19</v>
      </c>
      <c r="AQ163" s="43"/>
      <c r="AR163" s="43"/>
      <c r="AS163" s="43"/>
      <c r="AT163" s="43"/>
      <c r="AU163" s="43"/>
      <c r="AV163" s="43">
        <v>7.0000000000000007E-2</v>
      </c>
      <c r="AW163" s="43"/>
      <c r="AX163" s="43">
        <v>0.01</v>
      </c>
      <c r="AY163" s="103" t="s">
        <v>589</v>
      </c>
      <c r="AZ163" s="103"/>
      <c r="BA163" s="39" t="s">
        <v>291</v>
      </c>
      <c r="BB163" s="40"/>
      <c r="BE163" s="41"/>
      <c r="BG163" s="15" t="s">
        <v>590</v>
      </c>
      <c r="BI163" s="42">
        <v>1</v>
      </c>
    </row>
    <row r="164" spans="1:63" ht="47.25">
      <c r="A164" s="32">
        <f t="shared" ref="A164:A208" si="22">A163+1</f>
        <v>150</v>
      </c>
      <c r="B164" s="56" t="s">
        <v>591</v>
      </c>
      <c r="C164" s="78" t="s">
        <v>44</v>
      </c>
      <c r="D164" s="35">
        <f t="shared" si="15"/>
        <v>28</v>
      </c>
      <c r="E164" s="35">
        <v>19.53</v>
      </c>
      <c r="F164" s="35">
        <f t="shared" si="21"/>
        <v>8.4700000000000006</v>
      </c>
      <c r="G164" s="43">
        <v>1.33</v>
      </c>
      <c r="H164" s="43">
        <v>0.16000000000000003</v>
      </c>
      <c r="I164" s="43">
        <v>0.91999999999999993</v>
      </c>
      <c r="J164" s="43">
        <v>3.58</v>
      </c>
      <c r="K164" s="43"/>
      <c r="L164" s="43"/>
      <c r="M164" s="43">
        <v>2.04</v>
      </c>
      <c r="N164" s="43"/>
      <c r="O164" s="43"/>
      <c r="P164" s="43">
        <v>0.36000000000000004</v>
      </c>
      <c r="Q164" s="43"/>
      <c r="R164" s="43"/>
      <c r="S164" s="43"/>
      <c r="T164" s="43"/>
      <c r="U164" s="43"/>
      <c r="V164" s="43"/>
      <c r="W164" s="43"/>
      <c r="X164" s="43"/>
      <c r="Y164" s="43"/>
      <c r="Z164" s="43"/>
      <c r="AA164" s="43"/>
      <c r="AB164" s="43"/>
      <c r="AC164" s="43"/>
      <c r="AD164" s="43"/>
      <c r="AE164" s="43"/>
      <c r="AF164" s="43"/>
      <c r="AG164" s="43"/>
      <c r="AH164" s="43"/>
      <c r="AI164" s="43"/>
      <c r="AJ164" s="43"/>
      <c r="AK164" s="43"/>
      <c r="AL164" s="43"/>
      <c r="AM164" s="43"/>
      <c r="AN164" s="43"/>
      <c r="AO164" s="43"/>
      <c r="AP164" s="43">
        <v>0.08</v>
      </c>
      <c r="AQ164" s="43"/>
      <c r="AR164" s="43"/>
      <c r="AS164" s="43"/>
      <c r="AT164" s="43"/>
      <c r="AU164" s="43"/>
      <c r="AV164" s="43"/>
      <c r="AW164" s="43"/>
      <c r="AX164" s="43"/>
      <c r="AY164" s="103" t="s">
        <v>592</v>
      </c>
      <c r="AZ164" s="103"/>
      <c r="BA164" s="39" t="s">
        <v>291</v>
      </c>
      <c r="BB164" s="40"/>
      <c r="BE164" s="41"/>
      <c r="BI164" s="42">
        <v>1</v>
      </c>
    </row>
    <row r="165" spans="1:63" ht="50.45" customHeight="1">
      <c r="A165" s="32">
        <f t="shared" si="22"/>
        <v>151</v>
      </c>
      <c r="B165" s="33" t="s">
        <v>593</v>
      </c>
      <c r="C165" s="78" t="s">
        <v>44</v>
      </c>
      <c r="D165" s="35">
        <f t="shared" si="15"/>
        <v>12.399999999999999</v>
      </c>
      <c r="E165" s="35">
        <v>0.2</v>
      </c>
      <c r="F165" s="35">
        <f>SUM(G165:AX165)</f>
        <v>12.2</v>
      </c>
      <c r="G165" s="43">
        <v>0.89</v>
      </c>
      <c r="H165" s="43">
        <v>0.53</v>
      </c>
      <c r="I165" s="43">
        <v>0.35</v>
      </c>
      <c r="J165" s="43">
        <v>1.73</v>
      </c>
      <c r="K165" s="105">
        <v>1.34</v>
      </c>
      <c r="L165" s="105"/>
      <c r="M165" s="105">
        <v>5.49</v>
      </c>
      <c r="N165" s="105"/>
      <c r="O165" s="105"/>
      <c r="P165" s="105">
        <v>0.16</v>
      </c>
      <c r="Q165" s="105">
        <v>0.04</v>
      </c>
      <c r="R165" s="105"/>
      <c r="S165" s="105"/>
      <c r="T165" s="105"/>
      <c r="U165" s="105"/>
      <c r="V165" s="105"/>
      <c r="W165" s="105"/>
      <c r="X165" s="105"/>
      <c r="Y165" s="105"/>
      <c r="Z165" s="105"/>
      <c r="AA165" s="105">
        <v>0.11</v>
      </c>
      <c r="AB165" s="105"/>
      <c r="AC165" s="105"/>
      <c r="AD165" s="105"/>
      <c r="AE165" s="105"/>
      <c r="AF165" s="105"/>
      <c r="AG165" s="105"/>
      <c r="AH165" s="105"/>
      <c r="AI165" s="105"/>
      <c r="AJ165" s="105"/>
      <c r="AK165" s="105">
        <v>0.1</v>
      </c>
      <c r="AL165" s="105"/>
      <c r="AM165" s="105"/>
      <c r="AN165" s="105"/>
      <c r="AO165" s="105"/>
      <c r="AP165" s="105">
        <v>1.07</v>
      </c>
      <c r="AQ165" s="105"/>
      <c r="AR165" s="105"/>
      <c r="AS165" s="105"/>
      <c r="AT165" s="105"/>
      <c r="AU165" s="105">
        <v>0.34</v>
      </c>
      <c r="AV165" s="105"/>
      <c r="AW165" s="105"/>
      <c r="AX165" s="105">
        <v>0.05</v>
      </c>
      <c r="AY165" s="103" t="s">
        <v>594</v>
      </c>
      <c r="AZ165" s="103"/>
      <c r="BA165" s="63" t="s">
        <v>291</v>
      </c>
      <c r="BB165" s="64"/>
      <c r="BC165" s="58"/>
      <c r="BD165" s="58"/>
      <c r="BE165" s="41"/>
      <c r="BG165" s="58" t="s">
        <v>595</v>
      </c>
      <c r="BI165" s="42">
        <v>1</v>
      </c>
    </row>
    <row r="166" spans="1:63" s="24" customFormat="1" ht="48" customHeight="1">
      <c r="A166" s="32">
        <f>A165+1</f>
        <v>152</v>
      </c>
      <c r="B166" s="88" t="s">
        <v>596</v>
      </c>
      <c r="C166" s="78" t="s">
        <v>44</v>
      </c>
      <c r="D166" s="35">
        <f t="shared" si="15"/>
        <v>4.4000000000000004</v>
      </c>
      <c r="E166" s="35"/>
      <c r="F166" s="35">
        <f t="shared" si="21"/>
        <v>4.4000000000000004</v>
      </c>
      <c r="G166" s="37">
        <v>0.6</v>
      </c>
      <c r="H166" s="37">
        <v>1.1000000000000001</v>
      </c>
      <c r="I166" s="37"/>
      <c r="J166" s="37"/>
      <c r="K166" s="37"/>
      <c r="L166" s="37"/>
      <c r="M166" s="37">
        <v>1.9</v>
      </c>
      <c r="N166" s="37"/>
      <c r="O166" s="37"/>
      <c r="P166" s="37"/>
      <c r="Q166" s="37"/>
      <c r="R166" s="37"/>
      <c r="S166" s="37"/>
      <c r="T166" s="37"/>
      <c r="U166" s="37"/>
      <c r="V166" s="37"/>
      <c r="W166" s="37"/>
      <c r="X166" s="37"/>
      <c r="Y166" s="37"/>
      <c r="Z166" s="37"/>
      <c r="AA166" s="37"/>
      <c r="AB166" s="37"/>
      <c r="AC166" s="37"/>
      <c r="AD166" s="37"/>
      <c r="AE166" s="37"/>
      <c r="AF166" s="37"/>
      <c r="AG166" s="37"/>
      <c r="AH166" s="37"/>
      <c r="AI166" s="37"/>
      <c r="AJ166" s="37"/>
      <c r="AK166" s="37"/>
      <c r="AL166" s="37"/>
      <c r="AM166" s="37"/>
      <c r="AN166" s="37"/>
      <c r="AO166" s="37"/>
      <c r="AP166" s="37">
        <v>0.8</v>
      </c>
      <c r="AQ166" s="37"/>
      <c r="AR166" s="37"/>
      <c r="AS166" s="37"/>
      <c r="AT166" s="37"/>
      <c r="AU166" s="37"/>
      <c r="AV166" s="37"/>
      <c r="AW166" s="37"/>
      <c r="AX166" s="37"/>
      <c r="AY166" s="34" t="s">
        <v>597</v>
      </c>
      <c r="AZ166" s="34"/>
      <c r="BA166" s="39" t="s">
        <v>291</v>
      </c>
      <c r="BB166" s="40"/>
      <c r="BD166" s="24" t="s">
        <v>598</v>
      </c>
      <c r="BE166" s="41"/>
      <c r="BI166" s="42">
        <v>1</v>
      </c>
    </row>
    <row r="167" spans="1:63" s="49" customFormat="1" ht="23.1" customHeight="1">
      <c r="A167" s="32">
        <f t="shared" si="22"/>
        <v>153</v>
      </c>
      <c r="B167" s="88" t="s">
        <v>599</v>
      </c>
      <c r="C167" s="78" t="s">
        <v>44</v>
      </c>
      <c r="D167" s="35">
        <f t="shared" si="15"/>
        <v>34</v>
      </c>
      <c r="E167" s="67">
        <v>24.25</v>
      </c>
      <c r="F167" s="35">
        <f t="shared" si="21"/>
        <v>9.7499999999999982</v>
      </c>
      <c r="G167" s="79">
        <v>2.8</v>
      </c>
      <c r="H167" s="79">
        <v>0.42</v>
      </c>
      <c r="I167" s="79">
        <v>0.3</v>
      </c>
      <c r="J167" s="79">
        <v>2.25</v>
      </c>
      <c r="K167" s="106"/>
      <c r="L167" s="106"/>
      <c r="M167" s="79">
        <v>3.1</v>
      </c>
      <c r="N167" s="106"/>
      <c r="O167" s="106"/>
      <c r="P167" s="79">
        <v>0.2</v>
      </c>
      <c r="Q167" s="106"/>
      <c r="R167" s="106"/>
      <c r="S167" s="106"/>
      <c r="T167" s="106"/>
      <c r="U167" s="106"/>
      <c r="V167" s="106"/>
      <c r="W167" s="106"/>
      <c r="X167" s="106"/>
      <c r="Y167" s="106"/>
      <c r="Z167" s="106"/>
      <c r="AA167" s="106">
        <v>0.18</v>
      </c>
      <c r="AB167" s="106"/>
      <c r="AC167" s="106"/>
      <c r="AD167" s="106"/>
      <c r="AE167" s="106"/>
      <c r="AF167" s="106"/>
      <c r="AG167" s="106"/>
      <c r="AH167" s="106"/>
      <c r="AI167" s="106"/>
      <c r="AJ167" s="106"/>
      <c r="AK167" s="106"/>
      <c r="AL167" s="106"/>
      <c r="AM167" s="106"/>
      <c r="AN167" s="106"/>
      <c r="AO167" s="106"/>
      <c r="AP167" s="106">
        <v>0.4</v>
      </c>
      <c r="AQ167" s="106"/>
      <c r="AR167" s="106"/>
      <c r="AS167" s="106"/>
      <c r="AT167" s="106"/>
      <c r="AU167" s="106"/>
      <c r="AV167" s="106">
        <v>0.1</v>
      </c>
      <c r="AW167" s="106"/>
      <c r="AX167" s="106"/>
      <c r="AY167" s="34" t="s">
        <v>233</v>
      </c>
      <c r="AZ167" s="47"/>
      <c r="BA167" s="93" t="s">
        <v>291</v>
      </c>
      <c r="BB167" s="50"/>
      <c r="BI167" s="42">
        <v>1</v>
      </c>
      <c r="BK167" s="50"/>
    </row>
    <row r="168" spans="1:63" s="49" customFormat="1" ht="47.25">
      <c r="A168" s="32">
        <f t="shared" si="22"/>
        <v>154</v>
      </c>
      <c r="B168" s="44" t="s">
        <v>600</v>
      </c>
      <c r="C168" s="78" t="s">
        <v>44</v>
      </c>
      <c r="D168" s="35">
        <f t="shared" si="15"/>
        <v>2</v>
      </c>
      <c r="E168" s="45">
        <v>0.31</v>
      </c>
      <c r="F168" s="35">
        <f>SUM(G168:AX168)</f>
        <v>1.6900000000000002</v>
      </c>
      <c r="G168" s="46">
        <v>0.1</v>
      </c>
      <c r="H168" s="46">
        <v>0.09</v>
      </c>
      <c r="I168" s="46">
        <v>0.3</v>
      </c>
      <c r="J168" s="46">
        <v>0.92</v>
      </c>
      <c r="K168" s="46"/>
      <c r="L168" s="46"/>
      <c r="M168" s="46"/>
      <c r="N168" s="46"/>
      <c r="O168" s="46"/>
      <c r="P168" s="46">
        <v>0.06</v>
      </c>
      <c r="Q168" s="46"/>
      <c r="R168" s="46"/>
      <c r="S168" s="46"/>
      <c r="T168" s="46"/>
      <c r="U168" s="46"/>
      <c r="V168" s="46"/>
      <c r="W168" s="46"/>
      <c r="X168" s="46"/>
      <c r="Y168" s="46"/>
      <c r="Z168" s="46"/>
      <c r="AA168" s="46">
        <v>0.05</v>
      </c>
      <c r="AB168" s="46"/>
      <c r="AC168" s="46"/>
      <c r="AD168" s="46"/>
      <c r="AE168" s="46"/>
      <c r="AF168" s="46"/>
      <c r="AG168" s="46"/>
      <c r="AH168" s="46"/>
      <c r="AI168" s="46"/>
      <c r="AJ168" s="46"/>
      <c r="AK168" s="46"/>
      <c r="AL168" s="46"/>
      <c r="AM168" s="46"/>
      <c r="AN168" s="46"/>
      <c r="AO168" s="46"/>
      <c r="AP168" s="46">
        <v>0.15</v>
      </c>
      <c r="AQ168" s="46"/>
      <c r="AR168" s="46"/>
      <c r="AS168" s="46"/>
      <c r="AT168" s="46"/>
      <c r="AU168" s="46"/>
      <c r="AV168" s="46"/>
      <c r="AW168" s="46"/>
      <c r="AX168" s="46">
        <v>0.02</v>
      </c>
      <c r="AY168" s="47" t="s">
        <v>224</v>
      </c>
      <c r="AZ168" s="34" t="s">
        <v>389</v>
      </c>
      <c r="BA168" s="47" t="s">
        <v>291</v>
      </c>
      <c r="BB168" s="48"/>
      <c r="BI168" s="42">
        <v>1</v>
      </c>
      <c r="BK168" s="50"/>
    </row>
    <row r="169" spans="1:63" ht="34.35" customHeight="1">
      <c r="A169" s="32">
        <f t="shared" si="22"/>
        <v>155</v>
      </c>
      <c r="B169" s="56" t="s">
        <v>601</v>
      </c>
      <c r="C169" s="78" t="s">
        <v>44</v>
      </c>
      <c r="D169" s="35">
        <f t="shared" si="15"/>
        <v>3</v>
      </c>
      <c r="E169" s="35"/>
      <c r="F169" s="35">
        <f>SUM(G169:AX169)</f>
        <v>3</v>
      </c>
      <c r="G169" s="43">
        <v>0.3</v>
      </c>
      <c r="H169" s="43"/>
      <c r="I169" s="43"/>
      <c r="J169" s="43">
        <v>2.1</v>
      </c>
      <c r="K169" s="37"/>
      <c r="L169" s="43"/>
      <c r="M169" s="37">
        <v>0.6</v>
      </c>
      <c r="N169" s="43"/>
      <c r="O169" s="43"/>
      <c r="P169" s="43"/>
      <c r="Q169" s="43"/>
      <c r="R169" s="43"/>
      <c r="S169" s="43"/>
      <c r="T169" s="43"/>
      <c r="U169" s="43"/>
      <c r="V169" s="43"/>
      <c r="W169" s="43"/>
      <c r="X169" s="43"/>
      <c r="Y169" s="43"/>
      <c r="Z169" s="43"/>
      <c r="AA169" s="43"/>
      <c r="AB169" s="43"/>
      <c r="AC169" s="43"/>
      <c r="AD169" s="43"/>
      <c r="AE169" s="43"/>
      <c r="AF169" s="43"/>
      <c r="AG169" s="43"/>
      <c r="AH169" s="43"/>
      <c r="AI169" s="43"/>
      <c r="AJ169" s="43"/>
      <c r="AK169" s="43"/>
      <c r="AL169" s="43"/>
      <c r="AM169" s="43"/>
      <c r="AN169" s="43"/>
      <c r="AO169" s="43"/>
      <c r="AP169" s="43"/>
      <c r="AQ169" s="43"/>
      <c r="AR169" s="43"/>
      <c r="AS169" s="43"/>
      <c r="AT169" s="43"/>
      <c r="AU169" s="43"/>
      <c r="AV169" s="43"/>
      <c r="AW169" s="43"/>
      <c r="AX169" s="43"/>
      <c r="AY169" s="34" t="s">
        <v>228</v>
      </c>
      <c r="AZ169" s="34"/>
      <c r="BA169" s="47" t="s">
        <v>291</v>
      </c>
      <c r="BB169" s="48"/>
      <c r="BC169" s="40"/>
      <c r="BD169" s="40" t="s">
        <v>602</v>
      </c>
      <c r="BE169" s="41"/>
      <c r="BI169" s="42">
        <v>1</v>
      </c>
    </row>
    <row r="170" spans="1:63" s="24" customFormat="1" ht="36" customHeight="1">
      <c r="A170" s="32">
        <f t="shared" si="22"/>
        <v>156</v>
      </c>
      <c r="B170" s="33" t="s">
        <v>603</v>
      </c>
      <c r="C170" s="78" t="s">
        <v>44</v>
      </c>
      <c r="D170" s="35">
        <f t="shared" si="15"/>
        <v>6.4</v>
      </c>
      <c r="E170" s="35">
        <v>4.54</v>
      </c>
      <c r="F170" s="35">
        <f>SUM(G170:AX170)</f>
        <v>1.86</v>
      </c>
      <c r="G170" s="43">
        <v>0.2</v>
      </c>
      <c r="H170" s="43"/>
      <c r="I170" s="43"/>
      <c r="J170" s="43">
        <v>0.35</v>
      </c>
      <c r="K170" s="43"/>
      <c r="L170" s="43"/>
      <c r="M170" s="43">
        <v>1.21</v>
      </c>
      <c r="N170" s="43"/>
      <c r="O170" s="43"/>
      <c r="P170" s="43"/>
      <c r="Q170" s="43"/>
      <c r="R170" s="43"/>
      <c r="S170" s="43"/>
      <c r="T170" s="43"/>
      <c r="U170" s="43"/>
      <c r="V170" s="43"/>
      <c r="W170" s="43"/>
      <c r="X170" s="43"/>
      <c r="Y170" s="43"/>
      <c r="Z170" s="43"/>
      <c r="AA170" s="43"/>
      <c r="AB170" s="43"/>
      <c r="AC170" s="43"/>
      <c r="AD170" s="43"/>
      <c r="AE170" s="43"/>
      <c r="AF170" s="43"/>
      <c r="AG170" s="43"/>
      <c r="AH170" s="43"/>
      <c r="AI170" s="43"/>
      <c r="AJ170" s="43"/>
      <c r="AK170" s="43"/>
      <c r="AL170" s="43"/>
      <c r="AM170" s="43"/>
      <c r="AN170" s="43"/>
      <c r="AO170" s="43"/>
      <c r="AP170" s="43">
        <v>0.1</v>
      </c>
      <c r="AQ170" s="43"/>
      <c r="AR170" s="43"/>
      <c r="AS170" s="43"/>
      <c r="AT170" s="43"/>
      <c r="AU170" s="43"/>
      <c r="AV170" s="43"/>
      <c r="AW170" s="43"/>
      <c r="AX170" s="43"/>
      <c r="AY170" s="103" t="s">
        <v>241</v>
      </c>
      <c r="AZ170" s="103"/>
      <c r="BA170" s="39" t="s">
        <v>291</v>
      </c>
      <c r="BB170" s="40"/>
      <c r="BC170" s="40"/>
      <c r="BD170" s="40" t="s">
        <v>604</v>
      </c>
      <c r="BE170" s="41"/>
      <c r="BI170" s="42">
        <v>1</v>
      </c>
    </row>
    <row r="171" spans="1:63" ht="31.5">
      <c r="A171" s="32">
        <f t="shared" si="22"/>
        <v>157</v>
      </c>
      <c r="B171" s="56" t="s">
        <v>605</v>
      </c>
      <c r="C171" s="78" t="s">
        <v>44</v>
      </c>
      <c r="D171" s="35">
        <f t="shared" si="15"/>
        <v>1.55</v>
      </c>
      <c r="E171" s="35"/>
      <c r="F171" s="35">
        <f>SUM(G171:AX171)</f>
        <v>1.55</v>
      </c>
      <c r="G171" s="43">
        <v>0.45</v>
      </c>
      <c r="H171" s="43"/>
      <c r="I171" s="43">
        <v>0.3</v>
      </c>
      <c r="J171" s="43">
        <v>0.44</v>
      </c>
      <c r="K171" s="43"/>
      <c r="L171" s="43"/>
      <c r="M171" s="43"/>
      <c r="N171" s="43"/>
      <c r="O171" s="43"/>
      <c r="P171" s="43"/>
      <c r="Q171" s="43"/>
      <c r="R171" s="43"/>
      <c r="S171" s="43"/>
      <c r="T171" s="43"/>
      <c r="U171" s="43"/>
      <c r="V171" s="43">
        <v>0.1</v>
      </c>
      <c r="W171" s="43"/>
      <c r="X171" s="43"/>
      <c r="Y171" s="43"/>
      <c r="Z171" s="43"/>
      <c r="AA171" s="43"/>
      <c r="AB171" s="43"/>
      <c r="AC171" s="43"/>
      <c r="AD171" s="43"/>
      <c r="AE171" s="43"/>
      <c r="AF171" s="43"/>
      <c r="AG171" s="43"/>
      <c r="AH171" s="43"/>
      <c r="AI171" s="43"/>
      <c r="AJ171" s="43"/>
      <c r="AK171" s="43"/>
      <c r="AL171" s="43"/>
      <c r="AM171" s="43"/>
      <c r="AN171" s="43"/>
      <c r="AO171" s="43"/>
      <c r="AP171" s="43">
        <v>0.06</v>
      </c>
      <c r="AQ171" s="43">
        <v>0.2</v>
      </c>
      <c r="AR171" s="43"/>
      <c r="AS171" s="43"/>
      <c r="AT171" s="43"/>
      <c r="AU171" s="43"/>
      <c r="AV171" s="43"/>
      <c r="AW171" s="43"/>
      <c r="AX171" s="43"/>
      <c r="AY171" s="34" t="s">
        <v>606</v>
      </c>
      <c r="AZ171" s="34"/>
      <c r="BA171" s="63" t="s">
        <v>291</v>
      </c>
      <c r="BB171" s="64"/>
      <c r="BI171" s="42">
        <v>1</v>
      </c>
    </row>
    <row r="172" spans="1:63" ht="20.85" customHeight="1">
      <c r="A172" s="32">
        <f t="shared" si="22"/>
        <v>158</v>
      </c>
      <c r="B172" s="33" t="s">
        <v>607</v>
      </c>
      <c r="C172" s="78" t="s">
        <v>44</v>
      </c>
      <c r="D172" s="35">
        <f t="shared" si="15"/>
        <v>4.9000000000000004</v>
      </c>
      <c r="E172" s="36"/>
      <c r="F172" s="35">
        <f>SUM(G172:AX172)</f>
        <v>4.9000000000000004</v>
      </c>
      <c r="G172" s="79"/>
      <c r="H172" s="79">
        <v>0.4</v>
      </c>
      <c r="I172" s="79">
        <v>4.5</v>
      </c>
      <c r="J172" s="79"/>
      <c r="K172" s="79"/>
      <c r="L172" s="79"/>
      <c r="M172" s="79"/>
      <c r="N172" s="79"/>
      <c r="O172" s="79"/>
      <c r="P172" s="79"/>
      <c r="Q172" s="79"/>
      <c r="R172" s="79"/>
      <c r="S172" s="79"/>
      <c r="T172" s="79"/>
      <c r="U172" s="79"/>
      <c r="V172" s="79"/>
      <c r="W172" s="79"/>
      <c r="X172" s="79"/>
      <c r="Y172" s="79"/>
      <c r="Z172" s="79"/>
      <c r="AA172" s="79"/>
      <c r="AB172" s="79"/>
      <c r="AC172" s="79"/>
      <c r="AD172" s="79"/>
      <c r="AE172" s="79"/>
      <c r="AF172" s="79"/>
      <c r="AG172" s="79"/>
      <c r="AH172" s="79"/>
      <c r="AI172" s="79"/>
      <c r="AJ172" s="79"/>
      <c r="AK172" s="79"/>
      <c r="AL172" s="79"/>
      <c r="AM172" s="79"/>
      <c r="AN172" s="79"/>
      <c r="AO172" s="79"/>
      <c r="AP172" s="79"/>
      <c r="AQ172" s="79"/>
      <c r="AR172" s="79"/>
      <c r="AS172" s="79"/>
      <c r="AT172" s="79"/>
      <c r="AU172" s="79"/>
      <c r="AV172" s="79"/>
      <c r="AW172" s="79"/>
      <c r="AX172" s="79"/>
      <c r="AY172" s="47" t="s">
        <v>240</v>
      </c>
      <c r="AZ172" s="34" t="s">
        <v>387</v>
      </c>
      <c r="BA172" s="39" t="s">
        <v>291</v>
      </c>
      <c r="BB172" s="40"/>
      <c r="BE172" s="41"/>
      <c r="BI172" s="42">
        <v>1</v>
      </c>
    </row>
    <row r="173" spans="1:63" s="24" customFormat="1" ht="38.1" customHeight="1">
      <c r="A173" s="32">
        <f t="shared" si="22"/>
        <v>159</v>
      </c>
      <c r="B173" s="33" t="s">
        <v>608</v>
      </c>
      <c r="C173" s="78" t="s">
        <v>44</v>
      </c>
      <c r="D173" s="35">
        <f t="shared" si="15"/>
        <v>22.25</v>
      </c>
      <c r="E173" s="35"/>
      <c r="F173" s="35">
        <f t="shared" si="21"/>
        <v>22.25</v>
      </c>
      <c r="G173" s="43">
        <v>0.8</v>
      </c>
      <c r="H173" s="43">
        <v>1.6</v>
      </c>
      <c r="I173" s="43">
        <f>2+0.8</f>
        <v>2.8</v>
      </c>
      <c r="J173" s="43">
        <v>12</v>
      </c>
      <c r="K173" s="43"/>
      <c r="L173" s="43"/>
      <c r="M173" s="43">
        <f>4.05+0.5</f>
        <v>4.55</v>
      </c>
      <c r="N173" s="43"/>
      <c r="O173" s="43"/>
      <c r="P173" s="43"/>
      <c r="Q173" s="43"/>
      <c r="R173" s="43"/>
      <c r="S173" s="43"/>
      <c r="T173" s="43"/>
      <c r="U173" s="43"/>
      <c r="V173" s="43"/>
      <c r="W173" s="43"/>
      <c r="X173" s="43"/>
      <c r="Y173" s="43"/>
      <c r="Z173" s="43"/>
      <c r="AA173" s="43"/>
      <c r="AB173" s="43"/>
      <c r="AC173" s="43"/>
      <c r="AD173" s="43"/>
      <c r="AE173" s="43"/>
      <c r="AF173" s="43"/>
      <c r="AG173" s="43"/>
      <c r="AH173" s="43"/>
      <c r="AI173" s="43"/>
      <c r="AJ173" s="43"/>
      <c r="AK173" s="43"/>
      <c r="AL173" s="43"/>
      <c r="AM173" s="43"/>
      <c r="AN173" s="43"/>
      <c r="AO173" s="43"/>
      <c r="AP173" s="43"/>
      <c r="AQ173" s="43">
        <v>0.5</v>
      </c>
      <c r="AR173" s="43"/>
      <c r="AS173" s="43"/>
      <c r="AT173" s="43"/>
      <c r="AU173" s="43"/>
      <c r="AV173" s="43"/>
      <c r="AW173" s="43"/>
      <c r="AX173" s="43"/>
      <c r="AY173" s="103" t="s">
        <v>609</v>
      </c>
      <c r="AZ173" s="103"/>
      <c r="BA173" s="63" t="s">
        <v>291</v>
      </c>
      <c r="BB173" s="64"/>
      <c r="BC173" s="24" t="s">
        <v>610</v>
      </c>
      <c r="BE173" s="41"/>
      <c r="BI173" s="42">
        <v>1</v>
      </c>
    </row>
    <row r="174" spans="1:63" ht="63.6" customHeight="1">
      <c r="A174" s="32">
        <f t="shared" si="22"/>
        <v>160</v>
      </c>
      <c r="B174" s="88" t="s">
        <v>611</v>
      </c>
      <c r="C174" s="78" t="s">
        <v>44</v>
      </c>
      <c r="D174" s="35">
        <f t="shared" si="15"/>
        <v>1.7000000000000002</v>
      </c>
      <c r="E174" s="35"/>
      <c r="F174" s="35">
        <f t="shared" si="21"/>
        <v>1.7000000000000002</v>
      </c>
      <c r="G174" s="107">
        <v>1.1000000000000001</v>
      </c>
      <c r="H174" s="107"/>
      <c r="I174" s="107">
        <v>0.51</v>
      </c>
      <c r="J174" s="107">
        <v>0.05</v>
      </c>
      <c r="K174" s="68"/>
      <c r="L174" s="107"/>
      <c r="M174" s="107"/>
      <c r="N174" s="107"/>
      <c r="O174" s="107"/>
      <c r="P174" s="107"/>
      <c r="Q174" s="107"/>
      <c r="R174" s="107"/>
      <c r="S174" s="107"/>
      <c r="T174" s="107"/>
      <c r="U174" s="107"/>
      <c r="V174" s="107"/>
      <c r="W174" s="107"/>
      <c r="X174" s="107"/>
      <c r="Y174" s="107"/>
      <c r="Z174" s="107"/>
      <c r="AA174" s="107">
        <v>0.04</v>
      </c>
      <c r="AB174" s="107"/>
      <c r="AC174" s="107"/>
      <c r="AD174" s="107"/>
      <c r="AE174" s="107"/>
      <c r="AF174" s="107"/>
      <c r="AG174" s="107"/>
      <c r="AH174" s="107"/>
      <c r="AI174" s="107"/>
      <c r="AJ174" s="107"/>
      <c r="AK174" s="107"/>
      <c r="AL174" s="107"/>
      <c r="AM174" s="107"/>
      <c r="AN174" s="107"/>
      <c r="AO174" s="107"/>
      <c r="AP174" s="107"/>
      <c r="AQ174" s="107"/>
      <c r="AR174" s="107"/>
      <c r="AS174" s="107"/>
      <c r="AT174" s="107"/>
      <c r="AU174" s="107"/>
      <c r="AV174" s="107"/>
      <c r="AW174" s="107"/>
      <c r="AX174" s="107"/>
      <c r="AY174" s="34" t="s">
        <v>225</v>
      </c>
      <c r="AZ174" s="34" t="s">
        <v>612</v>
      </c>
      <c r="BA174" s="63" t="s">
        <v>291</v>
      </c>
      <c r="BB174" s="64"/>
      <c r="BD174" s="15" t="s">
        <v>613</v>
      </c>
      <c r="BE174" s="41"/>
      <c r="BI174" s="42">
        <v>1</v>
      </c>
    </row>
    <row r="175" spans="1:63" ht="20.100000000000001" customHeight="1">
      <c r="A175" s="32">
        <f t="shared" si="22"/>
        <v>161</v>
      </c>
      <c r="B175" s="33" t="s">
        <v>614</v>
      </c>
      <c r="C175" s="78" t="s">
        <v>44</v>
      </c>
      <c r="D175" s="35">
        <f t="shared" si="15"/>
        <v>1.54</v>
      </c>
      <c r="E175" s="35"/>
      <c r="F175" s="35">
        <f t="shared" si="21"/>
        <v>1.54</v>
      </c>
      <c r="G175" s="43">
        <v>0.52</v>
      </c>
      <c r="H175" s="43"/>
      <c r="I175" s="43">
        <v>0.27</v>
      </c>
      <c r="J175" s="43">
        <v>0.36</v>
      </c>
      <c r="K175" s="43"/>
      <c r="L175" s="43"/>
      <c r="M175" s="43">
        <v>0.39</v>
      </c>
      <c r="N175" s="43"/>
      <c r="O175" s="43"/>
      <c r="P175" s="43"/>
      <c r="Q175" s="43"/>
      <c r="R175" s="43"/>
      <c r="S175" s="43"/>
      <c r="T175" s="43"/>
      <c r="U175" s="43"/>
      <c r="V175" s="43"/>
      <c r="W175" s="43"/>
      <c r="X175" s="43"/>
      <c r="Y175" s="43"/>
      <c r="Z175" s="43"/>
      <c r="AA175" s="43"/>
      <c r="AB175" s="43"/>
      <c r="AC175" s="43"/>
      <c r="AD175" s="43"/>
      <c r="AE175" s="43"/>
      <c r="AF175" s="43"/>
      <c r="AG175" s="43"/>
      <c r="AH175" s="43"/>
      <c r="AI175" s="43"/>
      <c r="AJ175" s="43"/>
      <c r="AK175" s="43"/>
      <c r="AL175" s="43"/>
      <c r="AM175" s="43"/>
      <c r="AN175" s="43"/>
      <c r="AO175" s="43"/>
      <c r="AP175" s="43"/>
      <c r="AQ175" s="43"/>
      <c r="AR175" s="43"/>
      <c r="AS175" s="43"/>
      <c r="AT175" s="43"/>
      <c r="AU175" s="43"/>
      <c r="AV175" s="43"/>
      <c r="AW175" s="43"/>
      <c r="AX175" s="43"/>
      <c r="AY175" s="103" t="s">
        <v>317</v>
      </c>
      <c r="AZ175" s="34" t="s">
        <v>615</v>
      </c>
      <c r="BA175" s="39" t="s">
        <v>291</v>
      </c>
      <c r="BB175" s="40"/>
      <c r="BC175" s="15" t="s">
        <v>616</v>
      </c>
      <c r="BI175" s="42">
        <v>1</v>
      </c>
    </row>
    <row r="176" spans="1:63" ht="20.100000000000001" customHeight="1">
      <c r="A176" s="32">
        <f t="shared" si="22"/>
        <v>162</v>
      </c>
      <c r="B176" s="33" t="s">
        <v>617</v>
      </c>
      <c r="C176" s="78" t="s">
        <v>44</v>
      </c>
      <c r="D176" s="35">
        <f t="shared" si="15"/>
        <v>0.24000000000000002</v>
      </c>
      <c r="E176" s="35"/>
      <c r="F176" s="35">
        <f>SUM(G176:AX176)</f>
        <v>0.24000000000000002</v>
      </c>
      <c r="G176" s="43"/>
      <c r="H176" s="43">
        <v>0.1</v>
      </c>
      <c r="I176" s="43"/>
      <c r="J176" s="43">
        <v>0.14000000000000001</v>
      </c>
      <c r="K176" s="43"/>
      <c r="L176" s="43"/>
      <c r="M176" s="43"/>
      <c r="N176" s="43"/>
      <c r="O176" s="43"/>
      <c r="P176" s="43"/>
      <c r="Q176" s="43"/>
      <c r="R176" s="43"/>
      <c r="S176" s="43"/>
      <c r="T176" s="43"/>
      <c r="U176" s="43"/>
      <c r="V176" s="43"/>
      <c r="W176" s="43"/>
      <c r="X176" s="43"/>
      <c r="Y176" s="43"/>
      <c r="Z176" s="43"/>
      <c r="AA176" s="43"/>
      <c r="AB176" s="43"/>
      <c r="AC176" s="43"/>
      <c r="AD176" s="43"/>
      <c r="AE176" s="43"/>
      <c r="AF176" s="43"/>
      <c r="AG176" s="43"/>
      <c r="AH176" s="43"/>
      <c r="AI176" s="43"/>
      <c r="AJ176" s="43"/>
      <c r="AK176" s="43"/>
      <c r="AL176" s="43"/>
      <c r="AM176" s="43"/>
      <c r="AN176" s="43"/>
      <c r="AO176" s="43"/>
      <c r="AP176" s="43"/>
      <c r="AQ176" s="43"/>
      <c r="AR176" s="43"/>
      <c r="AS176" s="43"/>
      <c r="AT176" s="43"/>
      <c r="AU176" s="43"/>
      <c r="AV176" s="43"/>
      <c r="AW176" s="43"/>
      <c r="AX176" s="43"/>
      <c r="AY176" s="103" t="s">
        <v>221</v>
      </c>
      <c r="AZ176" s="34"/>
      <c r="BA176" s="39" t="s">
        <v>291</v>
      </c>
      <c r="BB176" s="40"/>
      <c r="BC176" s="15" t="s">
        <v>311</v>
      </c>
      <c r="BI176" s="42">
        <v>1</v>
      </c>
    </row>
    <row r="177" spans="1:63" ht="20.100000000000001" customHeight="1">
      <c r="A177" s="32">
        <f t="shared" si="22"/>
        <v>163</v>
      </c>
      <c r="B177" s="33" t="s">
        <v>618</v>
      </c>
      <c r="C177" s="78" t="s">
        <v>44</v>
      </c>
      <c r="D177" s="35">
        <f t="shared" si="15"/>
        <v>0.2</v>
      </c>
      <c r="E177" s="35"/>
      <c r="F177" s="35">
        <f>SUM(G177:AX177)</f>
        <v>0.2</v>
      </c>
      <c r="G177" s="43"/>
      <c r="H177" s="43"/>
      <c r="I177" s="43"/>
      <c r="J177" s="43"/>
      <c r="K177" s="43"/>
      <c r="L177" s="43"/>
      <c r="M177" s="43">
        <v>0.2</v>
      </c>
      <c r="N177" s="43"/>
      <c r="O177" s="43"/>
      <c r="P177" s="43"/>
      <c r="Q177" s="43"/>
      <c r="R177" s="43"/>
      <c r="S177" s="43"/>
      <c r="T177" s="43"/>
      <c r="U177" s="43"/>
      <c r="V177" s="43"/>
      <c r="W177" s="43"/>
      <c r="X177" s="43"/>
      <c r="Y177" s="43"/>
      <c r="Z177" s="43"/>
      <c r="AA177" s="43"/>
      <c r="AB177" s="43"/>
      <c r="AC177" s="43"/>
      <c r="AD177" s="43"/>
      <c r="AE177" s="43"/>
      <c r="AF177" s="43"/>
      <c r="AG177" s="43"/>
      <c r="AH177" s="43"/>
      <c r="AI177" s="43"/>
      <c r="AJ177" s="43"/>
      <c r="AK177" s="43"/>
      <c r="AL177" s="43"/>
      <c r="AM177" s="43"/>
      <c r="AN177" s="43"/>
      <c r="AO177" s="43"/>
      <c r="AP177" s="43"/>
      <c r="AQ177" s="43"/>
      <c r="AR177" s="43"/>
      <c r="AS177" s="43"/>
      <c r="AT177" s="43"/>
      <c r="AU177" s="43"/>
      <c r="AV177" s="43"/>
      <c r="AW177" s="43"/>
      <c r="AX177" s="43"/>
      <c r="AY177" s="103" t="s">
        <v>221</v>
      </c>
      <c r="AZ177" s="34"/>
      <c r="BA177" s="39" t="s">
        <v>291</v>
      </c>
      <c r="BB177" s="40"/>
      <c r="BC177" s="15" t="s">
        <v>311</v>
      </c>
      <c r="BI177" s="42">
        <v>1</v>
      </c>
    </row>
    <row r="178" spans="1:63" ht="20.100000000000001" customHeight="1">
      <c r="A178" s="32">
        <f t="shared" si="22"/>
        <v>164</v>
      </c>
      <c r="B178" s="33" t="s">
        <v>619</v>
      </c>
      <c r="C178" s="78" t="s">
        <v>44</v>
      </c>
      <c r="D178" s="35">
        <f t="shared" si="15"/>
        <v>0.73</v>
      </c>
      <c r="E178" s="35"/>
      <c r="F178" s="35">
        <f t="shared" si="21"/>
        <v>0.73</v>
      </c>
      <c r="G178" s="43">
        <v>0.1</v>
      </c>
      <c r="H178" s="43"/>
      <c r="I178" s="43">
        <v>0.08</v>
      </c>
      <c r="J178" s="43">
        <v>0.3</v>
      </c>
      <c r="K178" s="43"/>
      <c r="L178" s="43"/>
      <c r="M178" s="43">
        <v>0.2</v>
      </c>
      <c r="N178" s="43"/>
      <c r="O178" s="43"/>
      <c r="P178" s="43">
        <v>0.05</v>
      </c>
      <c r="Q178" s="43"/>
      <c r="R178" s="43"/>
      <c r="S178" s="43"/>
      <c r="T178" s="43"/>
      <c r="U178" s="43"/>
      <c r="V178" s="43"/>
      <c r="W178" s="43"/>
      <c r="X178" s="43"/>
      <c r="Y178" s="43"/>
      <c r="Z178" s="43"/>
      <c r="AA178" s="43"/>
      <c r="AB178" s="43"/>
      <c r="AC178" s="43"/>
      <c r="AD178" s="43"/>
      <c r="AE178" s="43"/>
      <c r="AF178" s="43"/>
      <c r="AG178" s="43"/>
      <c r="AH178" s="43"/>
      <c r="AI178" s="43"/>
      <c r="AJ178" s="43"/>
      <c r="AK178" s="43"/>
      <c r="AL178" s="43"/>
      <c r="AM178" s="43"/>
      <c r="AN178" s="43"/>
      <c r="AO178" s="43"/>
      <c r="AP178" s="43"/>
      <c r="AQ178" s="43"/>
      <c r="AR178" s="43"/>
      <c r="AS178" s="43"/>
      <c r="AT178" s="43"/>
      <c r="AU178" s="43"/>
      <c r="AV178" s="43"/>
      <c r="AW178" s="43"/>
      <c r="AX178" s="43"/>
      <c r="AY178" s="103" t="s">
        <v>221</v>
      </c>
      <c r="AZ178" s="34" t="s">
        <v>615</v>
      </c>
      <c r="BA178" s="47" t="s">
        <v>291</v>
      </c>
      <c r="BB178" s="48"/>
      <c r="BC178" s="15" t="s">
        <v>620</v>
      </c>
      <c r="BI178" s="42">
        <v>1</v>
      </c>
    </row>
    <row r="179" spans="1:63" s="61" customFormat="1" ht="20.100000000000001" customHeight="1">
      <c r="A179" s="32">
        <f t="shared" si="22"/>
        <v>165</v>
      </c>
      <c r="B179" s="60" t="s">
        <v>621</v>
      </c>
      <c r="C179" s="78" t="s">
        <v>44</v>
      </c>
      <c r="D179" s="35">
        <f t="shared" si="15"/>
        <v>0.5</v>
      </c>
      <c r="E179" s="36"/>
      <c r="F179" s="35">
        <f t="shared" si="21"/>
        <v>0.5</v>
      </c>
      <c r="G179" s="37">
        <v>0.05</v>
      </c>
      <c r="H179" s="37"/>
      <c r="I179" s="37">
        <v>0.1</v>
      </c>
      <c r="J179" s="37">
        <v>0.35</v>
      </c>
      <c r="K179" s="37"/>
      <c r="L179" s="37"/>
      <c r="M179" s="37"/>
      <c r="N179" s="37"/>
      <c r="O179" s="37"/>
      <c r="P179" s="37"/>
      <c r="Q179" s="37"/>
      <c r="R179" s="37"/>
      <c r="S179" s="37"/>
      <c r="T179" s="37"/>
      <c r="U179" s="37"/>
      <c r="V179" s="37"/>
      <c r="W179" s="37"/>
      <c r="X179" s="37"/>
      <c r="Y179" s="37"/>
      <c r="Z179" s="37"/>
      <c r="AA179" s="37"/>
      <c r="AB179" s="37"/>
      <c r="AC179" s="37"/>
      <c r="AD179" s="37"/>
      <c r="AE179" s="37"/>
      <c r="AF179" s="37"/>
      <c r="AG179" s="37"/>
      <c r="AH179" s="37"/>
      <c r="AI179" s="37"/>
      <c r="AJ179" s="37"/>
      <c r="AK179" s="37"/>
      <c r="AL179" s="37"/>
      <c r="AM179" s="37"/>
      <c r="AN179" s="37"/>
      <c r="AO179" s="37"/>
      <c r="AP179" s="37"/>
      <c r="AQ179" s="37"/>
      <c r="AR179" s="37"/>
      <c r="AS179" s="37"/>
      <c r="AT179" s="37"/>
      <c r="AU179" s="37"/>
      <c r="AV179" s="37"/>
      <c r="AW179" s="37"/>
      <c r="AX179" s="37"/>
      <c r="AY179" s="34" t="s">
        <v>222</v>
      </c>
      <c r="AZ179" s="34" t="s">
        <v>389</v>
      </c>
      <c r="BA179" s="39" t="s">
        <v>291</v>
      </c>
      <c r="BB179" s="40"/>
      <c r="BC179" s="41"/>
      <c r="BD179" s="41"/>
      <c r="BE179" s="15"/>
      <c r="BF179" s="15"/>
      <c r="BI179" s="42">
        <v>1</v>
      </c>
    </row>
    <row r="180" spans="1:63" s="61" customFormat="1" ht="31.5">
      <c r="A180" s="32">
        <f t="shared" si="22"/>
        <v>166</v>
      </c>
      <c r="B180" s="56" t="s">
        <v>622</v>
      </c>
      <c r="C180" s="78" t="s">
        <v>44</v>
      </c>
      <c r="D180" s="35">
        <f t="shared" si="15"/>
        <v>0.1</v>
      </c>
      <c r="E180" s="36"/>
      <c r="F180" s="35">
        <f t="shared" si="21"/>
        <v>0.1</v>
      </c>
      <c r="G180" s="37"/>
      <c r="H180" s="37"/>
      <c r="I180" s="37"/>
      <c r="J180" s="37">
        <v>0.05</v>
      </c>
      <c r="K180" s="37"/>
      <c r="L180" s="37"/>
      <c r="M180" s="37">
        <v>0.05</v>
      </c>
      <c r="N180" s="37"/>
      <c r="O180" s="37"/>
      <c r="P180" s="37"/>
      <c r="Q180" s="37"/>
      <c r="R180" s="37"/>
      <c r="S180" s="37"/>
      <c r="T180" s="37"/>
      <c r="U180" s="37"/>
      <c r="V180" s="37"/>
      <c r="W180" s="37"/>
      <c r="X180" s="37"/>
      <c r="Y180" s="37"/>
      <c r="Z180" s="37"/>
      <c r="AA180" s="37"/>
      <c r="AB180" s="37"/>
      <c r="AC180" s="37"/>
      <c r="AD180" s="37"/>
      <c r="AE180" s="37"/>
      <c r="AF180" s="37"/>
      <c r="AG180" s="37"/>
      <c r="AH180" s="37"/>
      <c r="AI180" s="37"/>
      <c r="AJ180" s="37"/>
      <c r="AK180" s="37"/>
      <c r="AL180" s="37"/>
      <c r="AM180" s="37"/>
      <c r="AN180" s="37"/>
      <c r="AO180" s="37"/>
      <c r="AP180" s="37"/>
      <c r="AQ180" s="37"/>
      <c r="AR180" s="37"/>
      <c r="AS180" s="37"/>
      <c r="AT180" s="37"/>
      <c r="AU180" s="37"/>
      <c r="AV180" s="37"/>
      <c r="AW180" s="37"/>
      <c r="AX180" s="37"/>
      <c r="AY180" s="34" t="s">
        <v>222</v>
      </c>
      <c r="AZ180" s="34" t="s">
        <v>387</v>
      </c>
      <c r="BA180" s="47" t="s">
        <v>298</v>
      </c>
      <c r="BB180" s="48"/>
      <c r="BC180" s="41"/>
      <c r="BD180" s="41"/>
      <c r="BE180" s="15"/>
      <c r="BF180" s="15"/>
      <c r="BI180" s="42">
        <v>1</v>
      </c>
    </row>
    <row r="181" spans="1:63" s="61" customFormat="1" ht="18.600000000000001" customHeight="1">
      <c r="A181" s="32">
        <f t="shared" si="22"/>
        <v>167</v>
      </c>
      <c r="B181" s="60" t="s">
        <v>623</v>
      </c>
      <c r="C181" s="78" t="s">
        <v>44</v>
      </c>
      <c r="D181" s="35">
        <f t="shared" si="15"/>
        <v>0.5</v>
      </c>
      <c r="E181" s="36"/>
      <c r="F181" s="35">
        <f t="shared" si="21"/>
        <v>0.5</v>
      </c>
      <c r="G181" s="37">
        <v>0.1</v>
      </c>
      <c r="H181" s="37"/>
      <c r="I181" s="37">
        <v>0.1</v>
      </c>
      <c r="J181" s="37">
        <v>0.1</v>
      </c>
      <c r="K181" s="37"/>
      <c r="L181" s="37"/>
      <c r="M181" s="37">
        <v>0.2</v>
      </c>
      <c r="N181" s="37"/>
      <c r="O181" s="37"/>
      <c r="P181" s="37"/>
      <c r="Q181" s="37"/>
      <c r="R181" s="37"/>
      <c r="S181" s="37"/>
      <c r="T181" s="37"/>
      <c r="U181" s="37"/>
      <c r="V181" s="37"/>
      <c r="W181" s="37"/>
      <c r="X181" s="37"/>
      <c r="Y181" s="37"/>
      <c r="Z181" s="37"/>
      <c r="AA181" s="37"/>
      <c r="AB181" s="37"/>
      <c r="AC181" s="37"/>
      <c r="AD181" s="37"/>
      <c r="AE181" s="37"/>
      <c r="AF181" s="37"/>
      <c r="AG181" s="37"/>
      <c r="AH181" s="37"/>
      <c r="AI181" s="37"/>
      <c r="AJ181" s="37"/>
      <c r="AK181" s="37"/>
      <c r="AL181" s="37"/>
      <c r="AM181" s="37"/>
      <c r="AN181" s="37"/>
      <c r="AO181" s="37"/>
      <c r="AP181" s="37"/>
      <c r="AQ181" s="37"/>
      <c r="AR181" s="37"/>
      <c r="AS181" s="37"/>
      <c r="AT181" s="37"/>
      <c r="AU181" s="37"/>
      <c r="AV181" s="37"/>
      <c r="AW181" s="37"/>
      <c r="AX181" s="37"/>
      <c r="AY181" s="34" t="s">
        <v>222</v>
      </c>
      <c r="AZ181" s="34" t="s">
        <v>624</v>
      </c>
      <c r="BA181" s="47" t="s">
        <v>298</v>
      </c>
      <c r="BB181" s="48"/>
      <c r="BC181" s="41"/>
      <c r="BD181" s="41"/>
      <c r="BE181" s="15"/>
      <c r="BF181" s="15"/>
      <c r="BI181" s="42">
        <v>1</v>
      </c>
    </row>
    <row r="182" spans="1:63" s="61" customFormat="1" ht="18.600000000000001" customHeight="1">
      <c r="A182" s="32">
        <f t="shared" si="22"/>
        <v>168</v>
      </c>
      <c r="B182" s="60" t="s">
        <v>625</v>
      </c>
      <c r="C182" s="78" t="s">
        <v>44</v>
      </c>
      <c r="D182" s="35">
        <f t="shared" si="15"/>
        <v>0.5</v>
      </c>
      <c r="E182" s="36"/>
      <c r="F182" s="35">
        <f t="shared" si="21"/>
        <v>0.5</v>
      </c>
      <c r="G182" s="37">
        <v>0.2</v>
      </c>
      <c r="H182" s="37"/>
      <c r="I182" s="37">
        <v>0.1</v>
      </c>
      <c r="J182" s="37">
        <v>0.2</v>
      </c>
      <c r="K182" s="37"/>
      <c r="L182" s="37"/>
      <c r="M182" s="37"/>
      <c r="N182" s="37"/>
      <c r="O182" s="37"/>
      <c r="P182" s="37"/>
      <c r="Q182" s="37"/>
      <c r="R182" s="37"/>
      <c r="S182" s="37"/>
      <c r="T182" s="37"/>
      <c r="U182" s="37"/>
      <c r="V182" s="37"/>
      <c r="W182" s="37"/>
      <c r="X182" s="37"/>
      <c r="Y182" s="37"/>
      <c r="Z182" s="37"/>
      <c r="AA182" s="37"/>
      <c r="AB182" s="37"/>
      <c r="AC182" s="37"/>
      <c r="AD182" s="37"/>
      <c r="AE182" s="37"/>
      <c r="AF182" s="37"/>
      <c r="AG182" s="37"/>
      <c r="AH182" s="37"/>
      <c r="AI182" s="37"/>
      <c r="AJ182" s="37"/>
      <c r="AK182" s="37"/>
      <c r="AL182" s="37"/>
      <c r="AM182" s="37"/>
      <c r="AN182" s="37"/>
      <c r="AO182" s="37"/>
      <c r="AP182" s="37"/>
      <c r="AQ182" s="37"/>
      <c r="AR182" s="37"/>
      <c r="AS182" s="37"/>
      <c r="AT182" s="37"/>
      <c r="AU182" s="37"/>
      <c r="AV182" s="37"/>
      <c r="AW182" s="37"/>
      <c r="AX182" s="37"/>
      <c r="AY182" s="34" t="s">
        <v>222</v>
      </c>
      <c r="AZ182" s="34" t="s">
        <v>626</v>
      </c>
      <c r="BA182" s="47" t="s">
        <v>298</v>
      </c>
      <c r="BB182" s="48"/>
      <c r="BC182" s="41"/>
      <c r="BD182" s="41"/>
      <c r="BE182" s="15"/>
      <c r="BF182" s="15"/>
      <c r="BI182" s="42">
        <v>1</v>
      </c>
    </row>
    <row r="183" spans="1:63" s="61" customFormat="1" ht="18.600000000000001" customHeight="1">
      <c r="A183" s="32">
        <f t="shared" si="22"/>
        <v>169</v>
      </c>
      <c r="B183" s="60" t="s">
        <v>627</v>
      </c>
      <c r="C183" s="78" t="s">
        <v>44</v>
      </c>
      <c r="D183" s="35">
        <f t="shared" si="15"/>
        <v>0.5</v>
      </c>
      <c r="E183" s="36"/>
      <c r="F183" s="35">
        <f t="shared" si="21"/>
        <v>0.5</v>
      </c>
      <c r="G183" s="37">
        <v>0.05</v>
      </c>
      <c r="H183" s="37">
        <v>0.1</v>
      </c>
      <c r="I183" s="37">
        <v>0.05</v>
      </c>
      <c r="J183" s="37">
        <v>0.1</v>
      </c>
      <c r="K183" s="37"/>
      <c r="L183" s="37"/>
      <c r="M183" s="37">
        <v>0.2</v>
      </c>
      <c r="N183" s="37"/>
      <c r="O183" s="37"/>
      <c r="P183" s="37"/>
      <c r="Q183" s="37"/>
      <c r="R183" s="37"/>
      <c r="S183" s="37"/>
      <c r="T183" s="37"/>
      <c r="U183" s="37"/>
      <c r="V183" s="37"/>
      <c r="W183" s="37"/>
      <c r="X183" s="37"/>
      <c r="Y183" s="37"/>
      <c r="Z183" s="37"/>
      <c r="AA183" s="37"/>
      <c r="AB183" s="37"/>
      <c r="AC183" s="37"/>
      <c r="AD183" s="37"/>
      <c r="AE183" s="37"/>
      <c r="AF183" s="37"/>
      <c r="AG183" s="37"/>
      <c r="AH183" s="37"/>
      <c r="AI183" s="37"/>
      <c r="AJ183" s="37"/>
      <c r="AK183" s="37"/>
      <c r="AL183" s="37"/>
      <c r="AM183" s="37"/>
      <c r="AN183" s="37"/>
      <c r="AO183" s="37"/>
      <c r="AP183" s="37"/>
      <c r="AQ183" s="37"/>
      <c r="AR183" s="37"/>
      <c r="AS183" s="37"/>
      <c r="AT183" s="37"/>
      <c r="AU183" s="37"/>
      <c r="AV183" s="37"/>
      <c r="AW183" s="37"/>
      <c r="AX183" s="37"/>
      <c r="AY183" s="34" t="s">
        <v>222</v>
      </c>
      <c r="AZ183" s="34" t="s">
        <v>451</v>
      </c>
      <c r="BA183" s="47" t="s">
        <v>298</v>
      </c>
      <c r="BB183" s="48"/>
      <c r="BC183" s="41"/>
      <c r="BD183" s="41"/>
      <c r="BE183" s="15"/>
      <c r="BF183" s="15"/>
      <c r="BI183" s="42">
        <v>1</v>
      </c>
    </row>
    <row r="184" spans="1:63" s="61" customFormat="1" ht="18.600000000000001" customHeight="1">
      <c r="A184" s="32">
        <f t="shared" si="22"/>
        <v>170</v>
      </c>
      <c r="B184" s="33" t="s">
        <v>619</v>
      </c>
      <c r="C184" s="78" t="s">
        <v>44</v>
      </c>
      <c r="D184" s="35">
        <f t="shared" si="15"/>
        <v>0.34</v>
      </c>
      <c r="E184" s="36"/>
      <c r="F184" s="35">
        <f t="shared" si="21"/>
        <v>0.34</v>
      </c>
      <c r="G184" s="37"/>
      <c r="H184" s="37"/>
      <c r="I184" s="37">
        <v>0.04</v>
      </c>
      <c r="J184" s="37">
        <v>0.2</v>
      </c>
      <c r="K184" s="37"/>
      <c r="L184" s="37"/>
      <c r="M184" s="37">
        <v>0.1</v>
      </c>
      <c r="N184" s="37"/>
      <c r="O184" s="37"/>
      <c r="P184" s="37"/>
      <c r="Q184" s="37"/>
      <c r="R184" s="37"/>
      <c r="S184" s="37"/>
      <c r="T184" s="37"/>
      <c r="U184" s="37"/>
      <c r="V184" s="37"/>
      <c r="W184" s="37"/>
      <c r="X184" s="37"/>
      <c r="Y184" s="37"/>
      <c r="Z184" s="37"/>
      <c r="AA184" s="37"/>
      <c r="AB184" s="37"/>
      <c r="AC184" s="37"/>
      <c r="AD184" s="37"/>
      <c r="AE184" s="37"/>
      <c r="AF184" s="37"/>
      <c r="AG184" s="37"/>
      <c r="AH184" s="37"/>
      <c r="AI184" s="37"/>
      <c r="AJ184" s="37"/>
      <c r="AK184" s="37"/>
      <c r="AL184" s="37"/>
      <c r="AM184" s="37"/>
      <c r="AN184" s="37"/>
      <c r="AO184" s="37"/>
      <c r="AP184" s="37"/>
      <c r="AQ184" s="37"/>
      <c r="AR184" s="37"/>
      <c r="AS184" s="37"/>
      <c r="AT184" s="37"/>
      <c r="AU184" s="37"/>
      <c r="AV184" s="37"/>
      <c r="AW184" s="37"/>
      <c r="AX184" s="37"/>
      <c r="AY184" s="34" t="s">
        <v>222</v>
      </c>
      <c r="AZ184" s="34" t="s">
        <v>615</v>
      </c>
      <c r="BA184" s="47" t="s">
        <v>291</v>
      </c>
      <c r="BB184" s="48"/>
      <c r="BC184" s="41"/>
      <c r="BD184" s="41"/>
      <c r="BE184" s="15"/>
      <c r="BF184" s="15"/>
      <c r="BI184" s="42">
        <v>1</v>
      </c>
    </row>
    <row r="185" spans="1:63" ht="18.600000000000001" customHeight="1">
      <c r="A185" s="32">
        <f t="shared" si="22"/>
        <v>171</v>
      </c>
      <c r="B185" s="33" t="s">
        <v>619</v>
      </c>
      <c r="C185" s="78" t="s">
        <v>44</v>
      </c>
      <c r="D185" s="35">
        <f t="shared" si="15"/>
        <v>2</v>
      </c>
      <c r="E185" s="36"/>
      <c r="F185" s="35">
        <f t="shared" si="21"/>
        <v>2</v>
      </c>
      <c r="G185" s="79"/>
      <c r="H185" s="79">
        <v>0.35</v>
      </c>
      <c r="I185" s="79"/>
      <c r="J185" s="79">
        <v>1.05</v>
      </c>
      <c r="K185" s="79"/>
      <c r="L185" s="79"/>
      <c r="M185" s="79">
        <v>0.6</v>
      </c>
      <c r="N185" s="79"/>
      <c r="O185" s="79"/>
      <c r="P185" s="79"/>
      <c r="Q185" s="79"/>
      <c r="R185" s="79"/>
      <c r="S185" s="79"/>
      <c r="T185" s="79"/>
      <c r="U185" s="79"/>
      <c r="V185" s="79"/>
      <c r="W185" s="79"/>
      <c r="X185" s="79"/>
      <c r="Y185" s="79"/>
      <c r="Z185" s="79"/>
      <c r="AA185" s="79"/>
      <c r="AB185" s="79"/>
      <c r="AC185" s="79"/>
      <c r="AD185" s="79"/>
      <c r="AE185" s="79"/>
      <c r="AF185" s="79"/>
      <c r="AG185" s="79"/>
      <c r="AH185" s="79"/>
      <c r="AI185" s="79"/>
      <c r="AJ185" s="79"/>
      <c r="AK185" s="79"/>
      <c r="AL185" s="79"/>
      <c r="AM185" s="79"/>
      <c r="AN185" s="79"/>
      <c r="AO185" s="79"/>
      <c r="AP185" s="79"/>
      <c r="AQ185" s="79"/>
      <c r="AR185" s="79"/>
      <c r="AS185" s="79"/>
      <c r="AT185" s="79"/>
      <c r="AU185" s="79"/>
      <c r="AV185" s="79"/>
      <c r="AW185" s="79"/>
      <c r="AX185" s="79"/>
      <c r="AY185" s="34" t="s">
        <v>223</v>
      </c>
      <c r="AZ185" s="34" t="s">
        <v>615</v>
      </c>
      <c r="BA185" s="63" t="s">
        <v>291</v>
      </c>
      <c r="BB185" s="64"/>
      <c r="BC185" s="65" t="s">
        <v>628</v>
      </c>
      <c r="BD185" s="65" t="s">
        <v>629</v>
      </c>
      <c r="BE185" s="41"/>
      <c r="BI185" s="42">
        <v>1</v>
      </c>
    </row>
    <row r="186" spans="1:63" ht="18.600000000000001" customHeight="1">
      <c r="A186" s="32">
        <f t="shared" si="22"/>
        <v>172</v>
      </c>
      <c r="B186" s="33" t="s">
        <v>619</v>
      </c>
      <c r="C186" s="78" t="s">
        <v>44</v>
      </c>
      <c r="D186" s="35">
        <f t="shared" si="15"/>
        <v>0.46000000000000008</v>
      </c>
      <c r="E186" s="36"/>
      <c r="F186" s="35">
        <f t="shared" si="21"/>
        <v>0.46000000000000008</v>
      </c>
      <c r="G186" s="79">
        <v>0.04</v>
      </c>
      <c r="H186" s="79"/>
      <c r="I186" s="79">
        <v>7.0000000000000007E-2</v>
      </c>
      <c r="J186" s="79">
        <v>0.2</v>
      </c>
      <c r="K186" s="79"/>
      <c r="L186" s="79"/>
      <c r="M186" s="79">
        <v>0.15</v>
      </c>
      <c r="N186" s="79"/>
      <c r="O186" s="79"/>
      <c r="P186" s="79"/>
      <c r="Q186" s="79"/>
      <c r="R186" s="79"/>
      <c r="S186" s="79"/>
      <c r="T186" s="79"/>
      <c r="U186" s="79"/>
      <c r="V186" s="79"/>
      <c r="W186" s="79"/>
      <c r="X186" s="79"/>
      <c r="Y186" s="79"/>
      <c r="Z186" s="79"/>
      <c r="AA186" s="79"/>
      <c r="AB186" s="79"/>
      <c r="AC186" s="79"/>
      <c r="AD186" s="79"/>
      <c r="AE186" s="79"/>
      <c r="AF186" s="79"/>
      <c r="AG186" s="79"/>
      <c r="AH186" s="79"/>
      <c r="AI186" s="79"/>
      <c r="AJ186" s="79"/>
      <c r="AK186" s="79"/>
      <c r="AL186" s="79"/>
      <c r="AM186" s="79"/>
      <c r="AN186" s="79"/>
      <c r="AO186" s="79"/>
      <c r="AP186" s="79"/>
      <c r="AQ186" s="79"/>
      <c r="AR186" s="79"/>
      <c r="AS186" s="79"/>
      <c r="AT186" s="79"/>
      <c r="AU186" s="79"/>
      <c r="AV186" s="79"/>
      <c r="AW186" s="79"/>
      <c r="AX186" s="79"/>
      <c r="AY186" s="34" t="s">
        <v>224</v>
      </c>
      <c r="AZ186" s="34" t="s">
        <v>615</v>
      </c>
      <c r="BA186" s="47" t="s">
        <v>291</v>
      </c>
      <c r="BB186" s="48"/>
      <c r="BC186" s="65"/>
      <c r="BD186" s="65"/>
      <c r="BE186" s="41"/>
      <c r="BI186" s="42">
        <v>1</v>
      </c>
    </row>
    <row r="187" spans="1:63" ht="18.600000000000001" customHeight="1">
      <c r="A187" s="32">
        <f t="shared" si="22"/>
        <v>173</v>
      </c>
      <c r="B187" s="60" t="s">
        <v>619</v>
      </c>
      <c r="C187" s="78" t="s">
        <v>44</v>
      </c>
      <c r="D187" s="35">
        <f t="shared" si="15"/>
        <v>1.19</v>
      </c>
      <c r="E187" s="36"/>
      <c r="F187" s="35">
        <f t="shared" si="21"/>
        <v>1.19</v>
      </c>
      <c r="G187" s="37">
        <v>0.34</v>
      </c>
      <c r="H187" s="37"/>
      <c r="I187" s="37">
        <v>0.25</v>
      </c>
      <c r="J187" s="37">
        <v>0.6</v>
      </c>
      <c r="K187" s="37"/>
      <c r="L187" s="37"/>
      <c r="M187" s="37"/>
      <c r="N187" s="37"/>
      <c r="O187" s="37"/>
      <c r="P187" s="37"/>
      <c r="Q187" s="37"/>
      <c r="R187" s="37"/>
      <c r="S187" s="37"/>
      <c r="T187" s="37"/>
      <c r="U187" s="37"/>
      <c r="V187" s="37"/>
      <c r="W187" s="37"/>
      <c r="X187" s="37"/>
      <c r="Y187" s="37"/>
      <c r="Z187" s="37"/>
      <c r="AA187" s="37"/>
      <c r="AB187" s="37"/>
      <c r="AC187" s="37"/>
      <c r="AD187" s="37"/>
      <c r="AE187" s="37"/>
      <c r="AF187" s="37"/>
      <c r="AG187" s="37"/>
      <c r="AH187" s="37"/>
      <c r="AI187" s="37"/>
      <c r="AJ187" s="37"/>
      <c r="AK187" s="37"/>
      <c r="AL187" s="37"/>
      <c r="AM187" s="37"/>
      <c r="AN187" s="37"/>
      <c r="AO187" s="37"/>
      <c r="AP187" s="37"/>
      <c r="AQ187" s="37"/>
      <c r="AR187" s="37"/>
      <c r="AS187" s="37"/>
      <c r="AT187" s="37"/>
      <c r="AU187" s="37"/>
      <c r="AV187" s="37"/>
      <c r="AW187" s="37"/>
      <c r="AX187" s="37"/>
      <c r="AY187" s="34" t="s">
        <v>225</v>
      </c>
      <c r="AZ187" s="34" t="s">
        <v>615</v>
      </c>
      <c r="BA187" s="63" t="s">
        <v>291</v>
      </c>
      <c r="BB187" s="64"/>
      <c r="BE187" s="41"/>
      <c r="BI187" s="42">
        <v>1</v>
      </c>
    </row>
    <row r="188" spans="1:63" s="71" customFormat="1" ht="18.600000000000001" customHeight="1">
      <c r="A188" s="32">
        <f t="shared" si="22"/>
        <v>174</v>
      </c>
      <c r="B188" s="66" t="s">
        <v>619</v>
      </c>
      <c r="C188" s="78" t="s">
        <v>44</v>
      </c>
      <c r="D188" s="35">
        <f t="shared" si="15"/>
        <v>2</v>
      </c>
      <c r="E188" s="67"/>
      <c r="F188" s="35">
        <f t="shared" si="21"/>
        <v>2</v>
      </c>
      <c r="G188" s="68">
        <v>0.45</v>
      </c>
      <c r="H188" s="68">
        <v>0.32</v>
      </c>
      <c r="I188" s="68">
        <v>0.5</v>
      </c>
      <c r="J188" s="68">
        <v>0.62</v>
      </c>
      <c r="K188" s="68"/>
      <c r="L188" s="68"/>
      <c r="M188" s="68">
        <v>0.11</v>
      </c>
      <c r="N188" s="68"/>
      <c r="O188" s="68"/>
      <c r="P188" s="68"/>
      <c r="Q188" s="68"/>
      <c r="R188" s="68"/>
      <c r="S188" s="68"/>
      <c r="T188" s="68"/>
      <c r="U188" s="68"/>
      <c r="V188" s="68"/>
      <c r="W188" s="68"/>
      <c r="X188" s="68"/>
      <c r="Y188" s="68"/>
      <c r="Z188" s="68"/>
      <c r="AA188" s="68"/>
      <c r="AB188" s="68"/>
      <c r="AC188" s="68"/>
      <c r="AD188" s="68"/>
      <c r="AE188" s="68"/>
      <c r="AF188" s="68"/>
      <c r="AG188" s="68"/>
      <c r="AH188" s="68"/>
      <c r="AI188" s="68"/>
      <c r="AJ188" s="68"/>
      <c r="AK188" s="68"/>
      <c r="AL188" s="68"/>
      <c r="AM188" s="68"/>
      <c r="AN188" s="68"/>
      <c r="AO188" s="68"/>
      <c r="AP188" s="68"/>
      <c r="AQ188" s="68"/>
      <c r="AR188" s="68"/>
      <c r="AS188" s="68"/>
      <c r="AT188" s="68"/>
      <c r="AU188" s="68"/>
      <c r="AV188" s="68"/>
      <c r="AW188" s="68"/>
      <c r="AX188" s="68"/>
      <c r="AY188" s="70" t="s">
        <v>226</v>
      </c>
      <c r="AZ188" s="70" t="s">
        <v>615</v>
      </c>
      <c r="BA188" s="47" t="s">
        <v>298</v>
      </c>
      <c r="BB188" s="48"/>
      <c r="BI188" s="42">
        <v>1</v>
      </c>
      <c r="BK188" s="72"/>
    </row>
    <row r="189" spans="1:63" s="49" customFormat="1" ht="18.600000000000001" customHeight="1">
      <c r="A189" s="32">
        <f t="shared" si="22"/>
        <v>175</v>
      </c>
      <c r="B189" s="33" t="s">
        <v>619</v>
      </c>
      <c r="C189" s="78" t="s">
        <v>44</v>
      </c>
      <c r="D189" s="35">
        <f t="shared" si="15"/>
        <v>4.3800000000000008</v>
      </c>
      <c r="E189" s="45"/>
      <c r="F189" s="35">
        <f t="shared" si="21"/>
        <v>4.3800000000000008</v>
      </c>
      <c r="G189" s="46">
        <v>0.22999999999999998</v>
      </c>
      <c r="H189" s="46">
        <v>0.22999999999999998</v>
      </c>
      <c r="I189" s="46">
        <v>1.23</v>
      </c>
      <c r="J189" s="46">
        <v>2.54</v>
      </c>
      <c r="K189" s="46"/>
      <c r="L189" s="46"/>
      <c r="M189" s="46">
        <v>0.14999999999999991</v>
      </c>
      <c r="N189" s="46"/>
      <c r="O189" s="46"/>
      <c r="P189" s="46"/>
      <c r="Q189" s="46"/>
      <c r="R189" s="46"/>
      <c r="S189" s="46"/>
      <c r="T189" s="46"/>
      <c r="U189" s="46"/>
      <c r="V189" s="46"/>
      <c r="W189" s="46"/>
      <c r="X189" s="46"/>
      <c r="Y189" s="46"/>
      <c r="Z189" s="46"/>
      <c r="AA189" s="46"/>
      <c r="AB189" s="46"/>
      <c r="AC189" s="46"/>
      <c r="AD189" s="46"/>
      <c r="AE189" s="46"/>
      <c r="AF189" s="46"/>
      <c r="AG189" s="46"/>
      <c r="AH189" s="46"/>
      <c r="AI189" s="46"/>
      <c r="AJ189" s="46"/>
      <c r="AK189" s="46"/>
      <c r="AL189" s="46"/>
      <c r="AM189" s="46"/>
      <c r="AN189" s="46"/>
      <c r="AO189" s="46"/>
      <c r="AP189" s="46"/>
      <c r="AQ189" s="46"/>
      <c r="AR189" s="46"/>
      <c r="AS189" s="46"/>
      <c r="AT189" s="46"/>
      <c r="AU189" s="46"/>
      <c r="AV189" s="46"/>
      <c r="AW189" s="46"/>
      <c r="AX189" s="46"/>
      <c r="AY189" s="47" t="s">
        <v>227</v>
      </c>
      <c r="AZ189" s="47" t="s">
        <v>615</v>
      </c>
      <c r="BA189" s="47" t="s">
        <v>291</v>
      </c>
      <c r="BB189" s="48"/>
      <c r="BI189" s="42">
        <v>1</v>
      </c>
      <c r="BK189" s="50"/>
    </row>
    <row r="190" spans="1:63" s="49" customFormat="1" ht="18.600000000000001" customHeight="1">
      <c r="A190" s="32">
        <f t="shared" si="22"/>
        <v>176</v>
      </c>
      <c r="B190" s="33" t="s">
        <v>619</v>
      </c>
      <c r="C190" s="78" t="s">
        <v>44</v>
      </c>
      <c r="D190" s="35">
        <f t="shared" si="15"/>
        <v>0.55000000000000004</v>
      </c>
      <c r="E190" s="36"/>
      <c r="F190" s="35">
        <f t="shared" si="21"/>
        <v>0.55000000000000004</v>
      </c>
      <c r="G190" s="46">
        <v>0.08</v>
      </c>
      <c r="H190" s="46"/>
      <c r="I190" s="46">
        <v>0.1</v>
      </c>
      <c r="J190" s="46">
        <v>0.17</v>
      </c>
      <c r="K190" s="46"/>
      <c r="L190" s="46"/>
      <c r="M190" s="46">
        <v>0.2</v>
      </c>
      <c r="N190" s="46"/>
      <c r="O190" s="46"/>
      <c r="P190" s="46"/>
      <c r="Q190" s="46"/>
      <c r="R190" s="46"/>
      <c r="S190" s="46"/>
      <c r="T190" s="46"/>
      <c r="U190" s="46"/>
      <c r="V190" s="46"/>
      <c r="W190" s="46"/>
      <c r="X190" s="46"/>
      <c r="Y190" s="46"/>
      <c r="Z190" s="46"/>
      <c r="AA190" s="46"/>
      <c r="AB190" s="46"/>
      <c r="AC190" s="46"/>
      <c r="AD190" s="46"/>
      <c r="AE190" s="46"/>
      <c r="AF190" s="46"/>
      <c r="AG190" s="46"/>
      <c r="AH190" s="46"/>
      <c r="AI190" s="46"/>
      <c r="AJ190" s="46"/>
      <c r="AK190" s="46"/>
      <c r="AL190" s="46"/>
      <c r="AM190" s="46"/>
      <c r="AN190" s="46"/>
      <c r="AO190" s="46"/>
      <c r="AP190" s="46"/>
      <c r="AQ190" s="46"/>
      <c r="AR190" s="46"/>
      <c r="AS190" s="46"/>
      <c r="AT190" s="46"/>
      <c r="AU190" s="46"/>
      <c r="AV190" s="46"/>
      <c r="AW190" s="46"/>
      <c r="AX190" s="46"/>
      <c r="AY190" s="34" t="s">
        <v>228</v>
      </c>
      <c r="AZ190" s="34" t="s">
        <v>615</v>
      </c>
      <c r="BA190" s="47" t="s">
        <v>291</v>
      </c>
      <c r="BB190" s="48"/>
      <c r="BI190" s="42">
        <v>1</v>
      </c>
      <c r="BK190" s="50"/>
    </row>
    <row r="191" spans="1:63" s="49" customFormat="1" ht="18.600000000000001" customHeight="1">
      <c r="A191" s="32">
        <f t="shared" si="22"/>
        <v>177</v>
      </c>
      <c r="B191" s="33" t="s">
        <v>619</v>
      </c>
      <c r="C191" s="78" t="s">
        <v>44</v>
      </c>
      <c r="D191" s="35">
        <f t="shared" si="15"/>
        <v>2.5099999999999998</v>
      </c>
      <c r="E191" s="36"/>
      <c r="F191" s="35">
        <f t="shared" si="21"/>
        <v>2.5099999999999998</v>
      </c>
      <c r="G191" s="46"/>
      <c r="H191" s="46">
        <v>0.02</v>
      </c>
      <c r="I191" s="46">
        <v>0.21</v>
      </c>
      <c r="J191" s="46">
        <v>1.22</v>
      </c>
      <c r="K191" s="46"/>
      <c r="L191" s="46"/>
      <c r="M191" s="46">
        <v>1.06</v>
      </c>
      <c r="N191" s="46"/>
      <c r="O191" s="46"/>
      <c r="P191" s="46"/>
      <c r="Q191" s="46"/>
      <c r="R191" s="46"/>
      <c r="S191" s="46"/>
      <c r="T191" s="46"/>
      <c r="U191" s="46"/>
      <c r="V191" s="46"/>
      <c r="W191" s="46"/>
      <c r="X191" s="46"/>
      <c r="Y191" s="46"/>
      <c r="Z191" s="46"/>
      <c r="AA191" s="46"/>
      <c r="AB191" s="46"/>
      <c r="AC191" s="46"/>
      <c r="AD191" s="46"/>
      <c r="AE191" s="46"/>
      <c r="AF191" s="46"/>
      <c r="AG191" s="46"/>
      <c r="AH191" s="46"/>
      <c r="AI191" s="46"/>
      <c r="AJ191" s="46"/>
      <c r="AK191" s="46"/>
      <c r="AL191" s="46"/>
      <c r="AM191" s="46"/>
      <c r="AN191" s="46"/>
      <c r="AO191" s="46"/>
      <c r="AP191" s="46"/>
      <c r="AQ191" s="46"/>
      <c r="AR191" s="46"/>
      <c r="AS191" s="46"/>
      <c r="AT191" s="46"/>
      <c r="AU191" s="46"/>
      <c r="AV191" s="46"/>
      <c r="AW191" s="46"/>
      <c r="AX191" s="46"/>
      <c r="AY191" s="34" t="s">
        <v>229</v>
      </c>
      <c r="AZ191" s="103" t="s">
        <v>615</v>
      </c>
      <c r="BA191" s="93" t="s">
        <v>291</v>
      </c>
      <c r="BB191" s="50"/>
      <c r="BI191" s="42">
        <v>1</v>
      </c>
      <c r="BK191" s="50"/>
    </row>
    <row r="192" spans="1:63" ht="18.600000000000001" customHeight="1">
      <c r="A192" s="32">
        <f t="shared" si="22"/>
        <v>178</v>
      </c>
      <c r="B192" s="33" t="s">
        <v>619</v>
      </c>
      <c r="C192" s="78" t="s">
        <v>44</v>
      </c>
      <c r="D192" s="35">
        <f t="shared" si="15"/>
        <v>0.57999999999999996</v>
      </c>
      <c r="E192" s="36"/>
      <c r="F192" s="35">
        <f t="shared" si="21"/>
        <v>0.57999999999999996</v>
      </c>
      <c r="G192" s="37"/>
      <c r="H192" s="37"/>
      <c r="I192" s="37">
        <v>0.08</v>
      </c>
      <c r="J192" s="37">
        <v>0.5</v>
      </c>
      <c r="K192" s="37"/>
      <c r="L192" s="37"/>
      <c r="M192" s="37"/>
      <c r="N192" s="37"/>
      <c r="O192" s="37"/>
      <c r="P192" s="37"/>
      <c r="Q192" s="37"/>
      <c r="R192" s="37"/>
      <c r="S192" s="37"/>
      <c r="T192" s="37"/>
      <c r="U192" s="37"/>
      <c r="V192" s="37"/>
      <c r="W192" s="37"/>
      <c r="X192" s="37"/>
      <c r="Y192" s="37"/>
      <c r="Z192" s="37"/>
      <c r="AA192" s="37"/>
      <c r="AB192" s="37"/>
      <c r="AC192" s="37"/>
      <c r="AD192" s="37"/>
      <c r="AE192" s="37"/>
      <c r="AF192" s="37"/>
      <c r="AG192" s="37"/>
      <c r="AH192" s="37"/>
      <c r="AI192" s="37"/>
      <c r="AJ192" s="37"/>
      <c r="AK192" s="37"/>
      <c r="AL192" s="37"/>
      <c r="AM192" s="37"/>
      <c r="AN192" s="37"/>
      <c r="AO192" s="37"/>
      <c r="AP192" s="37"/>
      <c r="AQ192" s="37"/>
      <c r="AR192" s="37"/>
      <c r="AS192" s="37"/>
      <c r="AT192" s="37"/>
      <c r="AU192" s="37"/>
      <c r="AV192" s="37"/>
      <c r="AW192" s="37"/>
      <c r="AX192" s="37"/>
      <c r="AY192" s="34" t="s">
        <v>230</v>
      </c>
      <c r="AZ192" s="103" t="s">
        <v>615</v>
      </c>
      <c r="BA192" s="39" t="s">
        <v>291</v>
      </c>
      <c r="BB192" s="40"/>
      <c r="BE192" s="41"/>
      <c r="BI192" s="42">
        <v>1</v>
      </c>
    </row>
    <row r="193" spans="1:63" ht="18.600000000000001" customHeight="1">
      <c r="A193" s="32">
        <f t="shared" si="22"/>
        <v>179</v>
      </c>
      <c r="B193" s="33" t="s">
        <v>619</v>
      </c>
      <c r="C193" s="78" t="s">
        <v>44</v>
      </c>
      <c r="D193" s="35">
        <f t="shared" si="15"/>
        <v>0.2</v>
      </c>
      <c r="E193" s="36"/>
      <c r="F193" s="35">
        <f t="shared" si="21"/>
        <v>0.2</v>
      </c>
      <c r="G193" s="37"/>
      <c r="H193" s="37">
        <v>0.05</v>
      </c>
      <c r="I193" s="37"/>
      <c r="J193" s="37"/>
      <c r="K193" s="37"/>
      <c r="L193" s="37"/>
      <c r="M193" s="37"/>
      <c r="N193" s="37"/>
      <c r="O193" s="37"/>
      <c r="P193" s="37"/>
      <c r="Q193" s="37"/>
      <c r="R193" s="37"/>
      <c r="S193" s="37"/>
      <c r="T193" s="37"/>
      <c r="U193" s="37"/>
      <c r="V193" s="37"/>
      <c r="W193" s="37"/>
      <c r="X193" s="37"/>
      <c r="Y193" s="37"/>
      <c r="Z193" s="37"/>
      <c r="AA193" s="37"/>
      <c r="AB193" s="37"/>
      <c r="AC193" s="37"/>
      <c r="AD193" s="37"/>
      <c r="AE193" s="37"/>
      <c r="AF193" s="37"/>
      <c r="AG193" s="37"/>
      <c r="AH193" s="37"/>
      <c r="AI193" s="37"/>
      <c r="AJ193" s="37"/>
      <c r="AK193" s="37"/>
      <c r="AL193" s="37"/>
      <c r="AM193" s="37"/>
      <c r="AN193" s="37"/>
      <c r="AO193" s="37"/>
      <c r="AP193" s="37"/>
      <c r="AQ193" s="37"/>
      <c r="AR193" s="37"/>
      <c r="AS193" s="37"/>
      <c r="AT193" s="37"/>
      <c r="AU193" s="37"/>
      <c r="AV193" s="37"/>
      <c r="AW193" s="37"/>
      <c r="AX193" s="37">
        <v>0.15</v>
      </c>
      <c r="AY193" s="34" t="s">
        <v>231</v>
      </c>
      <c r="AZ193" s="103" t="s">
        <v>615</v>
      </c>
      <c r="BA193" s="39" t="s">
        <v>291</v>
      </c>
      <c r="BB193" s="40"/>
      <c r="BE193" s="41"/>
      <c r="BI193" s="42">
        <v>1</v>
      </c>
    </row>
    <row r="194" spans="1:63" ht="18.600000000000001" customHeight="1">
      <c r="A194" s="32">
        <f t="shared" si="22"/>
        <v>180</v>
      </c>
      <c r="B194" s="33" t="s">
        <v>619</v>
      </c>
      <c r="C194" s="78" t="s">
        <v>44</v>
      </c>
      <c r="D194" s="35">
        <f t="shared" si="15"/>
        <v>1.2</v>
      </c>
      <c r="E194" s="36"/>
      <c r="F194" s="35">
        <f t="shared" si="21"/>
        <v>1.2</v>
      </c>
      <c r="G194" s="37">
        <v>0.45</v>
      </c>
      <c r="H194" s="37">
        <v>0.3</v>
      </c>
      <c r="I194" s="37">
        <v>0.1</v>
      </c>
      <c r="J194" s="37"/>
      <c r="K194" s="37"/>
      <c r="L194" s="37"/>
      <c r="M194" s="37">
        <v>0.35</v>
      </c>
      <c r="N194" s="37"/>
      <c r="O194" s="37"/>
      <c r="P194" s="37"/>
      <c r="Q194" s="37"/>
      <c r="R194" s="37"/>
      <c r="S194" s="37"/>
      <c r="T194" s="37"/>
      <c r="U194" s="37"/>
      <c r="V194" s="37"/>
      <c r="W194" s="37"/>
      <c r="X194" s="37"/>
      <c r="Y194" s="37"/>
      <c r="Z194" s="37"/>
      <c r="AA194" s="37"/>
      <c r="AB194" s="37"/>
      <c r="AC194" s="37"/>
      <c r="AD194" s="37"/>
      <c r="AE194" s="37"/>
      <c r="AF194" s="37"/>
      <c r="AG194" s="37"/>
      <c r="AH194" s="37"/>
      <c r="AI194" s="37"/>
      <c r="AJ194" s="37"/>
      <c r="AK194" s="37"/>
      <c r="AL194" s="37"/>
      <c r="AM194" s="37"/>
      <c r="AN194" s="37"/>
      <c r="AO194" s="37"/>
      <c r="AP194" s="37"/>
      <c r="AQ194" s="37"/>
      <c r="AR194" s="37"/>
      <c r="AS194" s="37"/>
      <c r="AT194" s="37"/>
      <c r="AU194" s="37"/>
      <c r="AV194" s="37"/>
      <c r="AW194" s="37"/>
      <c r="AX194" s="37"/>
      <c r="AY194" s="34" t="s">
        <v>232</v>
      </c>
      <c r="AZ194" s="103" t="s">
        <v>615</v>
      </c>
      <c r="BA194" s="63" t="s">
        <v>291</v>
      </c>
      <c r="BB194" s="64"/>
      <c r="BE194" s="41"/>
      <c r="BI194" s="42">
        <v>1</v>
      </c>
    </row>
    <row r="195" spans="1:63" s="49" customFormat="1" ht="18.600000000000001" customHeight="1">
      <c r="A195" s="32">
        <f t="shared" si="22"/>
        <v>181</v>
      </c>
      <c r="B195" s="33" t="s">
        <v>619</v>
      </c>
      <c r="C195" s="78" t="s">
        <v>44</v>
      </c>
      <c r="D195" s="35">
        <f t="shared" si="15"/>
        <v>5.77</v>
      </c>
      <c r="E195" s="45"/>
      <c r="F195" s="35">
        <f t="shared" si="21"/>
        <v>5.77</v>
      </c>
      <c r="G195" s="46"/>
      <c r="H195" s="46">
        <v>0.75</v>
      </c>
      <c r="I195" s="46">
        <v>0.88</v>
      </c>
      <c r="J195" s="46">
        <v>2.95</v>
      </c>
      <c r="K195" s="46"/>
      <c r="L195" s="46"/>
      <c r="M195" s="46">
        <v>1.19</v>
      </c>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c r="AQ195" s="46"/>
      <c r="AR195" s="46"/>
      <c r="AS195" s="46"/>
      <c r="AT195" s="46"/>
      <c r="AU195" s="46"/>
      <c r="AV195" s="46"/>
      <c r="AW195" s="46"/>
      <c r="AX195" s="46"/>
      <c r="AY195" s="47" t="s">
        <v>233</v>
      </c>
      <c r="AZ195" s="103" t="s">
        <v>615</v>
      </c>
      <c r="BA195" s="93" t="s">
        <v>291</v>
      </c>
      <c r="BB195" s="50"/>
      <c r="BI195" s="42">
        <v>1</v>
      </c>
      <c r="BK195" s="50"/>
    </row>
    <row r="196" spans="1:63" s="49" customFormat="1" ht="18.600000000000001" customHeight="1">
      <c r="A196" s="32">
        <f t="shared" si="22"/>
        <v>182</v>
      </c>
      <c r="B196" s="60" t="s">
        <v>619</v>
      </c>
      <c r="C196" s="78" t="s">
        <v>44</v>
      </c>
      <c r="D196" s="35">
        <f t="shared" si="15"/>
        <v>2.8400000000000003</v>
      </c>
      <c r="E196" s="45"/>
      <c r="F196" s="35">
        <f t="shared" si="21"/>
        <v>2.8400000000000003</v>
      </c>
      <c r="G196" s="46">
        <v>0.5</v>
      </c>
      <c r="H196" s="46"/>
      <c r="I196" s="46">
        <v>0.12</v>
      </c>
      <c r="J196" s="46">
        <v>1.2200000000000002</v>
      </c>
      <c r="K196" s="46"/>
      <c r="L196" s="46"/>
      <c r="M196" s="46">
        <v>1</v>
      </c>
      <c r="N196" s="46"/>
      <c r="O196" s="46"/>
      <c r="P196" s="46"/>
      <c r="Q196" s="46"/>
      <c r="R196" s="46"/>
      <c r="S196" s="46"/>
      <c r="T196" s="46"/>
      <c r="U196" s="46"/>
      <c r="V196" s="46"/>
      <c r="W196" s="46"/>
      <c r="X196" s="46"/>
      <c r="Y196" s="46"/>
      <c r="Z196" s="46"/>
      <c r="AA196" s="46"/>
      <c r="AB196" s="46"/>
      <c r="AC196" s="46"/>
      <c r="AD196" s="46"/>
      <c r="AE196" s="46"/>
      <c r="AF196" s="46"/>
      <c r="AG196" s="46"/>
      <c r="AH196" s="46"/>
      <c r="AI196" s="46"/>
      <c r="AJ196" s="46"/>
      <c r="AK196" s="46"/>
      <c r="AL196" s="46"/>
      <c r="AM196" s="46"/>
      <c r="AN196" s="46"/>
      <c r="AO196" s="46"/>
      <c r="AP196" s="46"/>
      <c r="AQ196" s="46"/>
      <c r="AR196" s="46"/>
      <c r="AS196" s="46"/>
      <c r="AT196" s="46"/>
      <c r="AU196" s="46"/>
      <c r="AV196" s="46"/>
      <c r="AW196" s="46"/>
      <c r="AX196" s="46"/>
      <c r="AY196" s="47" t="s">
        <v>234</v>
      </c>
      <c r="AZ196" s="103" t="s">
        <v>615</v>
      </c>
      <c r="BA196" s="93" t="s">
        <v>291</v>
      </c>
      <c r="BB196" s="50"/>
      <c r="BI196" s="42">
        <v>1</v>
      </c>
      <c r="BK196" s="50"/>
    </row>
    <row r="197" spans="1:63" s="49" customFormat="1" ht="18.600000000000001" customHeight="1">
      <c r="A197" s="32">
        <f t="shared" si="22"/>
        <v>183</v>
      </c>
      <c r="B197" s="33" t="s">
        <v>619</v>
      </c>
      <c r="C197" s="78" t="s">
        <v>44</v>
      </c>
      <c r="D197" s="35">
        <f t="shared" si="15"/>
        <v>0.64999999999999991</v>
      </c>
      <c r="E197" s="36"/>
      <c r="F197" s="35">
        <f t="shared" si="21"/>
        <v>0.64999999999999991</v>
      </c>
      <c r="G197" s="46">
        <v>7.0000000000000007E-2</v>
      </c>
      <c r="H197" s="46"/>
      <c r="I197" s="46">
        <v>0.1</v>
      </c>
      <c r="J197" s="46">
        <v>0.18</v>
      </c>
      <c r="K197" s="46"/>
      <c r="L197" s="46"/>
      <c r="M197" s="46">
        <v>0.3</v>
      </c>
      <c r="N197" s="46"/>
      <c r="O197" s="46"/>
      <c r="P197" s="46"/>
      <c r="Q197" s="46"/>
      <c r="R197" s="46"/>
      <c r="S197" s="46"/>
      <c r="T197" s="46"/>
      <c r="U197" s="46"/>
      <c r="V197" s="46"/>
      <c r="W197" s="46"/>
      <c r="X197" s="46"/>
      <c r="Y197" s="46"/>
      <c r="Z197" s="46"/>
      <c r="AA197" s="46"/>
      <c r="AB197" s="46"/>
      <c r="AC197" s="46"/>
      <c r="AD197" s="46"/>
      <c r="AE197" s="46"/>
      <c r="AF197" s="46"/>
      <c r="AG197" s="46"/>
      <c r="AH197" s="46"/>
      <c r="AI197" s="46"/>
      <c r="AJ197" s="46"/>
      <c r="AK197" s="46"/>
      <c r="AL197" s="46"/>
      <c r="AM197" s="46"/>
      <c r="AN197" s="46"/>
      <c r="AO197" s="46"/>
      <c r="AP197" s="46"/>
      <c r="AQ197" s="46"/>
      <c r="AR197" s="46"/>
      <c r="AS197" s="46"/>
      <c r="AT197" s="46"/>
      <c r="AU197" s="46"/>
      <c r="AV197" s="46"/>
      <c r="AW197" s="46"/>
      <c r="AX197" s="46"/>
      <c r="AY197" s="47" t="s">
        <v>235</v>
      </c>
      <c r="AZ197" s="34" t="s">
        <v>615</v>
      </c>
      <c r="BA197" s="47" t="s">
        <v>291</v>
      </c>
      <c r="BB197" s="48"/>
      <c r="BI197" s="42">
        <v>1</v>
      </c>
      <c r="BK197" s="50"/>
    </row>
    <row r="198" spans="1:63" ht="18.600000000000001" customHeight="1">
      <c r="A198" s="32">
        <f t="shared" si="22"/>
        <v>184</v>
      </c>
      <c r="B198" s="33" t="s">
        <v>619</v>
      </c>
      <c r="C198" s="78" t="s">
        <v>44</v>
      </c>
      <c r="D198" s="35">
        <f t="shared" si="15"/>
        <v>1.9499999999999997</v>
      </c>
      <c r="E198" s="36"/>
      <c r="F198" s="35">
        <f t="shared" si="21"/>
        <v>1.9499999999999997</v>
      </c>
      <c r="G198" s="37">
        <v>0.36</v>
      </c>
      <c r="H198" s="37">
        <v>0.12</v>
      </c>
      <c r="I198" s="37">
        <v>0.45</v>
      </c>
      <c r="J198" s="37">
        <v>0.45</v>
      </c>
      <c r="K198" s="37"/>
      <c r="L198" s="37"/>
      <c r="M198" s="37">
        <v>0.56999999999999995</v>
      </c>
      <c r="N198" s="37"/>
      <c r="O198" s="37"/>
      <c r="P198" s="37"/>
      <c r="Q198" s="37"/>
      <c r="R198" s="37"/>
      <c r="S198" s="37"/>
      <c r="T198" s="37"/>
      <c r="U198" s="37"/>
      <c r="V198" s="37"/>
      <c r="W198" s="37"/>
      <c r="X198" s="37"/>
      <c r="Y198" s="37"/>
      <c r="Z198" s="37"/>
      <c r="AA198" s="37"/>
      <c r="AB198" s="37"/>
      <c r="AC198" s="37"/>
      <c r="AD198" s="37"/>
      <c r="AE198" s="37"/>
      <c r="AF198" s="37"/>
      <c r="AG198" s="37"/>
      <c r="AH198" s="37"/>
      <c r="AI198" s="37"/>
      <c r="AJ198" s="37"/>
      <c r="AK198" s="37"/>
      <c r="AL198" s="37"/>
      <c r="AM198" s="37"/>
      <c r="AN198" s="37"/>
      <c r="AO198" s="37"/>
      <c r="AP198" s="37"/>
      <c r="AQ198" s="37"/>
      <c r="AR198" s="37"/>
      <c r="AS198" s="37"/>
      <c r="AT198" s="37"/>
      <c r="AU198" s="37"/>
      <c r="AV198" s="37"/>
      <c r="AW198" s="37"/>
      <c r="AX198" s="37"/>
      <c r="AY198" s="34" t="s">
        <v>236</v>
      </c>
      <c r="AZ198" s="103" t="s">
        <v>615</v>
      </c>
      <c r="BA198" s="39" t="s">
        <v>291</v>
      </c>
      <c r="BB198" s="40"/>
      <c r="BE198" s="41"/>
      <c r="BI198" s="42">
        <v>1</v>
      </c>
    </row>
    <row r="199" spans="1:63" s="71" customFormat="1" ht="47.25">
      <c r="A199" s="32">
        <f t="shared" si="22"/>
        <v>185</v>
      </c>
      <c r="B199" s="66" t="s">
        <v>630</v>
      </c>
      <c r="C199" s="78" t="s">
        <v>44</v>
      </c>
      <c r="D199" s="35">
        <f t="shared" si="15"/>
        <v>14.1</v>
      </c>
      <c r="E199" s="76">
        <f>0.23+0.35</f>
        <v>0.57999999999999996</v>
      </c>
      <c r="F199" s="35">
        <f t="shared" si="21"/>
        <v>13.52</v>
      </c>
      <c r="G199" s="77">
        <f>0.53+1.46</f>
        <v>1.99</v>
      </c>
      <c r="H199" s="77">
        <f>0.98+0.96+0.29</f>
        <v>2.23</v>
      </c>
      <c r="I199" s="77">
        <f>0.18+0.16</f>
        <v>0.33999999999999997</v>
      </c>
      <c r="J199" s="77">
        <f>2.39+0.98</f>
        <v>3.37</v>
      </c>
      <c r="K199" s="77"/>
      <c r="L199" s="77"/>
      <c r="M199" s="77">
        <f>0.86+1.45+0.08</f>
        <v>2.39</v>
      </c>
      <c r="N199" s="77"/>
      <c r="O199" s="77"/>
      <c r="P199" s="77">
        <f>0.09+0.05</f>
        <v>0.14000000000000001</v>
      </c>
      <c r="Q199" s="77"/>
      <c r="R199" s="77"/>
      <c r="S199" s="77"/>
      <c r="T199" s="77"/>
      <c r="U199" s="77"/>
      <c r="V199" s="77">
        <v>0.08</v>
      </c>
      <c r="W199" s="77">
        <v>0.04</v>
      </c>
      <c r="X199" s="77"/>
      <c r="Y199" s="77"/>
      <c r="Z199" s="77"/>
      <c r="AA199" s="77">
        <v>0.06</v>
      </c>
      <c r="AB199" s="77"/>
      <c r="AC199" s="77"/>
      <c r="AD199" s="77"/>
      <c r="AE199" s="77"/>
      <c r="AF199" s="77">
        <v>0.01</v>
      </c>
      <c r="AG199" s="77"/>
      <c r="AH199" s="77"/>
      <c r="AI199" s="77"/>
      <c r="AJ199" s="77"/>
      <c r="AK199" s="77">
        <v>0.08</v>
      </c>
      <c r="AL199" s="77"/>
      <c r="AM199" s="77"/>
      <c r="AN199" s="77">
        <v>0.08</v>
      </c>
      <c r="AO199" s="77"/>
      <c r="AP199" s="77">
        <f>0.98+0.8+0.3</f>
        <v>2.08</v>
      </c>
      <c r="AQ199" s="77">
        <v>0.25</v>
      </c>
      <c r="AR199" s="77"/>
      <c r="AS199" s="77"/>
      <c r="AT199" s="77"/>
      <c r="AU199" s="77">
        <v>0.01</v>
      </c>
      <c r="AV199" s="77"/>
      <c r="AW199" s="77"/>
      <c r="AX199" s="77">
        <v>0.37</v>
      </c>
      <c r="AY199" s="70" t="s">
        <v>631</v>
      </c>
      <c r="AZ199" s="70"/>
      <c r="BA199" s="47" t="s">
        <v>298</v>
      </c>
      <c r="BB199" s="48"/>
      <c r="BC199" s="71" t="s">
        <v>632</v>
      </c>
      <c r="BE199" s="71">
        <f>550*20</f>
        <v>11000</v>
      </c>
      <c r="BG199" s="71" t="s">
        <v>633</v>
      </c>
      <c r="BI199" s="42">
        <v>1</v>
      </c>
      <c r="BK199" s="72"/>
    </row>
    <row r="200" spans="1:63" s="71" customFormat="1" ht="18" customHeight="1">
      <c r="A200" s="32">
        <f t="shared" si="22"/>
        <v>186</v>
      </c>
      <c r="B200" s="66" t="s">
        <v>634</v>
      </c>
      <c r="C200" s="78" t="s">
        <v>44</v>
      </c>
      <c r="D200" s="35">
        <f t="shared" si="15"/>
        <v>0.71</v>
      </c>
      <c r="E200" s="76"/>
      <c r="F200" s="35">
        <f t="shared" si="21"/>
        <v>0.71</v>
      </c>
      <c r="G200" s="77">
        <v>0.28999999999999998</v>
      </c>
      <c r="H200" s="77">
        <v>0.32</v>
      </c>
      <c r="I200" s="77"/>
      <c r="J200" s="77">
        <v>0.1</v>
      </c>
      <c r="K200" s="77"/>
      <c r="L200" s="77"/>
      <c r="M200" s="77"/>
      <c r="N200" s="77"/>
      <c r="O200" s="77"/>
      <c r="P200" s="77"/>
      <c r="Q200" s="77"/>
      <c r="R200" s="77"/>
      <c r="S200" s="77"/>
      <c r="T200" s="77"/>
      <c r="U200" s="77"/>
      <c r="V200" s="77"/>
      <c r="W200" s="77"/>
      <c r="X200" s="77"/>
      <c r="Y200" s="77"/>
      <c r="Z200" s="77"/>
      <c r="AA200" s="77"/>
      <c r="AB200" s="77"/>
      <c r="AC200" s="77"/>
      <c r="AD200" s="77"/>
      <c r="AE200" s="77"/>
      <c r="AF200" s="77"/>
      <c r="AG200" s="77"/>
      <c r="AH200" s="77"/>
      <c r="AI200" s="77"/>
      <c r="AJ200" s="77"/>
      <c r="AK200" s="77"/>
      <c r="AL200" s="77"/>
      <c r="AM200" s="77"/>
      <c r="AN200" s="77"/>
      <c r="AO200" s="77"/>
      <c r="AP200" s="77"/>
      <c r="AQ200" s="77"/>
      <c r="AR200" s="77"/>
      <c r="AS200" s="77"/>
      <c r="AT200" s="77"/>
      <c r="AU200" s="77"/>
      <c r="AV200" s="77"/>
      <c r="AW200" s="77"/>
      <c r="AX200" s="77"/>
      <c r="AY200" s="70" t="s">
        <v>235</v>
      </c>
      <c r="AZ200" s="70"/>
      <c r="BA200" s="47" t="s">
        <v>298</v>
      </c>
      <c r="BB200" s="48"/>
      <c r="BE200" s="71">
        <f>470*15</f>
        <v>7050</v>
      </c>
      <c r="BI200" s="42">
        <v>1</v>
      </c>
      <c r="BK200" s="72"/>
    </row>
    <row r="201" spans="1:63" s="71" customFormat="1" ht="18" customHeight="1">
      <c r="A201" s="32">
        <f t="shared" si="22"/>
        <v>187</v>
      </c>
      <c r="B201" s="66" t="s">
        <v>635</v>
      </c>
      <c r="C201" s="78" t="s">
        <v>44</v>
      </c>
      <c r="D201" s="35">
        <f t="shared" si="15"/>
        <v>0.75</v>
      </c>
      <c r="E201" s="76"/>
      <c r="F201" s="35">
        <f t="shared" si="21"/>
        <v>0.75</v>
      </c>
      <c r="G201" s="77">
        <v>0.5</v>
      </c>
      <c r="H201" s="77">
        <v>0.2</v>
      </c>
      <c r="I201" s="77"/>
      <c r="J201" s="77">
        <v>0.05</v>
      </c>
      <c r="K201" s="77"/>
      <c r="L201" s="77"/>
      <c r="M201" s="77"/>
      <c r="N201" s="77"/>
      <c r="O201" s="77"/>
      <c r="P201" s="77"/>
      <c r="Q201" s="77"/>
      <c r="R201" s="77"/>
      <c r="S201" s="77"/>
      <c r="T201" s="77"/>
      <c r="U201" s="77"/>
      <c r="V201" s="77"/>
      <c r="W201" s="77"/>
      <c r="X201" s="77"/>
      <c r="Y201" s="77"/>
      <c r="Z201" s="77"/>
      <c r="AA201" s="77"/>
      <c r="AB201" s="77"/>
      <c r="AC201" s="77"/>
      <c r="AD201" s="77"/>
      <c r="AE201" s="77"/>
      <c r="AF201" s="77"/>
      <c r="AG201" s="77"/>
      <c r="AH201" s="77"/>
      <c r="AI201" s="77"/>
      <c r="AJ201" s="77"/>
      <c r="AK201" s="77"/>
      <c r="AL201" s="77"/>
      <c r="AM201" s="77"/>
      <c r="AN201" s="77"/>
      <c r="AO201" s="77"/>
      <c r="AP201" s="77"/>
      <c r="AQ201" s="77"/>
      <c r="AR201" s="77"/>
      <c r="AS201" s="77"/>
      <c r="AT201" s="77"/>
      <c r="AU201" s="77"/>
      <c r="AV201" s="77"/>
      <c r="AW201" s="77"/>
      <c r="AX201" s="77"/>
      <c r="AY201" s="70" t="s">
        <v>235</v>
      </c>
      <c r="AZ201" s="70"/>
      <c r="BA201" s="47" t="s">
        <v>298</v>
      </c>
      <c r="BB201" s="48"/>
      <c r="BE201" s="71">
        <f>500*15</f>
        <v>7500</v>
      </c>
      <c r="BI201" s="42">
        <v>1</v>
      </c>
      <c r="BK201" s="72"/>
    </row>
    <row r="202" spans="1:63" ht="18" customHeight="1">
      <c r="A202" s="32">
        <f t="shared" si="22"/>
        <v>188</v>
      </c>
      <c r="B202" s="33" t="s">
        <v>619</v>
      </c>
      <c r="C202" s="78" t="s">
        <v>44</v>
      </c>
      <c r="D202" s="35">
        <f t="shared" si="15"/>
        <v>6.17</v>
      </c>
      <c r="E202" s="36"/>
      <c r="F202" s="35">
        <f t="shared" si="21"/>
        <v>6.17</v>
      </c>
      <c r="G202" s="37">
        <v>1.73</v>
      </c>
      <c r="H202" s="37">
        <v>0.75</v>
      </c>
      <c r="I202" s="37"/>
      <c r="J202" s="37">
        <v>3.02</v>
      </c>
      <c r="K202" s="37"/>
      <c r="L202" s="37"/>
      <c r="M202" s="37">
        <v>0.67</v>
      </c>
      <c r="N202" s="37"/>
      <c r="O202" s="37"/>
      <c r="P202" s="37"/>
      <c r="Q202" s="37"/>
      <c r="R202" s="37"/>
      <c r="S202" s="37"/>
      <c r="T202" s="37"/>
      <c r="U202" s="37"/>
      <c r="V202" s="37"/>
      <c r="W202" s="37"/>
      <c r="X202" s="37"/>
      <c r="Y202" s="37"/>
      <c r="Z202" s="37"/>
      <c r="AA202" s="37"/>
      <c r="AB202" s="37"/>
      <c r="AC202" s="37"/>
      <c r="AD202" s="37"/>
      <c r="AE202" s="37"/>
      <c r="AF202" s="37"/>
      <c r="AG202" s="37"/>
      <c r="AH202" s="37"/>
      <c r="AI202" s="37"/>
      <c r="AJ202" s="37"/>
      <c r="AK202" s="37"/>
      <c r="AL202" s="37"/>
      <c r="AM202" s="37"/>
      <c r="AN202" s="37"/>
      <c r="AO202" s="37"/>
      <c r="AP202" s="37"/>
      <c r="AQ202" s="37"/>
      <c r="AR202" s="37"/>
      <c r="AS202" s="37"/>
      <c r="AT202" s="37"/>
      <c r="AU202" s="37"/>
      <c r="AV202" s="37"/>
      <c r="AW202" s="37"/>
      <c r="AX202" s="37"/>
      <c r="AY202" s="34" t="s">
        <v>237</v>
      </c>
      <c r="AZ202" s="103" t="s">
        <v>615</v>
      </c>
      <c r="BA202" s="63" t="s">
        <v>291</v>
      </c>
      <c r="BB202" s="64"/>
      <c r="BC202" s="40"/>
      <c r="BD202" s="40"/>
      <c r="BE202" s="40"/>
      <c r="BI202" s="42">
        <v>1</v>
      </c>
    </row>
    <row r="203" spans="1:63" ht="18" customHeight="1">
      <c r="A203" s="32">
        <f t="shared" si="22"/>
        <v>189</v>
      </c>
      <c r="B203" s="60" t="s">
        <v>619</v>
      </c>
      <c r="C203" s="78" t="s">
        <v>44</v>
      </c>
      <c r="D203" s="35">
        <f t="shared" si="15"/>
        <v>3.4899999999999998</v>
      </c>
      <c r="E203" s="36"/>
      <c r="F203" s="35">
        <f t="shared" si="21"/>
        <v>3.4899999999999998</v>
      </c>
      <c r="G203" s="37">
        <v>0.6</v>
      </c>
      <c r="H203" s="37">
        <v>0.4</v>
      </c>
      <c r="I203" s="37">
        <v>1.59</v>
      </c>
      <c r="J203" s="37">
        <v>0.5</v>
      </c>
      <c r="K203" s="37"/>
      <c r="L203" s="37"/>
      <c r="M203" s="37">
        <v>0.4</v>
      </c>
      <c r="N203" s="37"/>
      <c r="O203" s="37"/>
      <c r="P203" s="37"/>
      <c r="Q203" s="37"/>
      <c r="R203" s="37"/>
      <c r="S203" s="37"/>
      <c r="T203" s="37"/>
      <c r="U203" s="37"/>
      <c r="V203" s="37"/>
      <c r="W203" s="37"/>
      <c r="X203" s="37"/>
      <c r="Y203" s="37"/>
      <c r="Z203" s="37"/>
      <c r="AA203" s="37"/>
      <c r="AB203" s="37"/>
      <c r="AC203" s="37"/>
      <c r="AD203" s="37"/>
      <c r="AE203" s="37"/>
      <c r="AF203" s="37"/>
      <c r="AG203" s="37"/>
      <c r="AH203" s="37"/>
      <c r="AI203" s="37"/>
      <c r="AJ203" s="37"/>
      <c r="AK203" s="37"/>
      <c r="AL203" s="37"/>
      <c r="AM203" s="37"/>
      <c r="AN203" s="37"/>
      <c r="AO203" s="37"/>
      <c r="AP203" s="37"/>
      <c r="AQ203" s="37"/>
      <c r="AR203" s="37"/>
      <c r="AS203" s="37"/>
      <c r="AT203" s="37"/>
      <c r="AU203" s="37"/>
      <c r="AV203" s="37"/>
      <c r="AW203" s="37"/>
      <c r="AX203" s="37"/>
      <c r="AY203" s="38" t="s">
        <v>238</v>
      </c>
      <c r="AZ203" s="103" t="s">
        <v>615</v>
      </c>
      <c r="BA203" s="63" t="s">
        <v>291</v>
      </c>
      <c r="BB203" s="64"/>
      <c r="BC203" s="65"/>
      <c r="BD203" s="65"/>
      <c r="BE203" s="41"/>
      <c r="BI203" s="42">
        <v>1</v>
      </c>
    </row>
    <row r="204" spans="1:63" ht="18" customHeight="1">
      <c r="A204" s="32">
        <f t="shared" si="22"/>
        <v>190</v>
      </c>
      <c r="B204" s="33" t="s">
        <v>619</v>
      </c>
      <c r="C204" s="78" t="s">
        <v>44</v>
      </c>
      <c r="D204" s="35">
        <f t="shared" si="15"/>
        <v>1.1499999999999999</v>
      </c>
      <c r="E204" s="36"/>
      <c r="F204" s="35">
        <f t="shared" si="21"/>
        <v>1.1499999999999999</v>
      </c>
      <c r="G204" s="37">
        <v>0.45</v>
      </c>
      <c r="H204" s="37">
        <v>0.18</v>
      </c>
      <c r="I204" s="37">
        <v>0.52</v>
      </c>
      <c r="J204" s="37"/>
      <c r="K204" s="37"/>
      <c r="L204" s="37"/>
      <c r="M204" s="37"/>
      <c r="N204" s="37"/>
      <c r="O204" s="37"/>
      <c r="P204" s="37"/>
      <c r="Q204" s="37"/>
      <c r="R204" s="37"/>
      <c r="S204" s="37"/>
      <c r="T204" s="37"/>
      <c r="U204" s="37"/>
      <c r="V204" s="37"/>
      <c r="W204" s="37"/>
      <c r="X204" s="37"/>
      <c r="Y204" s="37"/>
      <c r="Z204" s="37"/>
      <c r="AA204" s="37"/>
      <c r="AB204" s="37"/>
      <c r="AC204" s="37"/>
      <c r="AD204" s="37"/>
      <c r="AE204" s="37"/>
      <c r="AF204" s="37"/>
      <c r="AG204" s="37"/>
      <c r="AH204" s="37"/>
      <c r="AI204" s="37"/>
      <c r="AJ204" s="37"/>
      <c r="AK204" s="37"/>
      <c r="AL204" s="37"/>
      <c r="AM204" s="37"/>
      <c r="AN204" s="37"/>
      <c r="AO204" s="37"/>
      <c r="AP204" s="37"/>
      <c r="AQ204" s="37"/>
      <c r="AR204" s="37"/>
      <c r="AS204" s="37"/>
      <c r="AT204" s="37"/>
      <c r="AU204" s="37"/>
      <c r="AV204" s="37"/>
      <c r="AW204" s="37"/>
      <c r="AX204" s="37"/>
      <c r="AY204" s="34" t="s">
        <v>239</v>
      </c>
      <c r="AZ204" s="103" t="s">
        <v>615</v>
      </c>
      <c r="BA204" s="39" t="s">
        <v>291</v>
      </c>
      <c r="BB204" s="40"/>
      <c r="BE204" s="41"/>
      <c r="BI204" s="42">
        <v>1</v>
      </c>
    </row>
    <row r="205" spans="1:63" ht="31.5">
      <c r="A205" s="32">
        <f t="shared" si="22"/>
        <v>191</v>
      </c>
      <c r="B205" s="33" t="s">
        <v>636</v>
      </c>
      <c r="C205" s="78" t="s">
        <v>44</v>
      </c>
      <c r="D205" s="35">
        <f t="shared" si="15"/>
        <v>0.75</v>
      </c>
      <c r="E205" s="36"/>
      <c r="F205" s="35">
        <f t="shared" si="21"/>
        <v>0.75</v>
      </c>
      <c r="G205" s="37">
        <v>0.23</v>
      </c>
      <c r="H205" s="37"/>
      <c r="I205" s="37"/>
      <c r="J205" s="37">
        <v>0.52</v>
      </c>
      <c r="K205" s="37"/>
      <c r="L205" s="37"/>
      <c r="M205" s="37"/>
      <c r="N205" s="37"/>
      <c r="O205" s="37"/>
      <c r="P205" s="37"/>
      <c r="Q205" s="37"/>
      <c r="R205" s="37"/>
      <c r="S205" s="37"/>
      <c r="T205" s="37"/>
      <c r="U205" s="37"/>
      <c r="V205" s="37"/>
      <c r="W205" s="37"/>
      <c r="X205" s="37"/>
      <c r="Y205" s="37"/>
      <c r="Z205" s="37"/>
      <c r="AA205" s="37"/>
      <c r="AB205" s="37"/>
      <c r="AC205" s="37"/>
      <c r="AD205" s="37"/>
      <c r="AE205" s="37"/>
      <c r="AF205" s="37"/>
      <c r="AG205" s="37"/>
      <c r="AH205" s="37"/>
      <c r="AI205" s="37"/>
      <c r="AJ205" s="37"/>
      <c r="AK205" s="37"/>
      <c r="AL205" s="37"/>
      <c r="AM205" s="37"/>
      <c r="AN205" s="37"/>
      <c r="AO205" s="37"/>
      <c r="AP205" s="37"/>
      <c r="AQ205" s="37"/>
      <c r="AR205" s="37"/>
      <c r="AS205" s="37"/>
      <c r="AT205" s="37"/>
      <c r="AU205" s="37"/>
      <c r="AV205" s="37"/>
      <c r="AW205" s="37"/>
      <c r="AX205" s="37"/>
      <c r="AY205" s="47" t="s">
        <v>240</v>
      </c>
      <c r="AZ205" s="34" t="s">
        <v>637</v>
      </c>
      <c r="BA205" s="47" t="s">
        <v>298</v>
      </c>
      <c r="BB205" s="48"/>
      <c r="BD205" s="15">
        <f>3000*2.5</f>
        <v>7500</v>
      </c>
      <c r="BE205" s="41"/>
      <c r="BI205" s="42">
        <v>1</v>
      </c>
    </row>
    <row r="206" spans="1:63" ht="31.5">
      <c r="A206" s="32">
        <f t="shared" si="22"/>
        <v>192</v>
      </c>
      <c r="B206" s="33" t="s">
        <v>638</v>
      </c>
      <c r="C206" s="78" t="s">
        <v>44</v>
      </c>
      <c r="D206" s="35">
        <f t="shared" si="15"/>
        <v>0.32</v>
      </c>
      <c r="E206" s="36"/>
      <c r="F206" s="35">
        <f t="shared" si="21"/>
        <v>0.32</v>
      </c>
      <c r="G206" s="37">
        <v>0.06</v>
      </c>
      <c r="H206" s="37">
        <v>0.03</v>
      </c>
      <c r="I206" s="37"/>
      <c r="J206" s="37">
        <v>0.18</v>
      </c>
      <c r="K206" s="37"/>
      <c r="L206" s="37"/>
      <c r="M206" s="37">
        <v>0.05</v>
      </c>
      <c r="N206" s="37"/>
      <c r="O206" s="37"/>
      <c r="P206" s="37"/>
      <c r="Q206" s="37"/>
      <c r="R206" s="37"/>
      <c r="S206" s="37"/>
      <c r="T206" s="37"/>
      <c r="U206" s="37"/>
      <c r="V206" s="37"/>
      <c r="W206" s="37"/>
      <c r="X206" s="37"/>
      <c r="Y206" s="37"/>
      <c r="Z206" s="37"/>
      <c r="AA206" s="37"/>
      <c r="AB206" s="37"/>
      <c r="AC206" s="37"/>
      <c r="AD206" s="37"/>
      <c r="AE206" s="37"/>
      <c r="AF206" s="37"/>
      <c r="AG206" s="37"/>
      <c r="AH206" s="37"/>
      <c r="AI206" s="37"/>
      <c r="AJ206" s="37"/>
      <c r="AK206" s="37"/>
      <c r="AL206" s="37"/>
      <c r="AM206" s="37"/>
      <c r="AN206" s="37"/>
      <c r="AO206" s="37"/>
      <c r="AP206" s="37"/>
      <c r="AQ206" s="37"/>
      <c r="AR206" s="37"/>
      <c r="AS206" s="37"/>
      <c r="AT206" s="37"/>
      <c r="AU206" s="37"/>
      <c r="AV206" s="37"/>
      <c r="AW206" s="37"/>
      <c r="AX206" s="37"/>
      <c r="AY206" s="47" t="s">
        <v>240</v>
      </c>
      <c r="AZ206" s="34" t="s">
        <v>639</v>
      </c>
      <c r="BA206" s="47" t="s">
        <v>298</v>
      </c>
      <c r="BB206" s="48"/>
      <c r="BD206" s="15">
        <f>200*4.5+300*7.5</f>
        <v>3150</v>
      </c>
      <c r="BE206" s="41"/>
      <c r="BI206" s="42">
        <v>1</v>
      </c>
    </row>
    <row r="207" spans="1:63" ht="20.100000000000001" customHeight="1">
      <c r="A207" s="32">
        <f t="shared" si="22"/>
        <v>193</v>
      </c>
      <c r="B207" s="33" t="s">
        <v>619</v>
      </c>
      <c r="C207" s="78" t="s">
        <v>44</v>
      </c>
      <c r="D207" s="35">
        <f t="shared" si="15"/>
        <v>0.8600000000000001</v>
      </c>
      <c r="E207" s="36"/>
      <c r="F207" s="35">
        <f t="shared" si="21"/>
        <v>0.8600000000000001</v>
      </c>
      <c r="G207" s="79">
        <v>0.1</v>
      </c>
      <c r="H207" s="79"/>
      <c r="I207" s="79">
        <v>0.16</v>
      </c>
      <c r="J207" s="79">
        <v>0.25</v>
      </c>
      <c r="K207" s="79"/>
      <c r="L207" s="79"/>
      <c r="M207" s="79">
        <v>0.3</v>
      </c>
      <c r="N207" s="79"/>
      <c r="O207" s="79"/>
      <c r="P207" s="79">
        <v>0.05</v>
      </c>
      <c r="Q207" s="79"/>
      <c r="R207" s="79"/>
      <c r="S207" s="79"/>
      <c r="T207" s="79"/>
      <c r="U207" s="79"/>
      <c r="V207" s="79"/>
      <c r="W207" s="79"/>
      <c r="X207" s="79"/>
      <c r="Y207" s="79"/>
      <c r="Z207" s="79"/>
      <c r="AA207" s="79"/>
      <c r="AB207" s="79"/>
      <c r="AC207" s="79"/>
      <c r="AD207" s="79"/>
      <c r="AE207" s="79"/>
      <c r="AF207" s="79"/>
      <c r="AG207" s="79"/>
      <c r="AH207" s="79"/>
      <c r="AI207" s="79"/>
      <c r="AJ207" s="79"/>
      <c r="AK207" s="79"/>
      <c r="AL207" s="79"/>
      <c r="AM207" s="79"/>
      <c r="AN207" s="79"/>
      <c r="AO207" s="79"/>
      <c r="AP207" s="79"/>
      <c r="AQ207" s="79"/>
      <c r="AR207" s="79"/>
      <c r="AS207" s="79"/>
      <c r="AT207" s="79"/>
      <c r="AU207" s="79"/>
      <c r="AV207" s="79"/>
      <c r="AW207" s="79"/>
      <c r="AX207" s="79"/>
      <c r="AY207" s="47" t="s">
        <v>240</v>
      </c>
      <c r="AZ207" s="34" t="s">
        <v>615</v>
      </c>
      <c r="BA207" s="47" t="s">
        <v>291</v>
      </c>
      <c r="BB207" s="48"/>
      <c r="BE207" s="41"/>
      <c r="BI207" s="42">
        <v>1</v>
      </c>
    </row>
    <row r="208" spans="1:63" ht="20.100000000000001" customHeight="1">
      <c r="A208" s="32">
        <f t="shared" si="22"/>
        <v>194</v>
      </c>
      <c r="B208" s="33" t="s">
        <v>619</v>
      </c>
      <c r="C208" s="78" t="s">
        <v>44</v>
      </c>
      <c r="D208" s="35">
        <f t="shared" si="15"/>
        <v>0.49000000000000005</v>
      </c>
      <c r="E208" s="36"/>
      <c r="F208" s="35">
        <f t="shared" si="21"/>
        <v>0.49000000000000005</v>
      </c>
      <c r="G208" s="79">
        <v>0.06</v>
      </c>
      <c r="H208" s="79"/>
      <c r="I208" s="79">
        <v>0.08</v>
      </c>
      <c r="J208" s="79">
        <v>0.15</v>
      </c>
      <c r="K208" s="79"/>
      <c r="L208" s="79"/>
      <c r="M208" s="79">
        <v>0.2</v>
      </c>
      <c r="N208" s="79"/>
      <c r="O208" s="79"/>
      <c r="P208" s="79"/>
      <c r="Q208" s="79"/>
      <c r="R208" s="79"/>
      <c r="S208" s="79"/>
      <c r="T208" s="79"/>
      <c r="U208" s="79"/>
      <c r="V208" s="79"/>
      <c r="W208" s="79"/>
      <c r="X208" s="79"/>
      <c r="Y208" s="79"/>
      <c r="Z208" s="79"/>
      <c r="AA208" s="79"/>
      <c r="AB208" s="79"/>
      <c r="AC208" s="79"/>
      <c r="AD208" s="79"/>
      <c r="AE208" s="79"/>
      <c r="AF208" s="79"/>
      <c r="AG208" s="79"/>
      <c r="AH208" s="79"/>
      <c r="AI208" s="79"/>
      <c r="AJ208" s="79"/>
      <c r="AK208" s="79"/>
      <c r="AL208" s="79"/>
      <c r="AM208" s="79"/>
      <c r="AN208" s="79"/>
      <c r="AO208" s="79"/>
      <c r="AP208" s="79"/>
      <c r="AQ208" s="79"/>
      <c r="AR208" s="79"/>
      <c r="AS208" s="79"/>
      <c r="AT208" s="79"/>
      <c r="AU208" s="79"/>
      <c r="AV208" s="79"/>
      <c r="AW208" s="79"/>
      <c r="AX208" s="79"/>
      <c r="AY208" s="47" t="s">
        <v>241</v>
      </c>
      <c r="AZ208" s="34" t="s">
        <v>615</v>
      </c>
      <c r="BA208" s="47" t="s">
        <v>291</v>
      </c>
      <c r="BB208" s="48"/>
      <c r="BE208" s="41"/>
      <c r="BI208" s="42">
        <v>1</v>
      </c>
    </row>
    <row r="209" spans="1:61" s="24" customFormat="1" ht="22.35" customHeight="1">
      <c r="A209" s="20" t="s">
        <v>640</v>
      </c>
      <c r="B209" s="25" t="s">
        <v>123</v>
      </c>
      <c r="C209" s="26"/>
      <c r="D209" s="27">
        <f t="shared" ref="D209:D272" si="23">E209+F209</f>
        <v>49.509999999999991</v>
      </c>
      <c r="E209" s="27">
        <f>SUM(E210:E279)</f>
        <v>31.51</v>
      </c>
      <c r="F209" s="27">
        <f>SUM(G209:AX209)</f>
        <v>17.999999999999989</v>
      </c>
      <c r="G209" s="28">
        <f t="shared" ref="G209:AX209" si="24">SUM(G210:G279)</f>
        <v>9.8399999999999928</v>
      </c>
      <c r="H209" s="28">
        <f t="shared" si="24"/>
        <v>1.5600000000000003</v>
      </c>
      <c r="I209" s="28">
        <f t="shared" si="24"/>
        <v>1.6500000000000004</v>
      </c>
      <c r="J209" s="28">
        <f t="shared" si="24"/>
        <v>2.3200000000000003</v>
      </c>
      <c r="K209" s="28">
        <f t="shared" si="24"/>
        <v>0</v>
      </c>
      <c r="L209" s="28">
        <f t="shared" si="24"/>
        <v>0</v>
      </c>
      <c r="M209" s="28">
        <f t="shared" si="24"/>
        <v>1.1300000000000001</v>
      </c>
      <c r="N209" s="28">
        <f t="shared" si="24"/>
        <v>0</v>
      </c>
      <c r="O209" s="28">
        <f t="shared" si="24"/>
        <v>0</v>
      </c>
      <c r="P209" s="28">
        <f t="shared" si="24"/>
        <v>0.58000000000000007</v>
      </c>
      <c r="Q209" s="28">
        <f t="shared" si="24"/>
        <v>0</v>
      </c>
      <c r="R209" s="28">
        <f t="shared" si="24"/>
        <v>0</v>
      </c>
      <c r="S209" s="28">
        <f t="shared" si="24"/>
        <v>0</v>
      </c>
      <c r="T209" s="28">
        <f t="shared" si="24"/>
        <v>0</v>
      </c>
      <c r="U209" s="28">
        <f t="shared" si="24"/>
        <v>0</v>
      </c>
      <c r="V209" s="28">
        <f t="shared" si="24"/>
        <v>0</v>
      </c>
      <c r="W209" s="28">
        <f t="shared" si="24"/>
        <v>0.4</v>
      </c>
      <c r="X209" s="28">
        <f t="shared" si="24"/>
        <v>0</v>
      </c>
      <c r="Y209" s="28">
        <f t="shared" si="24"/>
        <v>0</v>
      </c>
      <c r="Z209" s="28">
        <f t="shared" si="24"/>
        <v>0.52</v>
      </c>
      <c r="AA209" s="28">
        <f t="shared" si="24"/>
        <v>0</v>
      </c>
      <c r="AB209" s="28">
        <f t="shared" si="24"/>
        <v>0</v>
      </c>
      <c r="AC209" s="28">
        <f t="shared" si="24"/>
        <v>0</v>
      </c>
      <c r="AD209" s="28">
        <f t="shared" si="24"/>
        <v>0</v>
      </c>
      <c r="AE209" s="28">
        <f t="shared" si="24"/>
        <v>0</v>
      </c>
      <c r="AF209" s="28">
        <f t="shared" si="24"/>
        <v>0</v>
      </c>
      <c r="AG209" s="28">
        <f t="shared" si="24"/>
        <v>0</v>
      </c>
      <c r="AH209" s="28">
        <f t="shared" si="24"/>
        <v>0</v>
      </c>
      <c r="AI209" s="28">
        <f t="shared" si="24"/>
        <v>0</v>
      </c>
      <c r="AJ209" s="28">
        <f t="shared" si="24"/>
        <v>0</v>
      </c>
      <c r="AK209" s="28">
        <f t="shared" si="24"/>
        <v>0</v>
      </c>
      <c r="AL209" s="28">
        <f t="shared" si="24"/>
        <v>0</v>
      </c>
      <c r="AM209" s="28">
        <f t="shared" si="24"/>
        <v>0</v>
      </c>
      <c r="AN209" s="28">
        <f t="shared" si="24"/>
        <v>0</v>
      </c>
      <c r="AO209" s="28">
        <f t="shared" si="24"/>
        <v>0</v>
      </c>
      <c r="AP209" s="28">
        <f t="shared" si="24"/>
        <v>0</v>
      </c>
      <c r="AQ209" s="28">
        <f t="shared" si="24"/>
        <v>0</v>
      </c>
      <c r="AR209" s="28">
        <f t="shared" si="24"/>
        <v>0</v>
      </c>
      <c r="AS209" s="28">
        <f t="shared" si="24"/>
        <v>0</v>
      </c>
      <c r="AT209" s="28">
        <f t="shared" si="24"/>
        <v>0</v>
      </c>
      <c r="AU209" s="28">
        <f t="shared" si="24"/>
        <v>0</v>
      </c>
      <c r="AV209" s="28">
        <f t="shared" si="24"/>
        <v>0</v>
      </c>
      <c r="AW209" s="28">
        <f t="shared" si="24"/>
        <v>0</v>
      </c>
      <c r="AX209" s="28">
        <f t="shared" si="24"/>
        <v>0</v>
      </c>
      <c r="AY209" s="29"/>
      <c r="AZ209" s="29"/>
      <c r="BA209" s="30"/>
      <c r="BB209" s="31"/>
      <c r="BI209" s="42"/>
    </row>
    <row r="210" spans="1:61" s="24" customFormat="1" ht="22.35" customHeight="1">
      <c r="A210" s="32">
        <f>A208+1</f>
        <v>195</v>
      </c>
      <c r="B210" s="33" t="s">
        <v>641</v>
      </c>
      <c r="C210" s="34" t="s">
        <v>45</v>
      </c>
      <c r="D210" s="35">
        <f t="shared" si="23"/>
        <v>0.4</v>
      </c>
      <c r="E210" s="35"/>
      <c r="F210" s="35">
        <f>SUM(G210:AX210)</f>
        <v>0.4</v>
      </c>
      <c r="G210" s="28"/>
      <c r="H210" s="28"/>
      <c r="I210" s="28"/>
      <c r="J210" s="28"/>
      <c r="K210" s="28"/>
      <c r="L210" s="28"/>
      <c r="M210" s="28"/>
      <c r="N210" s="28"/>
      <c r="O210" s="28"/>
      <c r="P210" s="43">
        <v>0.4</v>
      </c>
      <c r="Q210" s="28"/>
      <c r="R210" s="28"/>
      <c r="S210" s="28"/>
      <c r="T210" s="28"/>
      <c r="U210" s="28"/>
      <c r="V210" s="28"/>
      <c r="W210" s="28"/>
      <c r="X210" s="28"/>
      <c r="Y210" s="28"/>
      <c r="Z210" s="28"/>
      <c r="AA210" s="28"/>
      <c r="AB210" s="28"/>
      <c r="AC210" s="28"/>
      <c r="AD210" s="28"/>
      <c r="AE210" s="28"/>
      <c r="AF210" s="28"/>
      <c r="AG210" s="28"/>
      <c r="AH210" s="28"/>
      <c r="AI210" s="28"/>
      <c r="AJ210" s="28"/>
      <c r="AK210" s="28"/>
      <c r="AL210" s="28"/>
      <c r="AM210" s="28"/>
      <c r="AN210" s="28"/>
      <c r="AO210" s="28"/>
      <c r="AP210" s="28"/>
      <c r="AQ210" s="28"/>
      <c r="AR210" s="28"/>
      <c r="AS210" s="28"/>
      <c r="AT210" s="28"/>
      <c r="AU210" s="28"/>
      <c r="AV210" s="28"/>
      <c r="AW210" s="28"/>
      <c r="AX210" s="28"/>
      <c r="AY210" s="103" t="s">
        <v>317</v>
      </c>
      <c r="AZ210" s="103" t="s">
        <v>295</v>
      </c>
      <c r="BA210" s="63" t="s">
        <v>291</v>
      </c>
      <c r="BB210" s="64"/>
      <c r="BI210" s="42">
        <v>1</v>
      </c>
    </row>
    <row r="211" spans="1:61" s="24" customFormat="1" ht="22.35" customHeight="1">
      <c r="A211" s="32">
        <f>A210+1</f>
        <v>196</v>
      </c>
      <c r="B211" s="33" t="s">
        <v>642</v>
      </c>
      <c r="C211" s="34" t="s">
        <v>45</v>
      </c>
      <c r="D211" s="35">
        <f t="shared" si="23"/>
        <v>0.4</v>
      </c>
      <c r="E211" s="35"/>
      <c r="F211" s="35">
        <f>SUM(G211:AX211)</f>
        <v>0.4</v>
      </c>
      <c r="G211" s="28"/>
      <c r="H211" s="28"/>
      <c r="I211" s="28"/>
      <c r="J211" s="28"/>
      <c r="K211" s="28"/>
      <c r="L211" s="28"/>
      <c r="M211" s="28"/>
      <c r="N211" s="28"/>
      <c r="O211" s="28"/>
      <c r="P211" s="43"/>
      <c r="Q211" s="28"/>
      <c r="R211" s="28"/>
      <c r="S211" s="28"/>
      <c r="T211" s="28"/>
      <c r="U211" s="28"/>
      <c r="V211" s="28"/>
      <c r="W211" s="28">
        <v>0.4</v>
      </c>
      <c r="X211" s="28"/>
      <c r="Y211" s="28"/>
      <c r="Z211" s="28"/>
      <c r="AA211" s="28"/>
      <c r="AB211" s="28"/>
      <c r="AC211" s="28"/>
      <c r="AD211" s="28"/>
      <c r="AE211" s="28"/>
      <c r="AF211" s="28"/>
      <c r="AG211" s="28"/>
      <c r="AH211" s="28"/>
      <c r="AI211" s="28"/>
      <c r="AJ211" s="28"/>
      <c r="AK211" s="28"/>
      <c r="AL211" s="28"/>
      <c r="AM211" s="28"/>
      <c r="AN211" s="28"/>
      <c r="AO211" s="28"/>
      <c r="AP211" s="28"/>
      <c r="AQ211" s="28"/>
      <c r="AR211" s="28"/>
      <c r="AS211" s="28"/>
      <c r="AT211" s="28"/>
      <c r="AU211" s="28"/>
      <c r="AV211" s="28"/>
      <c r="AW211" s="28"/>
      <c r="AX211" s="28"/>
      <c r="AY211" s="103" t="s">
        <v>317</v>
      </c>
      <c r="AZ211" s="103" t="s">
        <v>318</v>
      </c>
      <c r="BA211" s="47" t="s">
        <v>298</v>
      </c>
      <c r="BB211" s="64"/>
      <c r="BC211" s="24" t="s">
        <v>381</v>
      </c>
      <c r="BI211" s="42">
        <v>1</v>
      </c>
    </row>
    <row r="212" spans="1:61" ht="31.5">
      <c r="A212" s="32">
        <f>A211+1</f>
        <v>197</v>
      </c>
      <c r="B212" s="60" t="s">
        <v>643</v>
      </c>
      <c r="C212" s="102" t="s">
        <v>45</v>
      </c>
      <c r="D212" s="35">
        <f t="shared" si="23"/>
        <v>0.03</v>
      </c>
      <c r="E212" s="108"/>
      <c r="F212" s="35">
        <f t="shared" ref="F212:F276" si="25">SUM(G212:AX212)</f>
        <v>0.03</v>
      </c>
      <c r="G212" s="46">
        <v>0.03</v>
      </c>
      <c r="H212" s="109"/>
      <c r="I212" s="109"/>
      <c r="J212" s="109"/>
      <c r="K212" s="109"/>
      <c r="L212" s="109"/>
      <c r="M212" s="109"/>
      <c r="N212" s="109"/>
      <c r="O212" s="109"/>
      <c r="P212" s="109"/>
      <c r="Q212" s="109"/>
      <c r="R212" s="109"/>
      <c r="S212" s="109"/>
      <c r="T212" s="109"/>
      <c r="U212" s="109"/>
      <c r="V212" s="109"/>
      <c r="W212" s="109"/>
      <c r="X212" s="109"/>
      <c r="Y212" s="109"/>
      <c r="Z212" s="109"/>
      <c r="AA212" s="109"/>
      <c r="AB212" s="109"/>
      <c r="AC212" s="109"/>
      <c r="AD212" s="109"/>
      <c r="AE212" s="109"/>
      <c r="AF212" s="109"/>
      <c r="AG212" s="109"/>
      <c r="AH212" s="109"/>
      <c r="AI212" s="109"/>
      <c r="AJ212" s="109"/>
      <c r="AK212" s="109"/>
      <c r="AL212" s="109"/>
      <c r="AM212" s="109"/>
      <c r="AN212" s="109"/>
      <c r="AO212" s="109"/>
      <c r="AP212" s="109"/>
      <c r="AQ212" s="109"/>
      <c r="AR212" s="109"/>
      <c r="AS212" s="109"/>
      <c r="AT212" s="109"/>
      <c r="AU212" s="109"/>
      <c r="AV212" s="109"/>
      <c r="AW212" s="109"/>
      <c r="AX212" s="109"/>
      <c r="AY212" s="103" t="s">
        <v>317</v>
      </c>
      <c r="AZ212" s="103"/>
      <c r="BA212" s="39" t="s">
        <v>291</v>
      </c>
      <c r="BB212" s="40"/>
      <c r="BE212" s="41"/>
      <c r="BI212" s="42">
        <v>1</v>
      </c>
    </row>
    <row r="213" spans="1:61" s="24" customFormat="1" ht="31.5">
      <c r="A213" s="32">
        <f t="shared" ref="A213:A276" si="26">A212+1</f>
        <v>198</v>
      </c>
      <c r="B213" s="60" t="s">
        <v>644</v>
      </c>
      <c r="C213" s="102" t="s">
        <v>45</v>
      </c>
      <c r="D213" s="35">
        <f t="shared" si="23"/>
        <v>0.03</v>
      </c>
      <c r="E213" s="27"/>
      <c r="F213" s="35">
        <f t="shared" si="25"/>
        <v>0.03</v>
      </c>
      <c r="G213" s="46">
        <v>0.03</v>
      </c>
      <c r="H213" s="28"/>
      <c r="I213" s="28"/>
      <c r="J213" s="28"/>
      <c r="K213" s="28"/>
      <c r="L213" s="28"/>
      <c r="M213" s="28"/>
      <c r="N213" s="28"/>
      <c r="O213" s="28"/>
      <c r="P213" s="28"/>
      <c r="Q213" s="28"/>
      <c r="R213" s="28"/>
      <c r="S213" s="28"/>
      <c r="T213" s="28"/>
      <c r="U213" s="28"/>
      <c r="V213" s="28"/>
      <c r="W213" s="28"/>
      <c r="X213" s="28"/>
      <c r="Y213" s="28"/>
      <c r="Z213" s="28"/>
      <c r="AA213" s="28"/>
      <c r="AB213" s="28"/>
      <c r="AC213" s="28"/>
      <c r="AD213" s="28"/>
      <c r="AE213" s="28"/>
      <c r="AF213" s="28"/>
      <c r="AG213" s="28"/>
      <c r="AH213" s="28"/>
      <c r="AI213" s="28"/>
      <c r="AJ213" s="28"/>
      <c r="AK213" s="28"/>
      <c r="AL213" s="28"/>
      <c r="AM213" s="28"/>
      <c r="AN213" s="28"/>
      <c r="AO213" s="28"/>
      <c r="AP213" s="28"/>
      <c r="AQ213" s="28"/>
      <c r="AR213" s="28"/>
      <c r="AS213" s="28"/>
      <c r="AT213" s="28"/>
      <c r="AU213" s="28"/>
      <c r="AV213" s="28"/>
      <c r="AW213" s="28"/>
      <c r="AX213" s="28"/>
      <c r="AY213" s="103" t="s">
        <v>317</v>
      </c>
      <c r="AZ213" s="103"/>
      <c r="BA213" s="39" t="s">
        <v>291</v>
      </c>
      <c r="BB213" s="40"/>
      <c r="BE213" s="59"/>
      <c r="BI213" s="42">
        <v>1</v>
      </c>
    </row>
    <row r="214" spans="1:61" ht="24" customHeight="1">
      <c r="A214" s="32">
        <f t="shared" si="26"/>
        <v>199</v>
      </c>
      <c r="B214" s="60" t="s">
        <v>645</v>
      </c>
      <c r="C214" s="102" t="s">
        <v>45</v>
      </c>
      <c r="D214" s="35">
        <f t="shared" si="23"/>
        <v>0.01</v>
      </c>
      <c r="E214" s="36"/>
      <c r="F214" s="35">
        <f t="shared" si="25"/>
        <v>0.01</v>
      </c>
      <c r="G214" s="46">
        <v>0.01</v>
      </c>
      <c r="H214" s="43"/>
      <c r="I214" s="43"/>
      <c r="J214" s="43"/>
      <c r="K214" s="43"/>
      <c r="L214" s="43"/>
      <c r="M214" s="43"/>
      <c r="N214" s="43"/>
      <c r="O214" s="43"/>
      <c r="P214" s="43"/>
      <c r="Q214" s="43"/>
      <c r="R214" s="43"/>
      <c r="S214" s="43"/>
      <c r="T214" s="43"/>
      <c r="U214" s="43"/>
      <c r="V214" s="43"/>
      <c r="W214" s="43"/>
      <c r="X214" s="43"/>
      <c r="Y214" s="43"/>
      <c r="Z214" s="43"/>
      <c r="AA214" s="43"/>
      <c r="AB214" s="43"/>
      <c r="AC214" s="43"/>
      <c r="AD214" s="43"/>
      <c r="AE214" s="43"/>
      <c r="AF214" s="43"/>
      <c r="AG214" s="43"/>
      <c r="AH214" s="43"/>
      <c r="AI214" s="43"/>
      <c r="AJ214" s="43"/>
      <c r="AK214" s="43"/>
      <c r="AL214" s="43"/>
      <c r="AM214" s="43"/>
      <c r="AN214" s="43"/>
      <c r="AO214" s="43"/>
      <c r="AP214" s="43"/>
      <c r="AQ214" s="43"/>
      <c r="AR214" s="43"/>
      <c r="AS214" s="43"/>
      <c r="AT214" s="43"/>
      <c r="AU214" s="43"/>
      <c r="AV214" s="43"/>
      <c r="AW214" s="43"/>
      <c r="AX214" s="43"/>
      <c r="AY214" s="103" t="s">
        <v>317</v>
      </c>
      <c r="AZ214" s="103"/>
      <c r="BA214" s="39" t="s">
        <v>291</v>
      </c>
      <c r="BB214" s="40"/>
      <c r="BE214" s="41"/>
      <c r="BI214" s="42">
        <v>1</v>
      </c>
    </row>
    <row r="215" spans="1:61" ht="18" customHeight="1">
      <c r="A215" s="32">
        <f t="shared" si="26"/>
        <v>200</v>
      </c>
      <c r="B215" s="60" t="s">
        <v>646</v>
      </c>
      <c r="C215" s="102" t="s">
        <v>45</v>
      </c>
      <c r="D215" s="35">
        <f t="shared" si="23"/>
        <v>0.09</v>
      </c>
      <c r="E215" s="36"/>
      <c r="F215" s="35">
        <f t="shared" si="25"/>
        <v>0.09</v>
      </c>
      <c r="G215" s="46">
        <v>0.09</v>
      </c>
      <c r="H215" s="43"/>
      <c r="I215" s="43"/>
      <c r="J215" s="43"/>
      <c r="K215" s="43"/>
      <c r="L215" s="43"/>
      <c r="M215" s="43"/>
      <c r="N215" s="43"/>
      <c r="O215" s="43"/>
      <c r="P215" s="43"/>
      <c r="Q215" s="43"/>
      <c r="R215" s="43"/>
      <c r="S215" s="43"/>
      <c r="T215" s="43"/>
      <c r="U215" s="43"/>
      <c r="V215" s="43"/>
      <c r="W215" s="43"/>
      <c r="X215" s="43"/>
      <c r="Y215" s="43"/>
      <c r="Z215" s="43"/>
      <c r="AA215" s="43"/>
      <c r="AB215" s="43"/>
      <c r="AC215" s="43"/>
      <c r="AD215" s="43"/>
      <c r="AE215" s="43"/>
      <c r="AF215" s="43"/>
      <c r="AG215" s="43"/>
      <c r="AH215" s="43"/>
      <c r="AI215" s="43"/>
      <c r="AJ215" s="43"/>
      <c r="AK215" s="43"/>
      <c r="AL215" s="43"/>
      <c r="AM215" s="43"/>
      <c r="AN215" s="43"/>
      <c r="AO215" s="43"/>
      <c r="AP215" s="43"/>
      <c r="AQ215" s="43"/>
      <c r="AR215" s="43"/>
      <c r="AS215" s="43"/>
      <c r="AT215" s="43"/>
      <c r="AU215" s="43"/>
      <c r="AV215" s="43"/>
      <c r="AW215" s="43"/>
      <c r="AX215" s="43"/>
      <c r="AY215" s="103" t="s">
        <v>317</v>
      </c>
      <c r="AZ215" s="103"/>
      <c r="BA215" s="39" t="s">
        <v>291</v>
      </c>
      <c r="BB215" s="40"/>
      <c r="BE215" s="41"/>
      <c r="BI215" s="42">
        <v>1</v>
      </c>
    </row>
    <row r="216" spans="1:61" ht="18" customHeight="1">
      <c r="A216" s="32">
        <f t="shared" si="26"/>
        <v>201</v>
      </c>
      <c r="B216" s="60" t="s">
        <v>647</v>
      </c>
      <c r="C216" s="102" t="s">
        <v>45</v>
      </c>
      <c r="D216" s="35">
        <f t="shared" si="23"/>
        <v>0.04</v>
      </c>
      <c r="E216" s="36"/>
      <c r="F216" s="35">
        <f t="shared" si="25"/>
        <v>0.04</v>
      </c>
      <c r="G216" s="46">
        <v>0.04</v>
      </c>
      <c r="H216" s="43"/>
      <c r="I216" s="43"/>
      <c r="J216" s="43"/>
      <c r="K216" s="43"/>
      <c r="L216" s="43"/>
      <c r="M216" s="43"/>
      <c r="N216" s="43"/>
      <c r="O216" s="43"/>
      <c r="P216" s="43"/>
      <c r="Q216" s="43"/>
      <c r="R216" s="43"/>
      <c r="S216" s="43"/>
      <c r="T216" s="43"/>
      <c r="U216" s="43"/>
      <c r="V216" s="43"/>
      <c r="W216" s="43"/>
      <c r="X216" s="43"/>
      <c r="Y216" s="43"/>
      <c r="Z216" s="43"/>
      <c r="AA216" s="43"/>
      <c r="AB216" s="43"/>
      <c r="AC216" s="43"/>
      <c r="AD216" s="43"/>
      <c r="AE216" s="43"/>
      <c r="AF216" s="43"/>
      <c r="AG216" s="43"/>
      <c r="AH216" s="43"/>
      <c r="AI216" s="43"/>
      <c r="AJ216" s="43"/>
      <c r="AK216" s="43"/>
      <c r="AL216" s="43"/>
      <c r="AM216" s="43"/>
      <c r="AN216" s="43"/>
      <c r="AO216" s="43"/>
      <c r="AP216" s="43"/>
      <c r="AQ216" s="43"/>
      <c r="AR216" s="43"/>
      <c r="AS216" s="43"/>
      <c r="AT216" s="43"/>
      <c r="AU216" s="43"/>
      <c r="AV216" s="43"/>
      <c r="AW216" s="43"/>
      <c r="AX216" s="43"/>
      <c r="AY216" s="103" t="s">
        <v>317</v>
      </c>
      <c r="AZ216" s="103"/>
      <c r="BA216" s="39" t="s">
        <v>291</v>
      </c>
      <c r="BB216" s="40"/>
      <c r="BD216" s="15" t="s">
        <v>188</v>
      </c>
      <c r="BE216" s="41"/>
      <c r="BI216" s="42">
        <v>1</v>
      </c>
    </row>
    <row r="217" spans="1:61" ht="25.35" customHeight="1">
      <c r="A217" s="32">
        <f t="shared" si="26"/>
        <v>202</v>
      </c>
      <c r="B217" s="60" t="s">
        <v>648</v>
      </c>
      <c r="C217" s="102" t="s">
        <v>45</v>
      </c>
      <c r="D217" s="35">
        <f t="shared" si="23"/>
        <v>7.0000000000000007E-2</v>
      </c>
      <c r="E217" s="36"/>
      <c r="F217" s="35">
        <f t="shared" si="25"/>
        <v>7.0000000000000007E-2</v>
      </c>
      <c r="G217" s="46">
        <v>7.0000000000000007E-2</v>
      </c>
      <c r="H217" s="43"/>
      <c r="I217" s="43"/>
      <c r="J217" s="43"/>
      <c r="K217" s="43"/>
      <c r="L217" s="43"/>
      <c r="M217" s="43"/>
      <c r="N217" s="43"/>
      <c r="O217" s="43"/>
      <c r="P217" s="43"/>
      <c r="Q217" s="43"/>
      <c r="R217" s="43"/>
      <c r="S217" s="43"/>
      <c r="T217" s="43"/>
      <c r="U217" s="43"/>
      <c r="V217" s="43"/>
      <c r="W217" s="43"/>
      <c r="X217" s="43"/>
      <c r="Y217" s="43"/>
      <c r="Z217" s="43"/>
      <c r="AA217" s="43"/>
      <c r="AB217" s="43"/>
      <c r="AC217" s="43"/>
      <c r="AD217" s="43"/>
      <c r="AE217" s="43"/>
      <c r="AF217" s="43"/>
      <c r="AG217" s="43"/>
      <c r="AH217" s="43"/>
      <c r="AI217" s="43"/>
      <c r="AJ217" s="43"/>
      <c r="AK217" s="43"/>
      <c r="AL217" s="43"/>
      <c r="AM217" s="43"/>
      <c r="AN217" s="43"/>
      <c r="AO217" s="43"/>
      <c r="AP217" s="43"/>
      <c r="AQ217" s="43"/>
      <c r="AR217" s="43"/>
      <c r="AS217" s="43"/>
      <c r="AT217" s="43"/>
      <c r="AU217" s="43"/>
      <c r="AV217" s="43"/>
      <c r="AW217" s="43"/>
      <c r="AX217" s="43"/>
      <c r="AY217" s="103" t="s">
        <v>317</v>
      </c>
      <c r="AZ217" s="103"/>
      <c r="BA217" s="39" t="s">
        <v>291</v>
      </c>
      <c r="BB217" s="40"/>
      <c r="BE217" s="41"/>
      <c r="BI217" s="42">
        <v>1</v>
      </c>
    </row>
    <row r="218" spans="1:61" s="24" customFormat="1" ht="18" customHeight="1">
      <c r="A218" s="32">
        <f t="shared" si="26"/>
        <v>203</v>
      </c>
      <c r="B218" s="33" t="s">
        <v>642</v>
      </c>
      <c r="C218" s="102" t="s">
        <v>45</v>
      </c>
      <c r="D218" s="35">
        <f t="shared" si="23"/>
        <v>0.2</v>
      </c>
      <c r="E218" s="35"/>
      <c r="F218" s="35">
        <f t="shared" si="25"/>
        <v>0.2</v>
      </c>
      <c r="G218" s="43"/>
      <c r="H218" s="43"/>
      <c r="I218" s="43"/>
      <c r="J218" s="43">
        <v>0.2</v>
      </c>
      <c r="K218" s="43"/>
      <c r="L218" s="43"/>
      <c r="M218" s="43"/>
      <c r="N218" s="43"/>
      <c r="O218" s="43"/>
      <c r="P218" s="43"/>
      <c r="Q218" s="43"/>
      <c r="R218" s="43"/>
      <c r="S218" s="43"/>
      <c r="T218" s="43"/>
      <c r="U218" s="43"/>
      <c r="V218" s="43"/>
      <c r="W218" s="43"/>
      <c r="X218" s="43"/>
      <c r="Y218" s="43"/>
      <c r="Z218" s="43"/>
      <c r="AA218" s="43"/>
      <c r="AB218" s="43"/>
      <c r="AC218" s="43"/>
      <c r="AD218" s="43"/>
      <c r="AE218" s="43"/>
      <c r="AF218" s="43"/>
      <c r="AG218" s="43"/>
      <c r="AH218" s="43"/>
      <c r="AI218" s="43"/>
      <c r="AJ218" s="43"/>
      <c r="AK218" s="43"/>
      <c r="AL218" s="43"/>
      <c r="AM218" s="43"/>
      <c r="AN218" s="43"/>
      <c r="AO218" s="43"/>
      <c r="AP218" s="43"/>
      <c r="AQ218" s="43"/>
      <c r="AR218" s="43"/>
      <c r="AS218" s="43"/>
      <c r="AT218" s="43"/>
      <c r="AU218" s="43"/>
      <c r="AV218" s="43"/>
      <c r="AW218" s="43"/>
      <c r="AX218" s="43"/>
      <c r="AY218" s="34" t="s">
        <v>221</v>
      </c>
      <c r="AZ218" s="34" t="s">
        <v>389</v>
      </c>
      <c r="BA218" s="47" t="s">
        <v>298</v>
      </c>
      <c r="BB218" s="48"/>
      <c r="BE218" s="41"/>
      <c r="BI218" s="42">
        <v>1</v>
      </c>
    </row>
    <row r="219" spans="1:61" s="24" customFormat="1" ht="38.450000000000003" customHeight="1">
      <c r="A219" s="32">
        <f t="shared" si="26"/>
        <v>204</v>
      </c>
      <c r="B219" s="66" t="s">
        <v>649</v>
      </c>
      <c r="C219" s="102" t="s">
        <v>45</v>
      </c>
      <c r="D219" s="35">
        <f t="shared" si="23"/>
        <v>0.43</v>
      </c>
      <c r="E219" s="35"/>
      <c r="F219" s="35">
        <f>SUM(G219:AX219)</f>
        <v>0.43</v>
      </c>
      <c r="G219" s="43">
        <v>0.3</v>
      </c>
      <c r="H219" s="43">
        <v>0.05</v>
      </c>
      <c r="I219" s="43">
        <v>0.08</v>
      </c>
      <c r="J219" s="43"/>
      <c r="K219" s="43"/>
      <c r="L219" s="43"/>
      <c r="M219" s="43"/>
      <c r="N219" s="43"/>
      <c r="O219" s="43"/>
      <c r="P219" s="43"/>
      <c r="Q219" s="43"/>
      <c r="R219" s="43"/>
      <c r="S219" s="43"/>
      <c r="T219" s="43"/>
      <c r="U219" s="43"/>
      <c r="V219" s="43"/>
      <c r="W219" s="43"/>
      <c r="X219" s="43"/>
      <c r="Y219" s="43"/>
      <c r="Z219" s="43"/>
      <c r="AA219" s="43"/>
      <c r="AB219" s="43"/>
      <c r="AC219" s="43"/>
      <c r="AD219" s="43"/>
      <c r="AE219" s="43"/>
      <c r="AF219" s="43"/>
      <c r="AG219" s="43"/>
      <c r="AH219" s="43"/>
      <c r="AI219" s="43"/>
      <c r="AJ219" s="43"/>
      <c r="AK219" s="43"/>
      <c r="AL219" s="43"/>
      <c r="AM219" s="43"/>
      <c r="AN219" s="43"/>
      <c r="AO219" s="43"/>
      <c r="AP219" s="43"/>
      <c r="AQ219" s="43"/>
      <c r="AR219" s="43"/>
      <c r="AS219" s="43"/>
      <c r="AT219" s="43"/>
      <c r="AU219" s="43"/>
      <c r="AV219" s="43"/>
      <c r="AW219" s="43"/>
      <c r="AX219" s="43"/>
      <c r="AY219" s="34" t="s">
        <v>221</v>
      </c>
      <c r="AZ219" s="34" t="s">
        <v>615</v>
      </c>
      <c r="BA219" s="63" t="s">
        <v>291</v>
      </c>
      <c r="BB219" s="64"/>
      <c r="BC219" s="24" t="s">
        <v>381</v>
      </c>
      <c r="BE219" s="41"/>
      <c r="BI219" s="42">
        <v>1</v>
      </c>
    </row>
    <row r="220" spans="1:61" s="24" customFormat="1" ht="18" customHeight="1">
      <c r="A220" s="32">
        <f t="shared" si="26"/>
        <v>205</v>
      </c>
      <c r="B220" s="60" t="s">
        <v>650</v>
      </c>
      <c r="C220" s="102" t="s">
        <v>45</v>
      </c>
      <c r="D220" s="35">
        <f t="shared" si="23"/>
        <v>0.4</v>
      </c>
      <c r="E220" s="35"/>
      <c r="F220" s="35">
        <f t="shared" si="25"/>
        <v>0.4</v>
      </c>
      <c r="G220" s="46">
        <v>0.4</v>
      </c>
      <c r="H220" s="43"/>
      <c r="I220" s="43"/>
      <c r="J220" s="43"/>
      <c r="K220" s="43"/>
      <c r="L220" s="43"/>
      <c r="M220" s="43"/>
      <c r="N220" s="43"/>
      <c r="O220" s="43"/>
      <c r="P220" s="43"/>
      <c r="Q220" s="43"/>
      <c r="R220" s="43"/>
      <c r="S220" s="43"/>
      <c r="T220" s="43"/>
      <c r="U220" s="43"/>
      <c r="V220" s="43"/>
      <c r="W220" s="43"/>
      <c r="X220" s="43"/>
      <c r="Y220" s="43"/>
      <c r="Z220" s="43"/>
      <c r="AA220" s="43"/>
      <c r="AB220" s="43"/>
      <c r="AC220" s="43"/>
      <c r="AD220" s="43"/>
      <c r="AE220" s="43"/>
      <c r="AF220" s="43"/>
      <c r="AG220" s="43"/>
      <c r="AH220" s="43"/>
      <c r="AI220" s="43"/>
      <c r="AJ220" s="43"/>
      <c r="AK220" s="43"/>
      <c r="AL220" s="43"/>
      <c r="AM220" s="43"/>
      <c r="AN220" s="43"/>
      <c r="AO220" s="43"/>
      <c r="AP220" s="43"/>
      <c r="AQ220" s="43"/>
      <c r="AR220" s="43"/>
      <c r="AS220" s="43"/>
      <c r="AT220" s="43"/>
      <c r="AU220" s="43"/>
      <c r="AV220" s="43"/>
      <c r="AW220" s="43"/>
      <c r="AX220" s="43"/>
      <c r="AY220" s="34" t="s">
        <v>223</v>
      </c>
      <c r="AZ220" s="103"/>
      <c r="BA220" s="63" t="s">
        <v>291</v>
      </c>
      <c r="BB220" s="64"/>
      <c r="BC220" s="110"/>
      <c r="BD220" s="110"/>
      <c r="BE220" s="41"/>
      <c r="BI220" s="42">
        <v>1</v>
      </c>
    </row>
    <row r="221" spans="1:61" s="24" customFormat="1" ht="18" customHeight="1">
      <c r="A221" s="32">
        <f t="shared" si="26"/>
        <v>206</v>
      </c>
      <c r="B221" s="60" t="s">
        <v>651</v>
      </c>
      <c r="C221" s="102" t="s">
        <v>45</v>
      </c>
      <c r="D221" s="35">
        <f t="shared" si="23"/>
        <v>0.25</v>
      </c>
      <c r="E221" s="35"/>
      <c r="F221" s="35">
        <f t="shared" si="25"/>
        <v>0.25</v>
      </c>
      <c r="G221" s="46">
        <v>0.25</v>
      </c>
      <c r="H221" s="43"/>
      <c r="I221" s="43"/>
      <c r="J221" s="43"/>
      <c r="K221" s="43"/>
      <c r="L221" s="43"/>
      <c r="M221" s="43"/>
      <c r="N221" s="43"/>
      <c r="O221" s="43"/>
      <c r="P221" s="43"/>
      <c r="Q221" s="43"/>
      <c r="R221" s="43"/>
      <c r="S221" s="43"/>
      <c r="T221" s="43"/>
      <c r="U221" s="43"/>
      <c r="V221" s="43"/>
      <c r="W221" s="43"/>
      <c r="X221" s="43"/>
      <c r="Y221" s="43"/>
      <c r="Z221" s="43"/>
      <c r="AA221" s="43"/>
      <c r="AB221" s="43"/>
      <c r="AC221" s="43"/>
      <c r="AD221" s="43"/>
      <c r="AE221" s="43"/>
      <c r="AF221" s="43"/>
      <c r="AG221" s="43"/>
      <c r="AH221" s="43"/>
      <c r="AI221" s="43"/>
      <c r="AJ221" s="43"/>
      <c r="AK221" s="43"/>
      <c r="AL221" s="43"/>
      <c r="AM221" s="43"/>
      <c r="AN221" s="43"/>
      <c r="AO221" s="43"/>
      <c r="AP221" s="43"/>
      <c r="AQ221" s="43"/>
      <c r="AR221" s="43"/>
      <c r="AS221" s="43"/>
      <c r="AT221" s="43"/>
      <c r="AU221" s="43"/>
      <c r="AV221" s="43"/>
      <c r="AW221" s="43"/>
      <c r="AX221" s="43"/>
      <c r="AY221" s="34" t="s">
        <v>223</v>
      </c>
      <c r="AZ221" s="103"/>
      <c r="BA221" s="63" t="s">
        <v>291</v>
      </c>
      <c r="BB221" s="64"/>
      <c r="BC221" s="110"/>
      <c r="BD221" s="110"/>
      <c r="BE221" s="41"/>
      <c r="BI221" s="42">
        <v>1</v>
      </c>
    </row>
    <row r="222" spans="1:61" s="24" customFormat="1" ht="18" customHeight="1">
      <c r="A222" s="32">
        <f t="shared" si="26"/>
        <v>207</v>
      </c>
      <c r="B222" s="60" t="s">
        <v>652</v>
      </c>
      <c r="C222" s="102" t="s">
        <v>45</v>
      </c>
      <c r="D222" s="35">
        <f t="shared" si="23"/>
        <v>0.5</v>
      </c>
      <c r="E222" s="35"/>
      <c r="F222" s="35">
        <f t="shared" si="25"/>
        <v>0.5</v>
      </c>
      <c r="G222" s="46">
        <v>0.5</v>
      </c>
      <c r="H222" s="43"/>
      <c r="I222" s="43"/>
      <c r="J222" s="43"/>
      <c r="K222" s="43"/>
      <c r="L222" s="43"/>
      <c r="M222" s="43"/>
      <c r="N222" s="43"/>
      <c r="O222" s="43"/>
      <c r="P222" s="43"/>
      <c r="Q222" s="43"/>
      <c r="R222" s="43"/>
      <c r="S222" s="43"/>
      <c r="T222" s="43"/>
      <c r="U222" s="43"/>
      <c r="V222" s="43"/>
      <c r="W222" s="43"/>
      <c r="X222" s="43"/>
      <c r="Y222" s="43"/>
      <c r="Z222" s="43"/>
      <c r="AA222" s="43"/>
      <c r="AB222" s="43"/>
      <c r="AC222" s="43"/>
      <c r="AD222" s="43"/>
      <c r="AE222" s="43"/>
      <c r="AF222" s="43"/>
      <c r="AG222" s="43"/>
      <c r="AH222" s="43"/>
      <c r="AI222" s="43"/>
      <c r="AJ222" s="43"/>
      <c r="AK222" s="43"/>
      <c r="AL222" s="43"/>
      <c r="AM222" s="43"/>
      <c r="AN222" s="43"/>
      <c r="AO222" s="43"/>
      <c r="AP222" s="43"/>
      <c r="AQ222" s="43"/>
      <c r="AR222" s="43"/>
      <c r="AS222" s="43"/>
      <c r="AT222" s="43"/>
      <c r="AU222" s="43"/>
      <c r="AV222" s="43"/>
      <c r="AW222" s="43"/>
      <c r="AX222" s="43"/>
      <c r="AY222" s="34" t="s">
        <v>223</v>
      </c>
      <c r="AZ222" s="103"/>
      <c r="BA222" s="63" t="s">
        <v>291</v>
      </c>
      <c r="BB222" s="64"/>
      <c r="BC222" s="110"/>
      <c r="BD222" s="110"/>
      <c r="BE222" s="41"/>
      <c r="BI222" s="42">
        <v>1</v>
      </c>
    </row>
    <row r="223" spans="1:61" s="24" customFormat="1" ht="18" customHeight="1">
      <c r="A223" s="32">
        <f t="shared" si="26"/>
        <v>208</v>
      </c>
      <c r="B223" s="60" t="s">
        <v>653</v>
      </c>
      <c r="C223" s="102" t="s">
        <v>45</v>
      </c>
      <c r="D223" s="35">
        <f t="shared" si="23"/>
        <v>0.18</v>
      </c>
      <c r="E223" s="35"/>
      <c r="F223" s="35">
        <f t="shared" si="25"/>
        <v>0.18</v>
      </c>
      <c r="G223" s="46">
        <v>0.18</v>
      </c>
      <c r="H223" s="43"/>
      <c r="I223" s="43"/>
      <c r="J223" s="43"/>
      <c r="K223" s="43"/>
      <c r="L223" s="43"/>
      <c r="M223" s="43"/>
      <c r="N223" s="43"/>
      <c r="O223" s="43"/>
      <c r="P223" s="43"/>
      <c r="Q223" s="43"/>
      <c r="R223" s="43"/>
      <c r="S223" s="43"/>
      <c r="T223" s="43"/>
      <c r="U223" s="43"/>
      <c r="V223" s="43"/>
      <c r="W223" s="43"/>
      <c r="X223" s="43"/>
      <c r="Y223" s="43"/>
      <c r="Z223" s="43"/>
      <c r="AA223" s="43"/>
      <c r="AB223" s="43"/>
      <c r="AC223" s="43"/>
      <c r="AD223" s="43"/>
      <c r="AE223" s="43"/>
      <c r="AF223" s="43"/>
      <c r="AG223" s="43"/>
      <c r="AH223" s="43"/>
      <c r="AI223" s="43"/>
      <c r="AJ223" s="43"/>
      <c r="AK223" s="43"/>
      <c r="AL223" s="43"/>
      <c r="AM223" s="43"/>
      <c r="AN223" s="43"/>
      <c r="AO223" s="43"/>
      <c r="AP223" s="43"/>
      <c r="AQ223" s="43"/>
      <c r="AR223" s="43"/>
      <c r="AS223" s="43"/>
      <c r="AT223" s="43"/>
      <c r="AU223" s="43"/>
      <c r="AV223" s="43"/>
      <c r="AW223" s="43"/>
      <c r="AX223" s="43"/>
      <c r="AY223" s="34" t="s">
        <v>223</v>
      </c>
      <c r="AZ223" s="103"/>
      <c r="BA223" s="63" t="s">
        <v>291</v>
      </c>
      <c r="BB223" s="64"/>
      <c r="BC223" s="110"/>
      <c r="BD223" s="110"/>
      <c r="BE223" s="41"/>
      <c r="BI223" s="42">
        <v>1</v>
      </c>
    </row>
    <row r="224" spans="1:61" s="24" customFormat="1" ht="18" customHeight="1">
      <c r="A224" s="32">
        <f t="shared" si="26"/>
        <v>209</v>
      </c>
      <c r="B224" s="60" t="s">
        <v>654</v>
      </c>
      <c r="C224" s="102" t="s">
        <v>45</v>
      </c>
      <c r="D224" s="35">
        <f t="shared" si="23"/>
        <v>0.1</v>
      </c>
      <c r="E224" s="35"/>
      <c r="F224" s="35">
        <f t="shared" si="25"/>
        <v>0.1</v>
      </c>
      <c r="G224" s="46">
        <v>0.1</v>
      </c>
      <c r="H224" s="43"/>
      <c r="I224" s="43"/>
      <c r="J224" s="43"/>
      <c r="K224" s="43"/>
      <c r="L224" s="43"/>
      <c r="M224" s="43"/>
      <c r="N224" s="43"/>
      <c r="O224" s="43"/>
      <c r="P224" s="43"/>
      <c r="Q224" s="43"/>
      <c r="R224" s="43"/>
      <c r="S224" s="43"/>
      <c r="T224" s="43"/>
      <c r="U224" s="43"/>
      <c r="V224" s="43"/>
      <c r="W224" s="43"/>
      <c r="X224" s="43"/>
      <c r="Y224" s="43"/>
      <c r="Z224" s="43"/>
      <c r="AA224" s="43"/>
      <c r="AB224" s="43"/>
      <c r="AC224" s="43"/>
      <c r="AD224" s="43"/>
      <c r="AE224" s="43"/>
      <c r="AF224" s="43"/>
      <c r="AG224" s="43"/>
      <c r="AH224" s="43"/>
      <c r="AI224" s="43"/>
      <c r="AJ224" s="43"/>
      <c r="AK224" s="43"/>
      <c r="AL224" s="43"/>
      <c r="AM224" s="43"/>
      <c r="AN224" s="43"/>
      <c r="AO224" s="43"/>
      <c r="AP224" s="43"/>
      <c r="AQ224" s="43"/>
      <c r="AR224" s="43"/>
      <c r="AS224" s="43"/>
      <c r="AT224" s="43"/>
      <c r="AU224" s="43"/>
      <c r="AV224" s="43"/>
      <c r="AW224" s="43"/>
      <c r="AX224" s="43"/>
      <c r="AY224" s="34" t="s">
        <v>223</v>
      </c>
      <c r="AZ224" s="103"/>
      <c r="BA224" s="63" t="s">
        <v>291</v>
      </c>
      <c r="BB224" s="64"/>
      <c r="BC224" s="110"/>
      <c r="BD224" s="110"/>
      <c r="BE224" s="41"/>
      <c r="BI224" s="42">
        <v>1</v>
      </c>
    </row>
    <row r="225" spans="1:63" s="24" customFormat="1" ht="18" customHeight="1">
      <c r="A225" s="32">
        <f t="shared" si="26"/>
        <v>210</v>
      </c>
      <c r="B225" s="60" t="s">
        <v>655</v>
      </c>
      <c r="C225" s="102" t="s">
        <v>45</v>
      </c>
      <c r="D225" s="35">
        <f t="shared" si="23"/>
        <v>0.08</v>
      </c>
      <c r="E225" s="35"/>
      <c r="F225" s="35">
        <f t="shared" si="25"/>
        <v>0.08</v>
      </c>
      <c r="G225" s="46">
        <v>0.08</v>
      </c>
      <c r="H225" s="43"/>
      <c r="I225" s="43"/>
      <c r="J225" s="43"/>
      <c r="K225" s="43"/>
      <c r="L225" s="43"/>
      <c r="M225" s="43"/>
      <c r="N225" s="43"/>
      <c r="O225" s="43"/>
      <c r="P225" s="43"/>
      <c r="Q225" s="43"/>
      <c r="R225" s="43"/>
      <c r="S225" s="43"/>
      <c r="T225" s="43"/>
      <c r="U225" s="43"/>
      <c r="V225" s="43"/>
      <c r="W225" s="43"/>
      <c r="X225" s="43"/>
      <c r="Y225" s="43"/>
      <c r="Z225" s="43"/>
      <c r="AA225" s="43"/>
      <c r="AB225" s="43"/>
      <c r="AC225" s="43"/>
      <c r="AD225" s="43"/>
      <c r="AE225" s="43"/>
      <c r="AF225" s="43"/>
      <c r="AG225" s="43"/>
      <c r="AH225" s="43"/>
      <c r="AI225" s="43"/>
      <c r="AJ225" s="43"/>
      <c r="AK225" s="43"/>
      <c r="AL225" s="43"/>
      <c r="AM225" s="43"/>
      <c r="AN225" s="43"/>
      <c r="AO225" s="43"/>
      <c r="AP225" s="43"/>
      <c r="AQ225" s="43"/>
      <c r="AR225" s="43"/>
      <c r="AS225" s="43"/>
      <c r="AT225" s="43"/>
      <c r="AU225" s="43"/>
      <c r="AV225" s="43"/>
      <c r="AW225" s="43"/>
      <c r="AX225" s="43"/>
      <c r="AY225" s="34" t="s">
        <v>223</v>
      </c>
      <c r="AZ225" s="103"/>
      <c r="BA225" s="63" t="s">
        <v>291</v>
      </c>
      <c r="BB225" s="64"/>
      <c r="BC225" s="110"/>
      <c r="BD225" s="110"/>
      <c r="BE225" s="41"/>
      <c r="BI225" s="42">
        <v>1</v>
      </c>
    </row>
    <row r="226" spans="1:63" s="24" customFormat="1" ht="18" customHeight="1">
      <c r="A226" s="32">
        <f t="shared" si="26"/>
        <v>211</v>
      </c>
      <c r="B226" s="60" t="s">
        <v>656</v>
      </c>
      <c r="C226" s="102" t="s">
        <v>45</v>
      </c>
      <c r="D226" s="35">
        <f t="shared" si="23"/>
        <v>0.4</v>
      </c>
      <c r="E226" s="35"/>
      <c r="F226" s="35">
        <f t="shared" si="25"/>
        <v>0.4</v>
      </c>
      <c r="G226" s="46">
        <v>0.4</v>
      </c>
      <c r="H226" s="43"/>
      <c r="I226" s="43"/>
      <c r="J226" s="43"/>
      <c r="K226" s="43"/>
      <c r="L226" s="43"/>
      <c r="M226" s="43"/>
      <c r="N226" s="43"/>
      <c r="O226" s="43"/>
      <c r="P226" s="43"/>
      <c r="Q226" s="43"/>
      <c r="R226" s="43"/>
      <c r="S226" s="43"/>
      <c r="T226" s="43"/>
      <c r="U226" s="43"/>
      <c r="V226" s="43"/>
      <c r="W226" s="43"/>
      <c r="X226" s="43"/>
      <c r="Y226" s="43"/>
      <c r="Z226" s="43"/>
      <c r="AA226" s="43"/>
      <c r="AB226" s="43"/>
      <c r="AC226" s="43"/>
      <c r="AD226" s="43"/>
      <c r="AE226" s="43"/>
      <c r="AF226" s="43"/>
      <c r="AG226" s="43"/>
      <c r="AH226" s="43"/>
      <c r="AI226" s="43"/>
      <c r="AJ226" s="43"/>
      <c r="AK226" s="43"/>
      <c r="AL226" s="43"/>
      <c r="AM226" s="43"/>
      <c r="AN226" s="43"/>
      <c r="AO226" s="43"/>
      <c r="AP226" s="43"/>
      <c r="AQ226" s="43"/>
      <c r="AR226" s="43"/>
      <c r="AS226" s="43"/>
      <c r="AT226" s="43"/>
      <c r="AU226" s="43"/>
      <c r="AV226" s="43"/>
      <c r="AW226" s="43"/>
      <c r="AX226" s="43"/>
      <c r="AY226" s="34" t="s">
        <v>223</v>
      </c>
      <c r="AZ226" s="103"/>
      <c r="BA226" s="63" t="s">
        <v>291</v>
      </c>
      <c r="BB226" s="64"/>
      <c r="BC226" s="110"/>
      <c r="BD226" s="110"/>
      <c r="BE226" s="41"/>
      <c r="BI226" s="42">
        <v>1</v>
      </c>
    </row>
    <row r="227" spans="1:63" s="24" customFormat="1" ht="18" customHeight="1">
      <c r="A227" s="32">
        <f t="shared" si="26"/>
        <v>212</v>
      </c>
      <c r="B227" s="60" t="s">
        <v>657</v>
      </c>
      <c r="C227" s="102" t="s">
        <v>45</v>
      </c>
      <c r="D227" s="35">
        <f t="shared" si="23"/>
        <v>0.3</v>
      </c>
      <c r="E227" s="35"/>
      <c r="F227" s="35">
        <f t="shared" si="25"/>
        <v>0.3</v>
      </c>
      <c r="G227" s="46">
        <v>0.3</v>
      </c>
      <c r="H227" s="43"/>
      <c r="I227" s="43"/>
      <c r="J227" s="43"/>
      <c r="K227" s="43"/>
      <c r="L227" s="43"/>
      <c r="M227" s="43"/>
      <c r="N227" s="43"/>
      <c r="O227" s="43"/>
      <c r="P227" s="43"/>
      <c r="Q227" s="43"/>
      <c r="R227" s="43"/>
      <c r="S227" s="43"/>
      <c r="T227" s="43"/>
      <c r="U227" s="43"/>
      <c r="V227" s="43"/>
      <c r="W227" s="43"/>
      <c r="X227" s="43"/>
      <c r="Y227" s="43"/>
      <c r="Z227" s="43"/>
      <c r="AA227" s="43"/>
      <c r="AB227" s="43"/>
      <c r="AC227" s="43"/>
      <c r="AD227" s="43"/>
      <c r="AE227" s="43"/>
      <c r="AF227" s="43"/>
      <c r="AG227" s="43"/>
      <c r="AH227" s="43"/>
      <c r="AI227" s="43"/>
      <c r="AJ227" s="43"/>
      <c r="AK227" s="43"/>
      <c r="AL227" s="43"/>
      <c r="AM227" s="43"/>
      <c r="AN227" s="43"/>
      <c r="AO227" s="43"/>
      <c r="AP227" s="43"/>
      <c r="AQ227" s="43"/>
      <c r="AR227" s="43"/>
      <c r="AS227" s="43"/>
      <c r="AT227" s="43"/>
      <c r="AU227" s="43"/>
      <c r="AV227" s="43"/>
      <c r="AW227" s="43"/>
      <c r="AX227" s="43"/>
      <c r="AY227" s="34" t="s">
        <v>223</v>
      </c>
      <c r="AZ227" s="103"/>
      <c r="BA227" s="63" t="s">
        <v>291</v>
      </c>
      <c r="BB227" s="64"/>
      <c r="BC227" s="110"/>
      <c r="BD227" s="110"/>
      <c r="BE227" s="41"/>
      <c r="BI227" s="42">
        <v>1</v>
      </c>
    </row>
    <row r="228" spans="1:63" s="24" customFormat="1" ht="18" customHeight="1">
      <c r="A228" s="32">
        <f t="shared" si="26"/>
        <v>213</v>
      </c>
      <c r="B228" s="60" t="s">
        <v>658</v>
      </c>
      <c r="C228" s="102" t="s">
        <v>45</v>
      </c>
      <c r="D228" s="35">
        <f t="shared" si="23"/>
        <v>0.25</v>
      </c>
      <c r="E228" s="35"/>
      <c r="F228" s="35">
        <f t="shared" si="25"/>
        <v>0.25</v>
      </c>
      <c r="G228" s="46">
        <v>0.25</v>
      </c>
      <c r="H228" s="43"/>
      <c r="I228" s="43"/>
      <c r="J228" s="43"/>
      <c r="K228" s="43"/>
      <c r="L228" s="43"/>
      <c r="M228" s="43"/>
      <c r="N228" s="43"/>
      <c r="O228" s="43"/>
      <c r="P228" s="43"/>
      <c r="Q228" s="43"/>
      <c r="R228" s="43"/>
      <c r="S228" s="43"/>
      <c r="T228" s="43"/>
      <c r="U228" s="43"/>
      <c r="V228" s="43"/>
      <c r="W228" s="43"/>
      <c r="X228" s="43"/>
      <c r="Y228" s="43"/>
      <c r="Z228" s="43"/>
      <c r="AA228" s="43"/>
      <c r="AB228" s="43"/>
      <c r="AC228" s="43"/>
      <c r="AD228" s="43"/>
      <c r="AE228" s="43"/>
      <c r="AF228" s="43"/>
      <c r="AG228" s="43"/>
      <c r="AH228" s="43"/>
      <c r="AI228" s="43"/>
      <c r="AJ228" s="43"/>
      <c r="AK228" s="43"/>
      <c r="AL228" s="43"/>
      <c r="AM228" s="43"/>
      <c r="AN228" s="43"/>
      <c r="AO228" s="43"/>
      <c r="AP228" s="43"/>
      <c r="AQ228" s="43"/>
      <c r="AR228" s="43"/>
      <c r="AS228" s="43"/>
      <c r="AT228" s="43"/>
      <c r="AU228" s="43"/>
      <c r="AV228" s="43"/>
      <c r="AW228" s="43"/>
      <c r="AX228" s="43"/>
      <c r="AY228" s="34" t="s">
        <v>223</v>
      </c>
      <c r="AZ228" s="103"/>
      <c r="BA228" s="63" t="s">
        <v>291</v>
      </c>
      <c r="BB228" s="64"/>
      <c r="BC228" s="110"/>
      <c r="BD228" s="110"/>
      <c r="BE228" s="41"/>
      <c r="BI228" s="42">
        <v>1</v>
      </c>
    </row>
    <row r="229" spans="1:63" s="24" customFormat="1" ht="18" customHeight="1">
      <c r="A229" s="32">
        <f t="shared" si="26"/>
        <v>214</v>
      </c>
      <c r="B229" s="60" t="s">
        <v>659</v>
      </c>
      <c r="C229" s="102" t="s">
        <v>45</v>
      </c>
      <c r="D229" s="35">
        <f t="shared" si="23"/>
        <v>0.04</v>
      </c>
      <c r="E229" s="35"/>
      <c r="F229" s="35">
        <f t="shared" si="25"/>
        <v>0.04</v>
      </c>
      <c r="G229" s="46">
        <v>0.04</v>
      </c>
      <c r="H229" s="43"/>
      <c r="I229" s="43"/>
      <c r="J229" s="43"/>
      <c r="K229" s="43"/>
      <c r="L229" s="43"/>
      <c r="M229" s="43"/>
      <c r="N229" s="43"/>
      <c r="O229" s="43"/>
      <c r="P229" s="43"/>
      <c r="Q229" s="43"/>
      <c r="R229" s="43"/>
      <c r="S229" s="43"/>
      <c r="T229" s="43"/>
      <c r="U229" s="43"/>
      <c r="V229" s="43"/>
      <c r="W229" s="43"/>
      <c r="X229" s="43"/>
      <c r="Y229" s="43"/>
      <c r="Z229" s="43"/>
      <c r="AA229" s="43"/>
      <c r="AB229" s="43"/>
      <c r="AC229" s="43"/>
      <c r="AD229" s="43"/>
      <c r="AE229" s="43"/>
      <c r="AF229" s="43"/>
      <c r="AG229" s="43"/>
      <c r="AH229" s="43"/>
      <c r="AI229" s="43"/>
      <c r="AJ229" s="43"/>
      <c r="AK229" s="43"/>
      <c r="AL229" s="43"/>
      <c r="AM229" s="43"/>
      <c r="AN229" s="43"/>
      <c r="AO229" s="43"/>
      <c r="AP229" s="43"/>
      <c r="AQ229" s="43"/>
      <c r="AR229" s="43"/>
      <c r="AS229" s="43"/>
      <c r="AT229" s="43"/>
      <c r="AU229" s="43"/>
      <c r="AV229" s="43"/>
      <c r="AW229" s="43"/>
      <c r="AX229" s="43"/>
      <c r="AY229" s="34" t="s">
        <v>223</v>
      </c>
      <c r="AZ229" s="103"/>
      <c r="BA229" s="63" t="s">
        <v>291</v>
      </c>
      <c r="BB229" s="64"/>
      <c r="BC229" s="110"/>
      <c r="BD229" s="110"/>
      <c r="BE229" s="41"/>
      <c r="BI229" s="42">
        <v>1</v>
      </c>
    </row>
    <row r="230" spans="1:63" s="24" customFormat="1" ht="18" customHeight="1">
      <c r="A230" s="32">
        <f t="shared" si="26"/>
        <v>215</v>
      </c>
      <c r="B230" s="60" t="s">
        <v>660</v>
      </c>
      <c r="C230" s="102" t="s">
        <v>45</v>
      </c>
      <c r="D230" s="35">
        <f t="shared" si="23"/>
        <v>0.21</v>
      </c>
      <c r="E230" s="35"/>
      <c r="F230" s="35">
        <f t="shared" si="25"/>
        <v>0.21</v>
      </c>
      <c r="G230" s="46">
        <v>0.21</v>
      </c>
      <c r="H230" s="43"/>
      <c r="I230" s="43"/>
      <c r="J230" s="43"/>
      <c r="K230" s="43"/>
      <c r="L230" s="43"/>
      <c r="M230" s="43"/>
      <c r="N230" s="43"/>
      <c r="O230" s="43"/>
      <c r="P230" s="43"/>
      <c r="Q230" s="43"/>
      <c r="R230" s="43"/>
      <c r="S230" s="43"/>
      <c r="T230" s="43"/>
      <c r="U230" s="43"/>
      <c r="V230" s="43"/>
      <c r="W230" s="43"/>
      <c r="X230" s="43"/>
      <c r="Y230" s="43"/>
      <c r="Z230" s="43"/>
      <c r="AA230" s="43"/>
      <c r="AB230" s="43"/>
      <c r="AC230" s="43"/>
      <c r="AD230" s="43"/>
      <c r="AE230" s="43"/>
      <c r="AF230" s="43"/>
      <c r="AG230" s="43"/>
      <c r="AH230" s="43"/>
      <c r="AI230" s="43"/>
      <c r="AJ230" s="43"/>
      <c r="AK230" s="43"/>
      <c r="AL230" s="43"/>
      <c r="AM230" s="43"/>
      <c r="AN230" s="43"/>
      <c r="AO230" s="43"/>
      <c r="AP230" s="43"/>
      <c r="AQ230" s="43"/>
      <c r="AR230" s="43"/>
      <c r="AS230" s="43"/>
      <c r="AT230" s="43"/>
      <c r="AU230" s="43"/>
      <c r="AV230" s="43"/>
      <c r="AW230" s="43"/>
      <c r="AX230" s="43"/>
      <c r="AY230" s="34" t="s">
        <v>223</v>
      </c>
      <c r="AZ230" s="103"/>
      <c r="BA230" s="63" t="s">
        <v>291</v>
      </c>
      <c r="BB230" s="64"/>
      <c r="BC230" s="110"/>
      <c r="BD230" s="110"/>
      <c r="BE230" s="41"/>
      <c r="BI230" s="42">
        <v>1</v>
      </c>
    </row>
    <row r="231" spans="1:63" s="24" customFormat="1" ht="18" customHeight="1">
      <c r="A231" s="32">
        <f t="shared" si="26"/>
        <v>216</v>
      </c>
      <c r="B231" s="60" t="s">
        <v>661</v>
      </c>
      <c r="C231" s="102" t="s">
        <v>45</v>
      </c>
      <c r="D231" s="35">
        <f t="shared" si="23"/>
        <v>0.42</v>
      </c>
      <c r="E231" s="35"/>
      <c r="F231" s="35">
        <f t="shared" si="25"/>
        <v>0.42</v>
      </c>
      <c r="G231" s="46">
        <v>0.42</v>
      </c>
      <c r="H231" s="43"/>
      <c r="I231" s="43"/>
      <c r="J231" s="43"/>
      <c r="K231" s="43"/>
      <c r="L231" s="43"/>
      <c r="M231" s="43"/>
      <c r="N231" s="43"/>
      <c r="O231" s="43"/>
      <c r="P231" s="43"/>
      <c r="Q231" s="43"/>
      <c r="R231" s="43"/>
      <c r="S231" s="43"/>
      <c r="T231" s="43"/>
      <c r="U231" s="43"/>
      <c r="V231" s="43"/>
      <c r="W231" s="43"/>
      <c r="X231" s="43"/>
      <c r="Y231" s="43"/>
      <c r="Z231" s="43"/>
      <c r="AA231" s="43"/>
      <c r="AB231" s="43"/>
      <c r="AC231" s="43"/>
      <c r="AD231" s="43"/>
      <c r="AE231" s="43"/>
      <c r="AF231" s="43"/>
      <c r="AG231" s="43"/>
      <c r="AH231" s="43"/>
      <c r="AI231" s="43"/>
      <c r="AJ231" s="43"/>
      <c r="AK231" s="43"/>
      <c r="AL231" s="43"/>
      <c r="AM231" s="43"/>
      <c r="AN231" s="43"/>
      <c r="AO231" s="43"/>
      <c r="AP231" s="43"/>
      <c r="AQ231" s="43"/>
      <c r="AR231" s="43"/>
      <c r="AS231" s="43"/>
      <c r="AT231" s="43"/>
      <c r="AU231" s="43"/>
      <c r="AV231" s="43"/>
      <c r="AW231" s="43"/>
      <c r="AX231" s="43"/>
      <c r="AY231" s="34" t="s">
        <v>223</v>
      </c>
      <c r="AZ231" s="103"/>
      <c r="BA231" s="63" t="s">
        <v>291</v>
      </c>
      <c r="BB231" s="64"/>
      <c r="BC231" s="110"/>
      <c r="BD231" s="110"/>
      <c r="BE231" s="41"/>
      <c r="BI231" s="42">
        <v>1</v>
      </c>
    </row>
    <row r="232" spans="1:63" s="24" customFormat="1" ht="18" customHeight="1">
      <c r="A232" s="32">
        <f t="shared" si="26"/>
        <v>217</v>
      </c>
      <c r="B232" s="60" t="s">
        <v>662</v>
      </c>
      <c r="C232" s="102" t="s">
        <v>45</v>
      </c>
      <c r="D232" s="35">
        <f t="shared" si="23"/>
        <v>0.4</v>
      </c>
      <c r="E232" s="35"/>
      <c r="F232" s="35">
        <f t="shared" si="25"/>
        <v>0.4</v>
      </c>
      <c r="G232" s="46">
        <v>0.4</v>
      </c>
      <c r="H232" s="43"/>
      <c r="I232" s="43"/>
      <c r="J232" s="43"/>
      <c r="K232" s="43"/>
      <c r="L232" s="43"/>
      <c r="M232" s="43"/>
      <c r="N232" s="43"/>
      <c r="O232" s="43"/>
      <c r="P232" s="43"/>
      <c r="Q232" s="43"/>
      <c r="R232" s="43"/>
      <c r="S232" s="43"/>
      <c r="T232" s="43"/>
      <c r="U232" s="43"/>
      <c r="V232" s="43"/>
      <c r="W232" s="43"/>
      <c r="X232" s="43"/>
      <c r="Y232" s="43"/>
      <c r="Z232" s="43"/>
      <c r="AA232" s="43"/>
      <c r="AB232" s="43"/>
      <c r="AC232" s="43"/>
      <c r="AD232" s="43"/>
      <c r="AE232" s="43"/>
      <c r="AF232" s="43"/>
      <c r="AG232" s="43"/>
      <c r="AH232" s="43"/>
      <c r="AI232" s="43"/>
      <c r="AJ232" s="43"/>
      <c r="AK232" s="43"/>
      <c r="AL232" s="43"/>
      <c r="AM232" s="43"/>
      <c r="AN232" s="43"/>
      <c r="AO232" s="43"/>
      <c r="AP232" s="43"/>
      <c r="AQ232" s="43"/>
      <c r="AR232" s="43"/>
      <c r="AS232" s="43"/>
      <c r="AT232" s="43"/>
      <c r="AU232" s="43"/>
      <c r="AV232" s="43"/>
      <c r="AW232" s="43"/>
      <c r="AX232" s="43"/>
      <c r="AY232" s="34" t="s">
        <v>223</v>
      </c>
      <c r="AZ232" s="103"/>
      <c r="BA232" s="63" t="s">
        <v>291</v>
      </c>
      <c r="BB232" s="64"/>
      <c r="BC232" s="110"/>
      <c r="BD232" s="110"/>
      <c r="BE232" s="41"/>
      <c r="BI232" s="42">
        <v>1</v>
      </c>
    </row>
    <row r="233" spans="1:63" s="24" customFormat="1" ht="18" customHeight="1">
      <c r="A233" s="32">
        <f t="shared" si="26"/>
        <v>218</v>
      </c>
      <c r="B233" s="60" t="s">
        <v>663</v>
      </c>
      <c r="C233" s="102" t="s">
        <v>45</v>
      </c>
      <c r="D233" s="35">
        <f t="shared" si="23"/>
        <v>0.28000000000000003</v>
      </c>
      <c r="E233" s="35"/>
      <c r="F233" s="35">
        <f t="shared" si="25"/>
        <v>0.28000000000000003</v>
      </c>
      <c r="G233" s="46">
        <v>0.28000000000000003</v>
      </c>
      <c r="H233" s="43"/>
      <c r="I233" s="43"/>
      <c r="J233" s="43"/>
      <c r="K233" s="43"/>
      <c r="L233" s="43"/>
      <c r="M233" s="43"/>
      <c r="N233" s="43"/>
      <c r="O233" s="43"/>
      <c r="P233" s="43"/>
      <c r="Q233" s="43"/>
      <c r="R233" s="43"/>
      <c r="S233" s="43"/>
      <c r="T233" s="43"/>
      <c r="U233" s="43"/>
      <c r="V233" s="43"/>
      <c r="W233" s="43"/>
      <c r="X233" s="43"/>
      <c r="Y233" s="43"/>
      <c r="Z233" s="43"/>
      <c r="AA233" s="43"/>
      <c r="AB233" s="43"/>
      <c r="AC233" s="43"/>
      <c r="AD233" s="43"/>
      <c r="AE233" s="43"/>
      <c r="AF233" s="43"/>
      <c r="AG233" s="43"/>
      <c r="AH233" s="43"/>
      <c r="AI233" s="43"/>
      <c r="AJ233" s="43"/>
      <c r="AK233" s="43"/>
      <c r="AL233" s="43"/>
      <c r="AM233" s="43"/>
      <c r="AN233" s="43"/>
      <c r="AO233" s="43"/>
      <c r="AP233" s="43"/>
      <c r="AQ233" s="43"/>
      <c r="AR233" s="43"/>
      <c r="AS233" s="43"/>
      <c r="AT233" s="43"/>
      <c r="AU233" s="43"/>
      <c r="AV233" s="43"/>
      <c r="AW233" s="43"/>
      <c r="AX233" s="43"/>
      <c r="AY233" s="34" t="s">
        <v>223</v>
      </c>
      <c r="AZ233" s="103"/>
      <c r="BA233" s="63" t="s">
        <v>291</v>
      </c>
      <c r="BB233" s="64"/>
      <c r="BC233" s="110"/>
      <c r="BD233" s="110"/>
      <c r="BE233" s="41"/>
      <c r="BI233" s="42">
        <v>1</v>
      </c>
    </row>
    <row r="234" spans="1:63" s="24" customFormat="1" ht="18" customHeight="1">
      <c r="A234" s="32">
        <f t="shared" si="26"/>
        <v>219</v>
      </c>
      <c r="B234" s="60" t="s">
        <v>664</v>
      </c>
      <c r="C234" s="102" t="s">
        <v>45</v>
      </c>
      <c r="D234" s="35">
        <f t="shared" si="23"/>
        <v>0.14000000000000001</v>
      </c>
      <c r="E234" s="35"/>
      <c r="F234" s="35">
        <f t="shared" si="25"/>
        <v>0.14000000000000001</v>
      </c>
      <c r="G234" s="46">
        <v>0.14000000000000001</v>
      </c>
      <c r="H234" s="43"/>
      <c r="I234" s="43"/>
      <c r="J234" s="43"/>
      <c r="K234" s="43"/>
      <c r="L234" s="43"/>
      <c r="M234" s="43"/>
      <c r="N234" s="43"/>
      <c r="O234" s="43"/>
      <c r="P234" s="43"/>
      <c r="Q234" s="43"/>
      <c r="R234" s="43"/>
      <c r="S234" s="43"/>
      <c r="T234" s="43"/>
      <c r="U234" s="43"/>
      <c r="V234" s="43"/>
      <c r="W234" s="43"/>
      <c r="X234" s="43"/>
      <c r="Y234" s="43"/>
      <c r="Z234" s="43"/>
      <c r="AA234" s="43"/>
      <c r="AB234" s="43"/>
      <c r="AC234" s="43"/>
      <c r="AD234" s="43"/>
      <c r="AE234" s="43"/>
      <c r="AF234" s="43"/>
      <c r="AG234" s="43"/>
      <c r="AH234" s="43"/>
      <c r="AI234" s="43"/>
      <c r="AJ234" s="43"/>
      <c r="AK234" s="43"/>
      <c r="AL234" s="43"/>
      <c r="AM234" s="43"/>
      <c r="AN234" s="43"/>
      <c r="AO234" s="43"/>
      <c r="AP234" s="43"/>
      <c r="AQ234" s="43"/>
      <c r="AR234" s="43"/>
      <c r="AS234" s="43"/>
      <c r="AT234" s="43"/>
      <c r="AU234" s="43"/>
      <c r="AV234" s="43"/>
      <c r="AW234" s="43"/>
      <c r="AX234" s="43"/>
      <c r="AY234" s="34" t="s">
        <v>223</v>
      </c>
      <c r="AZ234" s="103"/>
      <c r="BA234" s="63" t="s">
        <v>291</v>
      </c>
      <c r="BB234" s="64"/>
      <c r="BC234" s="110"/>
      <c r="BD234" s="110"/>
      <c r="BE234" s="41"/>
      <c r="BI234" s="42">
        <v>1</v>
      </c>
    </row>
    <row r="235" spans="1:63" s="71" customFormat="1" ht="18" customHeight="1">
      <c r="A235" s="32">
        <f t="shared" si="26"/>
        <v>220</v>
      </c>
      <c r="B235" s="66" t="s">
        <v>665</v>
      </c>
      <c r="C235" s="102" t="s">
        <v>45</v>
      </c>
      <c r="D235" s="35">
        <f t="shared" si="23"/>
        <v>0.21</v>
      </c>
      <c r="E235" s="67"/>
      <c r="F235" s="35">
        <f t="shared" si="25"/>
        <v>0.21</v>
      </c>
      <c r="G235" s="68">
        <v>0.21</v>
      </c>
      <c r="H235" s="68"/>
      <c r="I235" s="68"/>
      <c r="J235" s="68"/>
      <c r="K235" s="68"/>
      <c r="L235" s="68"/>
      <c r="M235" s="68"/>
      <c r="N235" s="68"/>
      <c r="O235" s="68"/>
      <c r="P235" s="68"/>
      <c r="Q235" s="68"/>
      <c r="R235" s="68"/>
      <c r="S235" s="68"/>
      <c r="T235" s="68"/>
      <c r="U235" s="68"/>
      <c r="V235" s="68"/>
      <c r="W235" s="68"/>
      <c r="X235" s="68"/>
      <c r="Y235" s="68"/>
      <c r="Z235" s="68"/>
      <c r="AA235" s="68"/>
      <c r="AB235" s="68"/>
      <c r="AC235" s="68"/>
      <c r="AD235" s="68"/>
      <c r="AE235" s="68"/>
      <c r="AF235" s="68"/>
      <c r="AG235" s="68"/>
      <c r="AH235" s="68"/>
      <c r="AI235" s="68"/>
      <c r="AJ235" s="68"/>
      <c r="AK235" s="68"/>
      <c r="AL235" s="68"/>
      <c r="AM235" s="68"/>
      <c r="AN235" s="68"/>
      <c r="AO235" s="68"/>
      <c r="AP235" s="68"/>
      <c r="AQ235" s="68"/>
      <c r="AR235" s="68"/>
      <c r="AS235" s="68"/>
      <c r="AT235" s="68"/>
      <c r="AU235" s="68"/>
      <c r="AV235" s="68"/>
      <c r="AW235" s="68"/>
      <c r="AX235" s="68"/>
      <c r="AY235" s="70" t="s">
        <v>226</v>
      </c>
      <c r="AZ235" s="70" t="s">
        <v>666</v>
      </c>
      <c r="BA235" s="70" t="s">
        <v>291</v>
      </c>
      <c r="BB235" s="81"/>
      <c r="BI235" s="42">
        <v>1</v>
      </c>
      <c r="BK235" s="72"/>
    </row>
    <row r="236" spans="1:63" s="71" customFormat="1" ht="18" customHeight="1">
      <c r="A236" s="32">
        <f t="shared" si="26"/>
        <v>221</v>
      </c>
      <c r="B236" s="66" t="s">
        <v>667</v>
      </c>
      <c r="C236" s="102" t="s">
        <v>45</v>
      </c>
      <c r="D236" s="35">
        <f t="shared" si="23"/>
        <v>0.19</v>
      </c>
      <c r="E236" s="67"/>
      <c r="F236" s="35">
        <f t="shared" si="25"/>
        <v>0.19</v>
      </c>
      <c r="G236" s="68">
        <v>0.19</v>
      </c>
      <c r="H236" s="68"/>
      <c r="I236" s="68"/>
      <c r="J236" s="68"/>
      <c r="K236" s="68"/>
      <c r="L236" s="68"/>
      <c r="M236" s="68"/>
      <c r="N236" s="68"/>
      <c r="O236" s="68"/>
      <c r="P236" s="68"/>
      <c r="Q236" s="68"/>
      <c r="R236" s="68"/>
      <c r="S236" s="68"/>
      <c r="T236" s="68"/>
      <c r="U236" s="68"/>
      <c r="V236" s="68"/>
      <c r="W236" s="68"/>
      <c r="X236" s="68"/>
      <c r="Y236" s="68"/>
      <c r="Z236" s="68"/>
      <c r="AA236" s="68"/>
      <c r="AB236" s="68"/>
      <c r="AC236" s="68"/>
      <c r="AD236" s="68"/>
      <c r="AE236" s="68"/>
      <c r="AF236" s="68"/>
      <c r="AG236" s="68"/>
      <c r="AH236" s="68"/>
      <c r="AI236" s="68"/>
      <c r="AJ236" s="68"/>
      <c r="AK236" s="68"/>
      <c r="AL236" s="68"/>
      <c r="AM236" s="68"/>
      <c r="AN236" s="68"/>
      <c r="AO236" s="68"/>
      <c r="AP236" s="68"/>
      <c r="AQ236" s="68"/>
      <c r="AR236" s="68"/>
      <c r="AS236" s="68"/>
      <c r="AT236" s="68"/>
      <c r="AU236" s="68"/>
      <c r="AV236" s="68"/>
      <c r="AW236" s="68"/>
      <c r="AX236" s="68"/>
      <c r="AY236" s="70" t="s">
        <v>226</v>
      </c>
      <c r="AZ236" s="70" t="s">
        <v>666</v>
      </c>
      <c r="BA236" s="70" t="s">
        <v>291</v>
      </c>
      <c r="BB236" s="81"/>
      <c r="BI236" s="42">
        <v>1</v>
      </c>
      <c r="BK236" s="72"/>
    </row>
    <row r="237" spans="1:63" s="71" customFormat="1" ht="18" customHeight="1">
      <c r="A237" s="32">
        <f t="shared" si="26"/>
        <v>222</v>
      </c>
      <c r="B237" s="66" t="s">
        <v>668</v>
      </c>
      <c r="C237" s="102" t="s">
        <v>45</v>
      </c>
      <c r="D237" s="35">
        <f t="shared" si="23"/>
        <v>0.05</v>
      </c>
      <c r="E237" s="67"/>
      <c r="F237" s="35">
        <f t="shared" si="25"/>
        <v>0.05</v>
      </c>
      <c r="G237" s="68">
        <v>0.05</v>
      </c>
      <c r="H237" s="68"/>
      <c r="I237" s="68"/>
      <c r="J237" s="68"/>
      <c r="K237" s="68"/>
      <c r="L237" s="68"/>
      <c r="M237" s="68"/>
      <c r="N237" s="68"/>
      <c r="O237" s="68"/>
      <c r="P237" s="68"/>
      <c r="Q237" s="68"/>
      <c r="R237" s="68"/>
      <c r="S237" s="68"/>
      <c r="T237" s="68"/>
      <c r="U237" s="68"/>
      <c r="V237" s="68"/>
      <c r="W237" s="68"/>
      <c r="X237" s="68"/>
      <c r="Y237" s="68"/>
      <c r="Z237" s="68"/>
      <c r="AA237" s="68"/>
      <c r="AB237" s="68"/>
      <c r="AC237" s="68"/>
      <c r="AD237" s="68"/>
      <c r="AE237" s="68"/>
      <c r="AF237" s="68"/>
      <c r="AG237" s="68"/>
      <c r="AH237" s="68"/>
      <c r="AI237" s="68"/>
      <c r="AJ237" s="68"/>
      <c r="AK237" s="68"/>
      <c r="AL237" s="68"/>
      <c r="AM237" s="68"/>
      <c r="AN237" s="68"/>
      <c r="AO237" s="68"/>
      <c r="AP237" s="68"/>
      <c r="AQ237" s="68"/>
      <c r="AR237" s="68"/>
      <c r="AS237" s="68"/>
      <c r="AT237" s="68"/>
      <c r="AU237" s="68"/>
      <c r="AV237" s="68"/>
      <c r="AW237" s="68"/>
      <c r="AX237" s="68"/>
      <c r="AY237" s="70" t="s">
        <v>226</v>
      </c>
      <c r="AZ237" s="70" t="s">
        <v>483</v>
      </c>
      <c r="BA237" s="70" t="s">
        <v>291</v>
      </c>
      <c r="BB237" s="81"/>
      <c r="BI237" s="42">
        <v>1</v>
      </c>
      <c r="BK237" s="72"/>
    </row>
    <row r="238" spans="1:63" s="49" customFormat="1" ht="36.6" customHeight="1">
      <c r="A238" s="32">
        <f t="shared" si="26"/>
        <v>223</v>
      </c>
      <c r="B238" s="66" t="s">
        <v>649</v>
      </c>
      <c r="C238" s="102" t="s">
        <v>45</v>
      </c>
      <c r="D238" s="35">
        <f t="shared" si="23"/>
        <v>0.55000000000000004</v>
      </c>
      <c r="E238" s="45"/>
      <c r="F238" s="35">
        <f t="shared" si="25"/>
        <v>0.55000000000000004</v>
      </c>
      <c r="G238" s="46">
        <f>0.08+0.02</f>
        <v>0.1</v>
      </c>
      <c r="H238" s="46">
        <v>0.25</v>
      </c>
      <c r="I238" s="46">
        <v>0.13</v>
      </c>
      <c r="J238" s="46">
        <v>7.0000000000000007E-2</v>
      </c>
      <c r="K238" s="46"/>
      <c r="L238" s="46"/>
      <c r="M238" s="46"/>
      <c r="N238" s="46"/>
      <c r="O238" s="46"/>
      <c r="P238" s="46"/>
      <c r="Q238" s="46"/>
      <c r="R238" s="46"/>
      <c r="S238" s="46"/>
      <c r="T238" s="46"/>
      <c r="U238" s="46"/>
      <c r="V238" s="46"/>
      <c r="W238" s="46"/>
      <c r="X238" s="46"/>
      <c r="Y238" s="46"/>
      <c r="Z238" s="46"/>
      <c r="AA238" s="46"/>
      <c r="AB238" s="46"/>
      <c r="AC238" s="46"/>
      <c r="AD238" s="46"/>
      <c r="AE238" s="46"/>
      <c r="AF238" s="46"/>
      <c r="AG238" s="46"/>
      <c r="AH238" s="46"/>
      <c r="AI238" s="46"/>
      <c r="AJ238" s="46"/>
      <c r="AK238" s="46"/>
      <c r="AL238" s="46"/>
      <c r="AM238" s="46"/>
      <c r="AN238" s="46"/>
      <c r="AO238" s="46"/>
      <c r="AP238" s="46"/>
      <c r="AQ238" s="46"/>
      <c r="AR238" s="46"/>
      <c r="AS238" s="46"/>
      <c r="AT238" s="46"/>
      <c r="AU238" s="46"/>
      <c r="AV238" s="46"/>
      <c r="AW238" s="46"/>
      <c r="AX238" s="46"/>
      <c r="AY238" s="47" t="s">
        <v>227</v>
      </c>
      <c r="AZ238" s="47" t="s">
        <v>615</v>
      </c>
      <c r="BA238" s="47" t="s">
        <v>291</v>
      </c>
      <c r="BB238" s="48"/>
      <c r="BI238" s="42">
        <v>1</v>
      </c>
      <c r="BK238" s="50"/>
    </row>
    <row r="239" spans="1:63" s="24" customFormat="1" ht="31.5">
      <c r="A239" s="32">
        <f t="shared" si="26"/>
        <v>224</v>
      </c>
      <c r="B239" s="33" t="s">
        <v>669</v>
      </c>
      <c r="C239" s="102" t="s">
        <v>45</v>
      </c>
      <c r="D239" s="35">
        <f t="shared" si="23"/>
        <v>8.4</v>
      </c>
      <c r="E239" s="35">
        <v>7.89</v>
      </c>
      <c r="F239" s="35">
        <f t="shared" si="25"/>
        <v>0.51</v>
      </c>
      <c r="G239" s="46">
        <v>0.31</v>
      </c>
      <c r="H239" s="43"/>
      <c r="I239" s="43"/>
      <c r="J239" s="43">
        <v>0.05</v>
      </c>
      <c r="K239" s="43"/>
      <c r="L239" s="43"/>
      <c r="M239" s="43"/>
      <c r="N239" s="43"/>
      <c r="O239" s="43"/>
      <c r="P239" s="43">
        <v>0.03</v>
      </c>
      <c r="Q239" s="43"/>
      <c r="R239" s="43"/>
      <c r="S239" s="43"/>
      <c r="T239" s="43"/>
      <c r="U239" s="43"/>
      <c r="V239" s="43"/>
      <c r="W239" s="43"/>
      <c r="X239" s="43"/>
      <c r="Y239" s="43"/>
      <c r="Z239" s="43">
        <v>0.12</v>
      </c>
      <c r="AA239" s="43"/>
      <c r="AB239" s="43"/>
      <c r="AC239" s="43"/>
      <c r="AD239" s="43"/>
      <c r="AE239" s="43"/>
      <c r="AF239" s="43"/>
      <c r="AG239" s="43"/>
      <c r="AH239" s="43"/>
      <c r="AI239" s="43"/>
      <c r="AJ239" s="43"/>
      <c r="AK239" s="43"/>
      <c r="AL239" s="43"/>
      <c r="AM239" s="43"/>
      <c r="AN239" s="43"/>
      <c r="AO239" s="43"/>
      <c r="AP239" s="43"/>
      <c r="AQ239" s="43"/>
      <c r="AR239" s="43"/>
      <c r="AS239" s="43"/>
      <c r="AT239" s="43"/>
      <c r="AU239" s="43"/>
      <c r="AV239" s="43"/>
      <c r="AW239" s="43"/>
      <c r="AX239" s="43"/>
      <c r="AY239" s="103" t="s">
        <v>228</v>
      </c>
      <c r="AZ239" s="103" t="s">
        <v>670</v>
      </c>
      <c r="BA239" s="39" t="s">
        <v>291</v>
      </c>
      <c r="BB239" s="40"/>
      <c r="BE239" s="41"/>
      <c r="BI239" s="42">
        <v>1</v>
      </c>
    </row>
    <row r="240" spans="1:63" ht="20.85" customHeight="1">
      <c r="A240" s="32">
        <f t="shared" si="26"/>
        <v>225</v>
      </c>
      <c r="B240" s="56" t="s">
        <v>671</v>
      </c>
      <c r="C240" s="102" t="s">
        <v>45</v>
      </c>
      <c r="D240" s="35">
        <f t="shared" si="23"/>
        <v>0.4</v>
      </c>
      <c r="E240" s="35"/>
      <c r="F240" s="35">
        <f t="shared" si="25"/>
        <v>0.4</v>
      </c>
      <c r="G240" s="43"/>
      <c r="H240" s="43"/>
      <c r="I240" s="43">
        <v>0.4</v>
      </c>
      <c r="J240" s="43"/>
      <c r="K240" s="37"/>
      <c r="L240" s="43"/>
      <c r="M240" s="43"/>
      <c r="N240" s="43"/>
      <c r="O240" s="43"/>
      <c r="P240" s="43"/>
      <c r="Q240" s="43"/>
      <c r="R240" s="43"/>
      <c r="S240" s="43"/>
      <c r="T240" s="43"/>
      <c r="U240" s="43"/>
      <c r="V240" s="43"/>
      <c r="W240" s="43"/>
      <c r="X240" s="43"/>
      <c r="Y240" s="43"/>
      <c r="Z240" s="43"/>
      <c r="AA240" s="43"/>
      <c r="AB240" s="43"/>
      <c r="AC240" s="43"/>
      <c r="AD240" s="43"/>
      <c r="AE240" s="43"/>
      <c r="AF240" s="43"/>
      <c r="AG240" s="43"/>
      <c r="AH240" s="43"/>
      <c r="AI240" s="43"/>
      <c r="AJ240" s="43"/>
      <c r="AK240" s="43"/>
      <c r="AL240" s="43"/>
      <c r="AM240" s="43"/>
      <c r="AN240" s="43"/>
      <c r="AO240" s="43"/>
      <c r="AP240" s="43"/>
      <c r="AQ240" s="43"/>
      <c r="AR240" s="43"/>
      <c r="AS240" s="43"/>
      <c r="AT240" s="43"/>
      <c r="AU240" s="43"/>
      <c r="AV240" s="43"/>
      <c r="AW240" s="43"/>
      <c r="AX240" s="43"/>
      <c r="AY240" s="34" t="s">
        <v>487</v>
      </c>
      <c r="AZ240" s="34" t="s">
        <v>670</v>
      </c>
      <c r="BA240" s="39" t="s">
        <v>291</v>
      </c>
      <c r="BB240" s="40"/>
      <c r="BE240" s="41"/>
      <c r="BF240" s="58"/>
      <c r="BI240" s="42">
        <v>1</v>
      </c>
    </row>
    <row r="241" spans="1:63" ht="20.85" customHeight="1">
      <c r="A241" s="32">
        <f t="shared" si="26"/>
        <v>226</v>
      </c>
      <c r="B241" s="56" t="s">
        <v>672</v>
      </c>
      <c r="C241" s="102" t="s">
        <v>45</v>
      </c>
      <c r="D241" s="35">
        <f t="shared" si="23"/>
        <v>1.5</v>
      </c>
      <c r="E241" s="35"/>
      <c r="F241" s="35">
        <f t="shared" si="25"/>
        <v>1.5</v>
      </c>
      <c r="G241" s="43"/>
      <c r="H241" s="43"/>
      <c r="I241" s="43"/>
      <c r="J241" s="43">
        <v>1.5</v>
      </c>
      <c r="K241" s="37"/>
      <c r="L241" s="43"/>
      <c r="M241" s="43"/>
      <c r="N241" s="43"/>
      <c r="O241" s="43"/>
      <c r="P241" s="43"/>
      <c r="Q241" s="43"/>
      <c r="R241" s="43"/>
      <c r="S241" s="43"/>
      <c r="T241" s="43"/>
      <c r="U241" s="43"/>
      <c r="V241" s="43"/>
      <c r="W241" s="43"/>
      <c r="X241" s="43"/>
      <c r="Y241" s="43"/>
      <c r="Z241" s="43"/>
      <c r="AA241" s="43"/>
      <c r="AB241" s="43"/>
      <c r="AC241" s="43"/>
      <c r="AD241" s="43"/>
      <c r="AE241" s="43"/>
      <c r="AF241" s="43"/>
      <c r="AG241" s="43"/>
      <c r="AH241" s="43"/>
      <c r="AI241" s="43"/>
      <c r="AJ241" s="43"/>
      <c r="AK241" s="43"/>
      <c r="AL241" s="43"/>
      <c r="AM241" s="43"/>
      <c r="AN241" s="43"/>
      <c r="AO241" s="43"/>
      <c r="AP241" s="43"/>
      <c r="AQ241" s="43"/>
      <c r="AR241" s="43"/>
      <c r="AS241" s="43"/>
      <c r="AT241" s="43"/>
      <c r="AU241" s="43"/>
      <c r="AV241" s="43"/>
      <c r="AW241" s="43"/>
      <c r="AX241" s="43"/>
      <c r="AY241" s="34" t="s">
        <v>487</v>
      </c>
      <c r="AZ241" s="34" t="s">
        <v>406</v>
      </c>
      <c r="BA241" s="39" t="s">
        <v>291</v>
      </c>
      <c r="BB241" s="40"/>
      <c r="BE241" s="41"/>
      <c r="BF241" s="58"/>
      <c r="BI241" s="42">
        <v>1</v>
      </c>
    </row>
    <row r="242" spans="1:63" s="49" customFormat="1" ht="20.85" customHeight="1">
      <c r="A242" s="32">
        <f t="shared" si="26"/>
        <v>227</v>
      </c>
      <c r="B242" s="56" t="s">
        <v>123</v>
      </c>
      <c r="C242" s="93" t="s">
        <v>45</v>
      </c>
      <c r="D242" s="35">
        <f t="shared" si="23"/>
        <v>1.44</v>
      </c>
      <c r="E242" s="45"/>
      <c r="F242" s="35">
        <f t="shared" si="25"/>
        <v>1.44</v>
      </c>
      <c r="G242" s="46">
        <v>1.44</v>
      </c>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46"/>
      <c r="AS242" s="46"/>
      <c r="AT242" s="46"/>
      <c r="AU242" s="46"/>
      <c r="AV242" s="46"/>
      <c r="AW242" s="46"/>
      <c r="AX242" s="46"/>
      <c r="AY242" s="47" t="s">
        <v>234</v>
      </c>
      <c r="AZ242" s="47" t="s">
        <v>305</v>
      </c>
      <c r="BA242" s="93" t="s">
        <v>291</v>
      </c>
      <c r="BB242" s="50"/>
      <c r="BI242" s="42">
        <v>1</v>
      </c>
      <c r="BK242" s="50"/>
    </row>
    <row r="243" spans="1:63" s="24" customFormat="1" ht="33.6" customHeight="1">
      <c r="A243" s="32">
        <f t="shared" si="26"/>
        <v>228</v>
      </c>
      <c r="B243" s="33" t="s">
        <v>673</v>
      </c>
      <c r="C243" s="102" t="s">
        <v>45</v>
      </c>
      <c r="D243" s="35">
        <f t="shared" si="23"/>
        <v>16.600000000000001</v>
      </c>
      <c r="E243" s="35">
        <v>16</v>
      </c>
      <c r="F243" s="35">
        <f t="shared" si="25"/>
        <v>0.6</v>
      </c>
      <c r="G243" s="46">
        <v>0.1</v>
      </c>
      <c r="H243" s="43"/>
      <c r="I243" s="43"/>
      <c r="J243" s="43">
        <v>0.06</v>
      </c>
      <c r="K243" s="43"/>
      <c r="L243" s="43"/>
      <c r="M243" s="43">
        <v>0.22</v>
      </c>
      <c r="N243" s="43"/>
      <c r="O243" s="43"/>
      <c r="P243" s="43">
        <v>0.1</v>
      </c>
      <c r="Q243" s="43"/>
      <c r="R243" s="43"/>
      <c r="S243" s="43"/>
      <c r="T243" s="43"/>
      <c r="U243" s="43"/>
      <c r="V243" s="43"/>
      <c r="W243" s="43"/>
      <c r="X243" s="43"/>
      <c r="Y243" s="43"/>
      <c r="Z243" s="43">
        <v>0.12</v>
      </c>
      <c r="AA243" s="43"/>
      <c r="AB243" s="43"/>
      <c r="AC243" s="43"/>
      <c r="AD243" s="43"/>
      <c r="AE243" s="43"/>
      <c r="AF243" s="43"/>
      <c r="AG243" s="43"/>
      <c r="AH243" s="43"/>
      <c r="AI243" s="43"/>
      <c r="AJ243" s="43"/>
      <c r="AK243" s="43"/>
      <c r="AL243" s="43"/>
      <c r="AM243" s="43"/>
      <c r="AN243" s="43"/>
      <c r="AO243" s="43"/>
      <c r="AP243" s="43"/>
      <c r="AQ243" s="43"/>
      <c r="AR243" s="43"/>
      <c r="AS243" s="43"/>
      <c r="AT243" s="43"/>
      <c r="AU243" s="43"/>
      <c r="AV243" s="43"/>
      <c r="AW243" s="43"/>
      <c r="AX243" s="43"/>
      <c r="AY243" s="103" t="s">
        <v>674</v>
      </c>
      <c r="AZ243" s="103" t="s">
        <v>675</v>
      </c>
      <c r="BA243" s="39" t="s">
        <v>291</v>
      </c>
      <c r="BB243" s="40" t="s">
        <v>676</v>
      </c>
      <c r="BE243" s="41"/>
      <c r="BI243" s="42">
        <v>1</v>
      </c>
    </row>
    <row r="244" spans="1:63" s="24" customFormat="1" ht="33" customHeight="1">
      <c r="A244" s="32">
        <f t="shared" si="26"/>
        <v>229</v>
      </c>
      <c r="B244" s="60" t="s">
        <v>677</v>
      </c>
      <c r="C244" s="102" t="s">
        <v>45</v>
      </c>
      <c r="D244" s="35">
        <f t="shared" si="23"/>
        <v>0.05</v>
      </c>
      <c r="E244" s="35"/>
      <c r="F244" s="35">
        <f t="shared" si="25"/>
        <v>0.05</v>
      </c>
      <c r="G244" s="43">
        <v>0.01</v>
      </c>
      <c r="H244" s="43">
        <v>0.02</v>
      </c>
      <c r="I244" s="43">
        <v>0.02</v>
      </c>
      <c r="J244" s="43"/>
      <c r="K244" s="43"/>
      <c r="L244" s="43"/>
      <c r="M244" s="43"/>
      <c r="N244" s="43"/>
      <c r="O244" s="43"/>
      <c r="P244" s="43"/>
      <c r="Q244" s="43"/>
      <c r="R244" s="43"/>
      <c r="S244" s="43"/>
      <c r="T244" s="43"/>
      <c r="U244" s="43"/>
      <c r="V244" s="43"/>
      <c r="W244" s="43"/>
      <c r="X244" s="43"/>
      <c r="Y244" s="43"/>
      <c r="Z244" s="43"/>
      <c r="AA244" s="43"/>
      <c r="AB244" s="43"/>
      <c r="AC244" s="43"/>
      <c r="AD244" s="43"/>
      <c r="AE244" s="43"/>
      <c r="AF244" s="43"/>
      <c r="AG244" s="43"/>
      <c r="AH244" s="43"/>
      <c r="AI244" s="43"/>
      <c r="AJ244" s="43"/>
      <c r="AK244" s="43"/>
      <c r="AL244" s="43"/>
      <c r="AM244" s="43"/>
      <c r="AN244" s="43"/>
      <c r="AO244" s="43"/>
      <c r="AP244" s="43"/>
      <c r="AQ244" s="43"/>
      <c r="AR244" s="43"/>
      <c r="AS244" s="43"/>
      <c r="AT244" s="43"/>
      <c r="AU244" s="43"/>
      <c r="AV244" s="43"/>
      <c r="AW244" s="43"/>
      <c r="AX244" s="43"/>
      <c r="AY244" s="34" t="s">
        <v>232</v>
      </c>
      <c r="AZ244" s="103" t="s">
        <v>389</v>
      </c>
      <c r="BA244" s="63" t="s">
        <v>291</v>
      </c>
      <c r="BB244" s="64"/>
      <c r="BE244" s="41"/>
      <c r="BI244" s="42">
        <v>1</v>
      </c>
    </row>
    <row r="245" spans="1:63" s="24" customFormat="1" ht="31.5">
      <c r="A245" s="32">
        <f t="shared" si="26"/>
        <v>230</v>
      </c>
      <c r="B245" s="60" t="s">
        <v>678</v>
      </c>
      <c r="C245" s="102" t="s">
        <v>45</v>
      </c>
      <c r="D245" s="35">
        <f t="shared" si="23"/>
        <v>0.05</v>
      </c>
      <c r="E245" s="35"/>
      <c r="F245" s="35">
        <f t="shared" si="25"/>
        <v>0.05</v>
      </c>
      <c r="G245" s="43">
        <v>0.01</v>
      </c>
      <c r="H245" s="43">
        <v>0.02</v>
      </c>
      <c r="I245" s="43">
        <v>0.01</v>
      </c>
      <c r="J245" s="43">
        <v>0.01</v>
      </c>
      <c r="K245" s="43"/>
      <c r="L245" s="43"/>
      <c r="M245" s="43"/>
      <c r="N245" s="43"/>
      <c r="O245" s="43"/>
      <c r="P245" s="43"/>
      <c r="Q245" s="43"/>
      <c r="R245" s="43"/>
      <c r="S245" s="43"/>
      <c r="T245" s="43"/>
      <c r="U245" s="43"/>
      <c r="V245" s="43"/>
      <c r="W245" s="43"/>
      <c r="X245" s="43"/>
      <c r="Y245" s="43"/>
      <c r="Z245" s="43"/>
      <c r="AA245" s="43"/>
      <c r="AB245" s="43"/>
      <c r="AC245" s="43"/>
      <c r="AD245" s="43"/>
      <c r="AE245" s="43"/>
      <c r="AF245" s="43"/>
      <c r="AG245" s="43"/>
      <c r="AH245" s="43"/>
      <c r="AI245" s="43"/>
      <c r="AJ245" s="43"/>
      <c r="AK245" s="43"/>
      <c r="AL245" s="43"/>
      <c r="AM245" s="43"/>
      <c r="AN245" s="43"/>
      <c r="AO245" s="43"/>
      <c r="AP245" s="43"/>
      <c r="AQ245" s="43"/>
      <c r="AR245" s="43"/>
      <c r="AS245" s="43"/>
      <c r="AT245" s="43"/>
      <c r="AU245" s="43"/>
      <c r="AV245" s="43"/>
      <c r="AW245" s="43"/>
      <c r="AX245" s="43"/>
      <c r="AY245" s="34" t="s">
        <v>232</v>
      </c>
      <c r="AZ245" s="103" t="s">
        <v>451</v>
      </c>
      <c r="BA245" s="63" t="s">
        <v>291</v>
      </c>
      <c r="BB245" s="64"/>
      <c r="BE245" s="41"/>
      <c r="BI245" s="42">
        <v>1</v>
      </c>
    </row>
    <row r="246" spans="1:63" s="24" customFormat="1" ht="32.85" customHeight="1">
      <c r="A246" s="32">
        <f t="shared" si="26"/>
        <v>231</v>
      </c>
      <c r="B246" s="60" t="s">
        <v>679</v>
      </c>
      <c r="C246" s="102" t="s">
        <v>45</v>
      </c>
      <c r="D246" s="35">
        <f t="shared" si="23"/>
        <v>0.06</v>
      </c>
      <c r="E246" s="35"/>
      <c r="F246" s="35">
        <f t="shared" si="25"/>
        <v>0.06</v>
      </c>
      <c r="G246" s="43">
        <v>0.02</v>
      </c>
      <c r="H246" s="43">
        <v>0.02</v>
      </c>
      <c r="I246" s="43">
        <v>0.02</v>
      </c>
      <c r="J246" s="43"/>
      <c r="K246" s="43"/>
      <c r="L246" s="43"/>
      <c r="M246" s="43"/>
      <c r="N246" s="43"/>
      <c r="O246" s="43"/>
      <c r="P246" s="43"/>
      <c r="Q246" s="43"/>
      <c r="R246" s="43"/>
      <c r="S246" s="43"/>
      <c r="T246" s="43"/>
      <c r="U246" s="43"/>
      <c r="V246" s="43"/>
      <c r="W246" s="43"/>
      <c r="X246" s="43"/>
      <c r="Y246" s="43"/>
      <c r="Z246" s="43"/>
      <c r="AA246" s="43"/>
      <c r="AB246" s="43"/>
      <c r="AC246" s="43"/>
      <c r="AD246" s="43"/>
      <c r="AE246" s="43"/>
      <c r="AF246" s="43"/>
      <c r="AG246" s="43"/>
      <c r="AH246" s="43"/>
      <c r="AI246" s="43"/>
      <c r="AJ246" s="43"/>
      <c r="AK246" s="43"/>
      <c r="AL246" s="43"/>
      <c r="AM246" s="43"/>
      <c r="AN246" s="43"/>
      <c r="AO246" s="43"/>
      <c r="AP246" s="43"/>
      <c r="AQ246" s="43"/>
      <c r="AR246" s="43"/>
      <c r="AS246" s="43"/>
      <c r="AT246" s="43"/>
      <c r="AU246" s="43"/>
      <c r="AV246" s="43"/>
      <c r="AW246" s="43"/>
      <c r="AX246" s="43"/>
      <c r="AY246" s="34" t="s">
        <v>232</v>
      </c>
      <c r="AZ246" s="103" t="s">
        <v>389</v>
      </c>
      <c r="BA246" s="63" t="s">
        <v>291</v>
      </c>
      <c r="BB246" s="64"/>
      <c r="BE246" s="41"/>
      <c r="BI246" s="42">
        <v>1</v>
      </c>
    </row>
    <row r="247" spans="1:63" s="24" customFormat="1" ht="31.5">
      <c r="A247" s="32">
        <f t="shared" si="26"/>
        <v>232</v>
      </c>
      <c r="B247" s="60" t="s">
        <v>680</v>
      </c>
      <c r="C247" s="102" t="s">
        <v>45</v>
      </c>
      <c r="D247" s="35">
        <f t="shared" si="23"/>
        <v>0.12000000000000001</v>
      </c>
      <c r="E247" s="35"/>
      <c r="F247" s="35">
        <f t="shared" si="25"/>
        <v>0.12000000000000001</v>
      </c>
      <c r="G247" s="43">
        <v>0.02</v>
      </c>
      <c r="H247" s="43">
        <v>0.02</v>
      </c>
      <c r="I247" s="43">
        <v>0.04</v>
      </c>
      <c r="J247" s="43">
        <v>0.02</v>
      </c>
      <c r="K247" s="43"/>
      <c r="L247" s="43"/>
      <c r="M247" s="43">
        <v>0.02</v>
      </c>
      <c r="N247" s="43"/>
      <c r="O247" s="43"/>
      <c r="P247" s="43"/>
      <c r="Q247" s="43"/>
      <c r="R247" s="43"/>
      <c r="S247" s="43"/>
      <c r="T247" s="43"/>
      <c r="U247" s="43"/>
      <c r="V247" s="43"/>
      <c r="W247" s="43"/>
      <c r="X247" s="43"/>
      <c r="Y247" s="43"/>
      <c r="Z247" s="43"/>
      <c r="AA247" s="43"/>
      <c r="AB247" s="43"/>
      <c r="AC247" s="43"/>
      <c r="AD247" s="43"/>
      <c r="AE247" s="43"/>
      <c r="AF247" s="43"/>
      <c r="AG247" s="43"/>
      <c r="AH247" s="43"/>
      <c r="AI247" s="43"/>
      <c r="AJ247" s="43"/>
      <c r="AK247" s="43"/>
      <c r="AL247" s="43"/>
      <c r="AM247" s="43"/>
      <c r="AN247" s="43"/>
      <c r="AO247" s="43"/>
      <c r="AP247" s="43"/>
      <c r="AQ247" s="43"/>
      <c r="AR247" s="43"/>
      <c r="AS247" s="43"/>
      <c r="AT247" s="43"/>
      <c r="AU247" s="43"/>
      <c r="AV247" s="43"/>
      <c r="AW247" s="43"/>
      <c r="AX247" s="43"/>
      <c r="AY247" s="34" t="s">
        <v>232</v>
      </c>
      <c r="AZ247" s="103" t="s">
        <v>410</v>
      </c>
      <c r="BA247" s="63" t="s">
        <v>291</v>
      </c>
      <c r="BB247" s="64"/>
      <c r="BE247" s="41"/>
      <c r="BI247" s="42">
        <v>1</v>
      </c>
    </row>
    <row r="248" spans="1:63" s="24" customFormat="1" ht="19.350000000000001" customHeight="1">
      <c r="A248" s="32">
        <f t="shared" si="26"/>
        <v>233</v>
      </c>
      <c r="B248" s="88" t="s">
        <v>681</v>
      </c>
      <c r="C248" s="102" t="s">
        <v>45</v>
      </c>
      <c r="D248" s="35">
        <f t="shared" si="23"/>
        <v>3.73</v>
      </c>
      <c r="E248" s="35">
        <v>3.37</v>
      </c>
      <c r="F248" s="35">
        <f t="shared" si="25"/>
        <v>0.36</v>
      </c>
      <c r="G248" s="43"/>
      <c r="H248" s="43"/>
      <c r="I248" s="43">
        <v>0.19</v>
      </c>
      <c r="J248" s="43">
        <v>0.05</v>
      </c>
      <c r="K248" s="111"/>
      <c r="L248" s="43"/>
      <c r="M248" s="43"/>
      <c r="N248" s="43"/>
      <c r="O248" s="43"/>
      <c r="P248" s="43">
        <v>0.02</v>
      </c>
      <c r="Q248" s="43"/>
      <c r="R248" s="43"/>
      <c r="S248" s="43"/>
      <c r="T248" s="43"/>
      <c r="U248" s="43"/>
      <c r="V248" s="43"/>
      <c r="W248" s="43"/>
      <c r="X248" s="43"/>
      <c r="Y248" s="43"/>
      <c r="Z248" s="43">
        <v>0.1</v>
      </c>
      <c r="AA248" s="43"/>
      <c r="AB248" s="43"/>
      <c r="AC248" s="43"/>
      <c r="AD248" s="43"/>
      <c r="AE248" s="43"/>
      <c r="AF248" s="43"/>
      <c r="AG248" s="43"/>
      <c r="AH248" s="43"/>
      <c r="AI248" s="43"/>
      <c r="AJ248" s="43"/>
      <c r="AK248" s="43"/>
      <c r="AL248" s="43"/>
      <c r="AM248" s="43"/>
      <c r="AN248" s="43"/>
      <c r="AO248" s="43"/>
      <c r="AP248" s="43"/>
      <c r="AQ248" s="43"/>
      <c r="AR248" s="43"/>
      <c r="AS248" s="43"/>
      <c r="AT248" s="43"/>
      <c r="AU248" s="43"/>
      <c r="AV248" s="43"/>
      <c r="AW248" s="43"/>
      <c r="AX248" s="43"/>
      <c r="AY248" s="34" t="s">
        <v>232</v>
      </c>
      <c r="AZ248" s="34" t="s">
        <v>682</v>
      </c>
      <c r="BA248" s="63" t="s">
        <v>291</v>
      </c>
      <c r="BB248" s="64"/>
      <c r="BC248" s="112"/>
      <c r="BD248" s="112" t="s">
        <v>683</v>
      </c>
      <c r="BE248" s="41"/>
      <c r="BI248" s="42">
        <v>1</v>
      </c>
    </row>
    <row r="249" spans="1:63" s="24" customFormat="1" ht="19.350000000000001" customHeight="1">
      <c r="A249" s="32">
        <f t="shared" si="26"/>
        <v>234</v>
      </c>
      <c r="B249" s="60" t="s">
        <v>684</v>
      </c>
      <c r="C249" s="102" t="s">
        <v>45</v>
      </c>
      <c r="D249" s="35">
        <f t="shared" si="23"/>
        <v>0.01</v>
      </c>
      <c r="E249" s="35"/>
      <c r="F249" s="35">
        <f t="shared" si="25"/>
        <v>0.01</v>
      </c>
      <c r="G249" s="43">
        <v>0.01</v>
      </c>
      <c r="H249" s="43"/>
      <c r="I249" s="43"/>
      <c r="J249" s="43"/>
      <c r="K249" s="43"/>
      <c r="L249" s="43"/>
      <c r="M249" s="43"/>
      <c r="N249" s="43"/>
      <c r="O249" s="43"/>
      <c r="P249" s="43"/>
      <c r="Q249" s="43"/>
      <c r="R249" s="43"/>
      <c r="S249" s="43"/>
      <c r="T249" s="43"/>
      <c r="U249" s="43"/>
      <c r="V249" s="43"/>
      <c r="W249" s="43"/>
      <c r="X249" s="43"/>
      <c r="Y249" s="43"/>
      <c r="Z249" s="43"/>
      <c r="AA249" s="43"/>
      <c r="AB249" s="43"/>
      <c r="AC249" s="43"/>
      <c r="AD249" s="43"/>
      <c r="AE249" s="43"/>
      <c r="AF249" s="43"/>
      <c r="AG249" s="43"/>
      <c r="AH249" s="43"/>
      <c r="AI249" s="43"/>
      <c r="AJ249" s="43"/>
      <c r="AK249" s="43"/>
      <c r="AL249" s="43"/>
      <c r="AM249" s="43"/>
      <c r="AN249" s="43"/>
      <c r="AO249" s="43"/>
      <c r="AP249" s="43"/>
      <c r="AQ249" s="43"/>
      <c r="AR249" s="43"/>
      <c r="AS249" s="43"/>
      <c r="AT249" s="43"/>
      <c r="AU249" s="43"/>
      <c r="AV249" s="43"/>
      <c r="AW249" s="43"/>
      <c r="AX249" s="43"/>
      <c r="AY249" s="34" t="s">
        <v>232</v>
      </c>
      <c r="AZ249" s="103" t="s">
        <v>685</v>
      </c>
      <c r="BA249" s="63" t="s">
        <v>291</v>
      </c>
      <c r="BB249" s="64"/>
      <c r="BE249" s="41"/>
      <c r="BI249" s="42">
        <v>1</v>
      </c>
    </row>
    <row r="250" spans="1:63" s="49" customFormat="1" ht="19.350000000000001" customHeight="1">
      <c r="A250" s="32">
        <f t="shared" si="26"/>
        <v>235</v>
      </c>
      <c r="B250" s="88" t="s">
        <v>686</v>
      </c>
      <c r="C250" s="78" t="s">
        <v>45</v>
      </c>
      <c r="D250" s="35">
        <f t="shared" si="23"/>
        <v>0.84</v>
      </c>
      <c r="E250" s="35"/>
      <c r="F250" s="35">
        <f t="shared" si="25"/>
        <v>0.84</v>
      </c>
      <c r="G250" s="46"/>
      <c r="H250" s="46"/>
      <c r="I250" s="46"/>
      <c r="J250" s="46"/>
      <c r="K250" s="46"/>
      <c r="L250" s="46"/>
      <c r="M250" s="43">
        <v>0.84</v>
      </c>
      <c r="N250" s="43"/>
      <c r="O250" s="43"/>
      <c r="P250" s="46"/>
      <c r="Q250" s="46"/>
      <c r="R250" s="46"/>
      <c r="S250" s="46"/>
      <c r="T250" s="46"/>
      <c r="U250" s="46"/>
      <c r="V250" s="46"/>
      <c r="W250" s="46"/>
      <c r="X250" s="46"/>
      <c r="Y250" s="46"/>
      <c r="Z250" s="46"/>
      <c r="AA250" s="46"/>
      <c r="AB250" s="46"/>
      <c r="AC250" s="46"/>
      <c r="AD250" s="46"/>
      <c r="AE250" s="46"/>
      <c r="AF250" s="46"/>
      <c r="AG250" s="46"/>
      <c r="AH250" s="46"/>
      <c r="AI250" s="46"/>
      <c r="AJ250" s="46"/>
      <c r="AK250" s="46"/>
      <c r="AL250" s="46"/>
      <c r="AM250" s="46"/>
      <c r="AN250" s="46"/>
      <c r="AO250" s="46"/>
      <c r="AP250" s="46"/>
      <c r="AQ250" s="46"/>
      <c r="AR250" s="46"/>
      <c r="AS250" s="46"/>
      <c r="AT250" s="46"/>
      <c r="AU250" s="46"/>
      <c r="AV250" s="46"/>
      <c r="AW250" s="46"/>
      <c r="AX250" s="46"/>
      <c r="AY250" s="47" t="s">
        <v>233</v>
      </c>
      <c r="AZ250" s="47"/>
      <c r="BA250" s="93" t="s">
        <v>291</v>
      </c>
      <c r="BB250" s="50"/>
      <c r="BI250" s="42">
        <v>1</v>
      </c>
      <c r="BK250" s="50"/>
    </row>
    <row r="251" spans="1:63" s="116" customFormat="1" ht="19.350000000000001" customHeight="1">
      <c r="A251" s="32">
        <f t="shared" si="26"/>
        <v>236</v>
      </c>
      <c r="B251" s="88" t="s">
        <v>687</v>
      </c>
      <c r="C251" s="78" t="s">
        <v>45</v>
      </c>
      <c r="D251" s="35">
        <f t="shared" si="23"/>
        <v>0.02</v>
      </c>
      <c r="E251" s="113"/>
      <c r="F251" s="35">
        <f t="shared" si="25"/>
        <v>0.02</v>
      </c>
      <c r="G251" s="114"/>
      <c r="H251" s="114"/>
      <c r="I251" s="114"/>
      <c r="J251" s="114">
        <v>0.02</v>
      </c>
      <c r="K251" s="114"/>
      <c r="L251" s="114"/>
      <c r="M251" s="114"/>
      <c r="N251" s="114"/>
      <c r="O251" s="114"/>
      <c r="P251" s="114"/>
      <c r="Q251" s="114"/>
      <c r="R251" s="114"/>
      <c r="S251" s="114"/>
      <c r="T251" s="114"/>
      <c r="U251" s="114"/>
      <c r="V251" s="114"/>
      <c r="W251" s="114"/>
      <c r="X251" s="114"/>
      <c r="Y251" s="114"/>
      <c r="Z251" s="114"/>
      <c r="AA251" s="114"/>
      <c r="AB251" s="114"/>
      <c r="AC251" s="114"/>
      <c r="AD251" s="114"/>
      <c r="AE251" s="114"/>
      <c r="AF251" s="114"/>
      <c r="AG251" s="114"/>
      <c r="AH251" s="114"/>
      <c r="AI251" s="114"/>
      <c r="AJ251" s="114"/>
      <c r="AK251" s="114"/>
      <c r="AL251" s="114"/>
      <c r="AM251" s="114"/>
      <c r="AN251" s="114"/>
      <c r="AO251" s="114"/>
      <c r="AP251" s="114"/>
      <c r="AQ251" s="114"/>
      <c r="AR251" s="114"/>
      <c r="AS251" s="114"/>
      <c r="AT251" s="114"/>
      <c r="AU251" s="114"/>
      <c r="AV251" s="114"/>
      <c r="AW251" s="114"/>
      <c r="AX251" s="114"/>
      <c r="AY251" s="47" t="s">
        <v>233</v>
      </c>
      <c r="AZ251" s="115"/>
      <c r="BA251" s="93" t="s">
        <v>291</v>
      </c>
      <c r="BB251" s="50"/>
      <c r="BI251" s="42">
        <v>1</v>
      </c>
      <c r="BK251" s="117"/>
    </row>
    <row r="252" spans="1:63" s="49" customFormat="1" ht="31.5">
      <c r="A252" s="32">
        <f t="shared" si="26"/>
        <v>237</v>
      </c>
      <c r="B252" s="33" t="s">
        <v>688</v>
      </c>
      <c r="C252" s="78" t="s">
        <v>45</v>
      </c>
      <c r="D252" s="35">
        <f t="shared" si="23"/>
        <v>0.5</v>
      </c>
      <c r="E252" s="45"/>
      <c r="F252" s="35">
        <f t="shared" si="25"/>
        <v>0.5</v>
      </c>
      <c r="G252" s="46">
        <v>0.4</v>
      </c>
      <c r="H252" s="46"/>
      <c r="I252" s="46">
        <v>0.1</v>
      </c>
      <c r="J252" s="46"/>
      <c r="K252" s="46"/>
      <c r="L252" s="46"/>
      <c r="M252" s="46"/>
      <c r="N252" s="46"/>
      <c r="O252" s="46"/>
      <c r="P252" s="46"/>
      <c r="Q252" s="46"/>
      <c r="R252" s="46"/>
      <c r="S252" s="46"/>
      <c r="T252" s="46"/>
      <c r="U252" s="46"/>
      <c r="V252" s="46"/>
      <c r="W252" s="46"/>
      <c r="X252" s="46"/>
      <c r="Y252" s="46"/>
      <c r="Z252" s="46"/>
      <c r="AA252" s="46"/>
      <c r="AB252" s="46"/>
      <c r="AC252" s="46"/>
      <c r="AD252" s="46"/>
      <c r="AE252" s="46"/>
      <c r="AF252" s="46"/>
      <c r="AG252" s="46"/>
      <c r="AH252" s="46"/>
      <c r="AI252" s="46"/>
      <c r="AJ252" s="46"/>
      <c r="AK252" s="46"/>
      <c r="AL252" s="46"/>
      <c r="AM252" s="46"/>
      <c r="AN252" s="46"/>
      <c r="AO252" s="46"/>
      <c r="AP252" s="46"/>
      <c r="AQ252" s="46"/>
      <c r="AR252" s="46"/>
      <c r="AS252" s="46"/>
      <c r="AT252" s="46"/>
      <c r="AU252" s="46"/>
      <c r="AV252" s="46"/>
      <c r="AW252" s="46"/>
      <c r="AX252" s="46"/>
      <c r="AY252" s="47" t="s">
        <v>233</v>
      </c>
      <c r="AZ252" s="47"/>
      <c r="BA252" s="93" t="s">
        <v>291</v>
      </c>
      <c r="BB252" s="50"/>
      <c r="BI252" s="42">
        <v>1</v>
      </c>
      <c r="BK252" s="50"/>
    </row>
    <row r="253" spans="1:63" s="49" customFormat="1" ht="31.5">
      <c r="A253" s="32">
        <f t="shared" si="26"/>
        <v>238</v>
      </c>
      <c r="B253" s="33" t="s">
        <v>689</v>
      </c>
      <c r="C253" s="78" t="s">
        <v>45</v>
      </c>
      <c r="D253" s="35">
        <f t="shared" si="23"/>
        <v>0.15</v>
      </c>
      <c r="E253" s="45"/>
      <c r="F253" s="35">
        <f t="shared" si="25"/>
        <v>0.15</v>
      </c>
      <c r="G253" s="46">
        <v>0.15</v>
      </c>
      <c r="H253" s="46"/>
      <c r="I253" s="46"/>
      <c r="J253" s="46"/>
      <c r="K253" s="46"/>
      <c r="L253" s="46"/>
      <c r="M253" s="46"/>
      <c r="N253" s="46"/>
      <c r="O253" s="46"/>
      <c r="P253" s="46"/>
      <c r="Q253" s="46"/>
      <c r="R253" s="46"/>
      <c r="S253" s="46"/>
      <c r="T253" s="46"/>
      <c r="U253" s="46"/>
      <c r="V253" s="46"/>
      <c r="W253" s="46"/>
      <c r="X253" s="46"/>
      <c r="Y253" s="46"/>
      <c r="Z253" s="46"/>
      <c r="AA253" s="46"/>
      <c r="AB253" s="46"/>
      <c r="AC253" s="46"/>
      <c r="AD253" s="46"/>
      <c r="AE253" s="46"/>
      <c r="AF253" s="46"/>
      <c r="AG253" s="46"/>
      <c r="AH253" s="46"/>
      <c r="AI253" s="46"/>
      <c r="AJ253" s="46"/>
      <c r="AK253" s="46"/>
      <c r="AL253" s="46"/>
      <c r="AM253" s="46"/>
      <c r="AN253" s="46"/>
      <c r="AO253" s="46"/>
      <c r="AP253" s="46"/>
      <c r="AQ253" s="46"/>
      <c r="AR253" s="46"/>
      <c r="AS253" s="46"/>
      <c r="AT253" s="46"/>
      <c r="AU253" s="46"/>
      <c r="AV253" s="46"/>
      <c r="AW253" s="46"/>
      <c r="AX253" s="46"/>
      <c r="AY253" s="47" t="s">
        <v>233</v>
      </c>
      <c r="AZ253" s="47"/>
      <c r="BA253" s="93" t="s">
        <v>291</v>
      </c>
      <c r="BB253" s="50"/>
      <c r="BI253" s="42">
        <v>1</v>
      </c>
      <c r="BK253" s="50"/>
    </row>
    <row r="254" spans="1:63" s="49" customFormat="1" ht="40.35" customHeight="1">
      <c r="A254" s="32">
        <f t="shared" si="26"/>
        <v>239</v>
      </c>
      <c r="B254" s="33" t="s">
        <v>690</v>
      </c>
      <c r="C254" s="78" t="s">
        <v>45</v>
      </c>
      <c r="D254" s="35">
        <f t="shared" si="23"/>
        <v>0.2</v>
      </c>
      <c r="E254" s="45"/>
      <c r="F254" s="35">
        <f t="shared" si="25"/>
        <v>0.2</v>
      </c>
      <c r="G254" s="46">
        <v>0.2</v>
      </c>
      <c r="H254" s="46"/>
      <c r="I254" s="46"/>
      <c r="J254" s="46"/>
      <c r="K254" s="46"/>
      <c r="L254" s="46"/>
      <c r="M254" s="46"/>
      <c r="N254" s="46"/>
      <c r="O254" s="46"/>
      <c r="P254" s="46"/>
      <c r="Q254" s="46"/>
      <c r="R254" s="46"/>
      <c r="S254" s="46"/>
      <c r="T254" s="46"/>
      <c r="U254" s="46"/>
      <c r="V254" s="46"/>
      <c r="W254" s="46"/>
      <c r="X254" s="46"/>
      <c r="Y254" s="46"/>
      <c r="Z254" s="46"/>
      <c r="AA254" s="46"/>
      <c r="AB254" s="46"/>
      <c r="AC254" s="46"/>
      <c r="AD254" s="46"/>
      <c r="AE254" s="46"/>
      <c r="AF254" s="46"/>
      <c r="AG254" s="46"/>
      <c r="AH254" s="46"/>
      <c r="AI254" s="46"/>
      <c r="AJ254" s="46"/>
      <c r="AK254" s="46"/>
      <c r="AL254" s="46"/>
      <c r="AM254" s="46"/>
      <c r="AN254" s="46"/>
      <c r="AO254" s="46"/>
      <c r="AP254" s="46"/>
      <c r="AQ254" s="46"/>
      <c r="AR254" s="46"/>
      <c r="AS254" s="46"/>
      <c r="AT254" s="46"/>
      <c r="AU254" s="46"/>
      <c r="AV254" s="46"/>
      <c r="AW254" s="46"/>
      <c r="AX254" s="46"/>
      <c r="AY254" s="47" t="s">
        <v>233</v>
      </c>
      <c r="AZ254" s="47"/>
      <c r="BA254" s="93" t="s">
        <v>291</v>
      </c>
      <c r="BB254" s="50"/>
      <c r="BI254" s="42">
        <v>1</v>
      </c>
      <c r="BK254" s="50"/>
    </row>
    <row r="255" spans="1:63" s="49" customFormat="1" ht="24" customHeight="1">
      <c r="A255" s="32">
        <f t="shared" si="26"/>
        <v>240</v>
      </c>
      <c r="B255" s="33" t="s">
        <v>691</v>
      </c>
      <c r="C255" s="78" t="s">
        <v>45</v>
      </c>
      <c r="D255" s="35">
        <f t="shared" si="23"/>
        <v>0.1</v>
      </c>
      <c r="E255" s="45"/>
      <c r="F255" s="35">
        <f t="shared" si="25"/>
        <v>0.1</v>
      </c>
      <c r="G255" s="46">
        <v>0.1</v>
      </c>
      <c r="H255" s="46"/>
      <c r="I255" s="46"/>
      <c r="J255" s="46"/>
      <c r="K255" s="46"/>
      <c r="L255" s="46"/>
      <c r="M255" s="46"/>
      <c r="N255" s="46"/>
      <c r="O255" s="46"/>
      <c r="P255" s="46"/>
      <c r="Q255" s="46"/>
      <c r="R255" s="46"/>
      <c r="S255" s="46"/>
      <c r="T255" s="46"/>
      <c r="U255" s="46"/>
      <c r="V255" s="46"/>
      <c r="W255" s="46"/>
      <c r="X255" s="46"/>
      <c r="Y255" s="46"/>
      <c r="Z255" s="46"/>
      <c r="AA255" s="46"/>
      <c r="AB255" s="46"/>
      <c r="AC255" s="46"/>
      <c r="AD255" s="46"/>
      <c r="AE255" s="46"/>
      <c r="AF255" s="46"/>
      <c r="AG255" s="46"/>
      <c r="AH255" s="46"/>
      <c r="AI255" s="46"/>
      <c r="AJ255" s="46"/>
      <c r="AK255" s="46"/>
      <c r="AL255" s="46"/>
      <c r="AM255" s="46"/>
      <c r="AN255" s="46"/>
      <c r="AO255" s="46"/>
      <c r="AP255" s="46"/>
      <c r="AQ255" s="46"/>
      <c r="AR255" s="46"/>
      <c r="AS255" s="46"/>
      <c r="AT255" s="46"/>
      <c r="AU255" s="46"/>
      <c r="AV255" s="46"/>
      <c r="AW255" s="46"/>
      <c r="AX255" s="46"/>
      <c r="AY255" s="47" t="s">
        <v>233</v>
      </c>
      <c r="AZ255" s="47"/>
      <c r="BA255" s="93" t="s">
        <v>291</v>
      </c>
      <c r="BB255" s="50"/>
      <c r="BI255" s="42">
        <v>1</v>
      </c>
      <c r="BK255" s="50"/>
    </row>
    <row r="256" spans="1:63" s="49" customFormat="1" ht="31.5">
      <c r="A256" s="32">
        <f t="shared" si="26"/>
        <v>241</v>
      </c>
      <c r="B256" s="33" t="s">
        <v>692</v>
      </c>
      <c r="C256" s="78" t="s">
        <v>45</v>
      </c>
      <c r="D256" s="35">
        <f t="shared" si="23"/>
        <v>0.16</v>
      </c>
      <c r="E256" s="45"/>
      <c r="F256" s="35">
        <f t="shared" si="25"/>
        <v>0.16</v>
      </c>
      <c r="G256" s="46">
        <v>0.16</v>
      </c>
      <c r="H256" s="46"/>
      <c r="I256" s="46"/>
      <c r="J256" s="46"/>
      <c r="K256" s="46"/>
      <c r="L256" s="46"/>
      <c r="M256" s="46"/>
      <c r="N256" s="46"/>
      <c r="O256" s="46"/>
      <c r="P256" s="46"/>
      <c r="Q256" s="46"/>
      <c r="R256" s="46"/>
      <c r="S256" s="46"/>
      <c r="T256" s="46"/>
      <c r="U256" s="46"/>
      <c r="V256" s="46"/>
      <c r="W256" s="46"/>
      <c r="X256" s="46"/>
      <c r="Y256" s="46"/>
      <c r="Z256" s="46"/>
      <c r="AA256" s="46"/>
      <c r="AB256" s="46"/>
      <c r="AC256" s="46"/>
      <c r="AD256" s="46"/>
      <c r="AE256" s="46"/>
      <c r="AF256" s="46"/>
      <c r="AG256" s="46"/>
      <c r="AH256" s="46"/>
      <c r="AI256" s="46"/>
      <c r="AJ256" s="46"/>
      <c r="AK256" s="46"/>
      <c r="AL256" s="46"/>
      <c r="AM256" s="46"/>
      <c r="AN256" s="46"/>
      <c r="AO256" s="46"/>
      <c r="AP256" s="46"/>
      <c r="AQ256" s="46"/>
      <c r="AR256" s="46"/>
      <c r="AS256" s="46"/>
      <c r="AT256" s="46"/>
      <c r="AU256" s="46"/>
      <c r="AV256" s="46"/>
      <c r="AW256" s="46"/>
      <c r="AX256" s="46"/>
      <c r="AY256" s="47" t="s">
        <v>233</v>
      </c>
      <c r="AZ256" s="47"/>
      <c r="BA256" s="93" t="s">
        <v>291</v>
      </c>
      <c r="BB256" s="50"/>
      <c r="BI256" s="42">
        <v>1</v>
      </c>
      <c r="BK256" s="50"/>
    </row>
    <row r="257" spans="1:63" s="49" customFormat="1" ht="33.75" customHeight="1">
      <c r="A257" s="32">
        <f t="shared" si="26"/>
        <v>242</v>
      </c>
      <c r="B257" s="33" t="s">
        <v>693</v>
      </c>
      <c r="C257" s="78" t="s">
        <v>45</v>
      </c>
      <c r="D257" s="35">
        <f t="shared" si="23"/>
        <v>0.04</v>
      </c>
      <c r="E257" s="45"/>
      <c r="F257" s="35">
        <f t="shared" si="25"/>
        <v>0.04</v>
      </c>
      <c r="G257" s="46">
        <v>0.04</v>
      </c>
      <c r="H257" s="46"/>
      <c r="I257" s="46"/>
      <c r="J257" s="46"/>
      <c r="K257" s="46"/>
      <c r="L257" s="46"/>
      <c r="M257" s="46"/>
      <c r="N257" s="46"/>
      <c r="O257" s="46"/>
      <c r="P257" s="46"/>
      <c r="Q257" s="46"/>
      <c r="R257" s="46"/>
      <c r="S257" s="46"/>
      <c r="T257" s="46"/>
      <c r="U257" s="46"/>
      <c r="V257" s="46"/>
      <c r="W257" s="46"/>
      <c r="X257" s="46"/>
      <c r="Y257" s="46"/>
      <c r="Z257" s="46"/>
      <c r="AA257" s="46"/>
      <c r="AB257" s="46"/>
      <c r="AC257" s="46"/>
      <c r="AD257" s="46"/>
      <c r="AE257" s="46"/>
      <c r="AF257" s="46"/>
      <c r="AG257" s="46"/>
      <c r="AH257" s="46"/>
      <c r="AI257" s="46"/>
      <c r="AJ257" s="46"/>
      <c r="AK257" s="46"/>
      <c r="AL257" s="46"/>
      <c r="AM257" s="46"/>
      <c r="AN257" s="46"/>
      <c r="AO257" s="46"/>
      <c r="AP257" s="46"/>
      <c r="AQ257" s="46"/>
      <c r="AR257" s="46"/>
      <c r="AS257" s="46"/>
      <c r="AT257" s="46"/>
      <c r="AU257" s="46"/>
      <c r="AV257" s="46"/>
      <c r="AW257" s="46"/>
      <c r="AX257" s="46"/>
      <c r="AY257" s="47" t="s">
        <v>233</v>
      </c>
      <c r="AZ257" s="47"/>
      <c r="BA257" s="93" t="s">
        <v>291</v>
      </c>
      <c r="BB257" s="50"/>
      <c r="BI257" s="42">
        <v>1</v>
      </c>
      <c r="BK257" s="50"/>
    </row>
    <row r="258" spans="1:63" s="49" customFormat="1" ht="21.6" customHeight="1">
      <c r="A258" s="32">
        <f t="shared" si="26"/>
        <v>243</v>
      </c>
      <c r="B258" s="33" t="s">
        <v>694</v>
      </c>
      <c r="C258" s="78" t="s">
        <v>45</v>
      </c>
      <c r="D258" s="35">
        <f t="shared" si="23"/>
        <v>0.06</v>
      </c>
      <c r="E258" s="45"/>
      <c r="F258" s="35">
        <f t="shared" si="25"/>
        <v>0.06</v>
      </c>
      <c r="G258" s="46">
        <v>0.06</v>
      </c>
      <c r="H258" s="46"/>
      <c r="I258" s="46"/>
      <c r="J258" s="46"/>
      <c r="K258" s="46"/>
      <c r="L258" s="46"/>
      <c r="M258" s="46"/>
      <c r="N258" s="46"/>
      <c r="O258" s="46"/>
      <c r="P258" s="46"/>
      <c r="Q258" s="46"/>
      <c r="R258" s="46"/>
      <c r="S258" s="46"/>
      <c r="T258" s="46"/>
      <c r="U258" s="46"/>
      <c r="V258" s="46"/>
      <c r="W258" s="46"/>
      <c r="X258" s="46"/>
      <c r="Y258" s="46"/>
      <c r="Z258" s="46"/>
      <c r="AA258" s="46"/>
      <c r="AB258" s="46"/>
      <c r="AC258" s="46"/>
      <c r="AD258" s="46"/>
      <c r="AE258" s="46"/>
      <c r="AF258" s="46"/>
      <c r="AG258" s="46"/>
      <c r="AH258" s="46"/>
      <c r="AI258" s="46"/>
      <c r="AJ258" s="46"/>
      <c r="AK258" s="46"/>
      <c r="AL258" s="46"/>
      <c r="AM258" s="46"/>
      <c r="AN258" s="46"/>
      <c r="AO258" s="46"/>
      <c r="AP258" s="46"/>
      <c r="AQ258" s="46"/>
      <c r="AR258" s="46"/>
      <c r="AS258" s="46"/>
      <c r="AT258" s="46"/>
      <c r="AU258" s="46"/>
      <c r="AV258" s="46"/>
      <c r="AW258" s="46"/>
      <c r="AX258" s="46"/>
      <c r="AY258" s="47" t="s">
        <v>233</v>
      </c>
      <c r="AZ258" s="47"/>
      <c r="BA258" s="93" t="s">
        <v>291</v>
      </c>
      <c r="BB258" s="50"/>
      <c r="BI258" s="42">
        <v>1</v>
      </c>
      <c r="BK258" s="50"/>
    </row>
    <row r="259" spans="1:63" s="49" customFormat="1" ht="32.1" customHeight="1">
      <c r="A259" s="32">
        <f t="shared" si="26"/>
        <v>244</v>
      </c>
      <c r="B259" s="33" t="s">
        <v>695</v>
      </c>
      <c r="C259" s="78" t="s">
        <v>45</v>
      </c>
      <c r="D259" s="35">
        <f t="shared" si="23"/>
        <v>0.08</v>
      </c>
      <c r="E259" s="45"/>
      <c r="F259" s="35">
        <f t="shared" si="25"/>
        <v>0.08</v>
      </c>
      <c r="G259" s="46">
        <v>0.08</v>
      </c>
      <c r="H259" s="46"/>
      <c r="I259" s="46"/>
      <c r="J259" s="46"/>
      <c r="K259" s="46"/>
      <c r="L259" s="46"/>
      <c r="M259" s="46"/>
      <c r="N259" s="46"/>
      <c r="O259" s="46"/>
      <c r="P259" s="46"/>
      <c r="Q259" s="46"/>
      <c r="R259" s="46"/>
      <c r="S259" s="46"/>
      <c r="T259" s="46"/>
      <c r="U259" s="46"/>
      <c r="V259" s="46"/>
      <c r="W259" s="46"/>
      <c r="X259" s="46"/>
      <c r="Y259" s="46"/>
      <c r="Z259" s="46"/>
      <c r="AA259" s="46"/>
      <c r="AB259" s="46"/>
      <c r="AC259" s="46"/>
      <c r="AD259" s="46"/>
      <c r="AE259" s="46"/>
      <c r="AF259" s="46"/>
      <c r="AG259" s="46"/>
      <c r="AH259" s="46"/>
      <c r="AI259" s="46"/>
      <c r="AJ259" s="46"/>
      <c r="AK259" s="46"/>
      <c r="AL259" s="46"/>
      <c r="AM259" s="46"/>
      <c r="AN259" s="46"/>
      <c r="AO259" s="46"/>
      <c r="AP259" s="46"/>
      <c r="AQ259" s="46"/>
      <c r="AR259" s="46"/>
      <c r="AS259" s="46"/>
      <c r="AT259" s="46"/>
      <c r="AU259" s="46"/>
      <c r="AV259" s="46"/>
      <c r="AW259" s="46"/>
      <c r="AX259" s="46"/>
      <c r="AY259" s="47" t="s">
        <v>233</v>
      </c>
      <c r="AZ259" s="47"/>
      <c r="BA259" s="93" t="s">
        <v>291</v>
      </c>
      <c r="BB259" s="50"/>
      <c r="BI259" s="42">
        <v>1</v>
      </c>
      <c r="BK259" s="50"/>
    </row>
    <row r="260" spans="1:63" s="71" customFormat="1" ht="22.35" customHeight="1">
      <c r="A260" s="32">
        <f t="shared" si="26"/>
        <v>245</v>
      </c>
      <c r="B260" s="66" t="s">
        <v>696</v>
      </c>
      <c r="C260" s="102" t="s">
        <v>45</v>
      </c>
      <c r="D260" s="35">
        <f t="shared" si="23"/>
        <v>0.22000000000000003</v>
      </c>
      <c r="E260" s="76"/>
      <c r="F260" s="35">
        <f t="shared" si="25"/>
        <v>0.22000000000000003</v>
      </c>
      <c r="G260" s="77">
        <v>0.06</v>
      </c>
      <c r="H260" s="77">
        <v>0.08</v>
      </c>
      <c r="I260" s="77">
        <v>7.0000000000000007E-2</v>
      </c>
      <c r="J260" s="77"/>
      <c r="K260" s="77"/>
      <c r="L260" s="77"/>
      <c r="M260" s="77"/>
      <c r="N260" s="77"/>
      <c r="O260" s="77"/>
      <c r="P260" s="77"/>
      <c r="Q260" s="77"/>
      <c r="R260" s="77"/>
      <c r="S260" s="77"/>
      <c r="T260" s="77"/>
      <c r="U260" s="77"/>
      <c r="V260" s="77"/>
      <c r="W260" s="77"/>
      <c r="X260" s="77"/>
      <c r="Y260" s="77"/>
      <c r="Z260" s="77">
        <v>0.01</v>
      </c>
      <c r="AA260" s="77"/>
      <c r="AB260" s="77"/>
      <c r="AC260" s="77"/>
      <c r="AD260" s="77"/>
      <c r="AE260" s="77"/>
      <c r="AF260" s="77"/>
      <c r="AG260" s="77"/>
      <c r="AH260" s="77"/>
      <c r="AI260" s="77"/>
      <c r="AJ260" s="77"/>
      <c r="AK260" s="77"/>
      <c r="AL260" s="77"/>
      <c r="AM260" s="77"/>
      <c r="AN260" s="77"/>
      <c r="AO260" s="77"/>
      <c r="AP260" s="77"/>
      <c r="AQ260" s="77"/>
      <c r="AR260" s="77"/>
      <c r="AS260" s="77"/>
      <c r="AT260" s="77"/>
      <c r="AU260" s="77"/>
      <c r="AV260" s="77"/>
      <c r="AW260" s="77"/>
      <c r="AX260" s="77"/>
      <c r="AY260" s="70" t="s">
        <v>235</v>
      </c>
      <c r="AZ260" s="70"/>
      <c r="BA260" s="118" t="s">
        <v>291</v>
      </c>
      <c r="BB260" s="72"/>
      <c r="BI260" s="42">
        <v>1</v>
      </c>
      <c r="BK260" s="72"/>
    </row>
    <row r="261" spans="1:63" s="71" customFormat="1" ht="22.35" customHeight="1">
      <c r="A261" s="32">
        <f t="shared" si="26"/>
        <v>246</v>
      </c>
      <c r="B261" s="66" t="s">
        <v>697</v>
      </c>
      <c r="C261" s="102" t="s">
        <v>45</v>
      </c>
      <c r="D261" s="35">
        <f t="shared" si="23"/>
        <v>0.2</v>
      </c>
      <c r="E261" s="76"/>
      <c r="F261" s="35">
        <f t="shared" si="25"/>
        <v>0.2</v>
      </c>
      <c r="G261" s="77">
        <v>0.11</v>
      </c>
      <c r="H261" s="77"/>
      <c r="I261" s="77">
        <v>0.09</v>
      </c>
      <c r="J261" s="77"/>
      <c r="K261" s="77"/>
      <c r="L261" s="77"/>
      <c r="M261" s="77"/>
      <c r="N261" s="77"/>
      <c r="O261" s="77"/>
      <c r="P261" s="77"/>
      <c r="Q261" s="77"/>
      <c r="R261" s="77"/>
      <c r="S261" s="77"/>
      <c r="T261" s="77"/>
      <c r="U261" s="77"/>
      <c r="V261" s="77"/>
      <c r="W261" s="77"/>
      <c r="X261" s="77"/>
      <c r="Y261" s="77"/>
      <c r="Z261" s="77"/>
      <c r="AA261" s="77"/>
      <c r="AB261" s="77"/>
      <c r="AC261" s="77"/>
      <c r="AD261" s="77"/>
      <c r="AE261" s="77"/>
      <c r="AF261" s="77"/>
      <c r="AG261" s="77"/>
      <c r="AH261" s="77"/>
      <c r="AI261" s="77"/>
      <c r="AJ261" s="77"/>
      <c r="AK261" s="77"/>
      <c r="AL261" s="77"/>
      <c r="AM261" s="77"/>
      <c r="AN261" s="77"/>
      <c r="AO261" s="77"/>
      <c r="AP261" s="77"/>
      <c r="AQ261" s="77"/>
      <c r="AR261" s="77"/>
      <c r="AS261" s="77"/>
      <c r="AT261" s="77"/>
      <c r="AU261" s="77"/>
      <c r="AV261" s="77"/>
      <c r="AW261" s="77"/>
      <c r="AX261" s="77"/>
      <c r="AY261" s="70" t="s">
        <v>235</v>
      </c>
      <c r="AZ261" s="70"/>
      <c r="BA261" s="118" t="s">
        <v>291</v>
      </c>
      <c r="BB261" s="72"/>
      <c r="BI261" s="42">
        <v>1</v>
      </c>
      <c r="BK261" s="72"/>
    </row>
    <row r="262" spans="1:63" s="71" customFormat="1" ht="33" customHeight="1">
      <c r="A262" s="32">
        <f t="shared" si="26"/>
        <v>247</v>
      </c>
      <c r="B262" s="66" t="s">
        <v>698</v>
      </c>
      <c r="C262" s="102" t="s">
        <v>45</v>
      </c>
      <c r="D262" s="35">
        <f t="shared" si="23"/>
        <v>0.44999999999999996</v>
      </c>
      <c r="E262" s="76"/>
      <c r="F262" s="35">
        <f t="shared" si="25"/>
        <v>0.44999999999999996</v>
      </c>
      <c r="G262" s="77"/>
      <c r="H262" s="77">
        <v>0.35</v>
      </c>
      <c r="I262" s="77">
        <v>0.1</v>
      </c>
      <c r="J262" s="77"/>
      <c r="K262" s="77"/>
      <c r="L262" s="77"/>
      <c r="M262" s="77"/>
      <c r="N262" s="77"/>
      <c r="O262" s="77"/>
      <c r="P262" s="77"/>
      <c r="Q262" s="77"/>
      <c r="R262" s="77"/>
      <c r="S262" s="77"/>
      <c r="T262" s="77"/>
      <c r="U262" s="77"/>
      <c r="V262" s="77"/>
      <c r="W262" s="77"/>
      <c r="X262" s="77"/>
      <c r="Y262" s="77"/>
      <c r="Z262" s="77"/>
      <c r="AA262" s="77"/>
      <c r="AB262" s="77"/>
      <c r="AC262" s="77"/>
      <c r="AD262" s="77"/>
      <c r="AE262" s="77"/>
      <c r="AF262" s="77"/>
      <c r="AG262" s="77"/>
      <c r="AH262" s="77"/>
      <c r="AI262" s="77"/>
      <c r="AJ262" s="77"/>
      <c r="AK262" s="77"/>
      <c r="AL262" s="77"/>
      <c r="AM262" s="77"/>
      <c r="AN262" s="77"/>
      <c r="AO262" s="77"/>
      <c r="AP262" s="77"/>
      <c r="AQ262" s="77"/>
      <c r="AR262" s="77"/>
      <c r="AS262" s="77"/>
      <c r="AT262" s="77"/>
      <c r="AU262" s="77"/>
      <c r="AV262" s="77"/>
      <c r="AW262" s="77"/>
      <c r="AX262" s="77"/>
      <c r="AY262" s="70" t="s">
        <v>235</v>
      </c>
      <c r="AZ262" s="70"/>
      <c r="BA262" s="118" t="s">
        <v>291</v>
      </c>
      <c r="BB262" s="72"/>
      <c r="BI262" s="42">
        <v>1</v>
      </c>
      <c r="BK262" s="72"/>
    </row>
    <row r="263" spans="1:63" s="71" customFormat="1" ht="31.5">
      <c r="A263" s="32">
        <f t="shared" si="26"/>
        <v>248</v>
      </c>
      <c r="B263" s="66" t="s">
        <v>699</v>
      </c>
      <c r="C263" s="102" t="s">
        <v>45</v>
      </c>
      <c r="D263" s="35">
        <f t="shared" si="23"/>
        <v>0.39999999999999997</v>
      </c>
      <c r="E263" s="76"/>
      <c r="F263" s="35">
        <f t="shared" si="25"/>
        <v>0.39999999999999997</v>
      </c>
      <c r="G263" s="77">
        <v>0.19</v>
      </c>
      <c r="H263" s="77">
        <v>0.16</v>
      </c>
      <c r="I263" s="77"/>
      <c r="J263" s="77">
        <v>0.05</v>
      </c>
      <c r="K263" s="77"/>
      <c r="L263" s="77"/>
      <c r="M263" s="77"/>
      <c r="N263" s="77"/>
      <c r="O263" s="77"/>
      <c r="P263" s="77"/>
      <c r="Q263" s="77"/>
      <c r="R263" s="77"/>
      <c r="S263" s="77"/>
      <c r="T263" s="77"/>
      <c r="U263" s="77"/>
      <c r="V263" s="77"/>
      <c r="W263" s="77"/>
      <c r="X263" s="77"/>
      <c r="Y263" s="77"/>
      <c r="Z263" s="77"/>
      <c r="AA263" s="77"/>
      <c r="AB263" s="77"/>
      <c r="AC263" s="77"/>
      <c r="AD263" s="77"/>
      <c r="AE263" s="77"/>
      <c r="AF263" s="77"/>
      <c r="AG263" s="77"/>
      <c r="AH263" s="77"/>
      <c r="AI263" s="77"/>
      <c r="AJ263" s="77"/>
      <c r="AK263" s="77"/>
      <c r="AL263" s="77"/>
      <c r="AM263" s="77"/>
      <c r="AN263" s="77"/>
      <c r="AO263" s="77"/>
      <c r="AP263" s="77"/>
      <c r="AQ263" s="77"/>
      <c r="AR263" s="77"/>
      <c r="AS263" s="77"/>
      <c r="AT263" s="77"/>
      <c r="AU263" s="77"/>
      <c r="AV263" s="77"/>
      <c r="AW263" s="77"/>
      <c r="AX263" s="77"/>
      <c r="AY263" s="70" t="s">
        <v>235</v>
      </c>
      <c r="AZ263" s="70"/>
      <c r="BA263" s="118" t="s">
        <v>291</v>
      </c>
      <c r="BB263" s="72"/>
      <c r="BI263" s="42">
        <v>1</v>
      </c>
      <c r="BK263" s="72"/>
    </row>
    <row r="264" spans="1:63" s="24" customFormat="1" ht="18.600000000000001" customHeight="1">
      <c r="A264" s="32">
        <f t="shared" si="26"/>
        <v>249</v>
      </c>
      <c r="B264" s="60" t="s">
        <v>700</v>
      </c>
      <c r="C264" s="102" t="s">
        <v>45</v>
      </c>
      <c r="D264" s="35">
        <f t="shared" si="23"/>
        <v>0.09</v>
      </c>
      <c r="E264" s="35"/>
      <c r="F264" s="35">
        <f t="shared" si="25"/>
        <v>0.09</v>
      </c>
      <c r="G264" s="43">
        <v>0.04</v>
      </c>
      <c r="H264" s="43">
        <v>0.02</v>
      </c>
      <c r="I264" s="43">
        <v>0.03</v>
      </c>
      <c r="J264" s="43"/>
      <c r="K264" s="43"/>
      <c r="L264" s="43"/>
      <c r="M264" s="43"/>
      <c r="N264" s="43"/>
      <c r="O264" s="43"/>
      <c r="P264" s="43"/>
      <c r="Q264" s="43"/>
      <c r="R264" s="43"/>
      <c r="S264" s="43"/>
      <c r="T264" s="43"/>
      <c r="U264" s="43"/>
      <c r="V264" s="43"/>
      <c r="W264" s="43"/>
      <c r="X264" s="43"/>
      <c r="Y264" s="43"/>
      <c r="Z264" s="43"/>
      <c r="AA264" s="43"/>
      <c r="AB264" s="43"/>
      <c r="AC264" s="43"/>
      <c r="AD264" s="43"/>
      <c r="AE264" s="43"/>
      <c r="AF264" s="43"/>
      <c r="AG264" s="43"/>
      <c r="AH264" s="43"/>
      <c r="AI264" s="43"/>
      <c r="AJ264" s="43"/>
      <c r="AK264" s="43"/>
      <c r="AL264" s="43"/>
      <c r="AM264" s="43"/>
      <c r="AN264" s="43"/>
      <c r="AO264" s="43"/>
      <c r="AP264" s="43"/>
      <c r="AQ264" s="43"/>
      <c r="AR264" s="43"/>
      <c r="AS264" s="43"/>
      <c r="AT264" s="43"/>
      <c r="AU264" s="43"/>
      <c r="AV264" s="43"/>
      <c r="AW264" s="43"/>
      <c r="AX264" s="43"/>
      <c r="AY264" s="34" t="s">
        <v>236</v>
      </c>
      <c r="AZ264" s="103"/>
      <c r="BA264" s="39" t="s">
        <v>291</v>
      </c>
      <c r="BB264" s="40"/>
      <c r="BE264" s="41"/>
      <c r="BI264" s="42">
        <v>1</v>
      </c>
    </row>
    <row r="265" spans="1:63" s="24" customFormat="1" ht="18.600000000000001" customHeight="1">
      <c r="A265" s="32">
        <f t="shared" si="26"/>
        <v>250</v>
      </c>
      <c r="B265" s="60" t="s">
        <v>701</v>
      </c>
      <c r="C265" s="102" t="s">
        <v>45</v>
      </c>
      <c r="D265" s="35">
        <f t="shared" si="23"/>
        <v>0.08</v>
      </c>
      <c r="E265" s="35"/>
      <c r="F265" s="35">
        <f t="shared" si="25"/>
        <v>0.08</v>
      </c>
      <c r="G265" s="43">
        <v>0.03</v>
      </c>
      <c r="H265" s="43">
        <v>0.02</v>
      </c>
      <c r="I265" s="43">
        <v>0.03</v>
      </c>
      <c r="J265" s="43"/>
      <c r="K265" s="43"/>
      <c r="L265" s="43"/>
      <c r="M265" s="43"/>
      <c r="N265" s="43"/>
      <c r="O265" s="43"/>
      <c r="P265" s="43"/>
      <c r="Q265" s="43"/>
      <c r="R265" s="43"/>
      <c r="S265" s="43"/>
      <c r="T265" s="43"/>
      <c r="U265" s="43"/>
      <c r="V265" s="43"/>
      <c r="W265" s="43"/>
      <c r="X265" s="43"/>
      <c r="Y265" s="43"/>
      <c r="Z265" s="43"/>
      <c r="AA265" s="43"/>
      <c r="AB265" s="43"/>
      <c r="AC265" s="43"/>
      <c r="AD265" s="43"/>
      <c r="AE265" s="43"/>
      <c r="AF265" s="43"/>
      <c r="AG265" s="43"/>
      <c r="AH265" s="43"/>
      <c r="AI265" s="43"/>
      <c r="AJ265" s="43"/>
      <c r="AK265" s="43"/>
      <c r="AL265" s="43"/>
      <c r="AM265" s="43"/>
      <c r="AN265" s="43"/>
      <c r="AO265" s="43"/>
      <c r="AP265" s="43"/>
      <c r="AQ265" s="43"/>
      <c r="AR265" s="43"/>
      <c r="AS265" s="43"/>
      <c r="AT265" s="43"/>
      <c r="AU265" s="43"/>
      <c r="AV265" s="43"/>
      <c r="AW265" s="43"/>
      <c r="AX265" s="43"/>
      <c r="AY265" s="34" t="s">
        <v>236</v>
      </c>
      <c r="AZ265" s="103"/>
      <c r="BA265" s="39" t="s">
        <v>291</v>
      </c>
      <c r="BB265" s="40"/>
      <c r="BE265" s="41"/>
      <c r="BI265" s="42">
        <v>1</v>
      </c>
    </row>
    <row r="266" spans="1:63" s="24" customFormat="1" ht="18.600000000000001" customHeight="1">
      <c r="A266" s="32">
        <f t="shared" si="26"/>
        <v>251</v>
      </c>
      <c r="B266" s="60" t="s">
        <v>702</v>
      </c>
      <c r="C266" s="102" t="s">
        <v>45</v>
      </c>
      <c r="D266" s="35">
        <f t="shared" si="23"/>
        <v>0.02</v>
      </c>
      <c r="E266" s="35"/>
      <c r="F266" s="35">
        <f t="shared" si="25"/>
        <v>0.02</v>
      </c>
      <c r="G266" s="43">
        <v>0.01</v>
      </c>
      <c r="H266" s="43">
        <v>0.01</v>
      </c>
      <c r="I266" s="43"/>
      <c r="J266" s="43"/>
      <c r="K266" s="43"/>
      <c r="L266" s="43"/>
      <c r="M266" s="43"/>
      <c r="N266" s="43"/>
      <c r="O266" s="43"/>
      <c r="P266" s="43"/>
      <c r="Q266" s="43"/>
      <c r="R266" s="43"/>
      <c r="S266" s="43"/>
      <c r="T266" s="43"/>
      <c r="U266" s="43"/>
      <c r="V266" s="43"/>
      <c r="W266" s="43"/>
      <c r="X266" s="43"/>
      <c r="Y266" s="43"/>
      <c r="Z266" s="43"/>
      <c r="AA266" s="43"/>
      <c r="AB266" s="43"/>
      <c r="AC266" s="43"/>
      <c r="AD266" s="43"/>
      <c r="AE266" s="43"/>
      <c r="AF266" s="43"/>
      <c r="AG266" s="43"/>
      <c r="AH266" s="43"/>
      <c r="AI266" s="43"/>
      <c r="AJ266" s="43"/>
      <c r="AK266" s="43"/>
      <c r="AL266" s="43"/>
      <c r="AM266" s="43"/>
      <c r="AN266" s="43"/>
      <c r="AO266" s="43"/>
      <c r="AP266" s="43"/>
      <c r="AQ266" s="43"/>
      <c r="AR266" s="43"/>
      <c r="AS266" s="43"/>
      <c r="AT266" s="43"/>
      <c r="AU266" s="43"/>
      <c r="AV266" s="43"/>
      <c r="AW266" s="43"/>
      <c r="AX266" s="43"/>
      <c r="AY266" s="34" t="s">
        <v>236</v>
      </c>
      <c r="AZ266" s="103"/>
      <c r="BA266" s="39" t="s">
        <v>291</v>
      </c>
      <c r="BB266" s="40"/>
      <c r="BE266" s="41"/>
      <c r="BI266" s="42">
        <v>1</v>
      </c>
    </row>
    <row r="267" spans="1:63" s="24" customFormat="1" ht="25.35" customHeight="1">
      <c r="A267" s="32">
        <f t="shared" si="26"/>
        <v>252</v>
      </c>
      <c r="B267" s="60" t="s">
        <v>703</v>
      </c>
      <c r="C267" s="102" t="s">
        <v>45</v>
      </c>
      <c r="D267" s="35">
        <f t="shared" si="23"/>
        <v>0.03</v>
      </c>
      <c r="E267" s="35"/>
      <c r="F267" s="35">
        <f t="shared" si="25"/>
        <v>0.03</v>
      </c>
      <c r="G267" s="43">
        <v>0.01</v>
      </c>
      <c r="H267" s="43">
        <v>0.01</v>
      </c>
      <c r="I267" s="43">
        <v>0.01</v>
      </c>
      <c r="J267" s="43"/>
      <c r="K267" s="43"/>
      <c r="L267" s="43"/>
      <c r="M267" s="43"/>
      <c r="N267" s="43"/>
      <c r="O267" s="43"/>
      <c r="P267" s="43"/>
      <c r="Q267" s="43"/>
      <c r="R267" s="43"/>
      <c r="S267" s="43"/>
      <c r="T267" s="43"/>
      <c r="U267" s="43"/>
      <c r="V267" s="43"/>
      <c r="W267" s="43"/>
      <c r="X267" s="43"/>
      <c r="Y267" s="43"/>
      <c r="Z267" s="43"/>
      <c r="AA267" s="43"/>
      <c r="AB267" s="43"/>
      <c r="AC267" s="43"/>
      <c r="AD267" s="43"/>
      <c r="AE267" s="43"/>
      <c r="AF267" s="43"/>
      <c r="AG267" s="43"/>
      <c r="AH267" s="43"/>
      <c r="AI267" s="43"/>
      <c r="AJ267" s="43"/>
      <c r="AK267" s="43"/>
      <c r="AL267" s="43"/>
      <c r="AM267" s="43"/>
      <c r="AN267" s="43"/>
      <c r="AO267" s="43"/>
      <c r="AP267" s="43"/>
      <c r="AQ267" s="43"/>
      <c r="AR267" s="43"/>
      <c r="AS267" s="43"/>
      <c r="AT267" s="43"/>
      <c r="AU267" s="43"/>
      <c r="AV267" s="43"/>
      <c r="AW267" s="43"/>
      <c r="AX267" s="43"/>
      <c r="AY267" s="34" t="s">
        <v>236</v>
      </c>
      <c r="AZ267" s="103"/>
      <c r="BA267" s="39" t="s">
        <v>291</v>
      </c>
      <c r="BB267" s="40"/>
      <c r="BE267" s="41"/>
      <c r="BI267" s="42">
        <v>1</v>
      </c>
    </row>
    <row r="268" spans="1:63" s="24" customFormat="1" ht="18.600000000000001" customHeight="1">
      <c r="A268" s="32">
        <f t="shared" si="26"/>
        <v>253</v>
      </c>
      <c r="B268" s="60" t="s">
        <v>704</v>
      </c>
      <c r="C268" s="102" t="s">
        <v>45</v>
      </c>
      <c r="D268" s="35">
        <f t="shared" si="23"/>
        <v>0.02</v>
      </c>
      <c r="E268" s="35"/>
      <c r="F268" s="35">
        <f t="shared" si="25"/>
        <v>0.02</v>
      </c>
      <c r="G268" s="43">
        <v>0.01</v>
      </c>
      <c r="H268" s="43">
        <v>0.01</v>
      </c>
      <c r="I268" s="43"/>
      <c r="J268" s="43"/>
      <c r="K268" s="43"/>
      <c r="L268" s="43"/>
      <c r="M268" s="43"/>
      <c r="N268" s="43"/>
      <c r="O268" s="43"/>
      <c r="P268" s="43"/>
      <c r="Q268" s="43"/>
      <c r="R268" s="43"/>
      <c r="S268" s="43"/>
      <c r="T268" s="43"/>
      <c r="U268" s="43"/>
      <c r="V268" s="43"/>
      <c r="W268" s="43"/>
      <c r="X268" s="43"/>
      <c r="Y268" s="43"/>
      <c r="Z268" s="43"/>
      <c r="AA268" s="43"/>
      <c r="AB268" s="43"/>
      <c r="AC268" s="43"/>
      <c r="AD268" s="43"/>
      <c r="AE268" s="43"/>
      <c r="AF268" s="43"/>
      <c r="AG268" s="43"/>
      <c r="AH268" s="43"/>
      <c r="AI268" s="43"/>
      <c r="AJ268" s="43"/>
      <c r="AK268" s="43"/>
      <c r="AL268" s="43"/>
      <c r="AM268" s="43"/>
      <c r="AN268" s="43"/>
      <c r="AO268" s="43"/>
      <c r="AP268" s="43"/>
      <c r="AQ268" s="43"/>
      <c r="AR268" s="43"/>
      <c r="AS268" s="43"/>
      <c r="AT268" s="43"/>
      <c r="AU268" s="43"/>
      <c r="AV268" s="43"/>
      <c r="AW268" s="43"/>
      <c r="AX268" s="43"/>
      <c r="AY268" s="34" t="s">
        <v>236</v>
      </c>
      <c r="AZ268" s="103"/>
      <c r="BA268" s="39" t="s">
        <v>291</v>
      </c>
      <c r="BB268" s="40"/>
      <c r="BE268" s="41"/>
      <c r="BI268" s="42">
        <v>1</v>
      </c>
    </row>
    <row r="269" spans="1:63" s="24" customFormat="1" ht="18.600000000000001" customHeight="1">
      <c r="A269" s="32">
        <f t="shared" si="26"/>
        <v>254</v>
      </c>
      <c r="B269" s="60" t="s">
        <v>705</v>
      </c>
      <c r="C269" s="102" t="s">
        <v>45</v>
      </c>
      <c r="D269" s="35">
        <f t="shared" si="23"/>
        <v>0.03</v>
      </c>
      <c r="E269" s="35"/>
      <c r="F269" s="35">
        <f t="shared" si="25"/>
        <v>0.03</v>
      </c>
      <c r="G269" s="43">
        <v>0.01</v>
      </c>
      <c r="H269" s="43">
        <v>0.01</v>
      </c>
      <c r="I269" s="43">
        <v>0.01</v>
      </c>
      <c r="J269" s="43"/>
      <c r="K269" s="43"/>
      <c r="L269" s="43"/>
      <c r="M269" s="43"/>
      <c r="N269" s="43"/>
      <c r="O269" s="43"/>
      <c r="P269" s="43"/>
      <c r="Q269" s="43"/>
      <c r="R269" s="43"/>
      <c r="S269" s="43"/>
      <c r="T269" s="43"/>
      <c r="U269" s="43"/>
      <c r="V269" s="43"/>
      <c r="W269" s="43"/>
      <c r="X269" s="43"/>
      <c r="Y269" s="43"/>
      <c r="Z269" s="43"/>
      <c r="AA269" s="43"/>
      <c r="AB269" s="43"/>
      <c r="AC269" s="43"/>
      <c r="AD269" s="43"/>
      <c r="AE269" s="43"/>
      <c r="AF269" s="43"/>
      <c r="AG269" s="43"/>
      <c r="AH269" s="43"/>
      <c r="AI269" s="43"/>
      <c r="AJ269" s="43"/>
      <c r="AK269" s="43"/>
      <c r="AL269" s="43"/>
      <c r="AM269" s="43"/>
      <c r="AN269" s="43"/>
      <c r="AO269" s="43"/>
      <c r="AP269" s="43"/>
      <c r="AQ269" s="43"/>
      <c r="AR269" s="43"/>
      <c r="AS269" s="43"/>
      <c r="AT269" s="43"/>
      <c r="AU269" s="43"/>
      <c r="AV269" s="43"/>
      <c r="AW269" s="43"/>
      <c r="AX269" s="43"/>
      <c r="AY269" s="34" t="s">
        <v>236</v>
      </c>
      <c r="AZ269" s="103"/>
      <c r="BA269" s="39" t="s">
        <v>291</v>
      </c>
      <c r="BB269" s="40"/>
      <c r="BE269" s="41"/>
      <c r="BI269" s="42">
        <v>1</v>
      </c>
    </row>
    <row r="270" spans="1:63" s="24" customFormat="1" ht="18.600000000000001" customHeight="1">
      <c r="A270" s="32">
        <f t="shared" si="26"/>
        <v>255</v>
      </c>
      <c r="B270" s="60" t="s">
        <v>706</v>
      </c>
      <c r="C270" s="102" t="s">
        <v>45</v>
      </c>
      <c r="D270" s="35">
        <f t="shared" si="23"/>
        <v>0.30000000000000004</v>
      </c>
      <c r="E270" s="35"/>
      <c r="F270" s="35">
        <f t="shared" si="25"/>
        <v>0.30000000000000004</v>
      </c>
      <c r="G270" s="43">
        <v>0.1</v>
      </c>
      <c r="H270" s="43">
        <v>0.05</v>
      </c>
      <c r="I270" s="43">
        <v>0.12</v>
      </c>
      <c r="J270" s="43">
        <v>0.03</v>
      </c>
      <c r="K270" s="43"/>
      <c r="L270" s="43"/>
      <c r="M270" s="43"/>
      <c r="N270" s="43"/>
      <c r="O270" s="43"/>
      <c r="P270" s="43"/>
      <c r="Q270" s="43"/>
      <c r="R270" s="43"/>
      <c r="S270" s="43"/>
      <c r="T270" s="43"/>
      <c r="U270" s="43"/>
      <c r="V270" s="43"/>
      <c r="W270" s="43"/>
      <c r="X270" s="43"/>
      <c r="Y270" s="43"/>
      <c r="Z270" s="43"/>
      <c r="AA270" s="43"/>
      <c r="AB270" s="43"/>
      <c r="AC270" s="43"/>
      <c r="AD270" s="43"/>
      <c r="AE270" s="43"/>
      <c r="AF270" s="43"/>
      <c r="AG270" s="43"/>
      <c r="AH270" s="43"/>
      <c r="AI270" s="43"/>
      <c r="AJ270" s="43"/>
      <c r="AK270" s="43"/>
      <c r="AL270" s="43"/>
      <c r="AM270" s="43"/>
      <c r="AN270" s="43"/>
      <c r="AO270" s="43"/>
      <c r="AP270" s="43"/>
      <c r="AQ270" s="43"/>
      <c r="AR270" s="43"/>
      <c r="AS270" s="43"/>
      <c r="AT270" s="43"/>
      <c r="AU270" s="43"/>
      <c r="AV270" s="43"/>
      <c r="AW270" s="43"/>
      <c r="AX270" s="43"/>
      <c r="AY270" s="34" t="s">
        <v>236</v>
      </c>
      <c r="AZ270" s="103"/>
      <c r="BA270" s="39" t="s">
        <v>291</v>
      </c>
      <c r="BB270" s="40"/>
      <c r="BE270" s="41"/>
      <c r="BI270" s="42">
        <v>1</v>
      </c>
    </row>
    <row r="271" spans="1:63" s="24" customFormat="1" ht="31.5">
      <c r="A271" s="32">
        <f t="shared" si="26"/>
        <v>256</v>
      </c>
      <c r="B271" s="33" t="s">
        <v>707</v>
      </c>
      <c r="C271" s="102" t="s">
        <v>45</v>
      </c>
      <c r="D271" s="35">
        <f t="shared" si="23"/>
        <v>0.11</v>
      </c>
      <c r="E271" s="35"/>
      <c r="F271" s="35">
        <f t="shared" si="25"/>
        <v>0.11</v>
      </c>
      <c r="G271" s="43">
        <v>0.11</v>
      </c>
      <c r="H271" s="43"/>
      <c r="I271" s="43"/>
      <c r="J271" s="43"/>
      <c r="K271" s="43"/>
      <c r="L271" s="43"/>
      <c r="M271" s="43"/>
      <c r="N271" s="43"/>
      <c r="O271" s="43"/>
      <c r="P271" s="43"/>
      <c r="Q271" s="43"/>
      <c r="R271" s="43"/>
      <c r="S271" s="43"/>
      <c r="T271" s="43"/>
      <c r="U271" s="43"/>
      <c r="V271" s="43"/>
      <c r="W271" s="43"/>
      <c r="X271" s="43"/>
      <c r="Y271" s="43"/>
      <c r="Z271" s="43"/>
      <c r="AA271" s="43"/>
      <c r="AB271" s="43"/>
      <c r="AC271" s="43"/>
      <c r="AD271" s="43"/>
      <c r="AE271" s="43"/>
      <c r="AF271" s="43"/>
      <c r="AG271" s="43"/>
      <c r="AH271" s="43"/>
      <c r="AI271" s="43"/>
      <c r="AJ271" s="43"/>
      <c r="AK271" s="43"/>
      <c r="AL271" s="43"/>
      <c r="AM271" s="43"/>
      <c r="AN271" s="43"/>
      <c r="AO271" s="43"/>
      <c r="AP271" s="43"/>
      <c r="AQ271" s="43"/>
      <c r="AR271" s="43"/>
      <c r="AS271" s="43"/>
      <c r="AT271" s="43"/>
      <c r="AU271" s="43"/>
      <c r="AV271" s="43"/>
      <c r="AW271" s="43"/>
      <c r="AX271" s="43"/>
      <c r="AY271" s="34" t="s">
        <v>237</v>
      </c>
      <c r="AZ271" s="103" t="s">
        <v>451</v>
      </c>
      <c r="BA271" s="63" t="s">
        <v>291</v>
      </c>
      <c r="BB271" s="64"/>
      <c r="BC271" s="40"/>
      <c r="BD271" s="40"/>
      <c r="BE271" s="40"/>
      <c r="BI271" s="42">
        <v>1</v>
      </c>
    </row>
    <row r="272" spans="1:63" ht="20.100000000000001" customHeight="1">
      <c r="A272" s="32">
        <f t="shared" si="26"/>
        <v>257</v>
      </c>
      <c r="B272" s="88" t="s">
        <v>708</v>
      </c>
      <c r="C272" s="102" t="s">
        <v>45</v>
      </c>
      <c r="D272" s="35">
        <f t="shared" si="23"/>
        <v>0.02</v>
      </c>
      <c r="E272" s="35"/>
      <c r="F272" s="35">
        <f t="shared" si="25"/>
        <v>0.02</v>
      </c>
      <c r="G272" s="107"/>
      <c r="H272" s="107">
        <v>0.02</v>
      </c>
      <c r="I272" s="107"/>
      <c r="J272" s="107"/>
      <c r="K272" s="68"/>
      <c r="L272" s="107"/>
      <c r="M272" s="107"/>
      <c r="N272" s="107"/>
      <c r="O272" s="107"/>
      <c r="P272" s="107"/>
      <c r="Q272" s="107"/>
      <c r="R272" s="107"/>
      <c r="S272" s="107"/>
      <c r="T272" s="107"/>
      <c r="U272" s="107"/>
      <c r="V272" s="107"/>
      <c r="W272" s="107"/>
      <c r="X272" s="107"/>
      <c r="Y272" s="107"/>
      <c r="Z272" s="107"/>
      <c r="AA272" s="107"/>
      <c r="AB272" s="107"/>
      <c r="AC272" s="107"/>
      <c r="AD272" s="107"/>
      <c r="AE272" s="107"/>
      <c r="AF272" s="107"/>
      <c r="AG272" s="107"/>
      <c r="AH272" s="107"/>
      <c r="AI272" s="107"/>
      <c r="AJ272" s="107"/>
      <c r="AK272" s="107"/>
      <c r="AL272" s="107"/>
      <c r="AM272" s="107"/>
      <c r="AN272" s="107"/>
      <c r="AO272" s="107"/>
      <c r="AP272" s="107"/>
      <c r="AQ272" s="107"/>
      <c r="AR272" s="107"/>
      <c r="AS272" s="107"/>
      <c r="AT272" s="107"/>
      <c r="AU272" s="107"/>
      <c r="AV272" s="107"/>
      <c r="AW272" s="107"/>
      <c r="AX272" s="107"/>
      <c r="AY272" s="34" t="s">
        <v>238</v>
      </c>
      <c r="AZ272" s="34" t="s">
        <v>709</v>
      </c>
      <c r="BA272" s="63" t="s">
        <v>291</v>
      </c>
      <c r="BB272" s="64"/>
      <c r="BC272" s="65"/>
      <c r="BD272" s="65" t="s">
        <v>710</v>
      </c>
      <c r="BE272" s="41"/>
      <c r="BI272" s="42">
        <v>1</v>
      </c>
    </row>
    <row r="273" spans="1:63" s="24" customFormat="1" ht="20.100000000000001" customHeight="1">
      <c r="A273" s="32">
        <f t="shared" si="26"/>
        <v>258</v>
      </c>
      <c r="B273" s="60" t="s">
        <v>711</v>
      </c>
      <c r="C273" s="102" t="s">
        <v>45</v>
      </c>
      <c r="D273" s="35">
        <f t="shared" ref="D273:D336" si="27">E273+F273</f>
        <v>0.27</v>
      </c>
      <c r="E273" s="35"/>
      <c r="F273" s="35">
        <f t="shared" si="25"/>
        <v>0.27</v>
      </c>
      <c r="G273" s="43"/>
      <c r="H273" s="43">
        <v>0.25</v>
      </c>
      <c r="I273" s="43">
        <v>0.02</v>
      </c>
      <c r="J273" s="43"/>
      <c r="K273" s="43"/>
      <c r="L273" s="43"/>
      <c r="M273" s="43"/>
      <c r="N273" s="43"/>
      <c r="O273" s="43"/>
      <c r="P273" s="43"/>
      <c r="Q273" s="43"/>
      <c r="R273" s="43"/>
      <c r="S273" s="43"/>
      <c r="T273" s="43"/>
      <c r="U273" s="43"/>
      <c r="V273" s="43"/>
      <c r="W273" s="43"/>
      <c r="X273" s="43"/>
      <c r="Y273" s="43"/>
      <c r="Z273" s="43"/>
      <c r="AA273" s="43"/>
      <c r="AB273" s="43"/>
      <c r="AC273" s="43"/>
      <c r="AD273" s="43"/>
      <c r="AE273" s="43"/>
      <c r="AF273" s="43"/>
      <c r="AG273" s="43"/>
      <c r="AH273" s="43"/>
      <c r="AI273" s="43"/>
      <c r="AJ273" s="43"/>
      <c r="AK273" s="43"/>
      <c r="AL273" s="43"/>
      <c r="AM273" s="43"/>
      <c r="AN273" s="43"/>
      <c r="AO273" s="43"/>
      <c r="AP273" s="43"/>
      <c r="AQ273" s="43"/>
      <c r="AR273" s="43"/>
      <c r="AS273" s="43"/>
      <c r="AT273" s="43"/>
      <c r="AU273" s="43"/>
      <c r="AV273" s="43"/>
      <c r="AW273" s="43"/>
      <c r="AX273" s="43"/>
      <c r="AY273" s="34" t="s">
        <v>238</v>
      </c>
      <c r="AZ273" s="103"/>
      <c r="BA273" s="63" t="s">
        <v>291</v>
      </c>
      <c r="BB273" s="64"/>
      <c r="BC273" s="110"/>
      <c r="BD273" s="110"/>
      <c r="BE273" s="41"/>
      <c r="BI273" s="42">
        <v>1</v>
      </c>
    </row>
    <row r="274" spans="1:63" s="24" customFormat="1" ht="20.100000000000001" customHeight="1">
      <c r="A274" s="32">
        <f t="shared" si="26"/>
        <v>259</v>
      </c>
      <c r="B274" s="33" t="s">
        <v>712</v>
      </c>
      <c r="C274" s="102" t="s">
        <v>45</v>
      </c>
      <c r="D274" s="35">
        <f t="shared" si="27"/>
        <v>0.35</v>
      </c>
      <c r="E274" s="35"/>
      <c r="F274" s="35">
        <f t="shared" si="25"/>
        <v>0.35</v>
      </c>
      <c r="G274" s="43">
        <v>0.14000000000000001</v>
      </c>
      <c r="H274" s="43">
        <v>0.11</v>
      </c>
      <c r="I274" s="43">
        <v>0.1</v>
      </c>
      <c r="J274" s="43"/>
      <c r="K274" s="43"/>
      <c r="L274" s="43"/>
      <c r="M274" s="43"/>
      <c r="N274" s="43"/>
      <c r="O274" s="43"/>
      <c r="P274" s="43"/>
      <c r="Q274" s="43"/>
      <c r="R274" s="43"/>
      <c r="S274" s="43"/>
      <c r="T274" s="43"/>
      <c r="U274" s="43"/>
      <c r="V274" s="43"/>
      <c r="W274" s="43"/>
      <c r="X274" s="43"/>
      <c r="Y274" s="43"/>
      <c r="Z274" s="43"/>
      <c r="AA274" s="43"/>
      <c r="AB274" s="43"/>
      <c r="AC274" s="43"/>
      <c r="AD274" s="43"/>
      <c r="AE274" s="43"/>
      <c r="AF274" s="43"/>
      <c r="AG274" s="43"/>
      <c r="AH274" s="43"/>
      <c r="AI274" s="43"/>
      <c r="AJ274" s="43"/>
      <c r="AK274" s="43"/>
      <c r="AL274" s="43"/>
      <c r="AM274" s="43"/>
      <c r="AN274" s="43"/>
      <c r="AO274" s="43"/>
      <c r="AP274" s="43"/>
      <c r="AQ274" s="43"/>
      <c r="AR274" s="43"/>
      <c r="AS274" s="43"/>
      <c r="AT274" s="43"/>
      <c r="AU274" s="43"/>
      <c r="AV274" s="43"/>
      <c r="AW274" s="43"/>
      <c r="AX274" s="43"/>
      <c r="AY274" s="34" t="s">
        <v>239</v>
      </c>
      <c r="AZ274" s="103"/>
      <c r="BA274" s="39" t="s">
        <v>291</v>
      </c>
      <c r="BB274" s="40"/>
      <c r="BE274" s="41"/>
      <c r="BI274" s="42">
        <v>1</v>
      </c>
    </row>
    <row r="275" spans="1:63" ht="31.5">
      <c r="A275" s="32">
        <f t="shared" si="26"/>
        <v>260</v>
      </c>
      <c r="B275" s="33" t="s">
        <v>713</v>
      </c>
      <c r="C275" s="102" t="s">
        <v>45</v>
      </c>
      <c r="D275" s="35">
        <f t="shared" si="27"/>
        <v>0.26</v>
      </c>
      <c r="E275" s="35"/>
      <c r="F275" s="35">
        <f t="shared" si="25"/>
        <v>0.26</v>
      </c>
      <c r="G275" s="43"/>
      <c r="H275" s="43">
        <v>0.08</v>
      </c>
      <c r="I275" s="43">
        <v>0.04</v>
      </c>
      <c r="J275" s="43">
        <v>0.14000000000000001</v>
      </c>
      <c r="K275" s="43"/>
      <c r="L275" s="43"/>
      <c r="M275" s="43"/>
      <c r="N275" s="43"/>
      <c r="O275" s="43"/>
      <c r="P275" s="43"/>
      <c r="Q275" s="43"/>
      <c r="R275" s="43"/>
      <c r="S275" s="43"/>
      <c r="T275" s="43"/>
      <c r="U275" s="43"/>
      <c r="V275" s="43"/>
      <c r="W275" s="43"/>
      <c r="X275" s="43"/>
      <c r="Y275" s="43"/>
      <c r="Z275" s="43"/>
      <c r="AA275" s="43"/>
      <c r="AB275" s="43"/>
      <c r="AC275" s="43"/>
      <c r="AD275" s="43"/>
      <c r="AE275" s="43"/>
      <c r="AF275" s="43"/>
      <c r="AG275" s="43"/>
      <c r="AH275" s="43"/>
      <c r="AI275" s="43"/>
      <c r="AJ275" s="43"/>
      <c r="AK275" s="43"/>
      <c r="AL275" s="43"/>
      <c r="AM275" s="43"/>
      <c r="AN275" s="43"/>
      <c r="AO275" s="43"/>
      <c r="AP275" s="43"/>
      <c r="AQ275" s="43"/>
      <c r="AR275" s="43"/>
      <c r="AS275" s="43"/>
      <c r="AT275" s="43"/>
      <c r="AU275" s="43"/>
      <c r="AV275" s="43"/>
      <c r="AW275" s="43"/>
      <c r="AX275" s="43"/>
      <c r="AY275" s="47" t="s">
        <v>240</v>
      </c>
      <c r="AZ275" s="103" t="s">
        <v>714</v>
      </c>
      <c r="BA275" s="39" t="s">
        <v>291</v>
      </c>
      <c r="BB275" s="40"/>
      <c r="BE275" s="41"/>
      <c r="BI275" s="42">
        <v>1</v>
      </c>
    </row>
    <row r="276" spans="1:63" ht="31.5">
      <c r="A276" s="32">
        <f t="shared" si="26"/>
        <v>261</v>
      </c>
      <c r="B276" s="33" t="s">
        <v>715</v>
      </c>
      <c r="C276" s="102" t="s">
        <v>45</v>
      </c>
      <c r="D276" s="35">
        <f t="shared" si="27"/>
        <v>0.12</v>
      </c>
      <c r="E276" s="35"/>
      <c r="F276" s="35">
        <f t="shared" si="25"/>
        <v>0.12</v>
      </c>
      <c r="G276" s="43">
        <v>0.08</v>
      </c>
      <c r="H276" s="43"/>
      <c r="I276" s="43"/>
      <c r="J276" s="43">
        <v>0.04</v>
      </c>
      <c r="K276" s="43"/>
      <c r="L276" s="43"/>
      <c r="M276" s="43"/>
      <c r="N276" s="43"/>
      <c r="O276" s="43"/>
      <c r="P276" s="43"/>
      <c r="Q276" s="43"/>
      <c r="R276" s="43"/>
      <c r="S276" s="43"/>
      <c r="T276" s="43"/>
      <c r="U276" s="43"/>
      <c r="V276" s="43"/>
      <c r="W276" s="43"/>
      <c r="X276" s="43"/>
      <c r="Y276" s="43"/>
      <c r="Z276" s="43"/>
      <c r="AA276" s="43"/>
      <c r="AB276" s="43"/>
      <c r="AC276" s="43"/>
      <c r="AD276" s="43"/>
      <c r="AE276" s="43"/>
      <c r="AF276" s="43"/>
      <c r="AG276" s="43"/>
      <c r="AH276" s="43"/>
      <c r="AI276" s="43"/>
      <c r="AJ276" s="43"/>
      <c r="AK276" s="43"/>
      <c r="AL276" s="43"/>
      <c r="AM276" s="43"/>
      <c r="AN276" s="43"/>
      <c r="AO276" s="43"/>
      <c r="AP276" s="43"/>
      <c r="AQ276" s="43"/>
      <c r="AR276" s="43"/>
      <c r="AS276" s="43"/>
      <c r="AT276" s="43"/>
      <c r="AU276" s="43"/>
      <c r="AV276" s="43"/>
      <c r="AW276" s="43"/>
      <c r="AX276" s="43"/>
      <c r="AY276" s="47" t="s">
        <v>240</v>
      </c>
      <c r="AZ276" s="103" t="s">
        <v>305</v>
      </c>
      <c r="BA276" s="39" t="s">
        <v>291</v>
      </c>
      <c r="BB276" s="40"/>
      <c r="BE276" s="41"/>
      <c r="BI276" s="42">
        <v>1</v>
      </c>
    </row>
    <row r="277" spans="1:63" s="24" customFormat="1" ht="20.100000000000001" customHeight="1">
      <c r="A277" s="32">
        <f>A276+1</f>
        <v>262</v>
      </c>
      <c r="B277" s="33" t="s">
        <v>716</v>
      </c>
      <c r="C277" s="102" t="s">
        <v>45</v>
      </c>
      <c r="D277" s="35">
        <f t="shared" si="27"/>
        <v>4.9800000000000004</v>
      </c>
      <c r="E277" s="35">
        <v>4.25</v>
      </c>
      <c r="F277" s="35">
        <f t="shared" ref="F277:F291" si="28">SUM(G277:AX277)</f>
        <v>0.73000000000000009</v>
      </c>
      <c r="G277" s="46">
        <v>0.36</v>
      </c>
      <c r="H277" s="43"/>
      <c r="I277" s="43">
        <v>0.04</v>
      </c>
      <c r="J277" s="43">
        <v>0.08</v>
      </c>
      <c r="K277" s="43"/>
      <c r="L277" s="43"/>
      <c r="M277" s="43">
        <v>0.05</v>
      </c>
      <c r="N277" s="43"/>
      <c r="O277" s="43"/>
      <c r="P277" s="43">
        <v>0.03</v>
      </c>
      <c r="Q277" s="43"/>
      <c r="R277" s="43"/>
      <c r="S277" s="43"/>
      <c r="T277" s="43"/>
      <c r="U277" s="43"/>
      <c r="V277" s="43"/>
      <c r="W277" s="43"/>
      <c r="X277" s="43"/>
      <c r="Y277" s="43"/>
      <c r="Z277" s="43">
        <v>0.17</v>
      </c>
      <c r="AA277" s="43"/>
      <c r="AB277" s="43"/>
      <c r="AC277" s="43"/>
      <c r="AD277" s="43"/>
      <c r="AE277" s="43"/>
      <c r="AF277" s="43"/>
      <c r="AG277" s="43"/>
      <c r="AH277" s="43"/>
      <c r="AI277" s="43"/>
      <c r="AJ277" s="43"/>
      <c r="AK277" s="43"/>
      <c r="AL277" s="43"/>
      <c r="AM277" s="43"/>
      <c r="AN277" s="43"/>
      <c r="AO277" s="43"/>
      <c r="AP277" s="43"/>
      <c r="AQ277" s="43"/>
      <c r="AR277" s="43"/>
      <c r="AS277" s="43"/>
      <c r="AT277" s="43"/>
      <c r="AU277" s="43"/>
      <c r="AV277" s="43"/>
      <c r="AW277" s="43"/>
      <c r="AX277" s="43"/>
      <c r="AY277" s="103" t="s">
        <v>241</v>
      </c>
      <c r="AZ277" s="103" t="s">
        <v>471</v>
      </c>
      <c r="BA277" s="39" t="s">
        <v>291</v>
      </c>
      <c r="BB277" s="40"/>
      <c r="BE277" s="41"/>
      <c r="BI277" s="42">
        <v>1</v>
      </c>
    </row>
    <row r="278" spans="1:63" s="24" customFormat="1" ht="20.100000000000001" customHeight="1">
      <c r="A278" s="32">
        <f>A277+1</f>
        <v>263</v>
      </c>
      <c r="B278" s="60" t="s">
        <v>717</v>
      </c>
      <c r="C278" s="102" t="s">
        <v>45</v>
      </c>
      <c r="D278" s="35">
        <f t="shared" si="27"/>
        <v>0.2</v>
      </c>
      <c r="E278" s="35"/>
      <c r="F278" s="35">
        <f t="shared" si="28"/>
        <v>0.2</v>
      </c>
      <c r="G278" s="43">
        <v>0.2</v>
      </c>
      <c r="H278" s="43"/>
      <c r="I278" s="43"/>
      <c r="J278" s="43"/>
      <c r="K278" s="43"/>
      <c r="L278" s="43"/>
      <c r="M278" s="43"/>
      <c r="N278" s="43"/>
      <c r="O278" s="43"/>
      <c r="P278" s="43"/>
      <c r="Q278" s="43"/>
      <c r="R278" s="43"/>
      <c r="S278" s="43"/>
      <c r="T278" s="43"/>
      <c r="U278" s="43"/>
      <c r="V278" s="43"/>
      <c r="W278" s="43"/>
      <c r="X278" s="43"/>
      <c r="Y278" s="43"/>
      <c r="Z278" s="43"/>
      <c r="AA278" s="43"/>
      <c r="AB278" s="43"/>
      <c r="AC278" s="43"/>
      <c r="AD278" s="43"/>
      <c r="AE278" s="43"/>
      <c r="AF278" s="43"/>
      <c r="AG278" s="43"/>
      <c r="AH278" s="43"/>
      <c r="AI278" s="43"/>
      <c r="AJ278" s="43"/>
      <c r="AK278" s="43"/>
      <c r="AL278" s="43"/>
      <c r="AM278" s="43"/>
      <c r="AN278" s="43"/>
      <c r="AO278" s="43"/>
      <c r="AP278" s="43"/>
      <c r="AQ278" s="43"/>
      <c r="AR278" s="43"/>
      <c r="AS278" s="43"/>
      <c r="AT278" s="43"/>
      <c r="AU278" s="43"/>
      <c r="AV278" s="43"/>
      <c r="AW278" s="43"/>
      <c r="AX278" s="43"/>
      <c r="AY278" s="103" t="s">
        <v>241</v>
      </c>
      <c r="AZ278" s="103"/>
      <c r="BA278" s="39" t="s">
        <v>291</v>
      </c>
      <c r="BB278" s="40"/>
      <c r="BE278" s="41"/>
      <c r="BI278" s="42">
        <v>1</v>
      </c>
    </row>
    <row r="279" spans="1:63" s="24" customFormat="1" ht="20.100000000000001" customHeight="1">
      <c r="A279" s="32">
        <f>A278+1</f>
        <v>264</v>
      </c>
      <c r="B279" s="60" t="s">
        <v>718</v>
      </c>
      <c r="C279" s="102" t="s">
        <v>45</v>
      </c>
      <c r="D279" s="35">
        <f t="shared" si="27"/>
        <v>0.2</v>
      </c>
      <c r="E279" s="35"/>
      <c r="F279" s="35">
        <f t="shared" si="28"/>
        <v>0.2</v>
      </c>
      <c r="G279" s="43">
        <v>0.2</v>
      </c>
      <c r="H279" s="43"/>
      <c r="I279" s="43"/>
      <c r="J279" s="43"/>
      <c r="K279" s="43"/>
      <c r="L279" s="43"/>
      <c r="M279" s="43"/>
      <c r="N279" s="43"/>
      <c r="O279" s="43"/>
      <c r="P279" s="43"/>
      <c r="Q279" s="43"/>
      <c r="R279" s="43"/>
      <c r="S279" s="43"/>
      <c r="T279" s="43"/>
      <c r="U279" s="43"/>
      <c r="V279" s="43"/>
      <c r="W279" s="43"/>
      <c r="X279" s="43"/>
      <c r="Y279" s="43"/>
      <c r="Z279" s="43"/>
      <c r="AA279" s="43"/>
      <c r="AB279" s="43"/>
      <c r="AC279" s="43"/>
      <c r="AD279" s="43"/>
      <c r="AE279" s="43"/>
      <c r="AF279" s="43"/>
      <c r="AG279" s="43"/>
      <c r="AH279" s="43"/>
      <c r="AI279" s="43"/>
      <c r="AJ279" s="43"/>
      <c r="AK279" s="43"/>
      <c r="AL279" s="43"/>
      <c r="AM279" s="43"/>
      <c r="AN279" s="43"/>
      <c r="AO279" s="43"/>
      <c r="AP279" s="43"/>
      <c r="AQ279" s="43"/>
      <c r="AR279" s="43"/>
      <c r="AS279" s="43"/>
      <c r="AT279" s="43"/>
      <c r="AU279" s="43"/>
      <c r="AV279" s="43"/>
      <c r="AW279" s="43"/>
      <c r="AX279" s="43"/>
      <c r="AY279" s="103" t="s">
        <v>241</v>
      </c>
      <c r="AZ279" s="103"/>
      <c r="BA279" s="39" t="s">
        <v>291</v>
      </c>
      <c r="BB279" s="40"/>
      <c r="BE279" s="41"/>
      <c r="BI279" s="42">
        <v>1</v>
      </c>
    </row>
    <row r="280" spans="1:63" s="24" customFormat="1" ht="20.85" customHeight="1">
      <c r="A280" s="20" t="s">
        <v>719</v>
      </c>
      <c r="B280" s="25" t="s">
        <v>127</v>
      </c>
      <c r="C280" s="26"/>
      <c r="D280" s="27">
        <f t="shared" si="27"/>
        <v>3.43</v>
      </c>
      <c r="E280" s="83">
        <f>SUM(E281:E286)</f>
        <v>0</v>
      </c>
      <c r="F280" s="27">
        <f t="shared" si="28"/>
        <v>3.43</v>
      </c>
      <c r="G280" s="28">
        <f t="shared" ref="G280:AX280" si="29">SUM(G281:G286)</f>
        <v>1.2</v>
      </c>
      <c r="H280" s="28">
        <f t="shared" si="29"/>
        <v>0</v>
      </c>
      <c r="I280" s="28">
        <f t="shared" si="29"/>
        <v>0.3</v>
      </c>
      <c r="J280" s="28">
        <f t="shared" si="29"/>
        <v>0.85000000000000009</v>
      </c>
      <c r="K280" s="28">
        <f t="shared" si="29"/>
        <v>0</v>
      </c>
      <c r="L280" s="28">
        <f t="shared" si="29"/>
        <v>0</v>
      </c>
      <c r="M280" s="28">
        <f t="shared" si="29"/>
        <v>0.28000000000000003</v>
      </c>
      <c r="N280" s="28">
        <f t="shared" si="29"/>
        <v>0</v>
      </c>
      <c r="O280" s="28">
        <f t="shared" si="29"/>
        <v>0</v>
      </c>
      <c r="P280" s="28">
        <f t="shared" si="29"/>
        <v>0.60000000000000009</v>
      </c>
      <c r="Q280" s="28">
        <f t="shared" si="29"/>
        <v>0</v>
      </c>
      <c r="R280" s="28">
        <f t="shared" si="29"/>
        <v>0</v>
      </c>
      <c r="S280" s="28">
        <f t="shared" si="29"/>
        <v>0</v>
      </c>
      <c r="T280" s="28">
        <f t="shared" si="29"/>
        <v>0</v>
      </c>
      <c r="U280" s="28">
        <f t="shared" si="29"/>
        <v>0</v>
      </c>
      <c r="V280" s="28">
        <f t="shared" si="29"/>
        <v>0</v>
      </c>
      <c r="W280" s="28">
        <f t="shared" si="29"/>
        <v>0</v>
      </c>
      <c r="X280" s="28">
        <f t="shared" si="29"/>
        <v>0</v>
      </c>
      <c r="Y280" s="28">
        <f t="shared" si="29"/>
        <v>0</v>
      </c>
      <c r="Z280" s="28">
        <f t="shared" si="29"/>
        <v>0</v>
      </c>
      <c r="AA280" s="28">
        <f t="shared" si="29"/>
        <v>0</v>
      </c>
      <c r="AB280" s="28">
        <f t="shared" si="29"/>
        <v>0</v>
      </c>
      <c r="AC280" s="28">
        <f t="shared" si="29"/>
        <v>0</v>
      </c>
      <c r="AD280" s="28">
        <f t="shared" si="29"/>
        <v>0</v>
      </c>
      <c r="AE280" s="28">
        <f t="shared" si="29"/>
        <v>0</v>
      </c>
      <c r="AF280" s="28">
        <f t="shared" si="29"/>
        <v>0</v>
      </c>
      <c r="AG280" s="28">
        <f t="shared" si="29"/>
        <v>0</v>
      </c>
      <c r="AH280" s="28">
        <f t="shared" si="29"/>
        <v>0</v>
      </c>
      <c r="AI280" s="28">
        <f t="shared" si="29"/>
        <v>0</v>
      </c>
      <c r="AJ280" s="28">
        <f t="shared" si="29"/>
        <v>0</v>
      </c>
      <c r="AK280" s="28">
        <f t="shared" si="29"/>
        <v>0</v>
      </c>
      <c r="AL280" s="28">
        <f t="shared" si="29"/>
        <v>0</v>
      </c>
      <c r="AM280" s="28">
        <f t="shared" si="29"/>
        <v>0</v>
      </c>
      <c r="AN280" s="28">
        <f t="shared" si="29"/>
        <v>0</v>
      </c>
      <c r="AO280" s="28">
        <f t="shared" si="29"/>
        <v>0</v>
      </c>
      <c r="AP280" s="28">
        <f t="shared" si="29"/>
        <v>0</v>
      </c>
      <c r="AQ280" s="28">
        <f t="shared" si="29"/>
        <v>0</v>
      </c>
      <c r="AR280" s="28">
        <f t="shared" si="29"/>
        <v>0.2</v>
      </c>
      <c r="AS280" s="28">
        <f t="shared" si="29"/>
        <v>0</v>
      </c>
      <c r="AT280" s="28">
        <f t="shared" si="29"/>
        <v>0</v>
      </c>
      <c r="AU280" s="28">
        <f t="shared" si="29"/>
        <v>0</v>
      </c>
      <c r="AV280" s="28">
        <f t="shared" si="29"/>
        <v>0</v>
      </c>
      <c r="AW280" s="28">
        <f t="shared" si="29"/>
        <v>0</v>
      </c>
      <c r="AX280" s="28">
        <f t="shared" si="29"/>
        <v>0</v>
      </c>
      <c r="AY280" s="29"/>
      <c r="AZ280" s="29"/>
      <c r="BA280" s="30"/>
      <c r="BB280" s="31"/>
      <c r="BI280" s="42"/>
    </row>
    <row r="281" spans="1:63" ht="18.600000000000001" customHeight="1">
      <c r="A281" s="32">
        <f>A279+1</f>
        <v>265</v>
      </c>
      <c r="B281" s="88" t="s">
        <v>720</v>
      </c>
      <c r="C281" s="78" t="s">
        <v>48</v>
      </c>
      <c r="D281" s="35">
        <f t="shared" si="27"/>
        <v>2.5</v>
      </c>
      <c r="E281" s="35"/>
      <c r="F281" s="35">
        <f t="shared" si="28"/>
        <v>2.5</v>
      </c>
      <c r="G281" s="43">
        <v>1.2</v>
      </c>
      <c r="H281" s="43"/>
      <c r="I281" s="43">
        <v>0.3</v>
      </c>
      <c r="J281" s="43">
        <v>0.55000000000000004</v>
      </c>
      <c r="K281" s="43"/>
      <c r="L281" s="43"/>
      <c r="M281" s="43"/>
      <c r="N281" s="43"/>
      <c r="O281" s="43"/>
      <c r="P281" s="43">
        <v>0.45</v>
      </c>
      <c r="Q281" s="43"/>
      <c r="R281" s="43"/>
      <c r="S281" s="43"/>
      <c r="T281" s="43"/>
      <c r="U281" s="43"/>
      <c r="V281" s="43"/>
      <c r="W281" s="43"/>
      <c r="X281" s="43"/>
      <c r="Y281" s="43"/>
      <c r="Z281" s="43"/>
      <c r="AA281" s="43"/>
      <c r="AB281" s="43"/>
      <c r="AC281" s="43"/>
      <c r="AD281" s="43"/>
      <c r="AE281" s="43"/>
      <c r="AF281" s="43"/>
      <c r="AG281" s="43"/>
      <c r="AH281" s="43"/>
      <c r="AI281" s="43"/>
      <c r="AJ281" s="43"/>
      <c r="AK281" s="43"/>
      <c r="AL281" s="43"/>
      <c r="AM281" s="43"/>
      <c r="AN281" s="43"/>
      <c r="AO281" s="43"/>
      <c r="AP281" s="43"/>
      <c r="AQ281" s="43"/>
      <c r="AR281" s="43"/>
      <c r="AS281" s="43"/>
      <c r="AT281" s="43"/>
      <c r="AU281" s="43"/>
      <c r="AV281" s="43"/>
      <c r="AW281" s="43"/>
      <c r="AX281" s="43"/>
      <c r="AY281" s="102" t="s">
        <v>317</v>
      </c>
      <c r="AZ281" s="102" t="s">
        <v>315</v>
      </c>
      <c r="BA281" s="47" t="s">
        <v>298</v>
      </c>
      <c r="BB281" s="48"/>
      <c r="BC281" s="15" t="s">
        <v>381</v>
      </c>
      <c r="BI281" s="42">
        <v>1</v>
      </c>
    </row>
    <row r="282" spans="1:63" s="121" customFormat="1" ht="18.600000000000001" customHeight="1">
      <c r="A282" s="32">
        <f>A281+1</f>
        <v>266</v>
      </c>
      <c r="B282" s="88" t="s">
        <v>721</v>
      </c>
      <c r="C282" s="78" t="s">
        <v>48</v>
      </c>
      <c r="D282" s="35">
        <f t="shared" si="27"/>
        <v>0.03</v>
      </c>
      <c r="E282" s="35"/>
      <c r="F282" s="35">
        <f t="shared" si="28"/>
        <v>0.03</v>
      </c>
      <c r="G282" s="119"/>
      <c r="H282" s="119"/>
      <c r="I282" s="119"/>
      <c r="J282" s="119"/>
      <c r="K282" s="107"/>
      <c r="L282" s="119"/>
      <c r="M282" s="119">
        <v>0.03</v>
      </c>
      <c r="N282" s="119"/>
      <c r="O282" s="119"/>
      <c r="P282" s="119"/>
      <c r="Q282" s="119"/>
      <c r="R282" s="119"/>
      <c r="S282" s="119"/>
      <c r="T282" s="119"/>
      <c r="U282" s="119"/>
      <c r="V282" s="119"/>
      <c r="W282" s="119"/>
      <c r="X282" s="119"/>
      <c r="Y282" s="119"/>
      <c r="Z282" s="119"/>
      <c r="AA282" s="119"/>
      <c r="AB282" s="119"/>
      <c r="AC282" s="119"/>
      <c r="AD282" s="119"/>
      <c r="AE282" s="119"/>
      <c r="AF282" s="119"/>
      <c r="AG282" s="119"/>
      <c r="AH282" s="119"/>
      <c r="AI282" s="119"/>
      <c r="AJ282" s="119"/>
      <c r="AK282" s="119"/>
      <c r="AL282" s="119"/>
      <c r="AM282" s="119"/>
      <c r="AN282" s="119"/>
      <c r="AO282" s="119"/>
      <c r="AP282" s="119"/>
      <c r="AQ282" s="119"/>
      <c r="AR282" s="119"/>
      <c r="AS282" s="119"/>
      <c r="AT282" s="119"/>
      <c r="AU282" s="119"/>
      <c r="AV282" s="119"/>
      <c r="AW282" s="119"/>
      <c r="AX282" s="119"/>
      <c r="AY282" s="102" t="s">
        <v>221</v>
      </c>
      <c r="AZ282" s="102" t="s">
        <v>389</v>
      </c>
      <c r="BA282" s="39" t="s">
        <v>291</v>
      </c>
      <c r="BB282" s="40"/>
      <c r="BC282" s="120"/>
      <c r="BD282" s="120"/>
      <c r="BE282" s="41"/>
      <c r="BF282" s="120"/>
      <c r="BG282" s="121" t="s">
        <v>299</v>
      </c>
      <c r="BI282" s="42">
        <v>1</v>
      </c>
      <c r="BJ282" s="121" t="s">
        <v>722</v>
      </c>
      <c r="BK282" s="122" t="s">
        <v>546</v>
      </c>
    </row>
    <row r="283" spans="1:63" s="71" customFormat="1" ht="18.600000000000001" customHeight="1">
      <c r="A283" s="32">
        <f>A282+1</f>
        <v>267</v>
      </c>
      <c r="B283" s="66" t="s">
        <v>723</v>
      </c>
      <c r="C283" s="78" t="s">
        <v>48</v>
      </c>
      <c r="D283" s="35">
        <f t="shared" si="27"/>
        <v>0.2</v>
      </c>
      <c r="E283" s="123"/>
      <c r="F283" s="35">
        <f t="shared" si="28"/>
        <v>0.2</v>
      </c>
      <c r="G283" s="68"/>
      <c r="H283" s="68"/>
      <c r="I283" s="68"/>
      <c r="J283" s="68"/>
      <c r="K283" s="68"/>
      <c r="L283" s="68"/>
      <c r="M283" s="68"/>
      <c r="N283" s="68"/>
      <c r="O283" s="68"/>
      <c r="P283" s="68"/>
      <c r="Q283" s="68"/>
      <c r="R283" s="68"/>
      <c r="S283" s="68"/>
      <c r="T283" s="68"/>
      <c r="U283" s="68"/>
      <c r="V283" s="68"/>
      <c r="W283" s="68"/>
      <c r="X283" s="68"/>
      <c r="Y283" s="68"/>
      <c r="Z283" s="68"/>
      <c r="AA283" s="68"/>
      <c r="AB283" s="68"/>
      <c r="AC283" s="68"/>
      <c r="AD283" s="68"/>
      <c r="AE283" s="68"/>
      <c r="AF283" s="68"/>
      <c r="AG283" s="68"/>
      <c r="AH283" s="68"/>
      <c r="AI283" s="68"/>
      <c r="AJ283" s="68"/>
      <c r="AK283" s="68"/>
      <c r="AL283" s="68"/>
      <c r="AM283" s="68"/>
      <c r="AN283" s="68"/>
      <c r="AO283" s="68"/>
      <c r="AP283" s="68"/>
      <c r="AQ283" s="68"/>
      <c r="AR283" s="68">
        <v>0.2</v>
      </c>
      <c r="AS283" s="68"/>
      <c r="AT283" s="68"/>
      <c r="AU283" s="68"/>
      <c r="AV283" s="68"/>
      <c r="AW283" s="68"/>
      <c r="AX283" s="68"/>
      <c r="AY283" s="70" t="s">
        <v>226</v>
      </c>
      <c r="AZ283" s="70" t="s">
        <v>724</v>
      </c>
      <c r="BA283" s="47" t="s">
        <v>322</v>
      </c>
      <c r="BB283" s="48"/>
      <c r="BI283" s="42">
        <v>1</v>
      </c>
      <c r="BK283" s="72"/>
    </row>
    <row r="284" spans="1:63" s="61" customFormat="1">
      <c r="A284" s="32">
        <f>A283+1</f>
        <v>268</v>
      </c>
      <c r="B284" s="60" t="s">
        <v>725</v>
      </c>
      <c r="C284" s="78" t="s">
        <v>48</v>
      </c>
      <c r="D284" s="35">
        <f t="shared" si="27"/>
        <v>0.1</v>
      </c>
      <c r="E284" s="36"/>
      <c r="F284" s="35">
        <f t="shared" si="28"/>
        <v>0.1</v>
      </c>
      <c r="G284" s="43"/>
      <c r="H284" s="43"/>
      <c r="I284" s="43"/>
      <c r="J284" s="43"/>
      <c r="K284" s="43"/>
      <c r="L284" s="43"/>
      <c r="M284" s="43"/>
      <c r="N284" s="43"/>
      <c r="O284" s="43"/>
      <c r="P284" s="43">
        <v>0.1</v>
      </c>
      <c r="Q284" s="43"/>
      <c r="R284" s="43"/>
      <c r="S284" s="43"/>
      <c r="T284" s="43"/>
      <c r="U284" s="43"/>
      <c r="V284" s="43"/>
      <c r="W284" s="43"/>
      <c r="X284" s="43"/>
      <c r="Y284" s="43"/>
      <c r="Z284" s="43"/>
      <c r="AA284" s="43"/>
      <c r="AB284" s="43"/>
      <c r="AC284" s="43"/>
      <c r="AD284" s="43"/>
      <c r="AE284" s="43"/>
      <c r="AF284" s="43"/>
      <c r="AG284" s="43"/>
      <c r="AH284" s="43"/>
      <c r="AI284" s="43"/>
      <c r="AJ284" s="43"/>
      <c r="AK284" s="43"/>
      <c r="AL284" s="43"/>
      <c r="AM284" s="43"/>
      <c r="AN284" s="43"/>
      <c r="AO284" s="43"/>
      <c r="AP284" s="43"/>
      <c r="AQ284" s="43"/>
      <c r="AR284" s="43"/>
      <c r="AS284" s="43"/>
      <c r="AT284" s="43"/>
      <c r="AU284" s="43"/>
      <c r="AV284" s="43"/>
      <c r="AW284" s="43"/>
      <c r="AX284" s="43"/>
      <c r="AY284" s="34" t="s">
        <v>222</v>
      </c>
      <c r="AZ284" s="34" t="s">
        <v>451</v>
      </c>
      <c r="BA284" s="39" t="s">
        <v>291</v>
      </c>
      <c r="BB284" s="40" t="s">
        <v>726</v>
      </c>
      <c r="BC284" s="41"/>
      <c r="BD284" s="41"/>
      <c r="BE284" s="15"/>
      <c r="BF284" s="15"/>
      <c r="BI284" s="42">
        <v>1</v>
      </c>
      <c r="BJ284" s="61" t="s">
        <v>727</v>
      </c>
      <c r="BK284" s="61" t="s">
        <v>546</v>
      </c>
    </row>
    <row r="285" spans="1:63" s="61" customFormat="1" ht="33.6" customHeight="1">
      <c r="A285" s="32">
        <f>A284+1</f>
        <v>269</v>
      </c>
      <c r="B285" s="56" t="s">
        <v>728</v>
      </c>
      <c r="C285" s="78" t="s">
        <v>48</v>
      </c>
      <c r="D285" s="35">
        <f>E285+F285</f>
        <v>0.3</v>
      </c>
      <c r="E285" s="36"/>
      <c r="F285" s="35">
        <f>SUM(G285:AX285)</f>
        <v>0.3</v>
      </c>
      <c r="G285" s="43"/>
      <c r="H285" s="43"/>
      <c r="I285" s="43"/>
      <c r="J285" s="43"/>
      <c r="K285" s="43"/>
      <c r="L285" s="43"/>
      <c r="M285" s="43">
        <v>0.25</v>
      </c>
      <c r="N285" s="43"/>
      <c r="O285" s="43"/>
      <c r="P285" s="43">
        <v>0.05</v>
      </c>
      <c r="Q285" s="43"/>
      <c r="R285" s="43"/>
      <c r="S285" s="43"/>
      <c r="T285" s="43"/>
      <c r="U285" s="43"/>
      <c r="V285" s="43"/>
      <c r="W285" s="43"/>
      <c r="X285" s="43"/>
      <c r="Y285" s="43"/>
      <c r="Z285" s="43"/>
      <c r="AA285" s="43"/>
      <c r="AB285" s="43"/>
      <c r="AC285" s="43"/>
      <c r="AD285" s="43"/>
      <c r="AE285" s="43"/>
      <c r="AF285" s="43"/>
      <c r="AG285" s="43"/>
      <c r="AH285" s="43"/>
      <c r="AI285" s="43"/>
      <c r="AJ285" s="43"/>
      <c r="AK285" s="43"/>
      <c r="AL285" s="43"/>
      <c r="AM285" s="43"/>
      <c r="AN285" s="43"/>
      <c r="AO285" s="43"/>
      <c r="AP285" s="43"/>
      <c r="AQ285" s="43"/>
      <c r="AR285" s="43"/>
      <c r="AS285" s="43"/>
      <c r="AT285" s="43"/>
      <c r="AU285" s="43"/>
      <c r="AV285" s="43"/>
      <c r="AW285" s="43"/>
      <c r="AX285" s="43"/>
      <c r="AY285" s="34" t="s">
        <v>237</v>
      </c>
      <c r="AZ285" s="34" t="s">
        <v>308</v>
      </c>
      <c r="BA285" s="47" t="s">
        <v>298</v>
      </c>
      <c r="BB285" s="40"/>
      <c r="BC285" s="41"/>
      <c r="BD285" s="41"/>
      <c r="BE285" s="15"/>
      <c r="BF285" s="15"/>
      <c r="BG285" s="61" t="s">
        <v>311</v>
      </c>
      <c r="BI285" s="42"/>
      <c r="BJ285" s="61" t="s">
        <v>729</v>
      </c>
      <c r="BK285" s="61" t="s">
        <v>546</v>
      </c>
    </row>
    <row r="286" spans="1:63" ht="31.5">
      <c r="A286" s="32">
        <f>A285+1</f>
        <v>270</v>
      </c>
      <c r="B286" s="56" t="s">
        <v>730</v>
      </c>
      <c r="C286" s="78" t="s">
        <v>48</v>
      </c>
      <c r="D286" s="35">
        <f t="shared" si="27"/>
        <v>0.3</v>
      </c>
      <c r="E286" s="35"/>
      <c r="F286" s="35">
        <f t="shared" si="28"/>
        <v>0.3</v>
      </c>
      <c r="G286" s="43"/>
      <c r="H286" s="43"/>
      <c r="I286" s="43"/>
      <c r="J286" s="43">
        <v>0.3</v>
      </c>
      <c r="K286" s="43"/>
      <c r="L286" s="43"/>
      <c r="M286" s="43"/>
      <c r="N286" s="43"/>
      <c r="O286" s="43"/>
      <c r="P286" s="43"/>
      <c r="Q286" s="43"/>
      <c r="R286" s="43"/>
      <c r="S286" s="43"/>
      <c r="T286" s="43"/>
      <c r="U286" s="43"/>
      <c r="V286" s="43"/>
      <c r="W286" s="43"/>
      <c r="X286" s="43"/>
      <c r="Y286" s="43"/>
      <c r="Z286" s="43"/>
      <c r="AA286" s="43"/>
      <c r="AB286" s="43"/>
      <c r="AC286" s="43"/>
      <c r="AD286" s="43"/>
      <c r="AE286" s="43"/>
      <c r="AF286" s="43"/>
      <c r="AG286" s="43"/>
      <c r="AH286" s="43"/>
      <c r="AI286" s="43"/>
      <c r="AJ286" s="43"/>
      <c r="AK286" s="43"/>
      <c r="AL286" s="43"/>
      <c r="AM286" s="43"/>
      <c r="AN286" s="43"/>
      <c r="AO286" s="43"/>
      <c r="AP286" s="43"/>
      <c r="AQ286" s="43"/>
      <c r="AR286" s="43"/>
      <c r="AS286" s="43"/>
      <c r="AT286" s="43"/>
      <c r="AU286" s="43"/>
      <c r="AV286" s="43"/>
      <c r="AW286" s="43"/>
      <c r="AX286" s="43"/>
      <c r="AY286" s="34" t="s">
        <v>228</v>
      </c>
      <c r="AZ286" s="34" t="s">
        <v>731</v>
      </c>
      <c r="BA286" s="47" t="s">
        <v>298</v>
      </c>
      <c r="BB286" s="48"/>
      <c r="BC286" s="15" t="s">
        <v>732</v>
      </c>
      <c r="BI286" s="42">
        <v>1</v>
      </c>
      <c r="BJ286" s="61" t="s">
        <v>729</v>
      </c>
      <c r="BK286" s="15" t="s">
        <v>546</v>
      </c>
    </row>
    <row r="287" spans="1:63" s="24" customFormat="1" ht="22.35" customHeight="1">
      <c r="A287" s="20" t="s">
        <v>733</v>
      </c>
      <c r="B287" s="25" t="s">
        <v>129</v>
      </c>
      <c r="C287" s="26"/>
      <c r="D287" s="27">
        <f t="shared" si="27"/>
        <v>3.7999999999999994</v>
      </c>
      <c r="E287" s="27">
        <f>SUM(E288:E290)</f>
        <v>2.4399999999999995</v>
      </c>
      <c r="F287" s="27">
        <f t="shared" si="28"/>
        <v>1.3599999999999999</v>
      </c>
      <c r="G287" s="28">
        <f t="shared" ref="G287:AX287" si="30">SUM(G288:G290)</f>
        <v>0.62</v>
      </c>
      <c r="H287" s="28">
        <f t="shared" si="30"/>
        <v>0</v>
      </c>
      <c r="I287" s="28">
        <f t="shared" si="30"/>
        <v>0.11</v>
      </c>
      <c r="J287" s="28">
        <f t="shared" si="30"/>
        <v>0</v>
      </c>
      <c r="K287" s="28">
        <f t="shared" si="30"/>
        <v>0</v>
      </c>
      <c r="L287" s="28">
        <f t="shared" si="30"/>
        <v>0</v>
      </c>
      <c r="M287" s="28">
        <f t="shared" si="30"/>
        <v>0.08</v>
      </c>
      <c r="N287" s="28">
        <f t="shared" si="30"/>
        <v>0</v>
      </c>
      <c r="O287" s="28">
        <f t="shared" si="30"/>
        <v>0</v>
      </c>
      <c r="P287" s="28">
        <f t="shared" si="30"/>
        <v>0</v>
      </c>
      <c r="Q287" s="28">
        <f t="shared" si="30"/>
        <v>0</v>
      </c>
      <c r="R287" s="28">
        <f t="shared" si="30"/>
        <v>0</v>
      </c>
      <c r="S287" s="28">
        <f t="shared" si="30"/>
        <v>0</v>
      </c>
      <c r="T287" s="28">
        <f t="shared" si="30"/>
        <v>0</v>
      </c>
      <c r="U287" s="28">
        <f t="shared" si="30"/>
        <v>0</v>
      </c>
      <c r="V287" s="28">
        <f t="shared" si="30"/>
        <v>0</v>
      </c>
      <c r="W287" s="28">
        <f t="shared" si="30"/>
        <v>0</v>
      </c>
      <c r="X287" s="28">
        <f t="shared" si="30"/>
        <v>0</v>
      </c>
      <c r="Y287" s="28">
        <f t="shared" si="30"/>
        <v>0</v>
      </c>
      <c r="Z287" s="28">
        <f t="shared" si="30"/>
        <v>0</v>
      </c>
      <c r="AA287" s="28">
        <f t="shared" si="30"/>
        <v>0</v>
      </c>
      <c r="AB287" s="28">
        <f t="shared" si="30"/>
        <v>0</v>
      </c>
      <c r="AC287" s="28">
        <f t="shared" si="30"/>
        <v>0</v>
      </c>
      <c r="AD287" s="28">
        <f t="shared" si="30"/>
        <v>0</v>
      </c>
      <c r="AE287" s="28">
        <f t="shared" si="30"/>
        <v>0</v>
      </c>
      <c r="AF287" s="28">
        <f t="shared" si="30"/>
        <v>0</v>
      </c>
      <c r="AG287" s="28">
        <f t="shared" si="30"/>
        <v>0</v>
      </c>
      <c r="AH287" s="28">
        <f t="shared" si="30"/>
        <v>0</v>
      </c>
      <c r="AI287" s="28">
        <f t="shared" si="30"/>
        <v>0</v>
      </c>
      <c r="AJ287" s="28">
        <f t="shared" si="30"/>
        <v>0</v>
      </c>
      <c r="AK287" s="28">
        <f t="shared" si="30"/>
        <v>0</v>
      </c>
      <c r="AL287" s="28">
        <f t="shared" si="30"/>
        <v>0.28000000000000003</v>
      </c>
      <c r="AM287" s="28">
        <f t="shared" si="30"/>
        <v>0</v>
      </c>
      <c r="AN287" s="28">
        <f t="shared" si="30"/>
        <v>0</v>
      </c>
      <c r="AO287" s="28">
        <f t="shared" si="30"/>
        <v>0</v>
      </c>
      <c r="AP287" s="28">
        <f t="shared" si="30"/>
        <v>0</v>
      </c>
      <c r="AQ287" s="28">
        <f t="shared" si="30"/>
        <v>0.27</v>
      </c>
      <c r="AR287" s="28">
        <f t="shared" si="30"/>
        <v>0</v>
      </c>
      <c r="AS287" s="28">
        <f t="shared" si="30"/>
        <v>0</v>
      </c>
      <c r="AT287" s="28">
        <f t="shared" si="30"/>
        <v>0</v>
      </c>
      <c r="AU287" s="28">
        <f t="shared" si="30"/>
        <v>0</v>
      </c>
      <c r="AV287" s="28">
        <f t="shared" si="30"/>
        <v>0</v>
      </c>
      <c r="AW287" s="28">
        <f t="shared" si="30"/>
        <v>0</v>
      </c>
      <c r="AX287" s="28">
        <f t="shared" si="30"/>
        <v>0</v>
      </c>
      <c r="AY287" s="29"/>
      <c r="AZ287" s="29"/>
      <c r="BA287" s="30"/>
      <c r="BB287" s="31"/>
      <c r="BI287" s="42"/>
    </row>
    <row r="288" spans="1:63" ht="20.85" customHeight="1">
      <c r="A288" s="32">
        <f>A286+1</f>
        <v>271</v>
      </c>
      <c r="B288" s="88" t="s">
        <v>734</v>
      </c>
      <c r="C288" s="102" t="s">
        <v>49</v>
      </c>
      <c r="D288" s="35">
        <f t="shared" si="27"/>
        <v>3.11</v>
      </c>
      <c r="E288" s="35">
        <v>2.11</v>
      </c>
      <c r="F288" s="35">
        <f t="shared" si="28"/>
        <v>1</v>
      </c>
      <c r="G288" s="43">
        <v>0.62</v>
      </c>
      <c r="H288" s="43"/>
      <c r="I288" s="43">
        <v>0.11</v>
      </c>
      <c r="J288" s="43"/>
      <c r="K288" s="43"/>
      <c r="L288" s="43"/>
      <c r="M288" s="43"/>
      <c r="N288" s="43"/>
      <c r="O288" s="43"/>
      <c r="P288" s="43"/>
      <c r="Q288" s="43"/>
      <c r="R288" s="43"/>
      <c r="S288" s="43"/>
      <c r="T288" s="43"/>
      <c r="U288" s="43"/>
      <c r="V288" s="43"/>
      <c r="W288" s="43"/>
      <c r="X288" s="43"/>
      <c r="Y288" s="43"/>
      <c r="Z288" s="43"/>
      <c r="AA288" s="43"/>
      <c r="AB288" s="43"/>
      <c r="AC288" s="43"/>
      <c r="AD288" s="43"/>
      <c r="AE288" s="43"/>
      <c r="AF288" s="43"/>
      <c r="AG288" s="43"/>
      <c r="AH288" s="43"/>
      <c r="AI288" s="43"/>
      <c r="AJ288" s="43"/>
      <c r="AK288" s="43"/>
      <c r="AL288" s="43"/>
      <c r="AM288" s="43"/>
      <c r="AN288" s="43"/>
      <c r="AO288" s="43"/>
      <c r="AP288" s="43"/>
      <c r="AQ288" s="43">
        <v>0.27</v>
      </c>
      <c r="AR288" s="43"/>
      <c r="AS288" s="43"/>
      <c r="AT288" s="43"/>
      <c r="AU288" s="43"/>
      <c r="AV288" s="43"/>
      <c r="AW288" s="43"/>
      <c r="AX288" s="43"/>
      <c r="AY288" s="34" t="s">
        <v>289</v>
      </c>
      <c r="AZ288" s="34" t="s">
        <v>735</v>
      </c>
      <c r="BA288" s="39" t="s">
        <v>291</v>
      </c>
      <c r="BB288" s="40"/>
      <c r="BI288" s="42">
        <v>1</v>
      </c>
    </row>
    <row r="289" spans="1:64" s="24" customFormat="1" ht="20.85" customHeight="1">
      <c r="A289" s="32">
        <f>A288+1</f>
        <v>272</v>
      </c>
      <c r="B289" s="88" t="s">
        <v>736</v>
      </c>
      <c r="C289" s="102" t="s">
        <v>49</v>
      </c>
      <c r="D289" s="35">
        <f t="shared" si="27"/>
        <v>0.56000000000000005</v>
      </c>
      <c r="E289" s="35">
        <v>0.28000000000000003</v>
      </c>
      <c r="F289" s="35">
        <f t="shared" si="28"/>
        <v>0.28000000000000003</v>
      </c>
      <c r="G289" s="28"/>
      <c r="H289" s="28"/>
      <c r="I289" s="28"/>
      <c r="J289" s="28"/>
      <c r="K289" s="28"/>
      <c r="L289" s="28"/>
      <c r="M289" s="28"/>
      <c r="N289" s="28"/>
      <c r="O289" s="28"/>
      <c r="P289" s="28"/>
      <c r="Q289" s="28"/>
      <c r="R289" s="28"/>
      <c r="S289" s="28"/>
      <c r="T289" s="28"/>
      <c r="U289" s="28"/>
      <c r="V289" s="28"/>
      <c r="W289" s="28"/>
      <c r="X289" s="28"/>
      <c r="Y289" s="28"/>
      <c r="Z289" s="28"/>
      <c r="AA289" s="28"/>
      <c r="AB289" s="28"/>
      <c r="AC289" s="28"/>
      <c r="AD289" s="28"/>
      <c r="AE289" s="28"/>
      <c r="AF289" s="28"/>
      <c r="AG289" s="28"/>
      <c r="AH289" s="28"/>
      <c r="AI289" s="28"/>
      <c r="AJ289" s="28"/>
      <c r="AK289" s="28"/>
      <c r="AL289" s="43">
        <v>0.28000000000000003</v>
      </c>
      <c r="AM289" s="28"/>
      <c r="AN289" s="28"/>
      <c r="AO289" s="28"/>
      <c r="AP289" s="28"/>
      <c r="AQ289" s="28"/>
      <c r="AR289" s="28"/>
      <c r="AS289" s="28"/>
      <c r="AT289" s="28"/>
      <c r="AU289" s="28"/>
      <c r="AV289" s="28"/>
      <c r="AW289" s="28"/>
      <c r="AX289" s="28"/>
      <c r="AY289" s="34" t="s">
        <v>230</v>
      </c>
      <c r="AZ289" s="34" t="s">
        <v>308</v>
      </c>
      <c r="BA289" s="47" t="s">
        <v>298</v>
      </c>
      <c r="BB289" s="48"/>
      <c r="BC289" s="124"/>
      <c r="BD289" s="124"/>
      <c r="BE289" s="31"/>
      <c r="BF289" s="64" t="s">
        <v>737</v>
      </c>
      <c r="BH289" s="59"/>
      <c r="BI289" s="42">
        <v>1</v>
      </c>
    </row>
    <row r="290" spans="1:64" ht="20.85" customHeight="1">
      <c r="A290" s="32">
        <f>A289+1</f>
        <v>273</v>
      </c>
      <c r="B290" s="88" t="s">
        <v>738</v>
      </c>
      <c r="C290" s="102" t="s">
        <v>49</v>
      </c>
      <c r="D290" s="35">
        <f t="shared" si="27"/>
        <v>0.13</v>
      </c>
      <c r="E290" s="35">
        <v>0.05</v>
      </c>
      <c r="F290" s="35">
        <f t="shared" si="28"/>
        <v>0.08</v>
      </c>
      <c r="G290" s="107"/>
      <c r="H290" s="107"/>
      <c r="I290" s="107"/>
      <c r="J290" s="107"/>
      <c r="K290" s="107"/>
      <c r="L290" s="107"/>
      <c r="M290" s="107">
        <v>0.08</v>
      </c>
      <c r="N290" s="107"/>
      <c r="O290" s="107"/>
      <c r="P290" s="107"/>
      <c r="Q290" s="107"/>
      <c r="R290" s="107"/>
      <c r="S290" s="107"/>
      <c r="T290" s="107"/>
      <c r="U290" s="107"/>
      <c r="V290" s="107"/>
      <c r="W290" s="107"/>
      <c r="X290" s="107"/>
      <c r="Y290" s="107"/>
      <c r="Z290" s="107"/>
      <c r="AA290" s="107"/>
      <c r="AB290" s="107"/>
      <c r="AC290" s="107"/>
      <c r="AD290" s="107"/>
      <c r="AE290" s="107"/>
      <c r="AF290" s="107"/>
      <c r="AG290" s="107"/>
      <c r="AH290" s="107"/>
      <c r="AI290" s="107"/>
      <c r="AJ290" s="107"/>
      <c r="AK290" s="107"/>
      <c r="AL290" s="107"/>
      <c r="AM290" s="107"/>
      <c r="AN290" s="107"/>
      <c r="AO290" s="107"/>
      <c r="AP290" s="107"/>
      <c r="AQ290" s="107"/>
      <c r="AR290" s="107"/>
      <c r="AS290" s="107"/>
      <c r="AT290" s="107"/>
      <c r="AU290" s="107"/>
      <c r="AV290" s="107"/>
      <c r="AW290" s="107"/>
      <c r="AX290" s="107"/>
      <c r="AY290" s="34" t="s">
        <v>237</v>
      </c>
      <c r="AZ290" s="34" t="s">
        <v>308</v>
      </c>
      <c r="BA290" s="63" t="s">
        <v>291</v>
      </c>
      <c r="BB290" s="64"/>
      <c r="BC290" s="40"/>
      <c r="BD290" s="40" t="s">
        <v>308</v>
      </c>
      <c r="BE290" s="40"/>
      <c r="BI290" s="42">
        <v>1</v>
      </c>
    </row>
    <row r="291" spans="1:64" s="24" customFormat="1" ht="20.85" customHeight="1">
      <c r="A291" s="20" t="s">
        <v>739</v>
      </c>
      <c r="B291" s="25" t="s">
        <v>220</v>
      </c>
      <c r="C291" s="26"/>
      <c r="D291" s="27">
        <f t="shared" si="27"/>
        <v>38.150000000000006</v>
      </c>
      <c r="E291" s="27">
        <f>SUM(E292:E335)</f>
        <v>22.77</v>
      </c>
      <c r="F291" s="27">
        <f t="shared" si="28"/>
        <v>15.380000000000004</v>
      </c>
      <c r="G291" s="28">
        <f t="shared" ref="G291:AX291" si="31">SUM(G292:G335)</f>
        <v>2.95</v>
      </c>
      <c r="H291" s="28">
        <f t="shared" si="31"/>
        <v>0.47000000000000003</v>
      </c>
      <c r="I291" s="28">
        <f t="shared" si="31"/>
        <v>0.51</v>
      </c>
      <c r="J291" s="28">
        <f t="shared" si="31"/>
        <v>3.669999999999999</v>
      </c>
      <c r="K291" s="28">
        <f t="shared" si="31"/>
        <v>0</v>
      </c>
      <c r="L291" s="28">
        <f t="shared" si="31"/>
        <v>0</v>
      </c>
      <c r="M291" s="28">
        <f t="shared" si="31"/>
        <v>6.06</v>
      </c>
      <c r="N291" s="28">
        <f t="shared" si="31"/>
        <v>0</v>
      </c>
      <c r="O291" s="28">
        <f t="shared" si="31"/>
        <v>0</v>
      </c>
      <c r="P291" s="28">
        <f t="shared" si="31"/>
        <v>0</v>
      </c>
      <c r="Q291" s="28">
        <f t="shared" si="31"/>
        <v>0</v>
      </c>
      <c r="R291" s="28">
        <f t="shared" si="31"/>
        <v>0</v>
      </c>
      <c r="S291" s="28">
        <f t="shared" si="31"/>
        <v>0</v>
      </c>
      <c r="T291" s="28">
        <f t="shared" si="31"/>
        <v>0</v>
      </c>
      <c r="U291" s="28">
        <f t="shared" si="31"/>
        <v>0</v>
      </c>
      <c r="V291" s="28">
        <f t="shared" si="31"/>
        <v>0</v>
      </c>
      <c r="W291" s="28">
        <f t="shared" si="31"/>
        <v>0</v>
      </c>
      <c r="X291" s="28">
        <f t="shared" si="31"/>
        <v>0</v>
      </c>
      <c r="Y291" s="28">
        <f t="shared" si="31"/>
        <v>0</v>
      </c>
      <c r="Z291" s="28">
        <f t="shared" si="31"/>
        <v>0</v>
      </c>
      <c r="AA291" s="28">
        <f t="shared" si="31"/>
        <v>0</v>
      </c>
      <c r="AB291" s="28">
        <f t="shared" si="31"/>
        <v>0</v>
      </c>
      <c r="AC291" s="28">
        <f t="shared" si="31"/>
        <v>0.22</v>
      </c>
      <c r="AD291" s="28">
        <f t="shared" si="31"/>
        <v>0</v>
      </c>
      <c r="AE291" s="28">
        <f t="shared" si="31"/>
        <v>0.29000000000000004</v>
      </c>
      <c r="AF291" s="28">
        <f t="shared" si="31"/>
        <v>0</v>
      </c>
      <c r="AG291" s="28">
        <f t="shared" si="31"/>
        <v>0</v>
      </c>
      <c r="AH291" s="28">
        <f t="shared" si="31"/>
        <v>0</v>
      </c>
      <c r="AI291" s="28">
        <f t="shared" si="31"/>
        <v>0</v>
      </c>
      <c r="AJ291" s="28">
        <f t="shared" si="31"/>
        <v>0</v>
      </c>
      <c r="AK291" s="28">
        <f t="shared" si="31"/>
        <v>0</v>
      </c>
      <c r="AL291" s="28">
        <f t="shared" si="31"/>
        <v>0</v>
      </c>
      <c r="AM291" s="28">
        <f t="shared" si="31"/>
        <v>0</v>
      </c>
      <c r="AN291" s="28">
        <f t="shared" si="31"/>
        <v>0</v>
      </c>
      <c r="AO291" s="28">
        <f t="shared" si="31"/>
        <v>0</v>
      </c>
      <c r="AP291" s="28">
        <f t="shared" si="31"/>
        <v>0.05</v>
      </c>
      <c r="AQ291" s="28">
        <f t="shared" si="31"/>
        <v>0.22</v>
      </c>
      <c r="AR291" s="28">
        <f t="shared" si="31"/>
        <v>0.54</v>
      </c>
      <c r="AS291" s="28">
        <f t="shared" si="31"/>
        <v>0</v>
      </c>
      <c r="AT291" s="28">
        <f t="shared" si="31"/>
        <v>0</v>
      </c>
      <c r="AU291" s="28">
        <f t="shared" si="31"/>
        <v>0</v>
      </c>
      <c r="AV291" s="28">
        <f t="shared" si="31"/>
        <v>0.4</v>
      </c>
      <c r="AW291" s="28">
        <f t="shared" si="31"/>
        <v>0</v>
      </c>
      <c r="AX291" s="28">
        <f t="shared" si="31"/>
        <v>0</v>
      </c>
      <c r="AY291" s="29"/>
      <c r="AZ291" s="29"/>
      <c r="BA291" s="30"/>
      <c r="BB291" s="31"/>
      <c r="BI291" s="42"/>
    </row>
    <row r="292" spans="1:64" ht="19.350000000000001" customHeight="1">
      <c r="A292" s="32">
        <f>A290+1</f>
        <v>274</v>
      </c>
      <c r="B292" s="60" t="s">
        <v>740</v>
      </c>
      <c r="C292" s="102" t="s">
        <v>50</v>
      </c>
      <c r="D292" s="35">
        <f t="shared" si="27"/>
        <v>0.6</v>
      </c>
      <c r="E292" s="35">
        <v>0.42</v>
      </c>
      <c r="F292" s="35">
        <f t="shared" ref="F292:F335" si="32">SUM(G292:AX292)</f>
        <v>0.18</v>
      </c>
      <c r="G292" s="43">
        <v>0.18</v>
      </c>
      <c r="H292" s="43"/>
      <c r="I292" s="43"/>
      <c r="J292" s="43"/>
      <c r="K292" s="37"/>
      <c r="L292" s="43"/>
      <c r="M292" s="43"/>
      <c r="N292" s="43"/>
      <c r="O292" s="43"/>
      <c r="P292" s="43"/>
      <c r="Q292" s="43"/>
      <c r="R292" s="43"/>
      <c r="S292" s="43"/>
      <c r="T292" s="43"/>
      <c r="U292" s="43"/>
      <c r="V292" s="43"/>
      <c r="W292" s="43"/>
      <c r="X292" s="43"/>
      <c r="Y292" s="43"/>
      <c r="Z292" s="43"/>
      <c r="AA292" s="43"/>
      <c r="AB292" s="43"/>
      <c r="AC292" s="43"/>
      <c r="AD292" s="43"/>
      <c r="AE292" s="43"/>
      <c r="AF292" s="43"/>
      <c r="AG292" s="43"/>
      <c r="AH292" s="43"/>
      <c r="AI292" s="43"/>
      <c r="AJ292" s="43"/>
      <c r="AK292" s="43"/>
      <c r="AL292" s="43"/>
      <c r="AM292" s="43"/>
      <c r="AN292" s="43"/>
      <c r="AO292" s="43"/>
      <c r="AP292" s="43"/>
      <c r="AQ292" s="43"/>
      <c r="AR292" s="43"/>
      <c r="AS292" s="43"/>
      <c r="AT292" s="43"/>
      <c r="AU292" s="43"/>
      <c r="AV292" s="43"/>
      <c r="AW292" s="43"/>
      <c r="AX292" s="43"/>
      <c r="AY292" s="34" t="s">
        <v>289</v>
      </c>
      <c r="AZ292" s="34" t="s">
        <v>380</v>
      </c>
      <c r="BA292" s="63" t="s">
        <v>291</v>
      </c>
      <c r="BB292" s="64"/>
      <c r="BI292" s="42">
        <v>1</v>
      </c>
    </row>
    <row r="293" spans="1:64" ht="19.350000000000001" customHeight="1">
      <c r="A293" s="32">
        <f>A292+1</f>
        <v>275</v>
      </c>
      <c r="B293" s="60" t="s">
        <v>741</v>
      </c>
      <c r="C293" s="102" t="s">
        <v>50</v>
      </c>
      <c r="D293" s="35">
        <f t="shared" si="27"/>
        <v>0.6</v>
      </c>
      <c r="E293" s="108"/>
      <c r="F293" s="35">
        <f t="shared" si="32"/>
        <v>0.6</v>
      </c>
      <c r="G293" s="109">
        <v>0.27</v>
      </c>
      <c r="H293" s="109"/>
      <c r="I293" s="109">
        <v>0.21</v>
      </c>
      <c r="J293" s="109">
        <v>0.12</v>
      </c>
      <c r="K293" s="109"/>
      <c r="L293" s="109"/>
      <c r="M293" s="109"/>
      <c r="N293" s="109"/>
      <c r="O293" s="109"/>
      <c r="P293" s="109"/>
      <c r="Q293" s="109"/>
      <c r="R293" s="109"/>
      <c r="S293" s="109"/>
      <c r="T293" s="109"/>
      <c r="U293" s="109"/>
      <c r="V293" s="109"/>
      <c r="W293" s="109"/>
      <c r="X293" s="109"/>
      <c r="Y293" s="109"/>
      <c r="Z293" s="109"/>
      <c r="AA293" s="109"/>
      <c r="AB293" s="109"/>
      <c r="AC293" s="109"/>
      <c r="AD293" s="109"/>
      <c r="AE293" s="109"/>
      <c r="AF293" s="109"/>
      <c r="AG293" s="109"/>
      <c r="AH293" s="109"/>
      <c r="AI293" s="109"/>
      <c r="AJ293" s="109"/>
      <c r="AK293" s="109"/>
      <c r="AL293" s="109"/>
      <c r="AM293" s="109"/>
      <c r="AN293" s="109"/>
      <c r="AO293" s="109"/>
      <c r="AP293" s="109"/>
      <c r="AQ293" s="109"/>
      <c r="AR293" s="109"/>
      <c r="AS293" s="109"/>
      <c r="AT293" s="109"/>
      <c r="AU293" s="109"/>
      <c r="AV293" s="109"/>
      <c r="AW293" s="109"/>
      <c r="AX293" s="109"/>
      <c r="AY293" s="34" t="s">
        <v>289</v>
      </c>
      <c r="AZ293" s="34" t="s">
        <v>467</v>
      </c>
      <c r="BA293" s="47" t="s">
        <v>298</v>
      </c>
      <c r="BB293" s="48"/>
      <c r="BE293" s="41"/>
      <c r="BI293" s="42">
        <v>1</v>
      </c>
    </row>
    <row r="294" spans="1:64" ht="19.350000000000001" customHeight="1">
      <c r="A294" s="32">
        <f>A293+1</f>
        <v>276</v>
      </c>
      <c r="B294" s="60" t="s">
        <v>742</v>
      </c>
      <c r="C294" s="102" t="s">
        <v>50</v>
      </c>
      <c r="D294" s="35">
        <f t="shared" si="27"/>
        <v>3.0000000000000004</v>
      </c>
      <c r="E294" s="108"/>
      <c r="F294" s="35">
        <f t="shared" si="32"/>
        <v>3.0000000000000004</v>
      </c>
      <c r="G294" s="109">
        <v>0.8</v>
      </c>
      <c r="H294" s="109"/>
      <c r="I294" s="109"/>
      <c r="J294" s="109">
        <v>1.98</v>
      </c>
      <c r="K294" s="109"/>
      <c r="L294" s="109"/>
      <c r="M294" s="109"/>
      <c r="N294" s="109"/>
      <c r="O294" s="109"/>
      <c r="P294" s="109"/>
      <c r="Q294" s="109"/>
      <c r="R294" s="109"/>
      <c r="S294" s="109"/>
      <c r="T294" s="109"/>
      <c r="U294" s="109"/>
      <c r="V294" s="109"/>
      <c r="W294" s="109"/>
      <c r="X294" s="109"/>
      <c r="Y294" s="109"/>
      <c r="Z294" s="109"/>
      <c r="AA294" s="109"/>
      <c r="AB294" s="109"/>
      <c r="AC294" s="109"/>
      <c r="AD294" s="109"/>
      <c r="AE294" s="109"/>
      <c r="AF294" s="109"/>
      <c r="AG294" s="109"/>
      <c r="AH294" s="109"/>
      <c r="AI294" s="109"/>
      <c r="AJ294" s="109"/>
      <c r="AK294" s="109"/>
      <c r="AL294" s="109"/>
      <c r="AM294" s="109"/>
      <c r="AN294" s="109"/>
      <c r="AO294" s="109"/>
      <c r="AP294" s="109"/>
      <c r="AQ294" s="109">
        <v>0.22</v>
      </c>
      <c r="AR294" s="109"/>
      <c r="AS294" s="109"/>
      <c r="AT294" s="109"/>
      <c r="AU294" s="109"/>
      <c r="AV294" s="109"/>
      <c r="AW294" s="109"/>
      <c r="AX294" s="109"/>
      <c r="AY294" s="34" t="s">
        <v>289</v>
      </c>
      <c r="AZ294" s="34" t="s">
        <v>315</v>
      </c>
      <c r="BA294" s="47" t="s">
        <v>298</v>
      </c>
      <c r="BB294" s="48"/>
      <c r="BE294" s="41"/>
      <c r="BI294" s="42">
        <v>1</v>
      </c>
    </row>
    <row r="295" spans="1:64" s="61" customFormat="1" ht="19.350000000000001" customHeight="1">
      <c r="A295" s="32">
        <f t="shared" ref="A295:A335" si="33">A294+1</f>
        <v>277</v>
      </c>
      <c r="B295" s="88" t="s">
        <v>743</v>
      </c>
      <c r="C295" s="102" t="s">
        <v>50</v>
      </c>
      <c r="D295" s="35">
        <f t="shared" si="27"/>
        <v>0.83</v>
      </c>
      <c r="E295" s="35"/>
      <c r="F295" s="35">
        <f t="shared" si="32"/>
        <v>0.83</v>
      </c>
      <c r="G295" s="107"/>
      <c r="H295" s="107"/>
      <c r="I295" s="107"/>
      <c r="J295" s="107"/>
      <c r="K295" s="107"/>
      <c r="L295" s="107"/>
      <c r="M295" s="107">
        <v>0.83</v>
      </c>
      <c r="N295" s="107"/>
      <c r="O295" s="107"/>
      <c r="P295" s="107"/>
      <c r="Q295" s="107"/>
      <c r="R295" s="107"/>
      <c r="S295" s="107"/>
      <c r="T295" s="107"/>
      <c r="U295" s="107"/>
      <c r="V295" s="107"/>
      <c r="W295" s="107"/>
      <c r="X295" s="107"/>
      <c r="Y295" s="107"/>
      <c r="Z295" s="107"/>
      <c r="AA295" s="107"/>
      <c r="AB295" s="107"/>
      <c r="AC295" s="107"/>
      <c r="AD295" s="107"/>
      <c r="AE295" s="107"/>
      <c r="AF295" s="107"/>
      <c r="AG295" s="107"/>
      <c r="AH295" s="107"/>
      <c r="AI295" s="107"/>
      <c r="AJ295" s="107"/>
      <c r="AK295" s="107"/>
      <c r="AL295" s="107"/>
      <c r="AM295" s="107"/>
      <c r="AN295" s="107"/>
      <c r="AO295" s="107"/>
      <c r="AP295" s="107"/>
      <c r="AQ295" s="107"/>
      <c r="AR295" s="107"/>
      <c r="AS295" s="107"/>
      <c r="AT295" s="107"/>
      <c r="AU295" s="107"/>
      <c r="AV295" s="107"/>
      <c r="AW295" s="107"/>
      <c r="AX295" s="107"/>
      <c r="AY295" s="34" t="s">
        <v>221</v>
      </c>
      <c r="AZ295" s="34" t="s">
        <v>328</v>
      </c>
      <c r="BA295" s="47" t="s">
        <v>322</v>
      </c>
      <c r="BB295" s="48"/>
      <c r="BC295" s="15"/>
      <c r="BD295" s="15"/>
      <c r="BE295" s="41"/>
      <c r="BF295" s="15"/>
      <c r="BI295" s="42">
        <v>1</v>
      </c>
    </row>
    <row r="296" spans="1:64" s="61" customFormat="1" ht="19.350000000000001" customHeight="1">
      <c r="A296" s="32">
        <f t="shared" si="33"/>
        <v>278</v>
      </c>
      <c r="B296" s="60" t="s">
        <v>744</v>
      </c>
      <c r="C296" s="102" t="s">
        <v>50</v>
      </c>
      <c r="D296" s="35">
        <f t="shared" si="27"/>
        <v>1</v>
      </c>
      <c r="E296" s="35"/>
      <c r="F296" s="35">
        <f t="shared" si="32"/>
        <v>1</v>
      </c>
      <c r="G296" s="107"/>
      <c r="H296" s="107"/>
      <c r="I296" s="107"/>
      <c r="J296" s="107"/>
      <c r="K296" s="107"/>
      <c r="L296" s="107"/>
      <c r="M296" s="107">
        <v>1</v>
      </c>
      <c r="N296" s="107"/>
      <c r="O296" s="107"/>
      <c r="P296" s="107"/>
      <c r="Q296" s="107"/>
      <c r="R296" s="107"/>
      <c r="S296" s="107"/>
      <c r="T296" s="107"/>
      <c r="U296" s="107"/>
      <c r="V296" s="107"/>
      <c r="W296" s="107"/>
      <c r="X296" s="107"/>
      <c r="Y296" s="107"/>
      <c r="Z296" s="107"/>
      <c r="AA296" s="107"/>
      <c r="AB296" s="107"/>
      <c r="AC296" s="107"/>
      <c r="AD296" s="107"/>
      <c r="AE296" s="107"/>
      <c r="AF296" s="107"/>
      <c r="AG296" s="107"/>
      <c r="AH296" s="107"/>
      <c r="AI296" s="107"/>
      <c r="AJ296" s="107"/>
      <c r="AK296" s="107"/>
      <c r="AL296" s="107"/>
      <c r="AM296" s="107"/>
      <c r="AN296" s="107"/>
      <c r="AO296" s="107"/>
      <c r="AP296" s="107"/>
      <c r="AQ296" s="107"/>
      <c r="AR296" s="107"/>
      <c r="AS296" s="107"/>
      <c r="AT296" s="107"/>
      <c r="AU296" s="107"/>
      <c r="AV296" s="107"/>
      <c r="AW296" s="107"/>
      <c r="AX296" s="107"/>
      <c r="AY296" s="34" t="s">
        <v>222</v>
      </c>
      <c r="AZ296" s="34" t="s">
        <v>745</v>
      </c>
      <c r="BA296" s="39" t="s">
        <v>291</v>
      </c>
      <c r="BB296" s="40"/>
      <c r="BC296" s="41"/>
      <c r="BD296" s="41"/>
      <c r="BE296" s="15"/>
      <c r="BF296" s="15"/>
      <c r="BI296" s="42">
        <v>1</v>
      </c>
    </row>
    <row r="297" spans="1:64" ht="19.350000000000001" customHeight="1">
      <c r="A297" s="32">
        <f t="shared" si="33"/>
        <v>279</v>
      </c>
      <c r="B297" s="60" t="s">
        <v>746</v>
      </c>
      <c r="C297" s="102" t="s">
        <v>50</v>
      </c>
      <c r="D297" s="35">
        <f t="shared" si="27"/>
        <v>2.96</v>
      </c>
      <c r="E297" s="35">
        <f>1.83-0.27</f>
        <v>1.56</v>
      </c>
      <c r="F297" s="35">
        <f t="shared" si="32"/>
        <v>1.4</v>
      </c>
      <c r="G297" s="107"/>
      <c r="H297" s="107"/>
      <c r="I297" s="107"/>
      <c r="J297" s="107"/>
      <c r="K297" s="107"/>
      <c r="L297" s="107"/>
      <c r="M297" s="107">
        <v>1.4</v>
      </c>
      <c r="N297" s="107"/>
      <c r="O297" s="107"/>
      <c r="P297" s="107"/>
      <c r="Q297" s="107"/>
      <c r="R297" s="107"/>
      <c r="S297" s="107"/>
      <c r="T297" s="107"/>
      <c r="U297" s="107"/>
      <c r="V297" s="107"/>
      <c r="W297" s="107"/>
      <c r="X297" s="107"/>
      <c r="Y297" s="107"/>
      <c r="Z297" s="107"/>
      <c r="AA297" s="107"/>
      <c r="AB297" s="107"/>
      <c r="AC297" s="107"/>
      <c r="AD297" s="107"/>
      <c r="AE297" s="107"/>
      <c r="AF297" s="107"/>
      <c r="AG297" s="107"/>
      <c r="AH297" s="107"/>
      <c r="AI297" s="107"/>
      <c r="AJ297" s="107"/>
      <c r="AK297" s="107"/>
      <c r="AL297" s="107"/>
      <c r="AM297" s="107"/>
      <c r="AN297" s="107"/>
      <c r="AO297" s="107"/>
      <c r="AP297" s="107"/>
      <c r="AQ297" s="107"/>
      <c r="AR297" s="107"/>
      <c r="AS297" s="107"/>
      <c r="AT297" s="107"/>
      <c r="AU297" s="107"/>
      <c r="AV297" s="107"/>
      <c r="AW297" s="107"/>
      <c r="AX297" s="107"/>
      <c r="AY297" s="34" t="s">
        <v>223</v>
      </c>
      <c r="AZ297" s="34" t="s">
        <v>451</v>
      </c>
      <c r="BA297" s="63" t="s">
        <v>291</v>
      </c>
      <c r="BB297" s="64"/>
      <c r="BC297" s="65"/>
      <c r="BD297" s="65" t="s">
        <v>747</v>
      </c>
      <c r="BE297" s="41"/>
      <c r="BI297" s="42">
        <v>1</v>
      </c>
    </row>
    <row r="298" spans="1:64" ht="19.350000000000001" customHeight="1">
      <c r="A298" s="32">
        <f t="shared" si="33"/>
        <v>280</v>
      </c>
      <c r="B298" s="60" t="s">
        <v>748</v>
      </c>
      <c r="C298" s="102" t="s">
        <v>50</v>
      </c>
      <c r="D298" s="35">
        <f>E298+F298</f>
        <v>0.5</v>
      </c>
      <c r="E298" s="35"/>
      <c r="F298" s="35">
        <f>SUM(G298:AX298)</f>
        <v>0.5</v>
      </c>
      <c r="G298" s="107"/>
      <c r="H298" s="107"/>
      <c r="I298" s="107"/>
      <c r="J298" s="107">
        <v>0.5</v>
      </c>
      <c r="K298" s="107"/>
      <c r="L298" s="107"/>
      <c r="M298" s="107"/>
      <c r="N298" s="107"/>
      <c r="O298" s="107"/>
      <c r="P298" s="107"/>
      <c r="Q298" s="107"/>
      <c r="R298" s="107"/>
      <c r="S298" s="107"/>
      <c r="T298" s="107"/>
      <c r="U298" s="107"/>
      <c r="V298" s="107"/>
      <c r="W298" s="107"/>
      <c r="X298" s="107"/>
      <c r="Y298" s="107"/>
      <c r="Z298" s="107"/>
      <c r="AA298" s="107"/>
      <c r="AB298" s="107"/>
      <c r="AC298" s="107"/>
      <c r="AD298" s="107"/>
      <c r="AE298" s="107"/>
      <c r="AF298" s="107"/>
      <c r="AG298" s="107"/>
      <c r="AH298" s="107"/>
      <c r="AI298" s="107"/>
      <c r="AJ298" s="107"/>
      <c r="AK298" s="107"/>
      <c r="AL298" s="107"/>
      <c r="AM298" s="107"/>
      <c r="AN298" s="107"/>
      <c r="AO298" s="107"/>
      <c r="AP298" s="107"/>
      <c r="AQ298" s="107"/>
      <c r="AR298" s="107"/>
      <c r="AS298" s="107"/>
      <c r="AT298" s="107"/>
      <c r="AU298" s="107"/>
      <c r="AV298" s="107"/>
      <c r="AW298" s="107"/>
      <c r="AX298" s="107"/>
      <c r="AY298" s="34" t="s">
        <v>223</v>
      </c>
      <c r="AZ298" s="34" t="s">
        <v>451</v>
      </c>
      <c r="BA298" s="63" t="s">
        <v>298</v>
      </c>
      <c r="BB298" s="64"/>
      <c r="BC298" s="65"/>
      <c r="BD298" s="65"/>
      <c r="BE298" s="41"/>
      <c r="BI298" s="42">
        <v>1</v>
      </c>
      <c r="BL298" s="15" t="s">
        <v>749</v>
      </c>
    </row>
    <row r="299" spans="1:64" s="49" customFormat="1" ht="19.350000000000001" customHeight="1">
      <c r="A299" s="32">
        <f t="shared" si="33"/>
        <v>281</v>
      </c>
      <c r="B299" s="60" t="s">
        <v>750</v>
      </c>
      <c r="C299" s="102" t="s">
        <v>50</v>
      </c>
      <c r="D299" s="35">
        <f t="shared" si="27"/>
        <v>0.27999999999999997</v>
      </c>
      <c r="E299" s="45">
        <v>0.24</v>
      </c>
      <c r="F299" s="35">
        <f t="shared" si="32"/>
        <v>0.04</v>
      </c>
      <c r="G299" s="46">
        <v>0.04</v>
      </c>
      <c r="H299" s="46"/>
      <c r="I299" s="46"/>
      <c r="J299" s="46"/>
      <c r="K299" s="46"/>
      <c r="L299" s="46"/>
      <c r="M299" s="46"/>
      <c r="N299" s="46"/>
      <c r="O299" s="46"/>
      <c r="P299" s="46"/>
      <c r="Q299" s="46"/>
      <c r="R299" s="46"/>
      <c r="S299" s="46"/>
      <c r="T299" s="46"/>
      <c r="U299" s="46"/>
      <c r="V299" s="46"/>
      <c r="W299" s="46"/>
      <c r="X299" s="46"/>
      <c r="Y299" s="46"/>
      <c r="Z299" s="46"/>
      <c r="AA299" s="46"/>
      <c r="AB299" s="46"/>
      <c r="AC299" s="46"/>
      <c r="AD299" s="46"/>
      <c r="AE299" s="46"/>
      <c r="AF299" s="46"/>
      <c r="AG299" s="46"/>
      <c r="AH299" s="46"/>
      <c r="AI299" s="46"/>
      <c r="AJ299" s="46"/>
      <c r="AK299" s="46"/>
      <c r="AL299" s="46"/>
      <c r="AM299" s="46"/>
      <c r="AN299" s="46"/>
      <c r="AO299" s="46"/>
      <c r="AP299" s="46"/>
      <c r="AQ299" s="46"/>
      <c r="AR299" s="46"/>
      <c r="AS299" s="46"/>
      <c r="AT299" s="46"/>
      <c r="AU299" s="46"/>
      <c r="AV299" s="46"/>
      <c r="AW299" s="46"/>
      <c r="AX299" s="46"/>
      <c r="AY299" s="47" t="s">
        <v>224</v>
      </c>
      <c r="AZ299" s="47" t="s">
        <v>751</v>
      </c>
      <c r="BA299" s="47" t="s">
        <v>291</v>
      </c>
      <c r="BB299" s="48"/>
      <c r="BI299" s="42">
        <v>1</v>
      </c>
      <c r="BK299" s="50"/>
    </row>
    <row r="300" spans="1:64" ht="19.350000000000001" customHeight="1">
      <c r="A300" s="32">
        <f t="shared" si="33"/>
        <v>282</v>
      </c>
      <c r="B300" s="88" t="s">
        <v>752</v>
      </c>
      <c r="C300" s="102" t="s">
        <v>50</v>
      </c>
      <c r="D300" s="35">
        <f t="shared" si="27"/>
        <v>0.6</v>
      </c>
      <c r="E300" s="35">
        <v>0.35</v>
      </c>
      <c r="F300" s="35">
        <f t="shared" si="32"/>
        <v>0.25</v>
      </c>
      <c r="G300" s="107"/>
      <c r="H300" s="107">
        <v>0.25</v>
      </c>
      <c r="I300" s="107"/>
      <c r="J300" s="107"/>
      <c r="K300" s="107"/>
      <c r="L300" s="107"/>
      <c r="M300" s="107"/>
      <c r="N300" s="107"/>
      <c r="O300" s="107"/>
      <c r="P300" s="107"/>
      <c r="Q300" s="107"/>
      <c r="R300" s="107"/>
      <c r="S300" s="107"/>
      <c r="T300" s="107"/>
      <c r="U300" s="107"/>
      <c r="V300" s="107"/>
      <c r="W300" s="107"/>
      <c r="X300" s="107"/>
      <c r="Y300" s="107"/>
      <c r="Z300" s="107"/>
      <c r="AA300" s="107"/>
      <c r="AB300" s="107"/>
      <c r="AC300" s="107"/>
      <c r="AD300" s="107"/>
      <c r="AE300" s="107"/>
      <c r="AF300" s="107"/>
      <c r="AG300" s="107"/>
      <c r="AH300" s="107"/>
      <c r="AI300" s="107"/>
      <c r="AJ300" s="107"/>
      <c r="AK300" s="107"/>
      <c r="AL300" s="107"/>
      <c r="AM300" s="107"/>
      <c r="AN300" s="107"/>
      <c r="AO300" s="107"/>
      <c r="AP300" s="107"/>
      <c r="AQ300" s="107"/>
      <c r="AR300" s="107"/>
      <c r="AS300" s="107"/>
      <c r="AT300" s="107"/>
      <c r="AU300" s="107"/>
      <c r="AV300" s="107"/>
      <c r="AW300" s="107"/>
      <c r="AX300" s="107"/>
      <c r="AY300" s="34" t="s">
        <v>225</v>
      </c>
      <c r="AZ300" s="34" t="s">
        <v>390</v>
      </c>
      <c r="BA300" s="63" t="s">
        <v>291</v>
      </c>
      <c r="BB300" s="64"/>
      <c r="BE300" s="41"/>
      <c r="BI300" s="42">
        <v>1</v>
      </c>
    </row>
    <row r="301" spans="1:64" ht="19.350000000000001" customHeight="1">
      <c r="A301" s="32">
        <f t="shared" si="33"/>
        <v>283</v>
      </c>
      <c r="B301" s="88" t="s">
        <v>753</v>
      </c>
      <c r="C301" s="102" t="s">
        <v>50</v>
      </c>
      <c r="D301" s="35">
        <f t="shared" si="27"/>
        <v>0.2</v>
      </c>
      <c r="E301" s="35">
        <v>0.15</v>
      </c>
      <c r="F301" s="35">
        <f t="shared" si="32"/>
        <v>0.05</v>
      </c>
      <c r="G301" s="107"/>
      <c r="H301" s="107"/>
      <c r="I301" s="107"/>
      <c r="J301" s="107">
        <v>0.05</v>
      </c>
      <c r="K301" s="107"/>
      <c r="L301" s="107"/>
      <c r="M301" s="107"/>
      <c r="N301" s="107"/>
      <c r="O301" s="107"/>
      <c r="P301" s="107"/>
      <c r="Q301" s="107"/>
      <c r="R301" s="107"/>
      <c r="S301" s="107"/>
      <c r="T301" s="107"/>
      <c r="U301" s="107"/>
      <c r="V301" s="107"/>
      <c r="W301" s="107"/>
      <c r="X301" s="107"/>
      <c r="Y301" s="107"/>
      <c r="Z301" s="107"/>
      <c r="AA301" s="107"/>
      <c r="AB301" s="107"/>
      <c r="AC301" s="107"/>
      <c r="AD301" s="107"/>
      <c r="AE301" s="107"/>
      <c r="AF301" s="107"/>
      <c r="AG301" s="107"/>
      <c r="AH301" s="107"/>
      <c r="AI301" s="107"/>
      <c r="AJ301" s="107"/>
      <c r="AK301" s="107"/>
      <c r="AL301" s="107"/>
      <c r="AM301" s="107"/>
      <c r="AN301" s="107"/>
      <c r="AO301" s="107"/>
      <c r="AP301" s="107"/>
      <c r="AQ301" s="107"/>
      <c r="AR301" s="107"/>
      <c r="AS301" s="107"/>
      <c r="AT301" s="107"/>
      <c r="AU301" s="107"/>
      <c r="AV301" s="107"/>
      <c r="AW301" s="107"/>
      <c r="AX301" s="107"/>
      <c r="AY301" s="34" t="s">
        <v>225</v>
      </c>
      <c r="AZ301" s="34" t="s">
        <v>754</v>
      </c>
      <c r="BA301" s="63" t="s">
        <v>291</v>
      </c>
      <c r="BB301" s="64"/>
      <c r="BE301" s="41"/>
      <c r="BI301" s="42">
        <v>1</v>
      </c>
    </row>
    <row r="302" spans="1:64" ht="19.350000000000001" customHeight="1">
      <c r="A302" s="32">
        <f t="shared" si="33"/>
        <v>284</v>
      </c>
      <c r="B302" s="88" t="s">
        <v>755</v>
      </c>
      <c r="C302" s="102" t="s">
        <v>50</v>
      </c>
      <c r="D302" s="35">
        <f t="shared" si="27"/>
        <v>0.39</v>
      </c>
      <c r="E302" s="35">
        <v>0.34</v>
      </c>
      <c r="F302" s="35">
        <f t="shared" si="32"/>
        <v>0.05</v>
      </c>
      <c r="G302" s="107"/>
      <c r="H302" s="107"/>
      <c r="I302" s="107"/>
      <c r="J302" s="107">
        <v>0.05</v>
      </c>
      <c r="K302" s="107"/>
      <c r="L302" s="107"/>
      <c r="M302" s="107"/>
      <c r="N302" s="107"/>
      <c r="O302" s="107"/>
      <c r="P302" s="107"/>
      <c r="Q302" s="107"/>
      <c r="R302" s="107"/>
      <c r="S302" s="107"/>
      <c r="T302" s="107"/>
      <c r="U302" s="107"/>
      <c r="V302" s="107"/>
      <c r="W302" s="107"/>
      <c r="X302" s="107"/>
      <c r="Y302" s="107"/>
      <c r="Z302" s="107"/>
      <c r="AA302" s="107"/>
      <c r="AB302" s="107"/>
      <c r="AC302" s="107"/>
      <c r="AD302" s="107"/>
      <c r="AE302" s="107"/>
      <c r="AF302" s="107"/>
      <c r="AG302" s="107"/>
      <c r="AH302" s="107"/>
      <c r="AI302" s="107"/>
      <c r="AJ302" s="107"/>
      <c r="AK302" s="107"/>
      <c r="AL302" s="107"/>
      <c r="AM302" s="107"/>
      <c r="AN302" s="107"/>
      <c r="AO302" s="107"/>
      <c r="AP302" s="107"/>
      <c r="AQ302" s="107"/>
      <c r="AR302" s="107"/>
      <c r="AS302" s="107"/>
      <c r="AT302" s="107"/>
      <c r="AU302" s="107"/>
      <c r="AV302" s="107"/>
      <c r="AW302" s="107"/>
      <c r="AX302" s="107"/>
      <c r="AY302" s="34" t="s">
        <v>225</v>
      </c>
      <c r="AZ302" s="34" t="s">
        <v>754</v>
      </c>
      <c r="BA302" s="63" t="s">
        <v>291</v>
      </c>
      <c r="BB302" s="64"/>
      <c r="BE302" s="41"/>
      <c r="BI302" s="42">
        <v>1</v>
      </c>
    </row>
    <row r="303" spans="1:64" ht="19.350000000000001" customHeight="1">
      <c r="A303" s="32">
        <f t="shared" si="33"/>
        <v>285</v>
      </c>
      <c r="B303" s="88" t="s">
        <v>756</v>
      </c>
      <c r="C303" s="102" t="s">
        <v>50</v>
      </c>
      <c r="D303" s="35">
        <f t="shared" si="27"/>
        <v>1.3</v>
      </c>
      <c r="E303" s="35">
        <v>1.1000000000000001</v>
      </c>
      <c r="F303" s="35">
        <f t="shared" si="32"/>
        <v>0.2</v>
      </c>
      <c r="G303" s="107"/>
      <c r="H303" s="107"/>
      <c r="I303" s="107"/>
      <c r="J303" s="107">
        <v>0.2</v>
      </c>
      <c r="K303" s="107"/>
      <c r="L303" s="107"/>
      <c r="M303" s="107"/>
      <c r="N303" s="107"/>
      <c r="O303" s="107"/>
      <c r="P303" s="107"/>
      <c r="Q303" s="107"/>
      <c r="R303" s="107"/>
      <c r="S303" s="107"/>
      <c r="T303" s="107"/>
      <c r="U303" s="107"/>
      <c r="V303" s="107"/>
      <c r="W303" s="107"/>
      <c r="X303" s="107"/>
      <c r="Y303" s="107"/>
      <c r="Z303" s="107"/>
      <c r="AA303" s="107"/>
      <c r="AB303" s="107"/>
      <c r="AC303" s="107"/>
      <c r="AD303" s="107"/>
      <c r="AE303" s="107"/>
      <c r="AF303" s="107"/>
      <c r="AG303" s="107"/>
      <c r="AH303" s="107"/>
      <c r="AI303" s="107"/>
      <c r="AJ303" s="107"/>
      <c r="AK303" s="107"/>
      <c r="AL303" s="107"/>
      <c r="AM303" s="107"/>
      <c r="AN303" s="107"/>
      <c r="AO303" s="107"/>
      <c r="AP303" s="107"/>
      <c r="AQ303" s="107"/>
      <c r="AR303" s="107"/>
      <c r="AS303" s="107"/>
      <c r="AT303" s="107"/>
      <c r="AU303" s="107"/>
      <c r="AV303" s="107"/>
      <c r="AW303" s="107"/>
      <c r="AX303" s="107"/>
      <c r="AY303" s="34" t="s">
        <v>225</v>
      </c>
      <c r="AZ303" s="34" t="s">
        <v>757</v>
      </c>
      <c r="BA303" s="63" t="s">
        <v>291</v>
      </c>
      <c r="BB303" s="64"/>
      <c r="BE303" s="41"/>
      <c r="BG303" s="15" t="s">
        <v>758</v>
      </c>
      <c r="BI303" s="42">
        <v>1</v>
      </c>
    </row>
    <row r="304" spans="1:64" s="276" customFormat="1" ht="19.350000000000001" customHeight="1">
      <c r="A304" s="268">
        <f t="shared" si="33"/>
        <v>286</v>
      </c>
      <c r="B304" s="269" t="s">
        <v>759</v>
      </c>
      <c r="C304" s="270" t="s">
        <v>50</v>
      </c>
      <c r="D304" s="271">
        <f t="shared" si="27"/>
        <v>1.32</v>
      </c>
      <c r="E304" s="271">
        <v>1.25</v>
      </c>
      <c r="F304" s="271">
        <f t="shared" si="32"/>
        <v>7.0000000000000007E-2</v>
      </c>
      <c r="G304" s="272">
        <v>0.04</v>
      </c>
      <c r="H304" s="272"/>
      <c r="I304" s="272"/>
      <c r="J304" s="272">
        <v>0.03</v>
      </c>
      <c r="K304" s="272"/>
      <c r="L304" s="272"/>
      <c r="M304" s="272"/>
      <c r="N304" s="272"/>
      <c r="O304" s="272"/>
      <c r="P304" s="272"/>
      <c r="Q304" s="272"/>
      <c r="R304" s="272"/>
      <c r="S304" s="272"/>
      <c r="T304" s="272"/>
      <c r="U304" s="272"/>
      <c r="V304" s="272"/>
      <c r="W304" s="272"/>
      <c r="X304" s="272"/>
      <c r="Y304" s="272"/>
      <c r="Z304" s="272"/>
      <c r="AA304" s="272"/>
      <c r="AB304" s="272"/>
      <c r="AC304" s="272"/>
      <c r="AD304" s="272"/>
      <c r="AE304" s="272"/>
      <c r="AF304" s="272"/>
      <c r="AG304" s="272"/>
      <c r="AH304" s="272"/>
      <c r="AI304" s="272"/>
      <c r="AJ304" s="272"/>
      <c r="AK304" s="272"/>
      <c r="AL304" s="272"/>
      <c r="AM304" s="272"/>
      <c r="AN304" s="272"/>
      <c r="AO304" s="272"/>
      <c r="AP304" s="272"/>
      <c r="AQ304" s="272"/>
      <c r="AR304" s="272"/>
      <c r="AS304" s="272"/>
      <c r="AT304" s="272"/>
      <c r="AU304" s="272"/>
      <c r="AV304" s="272"/>
      <c r="AW304" s="272"/>
      <c r="AX304" s="272"/>
      <c r="AY304" s="273" t="s">
        <v>226</v>
      </c>
      <c r="AZ304" s="273" t="s">
        <v>724</v>
      </c>
      <c r="BA304" s="274" t="s">
        <v>291</v>
      </c>
      <c r="BB304" s="275"/>
      <c r="BE304" s="277"/>
      <c r="BG304" s="276" t="s">
        <v>760</v>
      </c>
      <c r="BI304" s="278">
        <v>1</v>
      </c>
    </row>
    <row r="305" spans="1:63" s="71" customFormat="1" ht="19.350000000000001" customHeight="1">
      <c r="A305" s="32">
        <f t="shared" si="33"/>
        <v>287</v>
      </c>
      <c r="B305" s="66" t="s">
        <v>761</v>
      </c>
      <c r="C305" s="102" t="s">
        <v>50</v>
      </c>
      <c r="D305" s="35">
        <f t="shared" si="27"/>
        <v>0.71</v>
      </c>
      <c r="E305" s="67">
        <v>0.31</v>
      </c>
      <c r="F305" s="35">
        <f t="shared" si="32"/>
        <v>0.4</v>
      </c>
      <c r="G305" s="68"/>
      <c r="H305" s="68"/>
      <c r="I305" s="68"/>
      <c r="J305" s="68"/>
      <c r="K305" s="68"/>
      <c r="L305" s="68"/>
      <c r="M305" s="68"/>
      <c r="N305" s="68"/>
      <c r="O305" s="68"/>
      <c r="P305" s="68"/>
      <c r="Q305" s="68"/>
      <c r="R305" s="68"/>
      <c r="S305" s="68"/>
      <c r="T305" s="68"/>
      <c r="U305" s="68"/>
      <c r="V305" s="68"/>
      <c r="W305" s="68"/>
      <c r="X305" s="68"/>
      <c r="Y305" s="68"/>
      <c r="Z305" s="68"/>
      <c r="AA305" s="68"/>
      <c r="AB305" s="68"/>
      <c r="AC305" s="68"/>
      <c r="AD305" s="68"/>
      <c r="AE305" s="68"/>
      <c r="AF305" s="68"/>
      <c r="AG305" s="68"/>
      <c r="AH305" s="68"/>
      <c r="AI305" s="68"/>
      <c r="AJ305" s="68"/>
      <c r="AK305" s="68"/>
      <c r="AL305" s="68"/>
      <c r="AM305" s="68"/>
      <c r="AN305" s="68"/>
      <c r="AO305" s="68"/>
      <c r="AP305" s="68"/>
      <c r="AQ305" s="68"/>
      <c r="AR305" s="68"/>
      <c r="AS305" s="68"/>
      <c r="AT305" s="68"/>
      <c r="AU305" s="68"/>
      <c r="AV305" s="68">
        <v>0.4</v>
      </c>
      <c r="AW305" s="68"/>
      <c r="AX305" s="68"/>
      <c r="AY305" s="70" t="s">
        <v>226</v>
      </c>
      <c r="AZ305" s="70" t="s">
        <v>762</v>
      </c>
      <c r="BA305" s="47" t="s">
        <v>298</v>
      </c>
      <c r="BB305" s="48"/>
      <c r="BI305" s="42">
        <v>1</v>
      </c>
      <c r="BK305" s="72"/>
    </row>
    <row r="306" spans="1:63" ht="31.5">
      <c r="A306" s="32">
        <f t="shared" si="33"/>
        <v>288</v>
      </c>
      <c r="B306" s="60" t="s">
        <v>763</v>
      </c>
      <c r="C306" s="102" t="s">
        <v>50</v>
      </c>
      <c r="D306" s="35">
        <f t="shared" si="27"/>
        <v>0.47</v>
      </c>
      <c r="E306" s="35">
        <v>0.42</v>
      </c>
      <c r="F306" s="35">
        <f t="shared" si="32"/>
        <v>0.05</v>
      </c>
      <c r="G306" s="107"/>
      <c r="H306" s="107"/>
      <c r="I306" s="107"/>
      <c r="J306" s="107">
        <v>0.05</v>
      </c>
      <c r="K306" s="107"/>
      <c r="L306" s="107"/>
      <c r="M306" s="107"/>
      <c r="N306" s="107"/>
      <c r="O306" s="107"/>
      <c r="P306" s="107"/>
      <c r="Q306" s="107"/>
      <c r="R306" s="107"/>
      <c r="S306" s="107"/>
      <c r="T306" s="107"/>
      <c r="U306" s="107"/>
      <c r="V306" s="107"/>
      <c r="W306" s="107"/>
      <c r="X306" s="107"/>
      <c r="Y306" s="107"/>
      <c r="Z306" s="107"/>
      <c r="AA306" s="107"/>
      <c r="AB306" s="107"/>
      <c r="AC306" s="107"/>
      <c r="AD306" s="107"/>
      <c r="AE306" s="107"/>
      <c r="AF306" s="107"/>
      <c r="AG306" s="107"/>
      <c r="AH306" s="107"/>
      <c r="AI306" s="107"/>
      <c r="AJ306" s="107"/>
      <c r="AK306" s="107"/>
      <c r="AL306" s="107"/>
      <c r="AM306" s="107"/>
      <c r="AN306" s="107"/>
      <c r="AO306" s="107"/>
      <c r="AP306" s="107"/>
      <c r="AQ306" s="107"/>
      <c r="AR306" s="107"/>
      <c r="AS306" s="107"/>
      <c r="AT306" s="107"/>
      <c r="AU306" s="107"/>
      <c r="AV306" s="107"/>
      <c r="AW306" s="107"/>
      <c r="AX306" s="107"/>
      <c r="AY306" s="34" t="s">
        <v>228</v>
      </c>
      <c r="AZ306" s="34" t="s">
        <v>764</v>
      </c>
      <c r="BA306" s="39" t="s">
        <v>291</v>
      </c>
      <c r="BB306" s="40"/>
      <c r="BE306" s="41"/>
      <c r="BI306" s="42">
        <v>1</v>
      </c>
    </row>
    <row r="307" spans="1:63" ht="33" customHeight="1">
      <c r="A307" s="32">
        <f t="shared" si="33"/>
        <v>289</v>
      </c>
      <c r="B307" s="60" t="s">
        <v>765</v>
      </c>
      <c r="C307" s="102" t="s">
        <v>50</v>
      </c>
      <c r="D307" s="35">
        <f t="shared" si="27"/>
        <v>0.47</v>
      </c>
      <c r="E307" s="35">
        <v>0.36</v>
      </c>
      <c r="F307" s="35">
        <f t="shared" si="32"/>
        <v>0.11</v>
      </c>
      <c r="G307" s="107"/>
      <c r="H307" s="107"/>
      <c r="I307" s="107"/>
      <c r="J307" s="107">
        <v>0.11</v>
      </c>
      <c r="K307" s="107"/>
      <c r="L307" s="107"/>
      <c r="M307" s="107"/>
      <c r="N307" s="107"/>
      <c r="O307" s="107"/>
      <c r="P307" s="107"/>
      <c r="Q307" s="107"/>
      <c r="R307" s="107"/>
      <c r="S307" s="107"/>
      <c r="T307" s="107"/>
      <c r="U307" s="107"/>
      <c r="V307" s="107"/>
      <c r="W307" s="107"/>
      <c r="X307" s="107"/>
      <c r="Y307" s="107"/>
      <c r="Z307" s="107"/>
      <c r="AA307" s="107"/>
      <c r="AB307" s="107"/>
      <c r="AC307" s="107"/>
      <c r="AD307" s="107"/>
      <c r="AE307" s="107"/>
      <c r="AF307" s="107"/>
      <c r="AG307" s="107"/>
      <c r="AH307" s="107"/>
      <c r="AI307" s="107"/>
      <c r="AJ307" s="107"/>
      <c r="AK307" s="107"/>
      <c r="AL307" s="107"/>
      <c r="AM307" s="107"/>
      <c r="AN307" s="107"/>
      <c r="AO307" s="107"/>
      <c r="AP307" s="107"/>
      <c r="AQ307" s="107"/>
      <c r="AR307" s="107"/>
      <c r="AS307" s="107"/>
      <c r="AT307" s="107"/>
      <c r="AU307" s="107"/>
      <c r="AV307" s="107"/>
      <c r="AW307" s="107"/>
      <c r="AX307" s="107"/>
      <c r="AY307" s="34" t="s">
        <v>228</v>
      </c>
      <c r="AZ307" s="34" t="s">
        <v>731</v>
      </c>
      <c r="BA307" s="39" t="s">
        <v>291</v>
      </c>
      <c r="BB307" s="40"/>
      <c r="BE307" s="41"/>
      <c r="BI307" s="42">
        <v>1</v>
      </c>
    </row>
    <row r="308" spans="1:63" ht="24" customHeight="1">
      <c r="A308" s="32">
        <f t="shared" si="33"/>
        <v>290</v>
      </c>
      <c r="B308" s="60" t="s">
        <v>766</v>
      </c>
      <c r="C308" s="102" t="s">
        <v>50</v>
      </c>
      <c r="D308" s="35">
        <f t="shared" si="27"/>
        <v>0.35</v>
      </c>
      <c r="E308" s="35">
        <v>0.35</v>
      </c>
      <c r="F308" s="89">
        <f t="shared" si="32"/>
        <v>0</v>
      </c>
      <c r="G308" s="107"/>
      <c r="H308" s="107"/>
      <c r="I308" s="107"/>
      <c r="J308" s="107"/>
      <c r="K308" s="107"/>
      <c r="L308" s="107"/>
      <c r="M308" s="107"/>
      <c r="N308" s="107"/>
      <c r="O308" s="107"/>
      <c r="P308" s="107"/>
      <c r="Q308" s="107"/>
      <c r="R308" s="107"/>
      <c r="S308" s="107"/>
      <c r="T308" s="107"/>
      <c r="U308" s="107"/>
      <c r="V308" s="107"/>
      <c r="W308" s="107"/>
      <c r="X308" s="107"/>
      <c r="Y308" s="107"/>
      <c r="Z308" s="107"/>
      <c r="AA308" s="107"/>
      <c r="AB308" s="107"/>
      <c r="AC308" s="107"/>
      <c r="AD308" s="107"/>
      <c r="AE308" s="107"/>
      <c r="AF308" s="107"/>
      <c r="AG308" s="107"/>
      <c r="AH308" s="107"/>
      <c r="AI308" s="107"/>
      <c r="AJ308" s="107"/>
      <c r="AK308" s="107"/>
      <c r="AL308" s="107"/>
      <c r="AM308" s="107"/>
      <c r="AN308" s="107"/>
      <c r="AO308" s="107"/>
      <c r="AP308" s="107"/>
      <c r="AQ308" s="107"/>
      <c r="AR308" s="107"/>
      <c r="AS308" s="107"/>
      <c r="AT308" s="107"/>
      <c r="AU308" s="107"/>
      <c r="AV308" s="107"/>
      <c r="AW308" s="107"/>
      <c r="AX308" s="107"/>
      <c r="AY308" s="34" t="s">
        <v>228</v>
      </c>
      <c r="AZ308" s="34" t="s">
        <v>731</v>
      </c>
      <c r="BA308" s="39" t="s">
        <v>291</v>
      </c>
      <c r="BB308" s="40"/>
      <c r="BE308" s="41"/>
      <c r="BI308" s="42">
        <v>1</v>
      </c>
    </row>
    <row r="309" spans="1:63" ht="31.5">
      <c r="A309" s="32">
        <f t="shared" si="33"/>
        <v>291</v>
      </c>
      <c r="B309" s="60" t="s">
        <v>767</v>
      </c>
      <c r="C309" s="102" t="s">
        <v>50</v>
      </c>
      <c r="D309" s="35">
        <f t="shared" si="27"/>
        <v>0.77999999999999992</v>
      </c>
      <c r="E309" s="35">
        <v>0.7</v>
      </c>
      <c r="F309" s="35">
        <f t="shared" si="32"/>
        <v>0.08</v>
      </c>
      <c r="G309" s="107">
        <v>0.06</v>
      </c>
      <c r="H309" s="107">
        <v>0.02</v>
      </c>
      <c r="I309" s="107"/>
      <c r="J309" s="107"/>
      <c r="K309" s="107"/>
      <c r="L309" s="107"/>
      <c r="M309" s="107"/>
      <c r="N309" s="107"/>
      <c r="O309" s="107"/>
      <c r="P309" s="107"/>
      <c r="Q309" s="107"/>
      <c r="R309" s="107"/>
      <c r="S309" s="107"/>
      <c r="T309" s="107"/>
      <c r="U309" s="107"/>
      <c r="V309" s="107"/>
      <c r="W309" s="107"/>
      <c r="X309" s="107"/>
      <c r="Y309" s="107"/>
      <c r="Z309" s="107"/>
      <c r="AA309" s="107"/>
      <c r="AB309" s="107"/>
      <c r="AC309" s="107"/>
      <c r="AD309" s="107"/>
      <c r="AE309" s="107"/>
      <c r="AF309" s="107"/>
      <c r="AG309" s="107"/>
      <c r="AH309" s="107"/>
      <c r="AI309" s="107"/>
      <c r="AJ309" s="107"/>
      <c r="AK309" s="107"/>
      <c r="AL309" s="107"/>
      <c r="AM309" s="107"/>
      <c r="AN309" s="107"/>
      <c r="AO309" s="107"/>
      <c r="AP309" s="107"/>
      <c r="AQ309" s="107"/>
      <c r="AR309" s="107"/>
      <c r="AS309" s="107"/>
      <c r="AT309" s="107"/>
      <c r="AU309" s="107"/>
      <c r="AV309" s="107"/>
      <c r="AW309" s="107"/>
      <c r="AX309" s="107"/>
      <c r="AY309" s="34" t="s">
        <v>228</v>
      </c>
      <c r="AZ309" s="34" t="s">
        <v>731</v>
      </c>
      <c r="BA309" s="39" t="s">
        <v>291</v>
      </c>
      <c r="BB309" s="40"/>
      <c r="BE309" s="41"/>
      <c r="BI309" s="42">
        <v>1</v>
      </c>
    </row>
    <row r="310" spans="1:63" ht="20.85" customHeight="1">
      <c r="A310" s="32">
        <f t="shared" si="33"/>
        <v>292</v>
      </c>
      <c r="B310" s="60" t="s">
        <v>768</v>
      </c>
      <c r="C310" s="102" t="s">
        <v>50</v>
      </c>
      <c r="D310" s="35">
        <f t="shared" si="27"/>
        <v>0.41</v>
      </c>
      <c r="E310" s="35">
        <v>0.41</v>
      </c>
      <c r="F310" s="89">
        <f t="shared" si="32"/>
        <v>0</v>
      </c>
      <c r="G310" s="107"/>
      <c r="H310" s="107"/>
      <c r="I310" s="107"/>
      <c r="J310" s="107"/>
      <c r="K310" s="107"/>
      <c r="L310" s="107"/>
      <c r="M310" s="107"/>
      <c r="N310" s="107"/>
      <c r="O310" s="107"/>
      <c r="P310" s="107"/>
      <c r="Q310" s="107"/>
      <c r="R310" s="107"/>
      <c r="S310" s="107"/>
      <c r="T310" s="107"/>
      <c r="U310" s="107"/>
      <c r="V310" s="107"/>
      <c r="W310" s="107"/>
      <c r="X310" s="107"/>
      <c r="Y310" s="107"/>
      <c r="Z310" s="107"/>
      <c r="AA310" s="107"/>
      <c r="AB310" s="107"/>
      <c r="AC310" s="107"/>
      <c r="AD310" s="107"/>
      <c r="AE310" s="107"/>
      <c r="AF310" s="107"/>
      <c r="AG310" s="107"/>
      <c r="AH310" s="107"/>
      <c r="AI310" s="107"/>
      <c r="AJ310" s="107"/>
      <c r="AK310" s="107"/>
      <c r="AL310" s="107"/>
      <c r="AM310" s="107"/>
      <c r="AN310" s="107"/>
      <c r="AO310" s="107"/>
      <c r="AP310" s="107"/>
      <c r="AQ310" s="107"/>
      <c r="AR310" s="107"/>
      <c r="AS310" s="107"/>
      <c r="AT310" s="107"/>
      <c r="AU310" s="107"/>
      <c r="AV310" s="107"/>
      <c r="AW310" s="107"/>
      <c r="AX310" s="107"/>
      <c r="AY310" s="34" t="s">
        <v>228</v>
      </c>
      <c r="AZ310" s="34" t="s">
        <v>764</v>
      </c>
      <c r="BA310" s="39" t="s">
        <v>291</v>
      </c>
      <c r="BB310" s="40"/>
      <c r="BE310" s="41"/>
      <c r="BI310" s="42">
        <v>1</v>
      </c>
    </row>
    <row r="311" spans="1:63" ht="20.85" customHeight="1">
      <c r="A311" s="32">
        <f t="shared" si="33"/>
        <v>293</v>
      </c>
      <c r="B311" s="60" t="s">
        <v>769</v>
      </c>
      <c r="C311" s="102" t="s">
        <v>50</v>
      </c>
      <c r="D311" s="35">
        <f t="shared" si="27"/>
        <v>0.6</v>
      </c>
      <c r="E311" s="35">
        <v>0.35</v>
      </c>
      <c r="F311" s="89">
        <f>SUM(G311:AX311)</f>
        <v>0.25</v>
      </c>
      <c r="G311" s="107">
        <v>0.11</v>
      </c>
      <c r="H311" s="107"/>
      <c r="I311" s="107"/>
      <c r="J311" s="107"/>
      <c r="K311" s="107"/>
      <c r="L311" s="107"/>
      <c r="M311" s="107"/>
      <c r="N311" s="107"/>
      <c r="O311" s="107"/>
      <c r="P311" s="107"/>
      <c r="Q311" s="107"/>
      <c r="R311" s="107"/>
      <c r="S311" s="107"/>
      <c r="T311" s="107"/>
      <c r="U311" s="107"/>
      <c r="V311" s="107"/>
      <c r="W311" s="107"/>
      <c r="X311" s="107"/>
      <c r="Y311" s="107"/>
      <c r="Z311" s="107"/>
      <c r="AA311" s="107"/>
      <c r="AB311" s="107"/>
      <c r="AC311" s="107"/>
      <c r="AD311" s="107"/>
      <c r="AE311" s="107">
        <v>0.14000000000000001</v>
      </c>
      <c r="AF311" s="107"/>
      <c r="AG311" s="107"/>
      <c r="AH311" s="107"/>
      <c r="AI311" s="107"/>
      <c r="AJ311" s="107"/>
      <c r="AK311" s="107"/>
      <c r="AL311" s="107"/>
      <c r="AM311" s="107"/>
      <c r="AN311" s="107"/>
      <c r="AO311" s="107"/>
      <c r="AP311" s="107"/>
      <c r="AQ311" s="107"/>
      <c r="AR311" s="107"/>
      <c r="AS311" s="107"/>
      <c r="AT311" s="107"/>
      <c r="AU311" s="107"/>
      <c r="AV311" s="107"/>
      <c r="AW311" s="107"/>
      <c r="AX311" s="107"/>
      <c r="AY311" s="34" t="s">
        <v>228</v>
      </c>
      <c r="AZ311" s="34" t="s">
        <v>670</v>
      </c>
      <c r="BA311" s="47" t="s">
        <v>298</v>
      </c>
      <c r="BB311" s="40"/>
      <c r="BC311" s="15" t="s">
        <v>381</v>
      </c>
      <c r="BE311" s="41"/>
      <c r="BI311" s="42">
        <v>1</v>
      </c>
    </row>
    <row r="312" spans="1:63" ht="20.85" customHeight="1">
      <c r="A312" s="32">
        <f t="shared" si="33"/>
        <v>294</v>
      </c>
      <c r="B312" s="60" t="s">
        <v>770</v>
      </c>
      <c r="C312" s="102" t="s">
        <v>50</v>
      </c>
      <c r="D312" s="35">
        <f t="shared" si="27"/>
        <v>1.1299999999999999</v>
      </c>
      <c r="E312" s="35">
        <v>0.94</v>
      </c>
      <c r="F312" s="35">
        <f t="shared" si="32"/>
        <v>0.19</v>
      </c>
      <c r="G312" s="107"/>
      <c r="H312" s="107"/>
      <c r="I312" s="107"/>
      <c r="J312" s="107"/>
      <c r="K312" s="107"/>
      <c r="L312" s="107"/>
      <c r="M312" s="107"/>
      <c r="N312" s="107"/>
      <c r="O312" s="107"/>
      <c r="P312" s="107"/>
      <c r="Q312" s="107"/>
      <c r="R312" s="107"/>
      <c r="S312" s="107"/>
      <c r="T312" s="107"/>
      <c r="U312" s="107"/>
      <c r="V312" s="107"/>
      <c r="W312" s="107"/>
      <c r="X312" s="107"/>
      <c r="Y312" s="107"/>
      <c r="Z312" s="107"/>
      <c r="AA312" s="107"/>
      <c r="AB312" s="107"/>
      <c r="AC312" s="107"/>
      <c r="AD312" s="107"/>
      <c r="AE312" s="107"/>
      <c r="AF312" s="107"/>
      <c r="AG312" s="107"/>
      <c r="AH312" s="107"/>
      <c r="AI312" s="107"/>
      <c r="AJ312" s="107"/>
      <c r="AK312" s="107"/>
      <c r="AL312" s="107"/>
      <c r="AM312" s="107"/>
      <c r="AN312" s="107"/>
      <c r="AO312" s="107"/>
      <c r="AP312" s="107"/>
      <c r="AQ312" s="107"/>
      <c r="AR312" s="107">
        <v>0.19</v>
      </c>
      <c r="AS312" s="107"/>
      <c r="AT312" s="107"/>
      <c r="AU312" s="107"/>
      <c r="AV312" s="107"/>
      <c r="AW312" s="107"/>
      <c r="AX312" s="107"/>
      <c r="AY312" s="34" t="s">
        <v>230</v>
      </c>
      <c r="AZ312" s="34" t="s">
        <v>771</v>
      </c>
      <c r="BA312" s="39" t="s">
        <v>291</v>
      </c>
      <c r="BB312" s="40"/>
      <c r="BE312" s="41"/>
      <c r="BI312" s="42">
        <v>1</v>
      </c>
    </row>
    <row r="313" spans="1:63" ht="20.85" customHeight="1">
      <c r="A313" s="32">
        <f t="shared" si="33"/>
        <v>295</v>
      </c>
      <c r="B313" s="60" t="s">
        <v>772</v>
      </c>
      <c r="C313" s="102" t="s">
        <v>50</v>
      </c>
      <c r="D313" s="35">
        <f t="shared" si="27"/>
        <v>0.41000000000000003</v>
      </c>
      <c r="E313" s="35">
        <v>0.32</v>
      </c>
      <c r="F313" s="35">
        <f t="shared" si="32"/>
        <v>0.09</v>
      </c>
      <c r="G313" s="107">
        <v>0.04</v>
      </c>
      <c r="H313" s="107"/>
      <c r="I313" s="107"/>
      <c r="J313" s="107"/>
      <c r="K313" s="107"/>
      <c r="L313" s="107"/>
      <c r="M313" s="107"/>
      <c r="N313" s="107"/>
      <c r="O313" s="107"/>
      <c r="P313" s="107"/>
      <c r="Q313" s="107"/>
      <c r="R313" s="107"/>
      <c r="S313" s="107"/>
      <c r="T313" s="107"/>
      <c r="U313" s="107"/>
      <c r="V313" s="107"/>
      <c r="W313" s="107"/>
      <c r="X313" s="107"/>
      <c r="Y313" s="107"/>
      <c r="Z313" s="107"/>
      <c r="AA313" s="107"/>
      <c r="AB313" s="107"/>
      <c r="AC313" s="107"/>
      <c r="AD313" s="107"/>
      <c r="AE313" s="107"/>
      <c r="AF313" s="107"/>
      <c r="AG313" s="107"/>
      <c r="AH313" s="107"/>
      <c r="AI313" s="107"/>
      <c r="AJ313" s="107"/>
      <c r="AK313" s="107"/>
      <c r="AL313" s="107"/>
      <c r="AM313" s="107"/>
      <c r="AN313" s="107"/>
      <c r="AO313" s="107"/>
      <c r="AP313" s="107">
        <v>0.05</v>
      </c>
      <c r="AQ313" s="107"/>
      <c r="AR313" s="107"/>
      <c r="AS313" s="107"/>
      <c r="AT313" s="107"/>
      <c r="AU313" s="107"/>
      <c r="AV313" s="107"/>
      <c r="AW313" s="107"/>
      <c r="AX313" s="107"/>
      <c r="AY313" s="34" t="s">
        <v>230</v>
      </c>
      <c r="AZ313" s="34" t="s">
        <v>308</v>
      </c>
      <c r="BA313" s="39" t="s">
        <v>291</v>
      </c>
      <c r="BB313" s="40"/>
      <c r="BE313" s="41"/>
      <c r="BI313" s="42">
        <v>1</v>
      </c>
    </row>
    <row r="314" spans="1:63" ht="20.85" customHeight="1">
      <c r="A314" s="32">
        <f t="shared" si="33"/>
        <v>296</v>
      </c>
      <c r="B314" s="88" t="s">
        <v>773</v>
      </c>
      <c r="C314" s="102" t="s">
        <v>50</v>
      </c>
      <c r="D314" s="35">
        <f t="shared" si="27"/>
        <v>0.82</v>
      </c>
      <c r="E314" s="35">
        <v>0.82</v>
      </c>
      <c r="F314" s="89">
        <f t="shared" si="32"/>
        <v>0</v>
      </c>
      <c r="G314" s="107"/>
      <c r="H314" s="107"/>
      <c r="I314" s="107"/>
      <c r="J314" s="107"/>
      <c r="K314" s="107"/>
      <c r="L314" s="107"/>
      <c r="M314" s="107"/>
      <c r="N314" s="107"/>
      <c r="O314" s="107"/>
      <c r="P314" s="107"/>
      <c r="Q314" s="107"/>
      <c r="R314" s="107"/>
      <c r="S314" s="107"/>
      <c r="T314" s="107"/>
      <c r="U314" s="107"/>
      <c r="V314" s="107"/>
      <c r="W314" s="107"/>
      <c r="X314" s="107"/>
      <c r="Y314" s="107"/>
      <c r="Z314" s="107"/>
      <c r="AA314" s="107"/>
      <c r="AB314" s="107"/>
      <c r="AC314" s="107"/>
      <c r="AD314" s="107"/>
      <c r="AE314" s="107"/>
      <c r="AF314" s="107"/>
      <c r="AG314" s="107"/>
      <c r="AH314" s="107"/>
      <c r="AI314" s="107"/>
      <c r="AJ314" s="107"/>
      <c r="AK314" s="107"/>
      <c r="AL314" s="107"/>
      <c r="AM314" s="107"/>
      <c r="AN314" s="107"/>
      <c r="AO314" s="107"/>
      <c r="AP314" s="107"/>
      <c r="AQ314" s="107"/>
      <c r="AR314" s="107"/>
      <c r="AS314" s="107"/>
      <c r="AT314" s="107"/>
      <c r="AU314" s="107"/>
      <c r="AV314" s="107"/>
      <c r="AW314" s="107"/>
      <c r="AX314" s="107"/>
      <c r="AY314" s="34" t="s">
        <v>230</v>
      </c>
      <c r="AZ314" s="34" t="s">
        <v>308</v>
      </c>
      <c r="BA314" s="63" t="s">
        <v>291</v>
      </c>
      <c r="BB314" s="64"/>
      <c r="BC314" s="65"/>
      <c r="BD314" s="65" t="s">
        <v>774</v>
      </c>
      <c r="BE314" s="41"/>
      <c r="BI314" s="42">
        <v>1</v>
      </c>
    </row>
    <row r="315" spans="1:63" ht="20.85" customHeight="1">
      <c r="A315" s="32">
        <f t="shared" si="33"/>
        <v>297</v>
      </c>
      <c r="B315" s="60" t="s">
        <v>775</v>
      </c>
      <c r="C315" s="102" t="s">
        <v>50</v>
      </c>
      <c r="D315" s="35">
        <f t="shared" si="27"/>
        <v>0.46</v>
      </c>
      <c r="E315" s="35">
        <v>0.26</v>
      </c>
      <c r="F315" s="35">
        <f t="shared" si="32"/>
        <v>0.2</v>
      </c>
      <c r="G315" s="107">
        <v>0.2</v>
      </c>
      <c r="H315" s="107"/>
      <c r="I315" s="107"/>
      <c r="J315" s="107"/>
      <c r="K315" s="107"/>
      <c r="L315" s="107"/>
      <c r="M315" s="107"/>
      <c r="N315" s="107"/>
      <c r="O315" s="107"/>
      <c r="P315" s="107"/>
      <c r="Q315" s="107"/>
      <c r="R315" s="107"/>
      <c r="S315" s="107"/>
      <c r="T315" s="107"/>
      <c r="U315" s="107"/>
      <c r="V315" s="107"/>
      <c r="W315" s="107"/>
      <c r="X315" s="107"/>
      <c r="Y315" s="107"/>
      <c r="Z315" s="107"/>
      <c r="AA315" s="107"/>
      <c r="AB315" s="107"/>
      <c r="AC315" s="107"/>
      <c r="AD315" s="107"/>
      <c r="AE315" s="107"/>
      <c r="AF315" s="107"/>
      <c r="AG315" s="107"/>
      <c r="AH315" s="107"/>
      <c r="AI315" s="107"/>
      <c r="AJ315" s="107"/>
      <c r="AK315" s="107"/>
      <c r="AL315" s="107"/>
      <c r="AM315" s="107"/>
      <c r="AN315" s="107"/>
      <c r="AO315" s="107"/>
      <c r="AP315" s="107"/>
      <c r="AQ315" s="107"/>
      <c r="AR315" s="107"/>
      <c r="AS315" s="107"/>
      <c r="AT315" s="107"/>
      <c r="AU315" s="107"/>
      <c r="AV315" s="107"/>
      <c r="AW315" s="107"/>
      <c r="AX315" s="107"/>
      <c r="AY315" s="34" t="s">
        <v>232</v>
      </c>
      <c r="AZ315" s="34" t="s">
        <v>308</v>
      </c>
      <c r="BA315" s="63" t="s">
        <v>291</v>
      </c>
      <c r="BB315" s="64"/>
      <c r="BD315" s="15" t="s">
        <v>7</v>
      </c>
      <c r="BE315" s="41" t="s">
        <v>776</v>
      </c>
      <c r="BI315" s="42">
        <v>1</v>
      </c>
    </row>
    <row r="316" spans="1:63" ht="20.85" customHeight="1">
      <c r="A316" s="32">
        <f t="shared" si="33"/>
        <v>298</v>
      </c>
      <c r="B316" s="60" t="s">
        <v>777</v>
      </c>
      <c r="C316" s="102" t="s">
        <v>50</v>
      </c>
      <c r="D316" s="35">
        <f t="shared" si="27"/>
        <v>0.5</v>
      </c>
      <c r="E316" s="35">
        <v>0.43</v>
      </c>
      <c r="F316" s="35">
        <f t="shared" si="32"/>
        <v>7.0000000000000007E-2</v>
      </c>
      <c r="G316" s="107"/>
      <c r="H316" s="107"/>
      <c r="I316" s="107"/>
      <c r="J316" s="107">
        <v>7.0000000000000007E-2</v>
      </c>
      <c r="K316" s="107"/>
      <c r="L316" s="107"/>
      <c r="M316" s="107"/>
      <c r="N316" s="107"/>
      <c r="O316" s="107"/>
      <c r="P316" s="107"/>
      <c r="Q316" s="107"/>
      <c r="R316" s="107"/>
      <c r="S316" s="107"/>
      <c r="T316" s="107"/>
      <c r="U316" s="107"/>
      <c r="V316" s="107"/>
      <c r="W316" s="107"/>
      <c r="X316" s="107"/>
      <c r="Y316" s="107"/>
      <c r="Z316" s="107"/>
      <c r="AA316" s="107"/>
      <c r="AB316" s="107"/>
      <c r="AC316" s="107"/>
      <c r="AD316" s="107"/>
      <c r="AE316" s="107"/>
      <c r="AF316" s="107"/>
      <c r="AG316" s="107"/>
      <c r="AH316" s="107"/>
      <c r="AI316" s="107"/>
      <c r="AJ316" s="107"/>
      <c r="AK316" s="107"/>
      <c r="AL316" s="107"/>
      <c r="AM316" s="107"/>
      <c r="AN316" s="107"/>
      <c r="AO316" s="107"/>
      <c r="AP316" s="107"/>
      <c r="AQ316" s="107"/>
      <c r="AR316" s="107"/>
      <c r="AS316" s="107"/>
      <c r="AT316" s="107"/>
      <c r="AU316" s="107"/>
      <c r="AV316" s="107"/>
      <c r="AW316" s="107"/>
      <c r="AX316" s="107"/>
      <c r="AY316" s="34" t="s">
        <v>232</v>
      </c>
      <c r="AZ316" s="34" t="s">
        <v>308</v>
      </c>
      <c r="BA316" s="63" t="s">
        <v>291</v>
      </c>
      <c r="BB316" s="64"/>
      <c r="BD316" s="15" t="s">
        <v>14</v>
      </c>
      <c r="BE316" s="41" t="s">
        <v>778</v>
      </c>
      <c r="BI316" s="42">
        <v>1</v>
      </c>
    </row>
    <row r="317" spans="1:63" s="49" customFormat="1" ht="20.85" customHeight="1">
      <c r="A317" s="32">
        <f t="shared" si="33"/>
        <v>299</v>
      </c>
      <c r="B317" s="88" t="s">
        <v>779</v>
      </c>
      <c r="C317" s="102" t="s">
        <v>50</v>
      </c>
      <c r="D317" s="35">
        <f t="shared" si="27"/>
        <v>0.4</v>
      </c>
      <c r="E317" s="45">
        <v>0.26</v>
      </c>
      <c r="F317" s="35">
        <f t="shared" si="32"/>
        <v>0.14000000000000001</v>
      </c>
      <c r="G317" s="46">
        <v>0.14000000000000001</v>
      </c>
      <c r="H317" s="46"/>
      <c r="I317" s="46"/>
      <c r="J317" s="46"/>
      <c r="K317" s="46"/>
      <c r="L317" s="46"/>
      <c r="M317" s="46"/>
      <c r="N317" s="46"/>
      <c r="O317" s="46"/>
      <c r="P317" s="46"/>
      <c r="Q317" s="46"/>
      <c r="R317" s="46"/>
      <c r="S317" s="46"/>
      <c r="T317" s="46"/>
      <c r="U317" s="46"/>
      <c r="V317" s="46"/>
      <c r="W317" s="46"/>
      <c r="X317" s="46"/>
      <c r="Y317" s="46"/>
      <c r="Z317" s="46"/>
      <c r="AA317" s="46"/>
      <c r="AB317" s="46"/>
      <c r="AC317" s="46"/>
      <c r="AD317" s="46"/>
      <c r="AE317" s="46"/>
      <c r="AF317" s="46"/>
      <c r="AG317" s="46"/>
      <c r="AH317" s="46"/>
      <c r="AI317" s="46"/>
      <c r="AJ317" s="46"/>
      <c r="AK317" s="46"/>
      <c r="AL317" s="46"/>
      <c r="AM317" s="46"/>
      <c r="AN317" s="46"/>
      <c r="AO317" s="46"/>
      <c r="AP317" s="46"/>
      <c r="AQ317" s="46"/>
      <c r="AR317" s="46"/>
      <c r="AS317" s="46"/>
      <c r="AT317" s="46"/>
      <c r="AU317" s="46"/>
      <c r="AV317" s="46"/>
      <c r="AW317" s="46"/>
      <c r="AX317" s="46"/>
      <c r="AY317" s="47" t="s">
        <v>233</v>
      </c>
      <c r="AZ317" s="47" t="s">
        <v>502</v>
      </c>
      <c r="BA317" s="93" t="s">
        <v>322</v>
      </c>
      <c r="BB317" s="50"/>
      <c r="BC317" s="49" t="s">
        <v>780</v>
      </c>
      <c r="BI317" s="42">
        <v>1</v>
      </c>
      <c r="BK317" s="50"/>
    </row>
    <row r="318" spans="1:63" s="49" customFormat="1" ht="31.5">
      <c r="A318" s="32">
        <f t="shared" si="33"/>
        <v>300</v>
      </c>
      <c r="B318" s="88" t="s">
        <v>781</v>
      </c>
      <c r="C318" s="102" t="s">
        <v>50</v>
      </c>
      <c r="D318" s="35">
        <f t="shared" si="27"/>
        <v>1</v>
      </c>
      <c r="E318" s="45"/>
      <c r="F318" s="35">
        <f t="shared" si="32"/>
        <v>1</v>
      </c>
      <c r="G318" s="46">
        <v>0.3</v>
      </c>
      <c r="H318" s="46"/>
      <c r="I318" s="46"/>
      <c r="J318" s="46"/>
      <c r="K318" s="46"/>
      <c r="L318" s="46"/>
      <c r="M318" s="46">
        <v>0.7</v>
      </c>
      <c r="N318" s="46"/>
      <c r="O318" s="46"/>
      <c r="P318" s="46"/>
      <c r="Q318" s="46"/>
      <c r="R318" s="46"/>
      <c r="S318" s="46"/>
      <c r="T318" s="46"/>
      <c r="U318" s="46"/>
      <c r="V318" s="46"/>
      <c r="W318" s="46"/>
      <c r="X318" s="46"/>
      <c r="Y318" s="46"/>
      <c r="Z318" s="46"/>
      <c r="AA318" s="46"/>
      <c r="AB318" s="46"/>
      <c r="AC318" s="46"/>
      <c r="AD318" s="46"/>
      <c r="AE318" s="46"/>
      <c r="AF318" s="46"/>
      <c r="AG318" s="46"/>
      <c r="AH318" s="46"/>
      <c r="AI318" s="46"/>
      <c r="AJ318" s="46"/>
      <c r="AK318" s="46"/>
      <c r="AL318" s="46"/>
      <c r="AM318" s="46"/>
      <c r="AN318" s="46"/>
      <c r="AO318" s="46"/>
      <c r="AP318" s="46"/>
      <c r="AQ318" s="46"/>
      <c r="AR318" s="46"/>
      <c r="AS318" s="46"/>
      <c r="AT318" s="46"/>
      <c r="AU318" s="46"/>
      <c r="AV318" s="46"/>
      <c r="AW318" s="46"/>
      <c r="AX318" s="46"/>
      <c r="AY318" s="47" t="s">
        <v>233</v>
      </c>
      <c r="AZ318" s="47" t="s">
        <v>782</v>
      </c>
      <c r="BA318" s="93" t="s">
        <v>291</v>
      </c>
      <c r="BB318" s="50"/>
      <c r="BI318" s="42">
        <v>1</v>
      </c>
      <c r="BK318" s="50"/>
    </row>
    <row r="319" spans="1:63" s="49" customFormat="1" ht="20.100000000000001" customHeight="1">
      <c r="A319" s="32">
        <f t="shared" si="33"/>
        <v>301</v>
      </c>
      <c r="B319" s="88" t="s">
        <v>783</v>
      </c>
      <c r="C319" s="102" t="s">
        <v>50</v>
      </c>
      <c r="D319" s="35">
        <f t="shared" si="27"/>
        <v>0.61</v>
      </c>
      <c r="E319" s="45">
        <v>0.56999999999999995</v>
      </c>
      <c r="F319" s="35">
        <f t="shared" si="32"/>
        <v>0.04</v>
      </c>
      <c r="G319" s="46">
        <v>0.04</v>
      </c>
      <c r="H319" s="46"/>
      <c r="I319" s="46"/>
      <c r="J319" s="46"/>
      <c r="K319" s="46"/>
      <c r="L319" s="46"/>
      <c r="M319" s="46"/>
      <c r="N319" s="46"/>
      <c r="O319" s="46"/>
      <c r="P319" s="46"/>
      <c r="Q319" s="46"/>
      <c r="R319" s="46"/>
      <c r="S319" s="46"/>
      <c r="T319" s="46"/>
      <c r="U319" s="46"/>
      <c r="V319" s="46"/>
      <c r="W319" s="46"/>
      <c r="X319" s="46"/>
      <c r="Y319" s="46"/>
      <c r="Z319" s="46"/>
      <c r="AA319" s="46"/>
      <c r="AB319" s="46"/>
      <c r="AC319" s="46"/>
      <c r="AD319" s="46"/>
      <c r="AE319" s="46"/>
      <c r="AF319" s="46"/>
      <c r="AG319" s="46"/>
      <c r="AH319" s="46"/>
      <c r="AI319" s="46"/>
      <c r="AJ319" s="46"/>
      <c r="AK319" s="46"/>
      <c r="AL319" s="46"/>
      <c r="AM319" s="46"/>
      <c r="AN319" s="46"/>
      <c r="AO319" s="46"/>
      <c r="AP319" s="46"/>
      <c r="AQ319" s="46"/>
      <c r="AR319" s="46"/>
      <c r="AS319" s="46"/>
      <c r="AT319" s="46"/>
      <c r="AU319" s="46"/>
      <c r="AV319" s="46"/>
      <c r="AW319" s="46"/>
      <c r="AX319" s="46"/>
      <c r="AY319" s="47" t="s">
        <v>233</v>
      </c>
      <c r="AZ319" s="47" t="s">
        <v>784</v>
      </c>
      <c r="BA319" s="93" t="s">
        <v>291</v>
      </c>
      <c r="BB319" s="50"/>
      <c r="BI319" s="42">
        <v>1</v>
      </c>
      <c r="BK319" s="50"/>
    </row>
    <row r="320" spans="1:63" s="49" customFormat="1" ht="20.100000000000001" customHeight="1">
      <c r="A320" s="32">
        <f t="shared" si="33"/>
        <v>302</v>
      </c>
      <c r="B320" s="88" t="s">
        <v>785</v>
      </c>
      <c r="C320" s="102" t="s">
        <v>50</v>
      </c>
      <c r="D320" s="35">
        <f t="shared" si="27"/>
        <v>0.71</v>
      </c>
      <c r="E320" s="45">
        <v>0.49</v>
      </c>
      <c r="F320" s="35">
        <f t="shared" si="32"/>
        <v>0.22</v>
      </c>
      <c r="G320" s="46"/>
      <c r="H320" s="46"/>
      <c r="I320" s="46"/>
      <c r="J320" s="46"/>
      <c r="K320" s="46"/>
      <c r="L320" s="46"/>
      <c r="M320" s="46"/>
      <c r="N320" s="46"/>
      <c r="O320" s="46"/>
      <c r="P320" s="46"/>
      <c r="Q320" s="46"/>
      <c r="R320" s="46"/>
      <c r="S320" s="46"/>
      <c r="T320" s="46"/>
      <c r="U320" s="46"/>
      <c r="V320" s="46"/>
      <c r="W320" s="46"/>
      <c r="X320" s="46"/>
      <c r="Y320" s="46"/>
      <c r="Z320" s="46"/>
      <c r="AA320" s="46"/>
      <c r="AB320" s="46"/>
      <c r="AC320" s="46">
        <v>0.22</v>
      </c>
      <c r="AD320" s="46"/>
      <c r="AE320" s="46"/>
      <c r="AF320" s="46"/>
      <c r="AG320" s="46"/>
      <c r="AH320" s="46"/>
      <c r="AI320" s="46"/>
      <c r="AJ320" s="46"/>
      <c r="AK320" s="46"/>
      <c r="AL320" s="46"/>
      <c r="AM320" s="46"/>
      <c r="AN320" s="46"/>
      <c r="AO320" s="46"/>
      <c r="AP320" s="46"/>
      <c r="AQ320" s="46"/>
      <c r="AR320" s="46"/>
      <c r="AS320" s="46"/>
      <c r="AT320" s="46"/>
      <c r="AU320" s="46"/>
      <c r="AV320" s="46"/>
      <c r="AW320" s="46"/>
      <c r="AX320" s="46"/>
      <c r="AY320" s="47" t="s">
        <v>233</v>
      </c>
      <c r="AZ320" s="47" t="s">
        <v>786</v>
      </c>
      <c r="BA320" s="93" t="s">
        <v>291</v>
      </c>
      <c r="BB320" s="50"/>
      <c r="BI320" s="42">
        <v>1</v>
      </c>
      <c r="BK320" s="50"/>
    </row>
    <row r="321" spans="1:63" s="49" customFormat="1" ht="20.100000000000001" customHeight="1">
      <c r="A321" s="32">
        <f t="shared" si="33"/>
        <v>303</v>
      </c>
      <c r="B321" s="88" t="s">
        <v>787</v>
      </c>
      <c r="C321" s="102" t="s">
        <v>50</v>
      </c>
      <c r="D321" s="35">
        <f t="shared" si="27"/>
        <v>2.85</v>
      </c>
      <c r="E321" s="45">
        <v>2.4500000000000002</v>
      </c>
      <c r="F321" s="35">
        <f t="shared" si="32"/>
        <v>0.4</v>
      </c>
      <c r="G321" s="46"/>
      <c r="H321" s="46"/>
      <c r="I321" s="46"/>
      <c r="J321" s="46">
        <v>0.4</v>
      </c>
      <c r="K321" s="46"/>
      <c r="L321" s="46"/>
      <c r="M321" s="46"/>
      <c r="N321" s="46"/>
      <c r="O321" s="46"/>
      <c r="P321" s="46"/>
      <c r="Q321" s="46"/>
      <c r="R321" s="46"/>
      <c r="S321" s="46"/>
      <c r="T321" s="46"/>
      <c r="U321" s="46"/>
      <c r="V321" s="46"/>
      <c r="W321" s="46"/>
      <c r="X321" s="46"/>
      <c r="Y321" s="46"/>
      <c r="Z321" s="46"/>
      <c r="AA321" s="46"/>
      <c r="AB321" s="46"/>
      <c r="AC321" s="46"/>
      <c r="AD321" s="46"/>
      <c r="AE321" s="46"/>
      <c r="AF321" s="46"/>
      <c r="AG321" s="46"/>
      <c r="AH321" s="46"/>
      <c r="AI321" s="46"/>
      <c r="AJ321" s="46"/>
      <c r="AK321" s="46"/>
      <c r="AL321" s="46"/>
      <c r="AM321" s="46"/>
      <c r="AN321" s="46"/>
      <c r="AO321" s="46"/>
      <c r="AP321" s="46"/>
      <c r="AQ321" s="46"/>
      <c r="AR321" s="46"/>
      <c r="AS321" s="46"/>
      <c r="AT321" s="46"/>
      <c r="AU321" s="46"/>
      <c r="AV321" s="46"/>
      <c r="AW321" s="46"/>
      <c r="AX321" s="46"/>
      <c r="AY321" s="47" t="s">
        <v>233</v>
      </c>
      <c r="AZ321" s="47" t="s">
        <v>788</v>
      </c>
      <c r="BA321" s="93" t="s">
        <v>291</v>
      </c>
      <c r="BB321" s="50" t="s">
        <v>351</v>
      </c>
      <c r="BI321" s="42">
        <v>1</v>
      </c>
      <c r="BK321" s="50"/>
    </row>
    <row r="322" spans="1:63" s="49" customFormat="1" ht="20.100000000000001" customHeight="1">
      <c r="A322" s="32">
        <f t="shared" si="33"/>
        <v>304</v>
      </c>
      <c r="B322" s="88" t="s">
        <v>789</v>
      </c>
      <c r="C322" s="102" t="s">
        <v>50</v>
      </c>
      <c r="D322" s="35">
        <f t="shared" si="27"/>
        <v>0.25</v>
      </c>
      <c r="E322" s="45"/>
      <c r="F322" s="35">
        <f t="shared" si="32"/>
        <v>0.25</v>
      </c>
      <c r="G322" s="46"/>
      <c r="H322" s="46"/>
      <c r="I322" s="46"/>
      <c r="J322" s="46"/>
      <c r="K322" s="46"/>
      <c r="L322" s="46"/>
      <c r="M322" s="46"/>
      <c r="N322" s="46"/>
      <c r="O322" s="46"/>
      <c r="P322" s="46"/>
      <c r="Q322" s="46"/>
      <c r="R322" s="46"/>
      <c r="S322" s="46"/>
      <c r="T322" s="46"/>
      <c r="U322" s="46"/>
      <c r="V322" s="46"/>
      <c r="W322" s="46"/>
      <c r="X322" s="46"/>
      <c r="Y322" s="46"/>
      <c r="Z322" s="46"/>
      <c r="AA322" s="46"/>
      <c r="AB322" s="46"/>
      <c r="AC322" s="46"/>
      <c r="AD322" s="46"/>
      <c r="AE322" s="46"/>
      <c r="AF322" s="46"/>
      <c r="AG322" s="46"/>
      <c r="AH322" s="46"/>
      <c r="AI322" s="46"/>
      <c r="AJ322" s="46"/>
      <c r="AK322" s="46"/>
      <c r="AL322" s="46"/>
      <c r="AM322" s="46"/>
      <c r="AN322" s="46"/>
      <c r="AO322" s="46"/>
      <c r="AP322" s="46"/>
      <c r="AQ322" s="46"/>
      <c r="AR322" s="46">
        <v>0.25</v>
      </c>
      <c r="AS322" s="46"/>
      <c r="AT322" s="46"/>
      <c r="AU322" s="46"/>
      <c r="AV322" s="46"/>
      <c r="AW322" s="46"/>
      <c r="AX322" s="46"/>
      <c r="AY322" s="47" t="s">
        <v>233</v>
      </c>
      <c r="AZ322" s="47" t="s">
        <v>503</v>
      </c>
      <c r="BA322" s="93" t="s">
        <v>291</v>
      </c>
      <c r="BB322" s="50"/>
      <c r="BI322" s="42">
        <v>1</v>
      </c>
      <c r="BK322" s="50"/>
    </row>
    <row r="323" spans="1:63" s="49" customFormat="1" ht="20.100000000000001" customHeight="1">
      <c r="A323" s="32">
        <f t="shared" si="33"/>
        <v>305</v>
      </c>
      <c r="B323" s="60" t="s">
        <v>790</v>
      </c>
      <c r="C323" s="102" t="s">
        <v>50</v>
      </c>
      <c r="D323" s="35">
        <f t="shared" si="27"/>
        <v>0.55000000000000004</v>
      </c>
      <c r="E323" s="45">
        <v>0.55000000000000004</v>
      </c>
      <c r="F323" s="35">
        <f t="shared" si="32"/>
        <v>0</v>
      </c>
      <c r="G323" s="46"/>
      <c r="H323" s="46"/>
      <c r="I323" s="46"/>
      <c r="J323" s="46"/>
      <c r="K323" s="46"/>
      <c r="L323" s="46"/>
      <c r="M323" s="46"/>
      <c r="N323" s="46"/>
      <c r="O323" s="46"/>
      <c r="P323" s="46"/>
      <c r="Q323" s="46"/>
      <c r="R323" s="46"/>
      <c r="S323" s="46"/>
      <c r="T323" s="46"/>
      <c r="U323" s="46"/>
      <c r="V323" s="46"/>
      <c r="W323" s="46"/>
      <c r="X323" s="46"/>
      <c r="Y323" s="46"/>
      <c r="Z323" s="46"/>
      <c r="AA323" s="46"/>
      <c r="AB323" s="46"/>
      <c r="AC323" s="46"/>
      <c r="AD323" s="46"/>
      <c r="AE323" s="46"/>
      <c r="AF323" s="46"/>
      <c r="AG323" s="46"/>
      <c r="AH323" s="46"/>
      <c r="AI323" s="46"/>
      <c r="AJ323" s="46"/>
      <c r="AK323" s="46"/>
      <c r="AL323" s="46"/>
      <c r="AM323" s="46"/>
      <c r="AN323" s="46"/>
      <c r="AO323" s="46"/>
      <c r="AP323" s="46"/>
      <c r="AQ323" s="46"/>
      <c r="AR323" s="46"/>
      <c r="AS323" s="46"/>
      <c r="AT323" s="46"/>
      <c r="AU323" s="46"/>
      <c r="AV323" s="46"/>
      <c r="AW323" s="46"/>
      <c r="AX323" s="46"/>
      <c r="AY323" s="47" t="s">
        <v>234</v>
      </c>
      <c r="AZ323" s="47" t="s">
        <v>387</v>
      </c>
      <c r="BA323" s="47" t="s">
        <v>291</v>
      </c>
      <c r="BB323" s="48"/>
      <c r="BC323" s="49" t="s">
        <v>791</v>
      </c>
      <c r="BD323" s="49" t="s">
        <v>792</v>
      </c>
      <c r="BI323" s="42">
        <v>1</v>
      </c>
      <c r="BK323" s="50"/>
    </row>
    <row r="324" spans="1:63" ht="31.5">
      <c r="A324" s="32">
        <f t="shared" si="33"/>
        <v>306</v>
      </c>
      <c r="B324" s="88" t="s">
        <v>793</v>
      </c>
      <c r="C324" s="102" t="s">
        <v>50</v>
      </c>
      <c r="D324" s="35">
        <f t="shared" si="27"/>
        <v>1</v>
      </c>
      <c r="E324" s="35"/>
      <c r="F324" s="35">
        <f t="shared" si="32"/>
        <v>1</v>
      </c>
      <c r="G324" s="107"/>
      <c r="H324" s="107"/>
      <c r="I324" s="107"/>
      <c r="J324" s="107">
        <v>0.11</v>
      </c>
      <c r="K324" s="107"/>
      <c r="L324" s="107"/>
      <c r="M324" s="107">
        <v>0.89</v>
      </c>
      <c r="N324" s="107"/>
      <c r="O324" s="107"/>
      <c r="P324" s="107"/>
      <c r="Q324" s="107"/>
      <c r="R324" s="107"/>
      <c r="S324" s="107"/>
      <c r="T324" s="107"/>
      <c r="U324" s="107"/>
      <c r="V324" s="107"/>
      <c r="W324" s="107"/>
      <c r="X324" s="107"/>
      <c r="Y324" s="107"/>
      <c r="Z324" s="107"/>
      <c r="AA324" s="107"/>
      <c r="AB324" s="107"/>
      <c r="AC324" s="107"/>
      <c r="AD324" s="107"/>
      <c r="AE324" s="107"/>
      <c r="AF324" s="107"/>
      <c r="AG324" s="107"/>
      <c r="AH324" s="107"/>
      <c r="AI324" s="107"/>
      <c r="AJ324" s="107"/>
      <c r="AK324" s="107"/>
      <c r="AL324" s="107"/>
      <c r="AM324" s="107"/>
      <c r="AN324" s="107"/>
      <c r="AO324" s="107"/>
      <c r="AP324" s="107"/>
      <c r="AQ324" s="107"/>
      <c r="AR324" s="107"/>
      <c r="AS324" s="107"/>
      <c r="AT324" s="107"/>
      <c r="AU324" s="107"/>
      <c r="AV324" s="107"/>
      <c r="AW324" s="107"/>
      <c r="AX324" s="107"/>
      <c r="AY324" s="34" t="s">
        <v>236</v>
      </c>
      <c r="AZ324" s="34" t="s">
        <v>794</v>
      </c>
      <c r="BA324" s="39" t="s">
        <v>291</v>
      </c>
      <c r="BB324" s="40"/>
      <c r="BD324" s="15" t="s">
        <v>795</v>
      </c>
      <c r="BE324" s="41"/>
      <c r="BG324" s="15" t="s">
        <v>435</v>
      </c>
      <c r="BI324" s="42">
        <v>1</v>
      </c>
    </row>
    <row r="325" spans="1:63" ht="20.100000000000001" customHeight="1">
      <c r="A325" s="32">
        <f t="shared" si="33"/>
        <v>307</v>
      </c>
      <c r="B325" s="88" t="s">
        <v>796</v>
      </c>
      <c r="C325" s="102" t="s">
        <v>50</v>
      </c>
      <c r="D325" s="35">
        <f t="shared" si="27"/>
        <v>0.8</v>
      </c>
      <c r="E325" s="35">
        <v>0.5</v>
      </c>
      <c r="F325" s="35">
        <f t="shared" si="32"/>
        <v>0.3</v>
      </c>
      <c r="G325" s="107"/>
      <c r="H325" s="107"/>
      <c r="I325" s="107">
        <v>0.3</v>
      </c>
      <c r="J325" s="107"/>
      <c r="K325" s="107"/>
      <c r="L325" s="107"/>
      <c r="M325" s="107"/>
      <c r="N325" s="107"/>
      <c r="O325" s="107"/>
      <c r="P325" s="107"/>
      <c r="Q325" s="107"/>
      <c r="R325" s="107"/>
      <c r="S325" s="107"/>
      <c r="T325" s="107"/>
      <c r="U325" s="107"/>
      <c r="V325" s="107"/>
      <c r="W325" s="107"/>
      <c r="X325" s="107"/>
      <c r="Y325" s="107"/>
      <c r="Z325" s="107"/>
      <c r="AA325" s="107"/>
      <c r="AB325" s="107"/>
      <c r="AC325" s="107"/>
      <c r="AD325" s="107"/>
      <c r="AE325" s="107"/>
      <c r="AF325" s="107"/>
      <c r="AG325" s="107"/>
      <c r="AH325" s="107"/>
      <c r="AI325" s="107"/>
      <c r="AJ325" s="107"/>
      <c r="AK325" s="107"/>
      <c r="AL325" s="107"/>
      <c r="AM325" s="107"/>
      <c r="AN325" s="107"/>
      <c r="AO325" s="107"/>
      <c r="AP325" s="107"/>
      <c r="AQ325" s="107"/>
      <c r="AR325" s="107"/>
      <c r="AS325" s="107"/>
      <c r="AT325" s="107"/>
      <c r="AU325" s="107"/>
      <c r="AV325" s="107"/>
      <c r="AW325" s="107"/>
      <c r="AX325" s="107"/>
      <c r="AY325" s="34" t="s">
        <v>236</v>
      </c>
      <c r="AZ325" s="34" t="s">
        <v>431</v>
      </c>
      <c r="BA325" s="39" t="s">
        <v>291</v>
      </c>
      <c r="BB325" s="40"/>
      <c r="BD325" s="15" t="s">
        <v>797</v>
      </c>
      <c r="BE325" s="41"/>
      <c r="BI325" s="42">
        <v>1</v>
      </c>
    </row>
    <row r="326" spans="1:63" ht="20.100000000000001" customHeight="1">
      <c r="A326" s="32">
        <f t="shared" si="33"/>
        <v>308</v>
      </c>
      <c r="B326" s="88" t="s">
        <v>798</v>
      </c>
      <c r="C326" s="102" t="s">
        <v>50</v>
      </c>
      <c r="D326" s="35">
        <f t="shared" si="27"/>
        <v>0.94</v>
      </c>
      <c r="E326" s="35"/>
      <c r="F326" s="35">
        <f t="shared" si="32"/>
        <v>0.94</v>
      </c>
      <c r="G326" s="107"/>
      <c r="H326" s="107"/>
      <c r="I326" s="107"/>
      <c r="J326" s="107"/>
      <c r="K326" s="107"/>
      <c r="L326" s="107"/>
      <c r="M326" s="107">
        <v>0.94</v>
      </c>
      <c r="N326" s="107"/>
      <c r="O326" s="107"/>
      <c r="P326" s="107"/>
      <c r="Q326" s="107"/>
      <c r="R326" s="107"/>
      <c r="S326" s="107"/>
      <c r="T326" s="107"/>
      <c r="U326" s="107"/>
      <c r="V326" s="107"/>
      <c r="W326" s="107"/>
      <c r="X326" s="107"/>
      <c r="Y326" s="107"/>
      <c r="Z326" s="107"/>
      <c r="AA326" s="107"/>
      <c r="AB326" s="107"/>
      <c r="AC326" s="107"/>
      <c r="AD326" s="107"/>
      <c r="AE326" s="107"/>
      <c r="AF326" s="107"/>
      <c r="AG326" s="107"/>
      <c r="AH326" s="107"/>
      <c r="AI326" s="107"/>
      <c r="AJ326" s="107"/>
      <c r="AK326" s="107"/>
      <c r="AL326" s="107"/>
      <c r="AM326" s="107"/>
      <c r="AN326" s="107"/>
      <c r="AO326" s="107"/>
      <c r="AP326" s="107"/>
      <c r="AQ326" s="107"/>
      <c r="AR326" s="107"/>
      <c r="AS326" s="107"/>
      <c r="AT326" s="107"/>
      <c r="AU326" s="107"/>
      <c r="AV326" s="107"/>
      <c r="AW326" s="107"/>
      <c r="AX326" s="107"/>
      <c r="AY326" s="34" t="s">
        <v>237</v>
      </c>
      <c r="AZ326" s="34" t="s">
        <v>308</v>
      </c>
      <c r="BA326" s="47" t="s">
        <v>291</v>
      </c>
      <c r="BB326" s="48"/>
      <c r="BC326" s="64"/>
      <c r="BD326" s="64" t="s">
        <v>799</v>
      </c>
      <c r="BE326" s="64"/>
      <c r="BI326" s="42">
        <v>1</v>
      </c>
    </row>
    <row r="327" spans="1:63" ht="20.100000000000001" customHeight="1">
      <c r="A327" s="32">
        <f t="shared" si="33"/>
        <v>309</v>
      </c>
      <c r="B327" s="88" t="s">
        <v>800</v>
      </c>
      <c r="C327" s="102" t="s">
        <v>50</v>
      </c>
      <c r="D327" s="35">
        <f t="shared" si="27"/>
        <v>1.0999999999999999</v>
      </c>
      <c r="E327" s="35">
        <v>0.95</v>
      </c>
      <c r="F327" s="35">
        <f t="shared" si="32"/>
        <v>0.15</v>
      </c>
      <c r="G327" s="107"/>
      <c r="H327" s="107"/>
      <c r="I327" s="107"/>
      <c r="J327" s="107"/>
      <c r="K327" s="107"/>
      <c r="L327" s="107"/>
      <c r="M327" s="107"/>
      <c r="N327" s="107"/>
      <c r="O327" s="107"/>
      <c r="P327" s="107"/>
      <c r="Q327" s="107"/>
      <c r="R327" s="107"/>
      <c r="S327" s="107"/>
      <c r="T327" s="107"/>
      <c r="U327" s="107"/>
      <c r="V327" s="107"/>
      <c r="W327" s="107"/>
      <c r="X327" s="107"/>
      <c r="Y327" s="107"/>
      <c r="Z327" s="107"/>
      <c r="AA327" s="107"/>
      <c r="AB327" s="107"/>
      <c r="AC327" s="107"/>
      <c r="AD327" s="107"/>
      <c r="AE327" s="107">
        <v>0.15</v>
      </c>
      <c r="AF327" s="107"/>
      <c r="AG327" s="107"/>
      <c r="AH327" s="107"/>
      <c r="AI327" s="107"/>
      <c r="AJ327" s="107"/>
      <c r="AK327" s="107"/>
      <c r="AL327" s="107"/>
      <c r="AM327" s="107"/>
      <c r="AN327" s="107"/>
      <c r="AO327" s="107"/>
      <c r="AP327" s="107"/>
      <c r="AQ327" s="107"/>
      <c r="AR327" s="107"/>
      <c r="AS327" s="107"/>
      <c r="AT327" s="107"/>
      <c r="AU327" s="107"/>
      <c r="AV327" s="107"/>
      <c r="AW327" s="107"/>
      <c r="AX327" s="107"/>
      <c r="AY327" s="34" t="s">
        <v>237</v>
      </c>
      <c r="AZ327" s="34" t="s">
        <v>308</v>
      </c>
      <c r="BA327" s="63" t="s">
        <v>291</v>
      </c>
      <c r="BB327" s="64"/>
      <c r="BC327" s="64" t="s">
        <v>801</v>
      </c>
      <c r="BD327" s="64" t="s">
        <v>308</v>
      </c>
      <c r="BE327" s="64" t="s">
        <v>802</v>
      </c>
      <c r="BI327" s="42">
        <v>1</v>
      </c>
    </row>
    <row r="328" spans="1:63" ht="20.100000000000001" customHeight="1">
      <c r="A328" s="32">
        <f t="shared" si="33"/>
        <v>310</v>
      </c>
      <c r="B328" s="60" t="s">
        <v>803</v>
      </c>
      <c r="C328" s="102" t="s">
        <v>50</v>
      </c>
      <c r="D328" s="35">
        <f t="shared" si="27"/>
        <v>0.69</v>
      </c>
      <c r="E328" s="35">
        <v>0.49</v>
      </c>
      <c r="F328" s="35">
        <f t="shared" si="32"/>
        <v>0.2</v>
      </c>
      <c r="G328" s="107"/>
      <c r="H328" s="107"/>
      <c r="I328" s="107"/>
      <c r="J328" s="107"/>
      <c r="K328" s="107"/>
      <c r="L328" s="107"/>
      <c r="M328" s="107">
        <v>0.2</v>
      </c>
      <c r="N328" s="107"/>
      <c r="O328" s="107"/>
      <c r="P328" s="107"/>
      <c r="Q328" s="107"/>
      <c r="R328" s="107"/>
      <c r="S328" s="107"/>
      <c r="T328" s="107"/>
      <c r="U328" s="107"/>
      <c r="V328" s="107"/>
      <c r="W328" s="107"/>
      <c r="X328" s="107"/>
      <c r="Y328" s="107"/>
      <c r="Z328" s="107"/>
      <c r="AA328" s="107"/>
      <c r="AB328" s="107"/>
      <c r="AC328" s="107"/>
      <c r="AD328" s="107"/>
      <c r="AE328" s="107"/>
      <c r="AF328" s="107"/>
      <c r="AG328" s="107"/>
      <c r="AH328" s="107"/>
      <c r="AI328" s="107"/>
      <c r="AJ328" s="107"/>
      <c r="AK328" s="107"/>
      <c r="AL328" s="107"/>
      <c r="AM328" s="107"/>
      <c r="AN328" s="107"/>
      <c r="AO328" s="107"/>
      <c r="AP328" s="107"/>
      <c r="AQ328" s="107"/>
      <c r="AR328" s="107"/>
      <c r="AS328" s="107"/>
      <c r="AT328" s="107"/>
      <c r="AU328" s="107"/>
      <c r="AV328" s="107"/>
      <c r="AW328" s="107"/>
      <c r="AX328" s="107"/>
      <c r="AY328" s="34" t="s">
        <v>238</v>
      </c>
      <c r="AZ328" s="34" t="s">
        <v>804</v>
      </c>
      <c r="BA328" s="47" t="s">
        <v>291</v>
      </c>
      <c r="BB328" s="48"/>
      <c r="BC328" s="64"/>
      <c r="BD328" s="64" t="s">
        <v>805</v>
      </c>
      <c r="BE328" s="41"/>
      <c r="BI328" s="42">
        <v>1</v>
      </c>
    </row>
    <row r="329" spans="1:63" ht="20.100000000000001" customHeight="1">
      <c r="A329" s="32">
        <f t="shared" si="33"/>
        <v>311</v>
      </c>
      <c r="B329" s="60" t="s">
        <v>806</v>
      </c>
      <c r="C329" s="102" t="s">
        <v>50</v>
      </c>
      <c r="D329" s="35">
        <f t="shared" si="27"/>
        <v>0.4</v>
      </c>
      <c r="E329" s="35">
        <v>0.2</v>
      </c>
      <c r="F329" s="35">
        <f t="shared" si="32"/>
        <v>0.2</v>
      </c>
      <c r="G329" s="107">
        <v>0.2</v>
      </c>
      <c r="H329" s="107"/>
      <c r="I329" s="107"/>
      <c r="J329" s="107"/>
      <c r="K329" s="107"/>
      <c r="L329" s="107"/>
      <c r="M329" s="107"/>
      <c r="N329" s="107"/>
      <c r="O329" s="107"/>
      <c r="P329" s="107"/>
      <c r="Q329" s="107"/>
      <c r="R329" s="107"/>
      <c r="S329" s="107"/>
      <c r="T329" s="107"/>
      <c r="U329" s="107"/>
      <c r="V329" s="107"/>
      <c r="W329" s="107"/>
      <c r="X329" s="107"/>
      <c r="Y329" s="107"/>
      <c r="Z329" s="107"/>
      <c r="AA329" s="107"/>
      <c r="AB329" s="107"/>
      <c r="AC329" s="107"/>
      <c r="AD329" s="107"/>
      <c r="AE329" s="107"/>
      <c r="AF329" s="107"/>
      <c r="AG329" s="107"/>
      <c r="AH329" s="107"/>
      <c r="AI329" s="107"/>
      <c r="AJ329" s="107"/>
      <c r="AK329" s="107"/>
      <c r="AL329" s="107"/>
      <c r="AM329" s="107"/>
      <c r="AN329" s="107"/>
      <c r="AO329" s="107"/>
      <c r="AP329" s="107"/>
      <c r="AQ329" s="107"/>
      <c r="AR329" s="107"/>
      <c r="AS329" s="107"/>
      <c r="AT329" s="107"/>
      <c r="AU329" s="107"/>
      <c r="AV329" s="107"/>
      <c r="AW329" s="107"/>
      <c r="AX329" s="107"/>
      <c r="AY329" s="34" t="s">
        <v>238</v>
      </c>
      <c r="AZ329" s="34" t="s">
        <v>401</v>
      </c>
      <c r="BA329" s="47" t="s">
        <v>298</v>
      </c>
      <c r="BB329" s="48"/>
      <c r="BC329" s="65"/>
      <c r="BD329" s="65"/>
      <c r="BE329" s="41"/>
      <c r="BI329" s="42">
        <v>1</v>
      </c>
    </row>
    <row r="330" spans="1:63" ht="20.100000000000001" customHeight="1">
      <c r="A330" s="32">
        <f t="shared" si="33"/>
        <v>312</v>
      </c>
      <c r="B330" s="88" t="s">
        <v>807</v>
      </c>
      <c r="C330" s="102" t="s">
        <v>50</v>
      </c>
      <c r="D330" s="35">
        <f t="shared" si="27"/>
        <v>1.73</v>
      </c>
      <c r="E330" s="35">
        <v>1.63</v>
      </c>
      <c r="F330" s="35">
        <f t="shared" si="32"/>
        <v>0.1</v>
      </c>
      <c r="G330" s="107"/>
      <c r="H330" s="107"/>
      <c r="I330" s="107"/>
      <c r="J330" s="107"/>
      <c r="K330" s="107"/>
      <c r="L330" s="107"/>
      <c r="M330" s="107">
        <v>0.1</v>
      </c>
      <c r="N330" s="107"/>
      <c r="O330" s="107"/>
      <c r="P330" s="107"/>
      <c r="Q330" s="107"/>
      <c r="R330" s="107"/>
      <c r="S330" s="107"/>
      <c r="T330" s="107"/>
      <c r="U330" s="107"/>
      <c r="V330" s="107"/>
      <c r="W330" s="107"/>
      <c r="X330" s="107"/>
      <c r="Y330" s="107"/>
      <c r="Z330" s="107"/>
      <c r="AA330" s="107"/>
      <c r="AB330" s="107"/>
      <c r="AC330" s="107"/>
      <c r="AD330" s="107"/>
      <c r="AE330" s="107"/>
      <c r="AF330" s="107"/>
      <c r="AG330" s="107"/>
      <c r="AH330" s="107"/>
      <c r="AI330" s="107"/>
      <c r="AJ330" s="107"/>
      <c r="AK330" s="107"/>
      <c r="AL330" s="107"/>
      <c r="AM330" s="107"/>
      <c r="AN330" s="107"/>
      <c r="AO330" s="107"/>
      <c r="AP330" s="107"/>
      <c r="AQ330" s="107"/>
      <c r="AR330" s="107"/>
      <c r="AS330" s="107"/>
      <c r="AT330" s="107"/>
      <c r="AU330" s="107"/>
      <c r="AV330" s="107"/>
      <c r="AW330" s="107"/>
      <c r="AX330" s="107"/>
      <c r="AY330" s="34" t="s">
        <v>239</v>
      </c>
      <c r="AZ330" s="34" t="s">
        <v>425</v>
      </c>
      <c r="BA330" s="63" t="s">
        <v>291</v>
      </c>
      <c r="BB330" s="64"/>
      <c r="BD330" s="15" t="s">
        <v>808</v>
      </c>
      <c r="BE330" s="41"/>
      <c r="BI330" s="42">
        <v>1</v>
      </c>
    </row>
    <row r="331" spans="1:63" ht="20.100000000000001" customHeight="1">
      <c r="A331" s="32">
        <f t="shared" si="33"/>
        <v>313</v>
      </c>
      <c r="B331" s="88" t="s">
        <v>809</v>
      </c>
      <c r="C331" s="102" t="s">
        <v>50</v>
      </c>
      <c r="D331" s="35">
        <f t="shared" si="27"/>
        <v>0.43</v>
      </c>
      <c r="E331" s="35">
        <v>0.43</v>
      </c>
      <c r="F331" s="89">
        <f t="shared" si="32"/>
        <v>0</v>
      </c>
      <c r="G331" s="107"/>
      <c r="H331" s="107"/>
      <c r="I331" s="107"/>
      <c r="J331" s="107"/>
      <c r="K331" s="107"/>
      <c r="L331" s="107"/>
      <c r="M331" s="107"/>
      <c r="N331" s="107"/>
      <c r="O331" s="107"/>
      <c r="P331" s="107"/>
      <c r="Q331" s="107"/>
      <c r="R331" s="107"/>
      <c r="S331" s="107"/>
      <c r="T331" s="107"/>
      <c r="U331" s="107"/>
      <c r="V331" s="107"/>
      <c r="W331" s="107"/>
      <c r="X331" s="107"/>
      <c r="Y331" s="107"/>
      <c r="Z331" s="107"/>
      <c r="AA331" s="107"/>
      <c r="AB331" s="107"/>
      <c r="AC331" s="107"/>
      <c r="AD331" s="107"/>
      <c r="AE331" s="107"/>
      <c r="AF331" s="107"/>
      <c r="AG331" s="107"/>
      <c r="AH331" s="107"/>
      <c r="AI331" s="107"/>
      <c r="AJ331" s="107"/>
      <c r="AK331" s="107"/>
      <c r="AL331" s="107"/>
      <c r="AM331" s="107"/>
      <c r="AN331" s="107"/>
      <c r="AO331" s="107"/>
      <c r="AP331" s="107"/>
      <c r="AQ331" s="107"/>
      <c r="AR331" s="107"/>
      <c r="AS331" s="107"/>
      <c r="AT331" s="107"/>
      <c r="AU331" s="107"/>
      <c r="AV331" s="107"/>
      <c r="AW331" s="107"/>
      <c r="AX331" s="107"/>
      <c r="AY331" s="34" t="s">
        <v>239</v>
      </c>
      <c r="AZ331" s="34" t="s">
        <v>425</v>
      </c>
      <c r="BA331" s="47" t="s">
        <v>291</v>
      </c>
      <c r="BB331" s="48"/>
      <c r="BD331" s="15" t="s">
        <v>810</v>
      </c>
      <c r="BE331" s="40" t="s">
        <v>811</v>
      </c>
      <c r="BI331" s="42">
        <v>1</v>
      </c>
    </row>
    <row r="332" spans="1:63" ht="20.100000000000001" customHeight="1">
      <c r="A332" s="32">
        <f t="shared" si="33"/>
        <v>314</v>
      </c>
      <c r="B332" s="88" t="s">
        <v>812</v>
      </c>
      <c r="C332" s="102" t="s">
        <v>50</v>
      </c>
      <c r="D332" s="35">
        <f t="shared" si="27"/>
        <v>1.3</v>
      </c>
      <c r="E332" s="35">
        <v>1.3</v>
      </c>
      <c r="F332" s="35">
        <f t="shared" si="32"/>
        <v>0</v>
      </c>
      <c r="G332" s="107"/>
      <c r="H332" s="107"/>
      <c r="I332" s="107"/>
      <c r="J332" s="107"/>
      <c r="K332" s="107"/>
      <c r="L332" s="107"/>
      <c r="M332" s="107"/>
      <c r="N332" s="107"/>
      <c r="O332" s="107"/>
      <c r="P332" s="107"/>
      <c r="Q332" s="107"/>
      <c r="R332" s="107"/>
      <c r="S332" s="107"/>
      <c r="T332" s="107"/>
      <c r="U332" s="107"/>
      <c r="V332" s="107"/>
      <c r="W332" s="107"/>
      <c r="X332" s="107"/>
      <c r="Y332" s="107"/>
      <c r="Z332" s="107"/>
      <c r="AA332" s="107"/>
      <c r="AB332" s="107"/>
      <c r="AC332" s="107"/>
      <c r="AD332" s="107"/>
      <c r="AE332" s="107"/>
      <c r="AF332" s="107"/>
      <c r="AG332" s="107"/>
      <c r="AH332" s="107"/>
      <c r="AI332" s="107"/>
      <c r="AJ332" s="107"/>
      <c r="AK332" s="107"/>
      <c r="AL332" s="107"/>
      <c r="AM332" s="107"/>
      <c r="AN332" s="107"/>
      <c r="AO332" s="107"/>
      <c r="AP332" s="107"/>
      <c r="AQ332" s="107"/>
      <c r="AR332" s="107"/>
      <c r="AS332" s="107"/>
      <c r="AT332" s="107"/>
      <c r="AU332" s="107"/>
      <c r="AV332" s="107"/>
      <c r="AW332" s="107"/>
      <c r="AX332" s="107"/>
      <c r="AY332" s="47" t="s">
        <v>240</v>
      </c>
      <c r="AZ332" s="34" t="s">
        <v>305</v>
      </c>
      <c r="BA332" s="39" t="s">
        <v>291</v>
      </c>
      <c r="BB332" s="40"/>
      <c r="BC332" s="58" t="s">
        <v>813</v>
      </c>
      <c r="BD332" s="58" t="s">
        <v>814</v>
      </c>
      <c r="BE332" s="41"/>
      <c r="BI332" s="42">
        <v>1</v>
      </c>
    </row>
    <row r="333" spans="1:63" ht="20.100000000000001" customHeight="1">
      <c r="A333" s="32">
        <f t="shared" si="33"/>
        <v>315</v>
      </c>
      <c r="B333" s="88" t="s">
        <v>815</v>
      </c>
      <c r="C333" s="102" t="s">
        <v>50</v>
      </c>
      <c r="D333" s="35">
        <f t="shared" si="27"/>
        <v>0.69000000000000006</v>
      </c>
      <c r="E333" s="35">
        <v>0.54</v>
      </c>
      <c r="F333" s="35">
        <f t="shared" si="32"/>
        <v>0.15000000000000002</v>
      </c>
      <c r="G333" s="107">
        <v>0.05</v>
      </c>
      <c r="H333" s="107"/>
      <c r="I333" s="107"/>
      <c r="J333" s="107"/>
      <c r="K333" s="107"/>
      <c r="L333" s="107"/>
      <c r="M333" s="107"/>
      <c r="N333" s="107"/>
      <c r="O333" s="107"/>
      <c r="P333" s="107"/>
      <c r="Q333" s="107"/>
      <c r="R333" s="107"/>
      <c r="S333" s="107"/>
      <c r="T333" s="107"/>
      <c r="U333" s="107"/>
      <c r="V333" s="107"/>
      <c r="W333" s="107"/>
      <c r="X333" s="107"/>
      <c r="Y333" s="107"/>
      <c r="Z333" s="107"/>
      <c r="AA333" s="107"/>
      <c r="AB333" s="107"/>
      <c r="AC333" s="107"/>
      <c r="AD333" s="107"/>
      <c r="AE333" s="107"/>
      <c r="AF333" s="107"/>
      <c r="AG333" s="107"/>
      <c r="AH333" s="107"/>
      <c r="AI333" s="107"/>
      <c r="AJ333" s="107"/>
      <c r="AK333" s="107"/>
      <c r="AL333" s="107"/>
      <c r="AM333" s="107"/>
      <c r="AN333" s="107"/>
      <c r="AO333" s="107"/>
      <c r="AP333" s="107"/>
      <c r="AQ333" s="107"/>
      <c r="AR333" s="107">
        <v>0.1</v>
      </c>
      <c r="AS333" s="107"/>
      <c r="AT333" s="107"/>
      <c r="AU333" s="107"/>
      <c r="AV333" s="107"/>
      <c r="AW333" s="107"/>
      <c r="AX333" s="107"/>
      <c r="AY333" s="47" t="s">
        <v>240</v>
      </c>
      <c r="AZ333" s="34" t="s">
        <v>305</v>
      </c>
      <c r="BA333" s="39" t="s">
        <v>291</v>
      </c>
      <c r="BB333" s="40"/>
      <c r="BD333" s="15" t="s">
        <v>816</v>
      </c>
      <c r="BE333" s="41"/>
      <c r="BI333" s="42">
        <v>1</v>
      </c>
    </row>
    <row r="334" spans="1:63" ht="20.100000000000001" customHeight="1">
      <c r="A334" s="32">
        <f t="shared" si="33"/>
        <v>316</v>
      </c>
      <c r="B334" s="56" t="s">
        <v>817</v>
      </c>
      <c r="C334" s="102" t="s">
        <v>50</v>
      </c>
      <c r="D334" s="35">
        <f t="shared" si="27"/>
        <v>0.95000000000000007</v>
      </c>
      <c r="E334" s="35">
        <v>0.55000000000000004</v>
      </c>
      <c r="F334" s="35">
        <f t="shared" si="32"/>
        <v>0.4</v>
      </c>
      <c r="G334" s="43">
        <v>0.2</v>
      </c>
      <c r="H334" s="43">
        <v>0.2</v>
      </c>
      <c r="I334" s="43"/>
      <c r="J334" s="43"/>
      <c r="K334" s="43"/>
      <c r="L334" s="43"/>
      <c r="M334" s="43"/>
      <c r="N334" s="43"/>
      <c r="O334" s="43"/>
      <c r="P334" s="43"/>
      <c r="Q334" s="43"/>
      <c r="R334" s="43"/>
      <c r="S334" s="43"/>
      <c r="T334" s="43"/>
      <c r="U334" s="43"/>
      <c r="V334" s="43"/>
      <c r="W334" s="43"/>
      <c r="X334" s="43"/>
      <c r="Y334" s="43"/>
      <c r="Z334" s="43"/>
      <c r="AA334" s="43"/>
      <c r="AB334" s="43"/>
      <c r="AC334" s="43"/>
      <c r="AD334" s="43"/>
      <c r="AE334" s="43"/>
      <c r="AF334" s="43"/>
      <c r="AG334" s="43"/>
      <c r="AH334" s="43"/>
      <c r="AI334" s="43"/>
      <c r="AJ334" s="43"/>
      <c r="AK334" s="43"/>
      <c r="AL334" s="43"/>
      <c r="AM334" s="43"/>
      <c r="AN334" s="43"/>
      <c r="AO334" s="43"/>
      <c r="AP334" s="43"/>
      <c r="AQ334" s="43"/>
      <c r="AR334" s="43"/>
      <c r="AS334" s="43"/>
      <c r="AT334" s="43"/>
      <c r="AU334" s="43"/>
      <c r="AV334" s="43"/>
      <c r="AW334" s="43"/>
      <c r="AX334" s="43"/>
      <c r="AY334" s="34" t="s">
        <v>241</v>
      </c>
      <c r="AZ334" s="34" t="s">
        <v>451</v>
      </c>
      <c r="BA334" s="39" t="s">
        <v>291</v>
      </c>
      <c r="BB334" s="40"/>
      <c r="BC334" s="64"/>
      <c r="BD334" s="64" t="s">
        <v>818</v>
      </c>
      <c r="BI334" s="42">
        <v>1</v>
      </c>
    </row>
    <row r="335" spans="1:63" ht="20.100000000000001" customHeight="1">
      <c r="A335" s="32">
        <f t="shared" si="33"/>
        <v>317</v>
      </c>
      <c r="B335" s="56" t="s">
        <v>819</v>
      </c>
      <c r="C335" s="102" t="s">
        <v>50</v>
      </c>
      <c r="D335" s="35">
        <f t="shared" si="27"/>
        <v>1.06</v>
      </c>
      <c r="E335" s="35">
        <v>0.78</v>
      </c>
      <c r="F335" s="35">
        <f t="shared" si="32"/>
        <v>0.28000000000000003</v>
      </c>
      <c r="G335" s="43">
        <v>0.28000000000000003</v>
      </c>
      <c r="H335" s="43"/>
      <c r="I335" s="43"/>
      <c r="J335" s="43"/>
      <c r="K335" s="43"/>
      <c r="L335" s="43"/>
      <c r="M335" s="43"/>
      <c r="N335" s="43"/>
      <c r="O335" s="43"/>
      <c r="P335" s="43"/>
      <c r="Q335" s="43"/>
      <c r="R335" s="43"/>
      <c r="S335" s="43"/>
      <c r="T335" s="43"/>
      <c r="U335" s="43"/>
      <c r="V335" s="43"/>
      <c r="W335" s="43"/>
      <c r="X335" s="43"/>
      <c r="Y335" s="43"/>
      <c r="Z335" s="43"/>
      <c r="AA335" s="43"/>
      <c r="AB335" s="43"/>
      <c r="AC335" s="43"/>
      <c r="AD335" s="43"/>
      <c r="AE335" s="43"/>
      <c r="AF335" s="43"/>
      <c r="AG335" s="43"/>
      <c r="AH335" s="43"/>
      <c r="AI335" s="43"/>
      <c r="AJ335" s="43"/>
      <c r="AK335" s="43"/>
      <c r="AL335" s="43"/>
      <c r="AM335" s="43"/>
      <c r="AN335" s="43"/>
      <c r="AO335" s="43"/>
      <c r="AP335" s="43"/>
      <c r="AQ335" s="43"/>
      <c r="AR335" s="43"/>
      <c r="AS335" s="43"/>
      <c r="AT335" s="43"/>
      <c r="AU335" s="43"/>
      <c r="AV335" s="43"/>
      <c r="AW335" s="43"/>
      <c r="AX335" s="43"/>
      <c r="AY335" s="34" t="s">
        <v>241</v>
      </c>
      <c r="AZ335" s="34" t="s">
        <v>305</v>
      </c>
      <c r="BA335" s="39" t="s">
        <v>291</v>
      </c>
      <c r="BB335" s="40"/>
      <c r="BI335" s="42">
        <v>1</v>
      </c>
    </row>
    <row r="336" spans="1:63" s="24" customFormat="1" ht="24" customHeight="1">
      <c r="A336" s="20" t="s">
        <v>820</v>
      </c>
      <c r="B336" s="25" t="s">
        <v>131</v>
      </c>
      <c r="C336" s="26"/>
      <c r="D336" s="27">
        <f t="shared" si="27"/>
        <v>89.269999999999968</v>
      </c>
      <c r="E336" s="27">
        <f>SUM(E337:E587)</f>
        <v>77.679999999999964</v>
      </c>
      <c r="F336" s="27">
        <f>SUM(G336:AX336)</f>
        <v>11.59</v>
      </c>
      <c r="G336" s="28">
        <f t="shared" ref="G336:AW336" si="34">SUM(G337:G347)</f>
        <v>4.9000000000000004</v>
      </c>
      <c r="H336" s="28">
        <f t="shared" si="34"/>
        <v>0.34</v>
      </c>
      <c r="I336" s="28">
        <f t="shared" si="34"/>
        <v>0.42</v>
      </c>
      <c r="J336" s="28">
        <f t="shared" si="34"/>
        <v>0.59</v>
      </c>
      <c r="K336" s="28">
        <f t="shared" si="34"/>
        <v>0</v>
      </c>
      <c r="L336" s="28">
        <f t="shared" si="34"/>
        <v>0</v>
      </c>
      <c r="M336" s="28">
        <f t="shared" si="34"/>
        <v>3.3000000000000003</v>
      </c>
      <c r="N336" s="28">
        <f t="shared" si="34"/>
        <v>0</v>
      </c>
      <c r="O336" s="28">
        <f t="shared" si="34"/>
        <v>0</v>
      </c>
      <c r="P336" s="28">
        <f t="shared" si="34"/>
        <v>0</v>
      </c>
      <c r="Q336" s="28">
        <f t="shared" si="34"/>
        <v>0</v>
      </c>
      <c r="R336" s="28">
        <f t="shared" si="34"/>
        <v>0</v>
      </c>
      <c r="S336" s="28">
        <f t="shared" si="34"/>
        <v>0</v>
      </c>
      <c r="T336" s="28">
        <f t="shared" si="34"/>
        <v>0</v>
      </c>
      <c r="U336" s="28">
        <f t="shared" si="34"/>
        <v>0</v>
      </c>
      <c r="V336" s="28">
        <f t="shared" si="34"/>
        <v>0</v>
      </c>
      <c r="W336" s="28">
        <f t="shared" si="34"/>
        <v>0</v>
      </c>
      <c r="X336" s="28">
        <f t="shared" si="34"/>
        <v>0</v>
      </c>
      <c r="Y336" s="28">
        <f t="shared" si="34"/>
        <v>0</v>
      </c>
      <c r="Z336" s="28">
        <f t="shared" si="34"/>
        <v>0.12</v>
      </c>
      <c r="AA336" s="28">
        <f t="shared" si="34"/>
        <v>0.13</v>
      </c>
      <c r="AB336" s="28">
        <f t="shared" si="34"/>
        <v>0</v>
      </c>
      <c r="AC336" s="28">
        <f t="shared" si="34"/>
        <v>0</v>
      </c>
      <c r="AD336" s="28">
        <f t="shared" si="34"/>
        <v>0</v>
      </c>
      <c r="AE336" s="28">
        <f t="shared" si="34"/>
        <v>0</v>
      </c>
      <c r="AF336" s="28">
        <f t="shared" si="34"/>
        <v>0</v>
      </c>
      <c r="AG336" s="28">
        <f t="shared" si="34"/>
        <v>0</v>
      </c>
      <c r="AH336" s="28">
        <f t="shared" si="34"/>
        <v>0</v>
      </c>
      <c r="AI336" s="28">
        <f t="shared" si="34"/>
        <v>0</v>
      </c>
      <c r="AJ336" s="28">
        <f t="shared" si="34"/>
        <v>0</v>
      </c>
      <c r="AK336" s="28">
        <f t="shared" si="34"/>
        <v>0</v>
      </c>
      <c r="AL336" s="28">
        <f t="shared" si="34"/>
        <v>0</v>
      </c>
      <c r="AM336" s="28">
        <f t="shared" si="34"/>
        <v>0</v>
      </c>
      <c r="AN336" s="28">
        <f t="shared" si="34"/>
        <v>0</v>
      </c>
      <c r="AO336" s="28">
        <f t="shared" si="34"/>
        <v>0</v>
      </c>
      <c r="AP336" s="28">
        <f t="shared" si="34"/>
        <v>0</v>
      </c>
      <c r="AQ336" s="28">
        <f t="shared" si="34"/>
        <v>0.45</v>
      </c>
      <c r="AR336" s="28">
        <f t="shared" si="34"/>
        <v>0.68</v>
      </c>
      <c r="AS336" s="28">
        <f t="shared" si="34"/>
        <v>0</v>
      </c>
      <c r="AT336" s="28">
        <f t="shared" si="34"/>
        <v>0</v>
      </c>
      <c r="AU336" s="28">
        <f t="shared" si="34"/>
        <v>0</v>
      </c>
      <c r="AV336" s="28">
        <f t="shared" si="34"/>
        <v>0.66</v>
      </c>
      <c r="AW336" s="28">
        <f t="shared" si="34"/>
        <v>0</v>
      </c>
      <c r="AX336" s="28">
        <f>SUM(AX337:AX347)</f>
        <v>0</v>
      </c>
      <c r="AY336" s="29"/>
      <c r="AZ336" s="29"/>
      <c r="BA336" s="30"/>
      <c r="BB336" s="31"/>
      <c r="BI336" s="42"/>
    </row>
    <row r="337" spans="1:63" ht="20.100000000000001" customHeight="1">
      <c r="A337" s="32">
        <f>A335+1</f>
        <v>318</v>
      </c>
      <c r="B337" s="56" t="s">
        <v>821</v>
      </c>
      <c r="C337" s="78" t="s">
        <v>51</v>
      </c>
      <c r="D337" s="35">
        <f t="shared" ref="D337:D404" si="35">E337+F337</f>
        <v>1.5999999999999999</v>
      </c>
      <c r="E337" s="108"/>
      <c r="F337" s="35">
        <f>SUM(G337:AX337)</f>
        <v>1.5999999999999999</v>
      </c>
      <c r="G337" s="109">
        <v>1.18</v>
      </c>
      <c r="H337" s="109"/>
      <c r="I337" s="109">
        <v>0.42</v>
      </c>
      <c r="J337" s="109"/>
      <c r="K337" s="109"/>
      <c r="L337" s="109"/>
      <c r="M337" s="109"/>
      <c r="N337" s="109"/>
      <c r="O337" s="109"/>
      <c r="P337" s="109"/>
      <c r="Q337" s="109"/>
      <c r="R337" s="109"/>
      <c r="S337" s="109"/>
      <c r="T337" s="109"/>
      <c r="U337" s="109"/>
      <c r="V337" s="109"/>
      <c r="W337" s="109"/>
      <c r="X337" s="109"/>
      <c r="Y337" s="109"/>
      <c r="Z337" s="109"/>
      <c r="AA337" s="109"/>
      <c r="AB337" s="109"/>
      <c r="AC337" s="109"/>
      <c r="AD337" s="109"/>
      <c r="AE337" s="109"/>
      <c r="AF337" s="109"/>
      <c r="AG337" s="109"/>
      <c r="AH337" s="109"/>
      <c r="AI337" s="109"/>
      <c r="AJ337" s="109"/>
      <c r="AK337" s="109"/>
      <c r="AL337" s="109"/>
      <c r="AM337" s="109"/>
      <c r="AN337" s="109"/>
      <c r="AO337" s="109"/>
      <c r="AP337" s="109"/>
      <c r="AQ337" s="109"/>
      <c r="AR337" s="109"/>
      <c r="AS337" s="109"/>
      <c r="AT337" s="109"/>
      <c r="AU337" s="109"/>
      <c r="AV337" s="109"/>
      <c r="AW337" s="109"/>
      <c r="AX337" s="109"/>
      <c r="AY337" s="34" t="s">
        <v>289</v>
      </c>
      <c r="AZ337" s="34" t="s">
        <v>380</v>
      </c>
      <c r="BA337" s="47" t="s">
        <v>322</v>
      </c>
      <c r="BB337" s="48"/>
      <c r="BD337" s="15" t="s">
        <v>7</v>
      </c>
      <c r="BE337" s="41"/>
      <c r="BI337" s="42">
        <v>1</v>
      </c>
    </row>
    <row r="338" spans="1:63" ht="20.100000000000001" customHeight="1">
      <c r="A338" s="32">
        <f>A337+1</f>
        <v>319</v>
      </c>
      <c r="B338" s="56" t="s">
        <v>822</v>
      </c>
      <c r="C338" s="78" t="s">
        <v>51</v>
      </c>
      <c r="D338" s="35">
        <f t="shared" si="35"/>
        <v>2.5</v>
      </c>
      <c r="E338" s="108"/>
      <c r="F338" s="35">
        <f>SUM(G338:AX338)</f>
        <v>2.5</v>
      </c>
      <c r="G338" s="109">
        <v>0.72</v>
      </c>
      <c r="H338" s="109"/>
      <c r="I338" s="109"/>
      <c r="J338" s="109">
        <v>0.08</v>
      </c>
      <c r="K338" s="109"/>
      <c r="L338" s="109"/>
      <c r="M338" s="109">
        <v>1.08</v>
      </c>
      <c r="N338" s="109"/>
      <c r="O338" s="109"/>
      <c r="P338" s="109"/>
      <c r="Q338" s="109"/>
      <c r="R338" s="109"/>
      <c r="S338" s="109"/>
      <c r="T338" s="109"/>
      <c r="U338" s="109"/>
      <c r="V338" s="109"/>
      <c r="W338" s="109"/>
      <c r="X338" s="109"/>
      <c r="Y338" s="109"/>
      <c r="Z338" s="109">
        <v>0.12</v>
      </c>
      <c r="AA338" s="109">
        <v>0.05</v>
      </c>
      <c r="AB338" s="109"/>
      <c r="AC338" s="109"/>
      <c r="AD338" s="109"/>
      <c r="AE338" s="109"/>
      <c r="AF338" s="109"/>
      <c r="AG338" s="109"/>
      <c r="AH338" s="109"/>
      <c r="AI338" s="109"/>
      <c r="AJ338" s="109"/>
      <c r="AK338" s="109"/>
      <c r="AL338" s="109"/>
      <c r="AM338" s="109"/>
      <c r="AN338" s="109"/>
      <c r="AO338" s="109"/>
      <c r="AP338" s="109"/>
      <c r="AQ338" s="109">
        <v>0.45</v>
      </c>
      <c r="AR338" s="109"/>
      <c r="AS338" s="109"/>
      <c r="AT338" s="109"/>
      <c r="AU338" s="109"/>
      <c r="AV338" s="109"/>
      <c r="AW338" s="109"/>
      <c r="AX338" s="109"/>
      <c r="AY338" s="34" t="s">
        <v>289</v>
      </c>
      <c r="AZ338" s="34" t="s">
        <v>467</v>
      </c>
      <c r="BA338" s="47" t="s">
        <v>298</v>
      </c>
      <c r="BB338" s="48"/>
      <c r="BE338" s="41"/>
      <c r="BI338" s="42">
        <v>1</v>
      </c>
    </row>
    <row r="339" spans="1:63" s="61" customFormat="1" ht="20.100000000000001" customHeight="1">
      <c r="A339" s="32">
        <f>A338+1</f>
        <v>320</v>
      </c>
      <c r="B339" s="60" t="s">
        <v>823</v>
      </c>
      <c r="C339" s="78" t="s">
        <v>51</v>
      </c>
      <c r="D339" s="35">
        <f t="shared" si="35"/>
        <v>2</v>
      </c>
      <c r="E339" s="35"/>
      <c r="F339" s="35">
        <f t="shared" ref="F339:F399" si="36">SUM(G339:AX339)</f>
        <v>2</v>
      </c>
      <c r="G339" s="43"/>
      <c r="H339" s="43"/>
      <c r="I339" s="43"/>
      <c r="J339" s="43"/>
      <c r="K339" s="43"/>
      <c r="L339" s="43"/>
      <c r="M339" s="43">
        <v>2</v>
      </c>
      <c r="N339" s="43"/>
      <c r="O339" s="43"/>
      <c r="P339" s="43"/>
      <c r="Q339" s="43"/>
      <c r="R339" s="43"/>
      <c r="S339" s="43"/>
      <c r="T339" s="43"/>
      <c r="U339" s="43"/>
      <c r="V339" s="43"/>
      <c r="W339" s="43"/>
      <c r="X339" s="43"/>
      <c r="Y339" s="43"/>
      <c r="Z339" s="43"/>
      <c r="AA339" s="43"/>
      <c r="AB339" s="43"/>
      <c r="AC339" s="43"/>
      <c r="AD339" s="43"/>
      <c r="AE339" s="43"/>
      <c r="AF339" s="43"/>
      <c r="AG339" s="43"/>
      <c r="AH339" s="43"/>
      <c r="AI339" s="43"/>
      <c r="AJ339" s="43"/>
      <c r="AK339" s="43"/>
      <c r="AL339" s="43"/>
      <c r="AM339" s="43"/>
      <c r="AN339" s="43"/>
      <c r="AO339" s="43"/>
      <c r="AP339" s="43"/>
      <c r="AQ339" s="43"/>
      <c r="AR339" s="43"/>
      <c r="AS339" s="43"/>
      <c r="AT339" s="43"/>
      <c r="AU339" s="43"/>
      <c r="AV339" s="43"/>
      <c r="AW339" s="43"/>
      <c r="AX339" s="43"/>
      <c r="AY339" s="34" t="s">
        <v>222</v>
      </c>
      <c r="AZ339" s="34" t="s">
        <v>471</v>
      </c>
      <c r="BA339" s="39" t="s">
        <v>291</v>
      </c>
      <c r="BB339" s="40"/>
      <c r="BC339" s="15"/>
      <c r="BD339" s="15"/>
      <c r="BE339" s="15"/>
      <c r="BF339" s="15"/>
      <c r="BI339" s="42">
        <v>1</v>
      </c>
    </row>
    <row r="340" spans="1:63" ht="20.100000000000001" customHeight="1">
      <c r="A340" s="32">
        <f t="shared" ref="A340:A347" si="37">A339+1</f>
        <v>321</v>
      </c>
      <c r="B340" s="60" t="s">
        <v>824</v>
      </c>
      <c r="C340" s="78" t="s">
        <v>51</v>
      </c>
      <c r="D340" s="35">
        <f t="shared" si="35"/>
        <v>0.8</v>
      </c>
      <c r="E340" s="35"/>
      <c r="F340" s="35">
        <f t="shared" si="36"/>
        <v>0.8</v>
      </c>
      <c r="G340" s="43">
        <v>0.28999999999999998</v>
      </c>
      <c r="H340" s="43"/>
      <c r="I340" s="43"/>
      <c r="J340" s="43">
        <v>0.51</v>
      </c>
      <c r="K340" s="43"/>
      <c r="L340" s="43"/>
      <c r="M340" s="43"/>
      <c r="N340" s="43"/>
      <c r="O340" s="43"/>
      <c r="P340" s="43"/>
      <c r="Q340" s="43"/>
      <c r="R340" s="43"/>
      <c r="S340" s="43"/>
      <c r="T340" s="43"/>
      <c r="U340" s="43"/>
      <c r="V340" s="43"/>
      <c r="W340" s="43"/>
      <c r="X340" s="43"/>
      <c r="Y340" s="43"/>
      <c r="Z340" s="43"/>
      <c r="AA340" s="43"/>
      <c r="AB340" s="43"/>
      <c r="AC340" s="43"/>
      <c r="AD340" s="43"/>
      <c r="AE340" s="43"/>
      <c r="AF340" s="43"/>
      <c r="AG340" s="43"/>
      <c r="AH340" s="43"/>
      <c r="AI340" s="43"/>
      <c r="AJ340" s="43"/>
      <c r="AK340" s="43"/>
      <c r="AL340" s="43"/>
      <c r="AM340" s="43"/>
      <c r="AN340" s="43"/>
      <c r="AO340" s="43"/>
      <c r="AP340" s="43"/>
      <c r="AQ340" s="43"/>
      <c r="AR340" s="43"/>
      <c r="AS340" s="43"/>
      <c r="AT340" s="43"/>
      <c r="AU340" s="43"/>
      <c r="AV340" s="43"/>
      <c r="AW340" s="43"/>
      <c r="AX340" s="43"/>
      <c r="AY340" s="34" t="s">
        <v>223</v>
      </c>
      <c r="AZ340" s="34" t="s">
        <v>451</v>
      </c>
      <c r="BA340" s="63" t="s">
        <v>291</v>
      </c>
      <c r="BB340" s="15" t="s">
        <v>351</v>
      </c>
      <c r="BC340" s="65"/>
      <c r="BD340" s="65" t="s">
        <v>825</v>
      </c>
      <c r="BI340" s="42">
        <v>1</v>
      </c>
    </row>
    <row r="341" spans="1:63" ht="31.5">
      <c r="A341" s="32">
        <f t="shared" si="37"/>
        <v>322</v>
      </c>
      <c r="B341" s="125" t="s">
        <v>826</v>
      </c>
      <c r="C341" s="78" t="s">
        <v>51</v>
      </c>
      <c r="D341" s="35">
        <f t="shared" si="35"/>
        <v>0.68</v>
      </c>
      <c r="E341" s="35"/>
      <c r="F341" s="35">
        <f t="shared" si="36"/>
        <v>0.68</v>
      </c>
      <c r="G341" s="43"/>
      <c r="H341" s="43"/>
      <c r="I341" s="43"/>
      <c r="J341" s="43"/>
      <c r="K341" s="43"/>
      <c r="L341" s="43"/>
      <c r="M341" s="43"/>
      <c r="N341" s="43"/>
      <c r="O341" s="43"/>
      <c r="P341" s="43"/>
      <c r="Q341" s="43"/>
      <c r="R341" s="43"/>
      <c r="S341" s="43"/>
      <c r="T341" s="43"/>
      <c r="U341" s="43"/>
      <c r="V341" s="43"/>
      <c r="W341" s="43"/>
      <c r="X341" s="43"/>
      <c r="Y341" s="43"/>
      <c r="Z341" s="43"/>
      <c r="AA341" s="43"/>
      <c r="AB341" s="43"/>
      <c r="AC341" s="43"/>
      <c r="AD341" s="43"/>
      <c r="AE341" s="43"/>
      <c r="AF341" s="43"/>
      <c r="AG341" s="43"/>
      <c r="AH341" s="43"/>
      <c r="AI341" s="43"/>
      <c r="AJ341" s="43"/>
      <c r="AK341" s="43"/>
      <c r="AL341" s="43"/>
      <c r="AM341" s="43"/>
      <c r="AN341" s="43"/>
      <c r="AO341" s="43"/>
      <c r="AP341" s="43"/>
      <c r="AQ341" s="43"/>
      <c r="AR341" s="43">
        <v>0.68</v>
      </c>
      <c r="AS341" s="43"/>
      <c r="AT341" s="43"/>
      <c r="AU341" s="43"/>
      <c r="AV341" s="43"/>
      <c r="AW341" s="43"/>
      <c r="AX341" s="43"/>
      <c r="AY341" s="34" t="s">
        <v>225</v>
      </c>
      <c r="AZ341" s="38" t="s">
        <v>827</v>
      </c>
      <c r="BA341" s="63" t="s">
        <v>291</v>
      </c>
      <c r="BB341" s="64"/>
      <c r="BI341" s="42">
        <v>1</v>
      </c>
    </row>
    <row r="342" spans="1:63" s="71" customFormat="1" ht="19.350000000000001" customHeight="1">
      <c r="A342" s="32">
        <f t="shared" si="37"/>
        <v>323</v>
      </c>
      <c r="B342" s="66" t="s">
        <v>828</v>
      </c>
      <c r="C342" s="78" t="s">
        <v>51</v>
      </c>
      <c r="D342" s="35">
        <f t="shared" si="35"/>
        <v>1</v>
      </c>
      <c r="E342" s="67"/>
      <c r="F342" s="35">
        <f t="shared" si="36"/>
        <v>1</v>
      </c>
      <c r="G342" s="68"/>
      <c r="H342" s="68">
        <v>0.34</v>
      </c>
      <c r="I342" s="68"/>
      <c r="J342" s="68"/>
      <c r="K342" s="68"/>
      <c r="L342" s="68"/>
      <c r="M342" s="68"/>
      <c r="N342" s="68"/>
      <c r="O342" s="68"/>
      <c r="P342" s="68"/>
      <c r="Q342" s="68"/>
      <c r="R342" s="68"/>
      <c r="S342" s="68"/>
      <c r="T342" s="68"/>
      <c r="U342" s="68"/>
      <c r="V342" s="68"/>
      <c r="W342" s="68"/>
      <c r="X342" s="68"/>
      <c r="Y342" s="68"/>
      <c r="Z342" s="68"/>
      <c r="AA342" s="68"/>
      <c r="AB342" s="68"/>
      <c r="AC342" s="68"/>
      <c r="AD342" s="68"/>
      <c r="AE342" s="68"/>
      <c r="AF342" s="68"/>
      <c r="AG342" s="68"/>
      <c r="AH342" s="68"/>
      <c r="AI342" s="68"/>
      <c r="AJ342" s="68"/>
      <c r="AK342" s="68"/>
      <c r="AL342" s="68"/>
      <c r="AM342" s="68"/>
      <c r="AN342" s="68"/>
      <c r="AO342" s="68"/>
      <c r="AP342" s="68"/>
      <c r="AQ342" s="68"/>
      <c r="AR342" s="68"/>
      <c r="AS342" s="68"/>
      <c r="AT342" s="68"/>
      <c r="AU342" s="68"/>
      <c r="AV342" s="68">
        <v>0.66</v>
      </c>
      <c r="AW342" s="68"/>
      <c r="AX342" s="68"/>
      <c r="AY342" s="70" t="s">
        <v>226</v>
      </c>
      <c r="AZ342" s="70" t="s">
        <v>724</v>
      </c>
      <c r="BA342" s="47" t="s">
        <v>322</v>
      </c>
      <c r="BB342" s="15" t="s">
        <v>351</v>
      </c>
      <c r="BG342" s="71" t="s">
        <v>829</v>
      </c>
      <c r="BI342" s="42">
        <v>1</v>
      </c>
      <c r="BK342" s="72"/>
    </row>
    <row r="343" spans="1:63" s="91" customFormat="1" ht="20.100000000000001" customHeight="1">
      <c r="A343" s="32">
        <f t="shared" si="37"/>
        <v>324</v>
      </c>
      <c r="B343" s="60" t="s">
        <v>830</v>
      </c>
      <c r="C343" s="78" t="s">
        <v>51</v>
      </c>
      <c r="D343" s="35">
        <f t="shared" si="35"/>
        <v>0.5</v>
      </c>
      <c r="E343" s="35"/>
      <c r="F343" s="35">
        <f t="shared" si="36"/>
        <v>0.5</v>
      </c>
      <c r="G343" s="43">
        <v>0.5</v>
      </c>
      <c r="H343" s="90"/>
      <c r="I343" s="90"/>
      <c r="J343" s="90"/>
      <c r="K343" s="90"/>
      <c r="L343" s="90"/>
      <c r="M343" s="90"/>
      <c r="N343" s="90"/>
      <c r="O343" s="90"/>
      <c r="P343" s="90"/>
      <c r="Q343" s="90"/>
      <c r="R343" s="90"/>
      <c r="S343" s="90"/>
      <c r="T343" s="90"/>
      <c r="U343" s="90"/>
      <c r="V343" s="90"/>
      <c r="W343" s="90"/>
      <c r="X343" s="90"/>
      <c r="Y343" s="90"/>
      <c r="Z343" s="90"/>
      <c r="AA343" s="90"/>
      <c r="AB343" s="90"/>
      <c r="AC343" s="90"/>
      <c r="AD343" s="90"/>
      <c r="AE343" s="90"/>
      <c r="AF343" s="90"/>
      <c r="AG343" s="90"/>
      <c r="AH343" s="90"/>
      <c r="AI343" s="90"/>
      <c r="AJ343" s="90"/>
      <c r="AK343" s="68"/>
      <c r="AL343" s="90"/>
      <c r="AM343" s="90"/>
      <c r="AN343" s="90"/>
      <c r="AO343" s="90"/>
      <c r="AP343" s="90"/>
      <c r="AQ343" s="90"/>
      <c r="AR343" s="90"/>
      <c r="AS343" s="90"/>
      <c r="AT343" s="90"/>
      <c r="AU343" s="90"/>
      <c r="AV343" s="90"/>
      <c r="AW343" s="90"/>
      <c r="AX343" s="90"/>
      <c r="AY343" s="34" t="s">
        <v>229</v>
      </c>
      <c r="AZ343" s="34" t="s">
        <v>831</v>
      </c>
      <c r="BA343" s="63" t="s">
        <v>291</v>
      </c>
      <c r="BB343" s="126"/>
      <c r="BC343" s="91" t="s">
        <v>832</v>
      </c>
      <c r="BI343" s="42">
        <v>1</v>
      </c>
      <c r="BK343" s="92"/>
    </row>
    <row r="344" spans="1:63" ht="20.100000000000001" customHeight="1">
      <c r="A344" s="32">
        <f t="shared" si="37"/>
        <v>325</v>
      </c>
      <c r="B344" s="56" t="s">
        <v>833</v>
      </c>
      <c r="C344" s="78" t="s">
        <v>51</v>
      </c>
      <c r="D344" s="35">
        <f t="shared" si="35"/>
        <v>0.55000000000000004</v>
      </c>
      <c r="E344" s="35"/>
      <c r="F344" s="35">
        <f t="shared" si="36"/>
        <v>0.55000000000000004</v>
      </c>
      <c r="G344" s="43">
        <v>0.55000000000000004</v>
      </c>
      <c r="H344" s="43"/>
      <c r="I344" s="43"/>
      <c r="J344" s="43"/>
      <c r="K344" s="43"/>
      <c r="L344" s="43"/>
      <c r="M344" s="43"/>
      <c r="N344" s="43"/>
      <c r="O344" s="43"/>
      <c r="P344" s="43"/>
      <c r="Q344" s="43"/>
      <c r="R344" s="43"/>
      <c r="S344" s="43"/>
      <c r="T344" s="43"/>
      <c r="U344" s="43"/>
      <c r="V344" s="43"/>
      <c r="W344" s="43"/>
      <c r="X344" s="43"/>
      <c r="Y344" s="43"/>
      <c r="Z344" s="43"/>
      <c r="AA344" s="43"/>
      <c r="AB344" s="43"/>
      <c r="AC344" s="43"/>
      <c r="AD344" s="43"/>
      <c r="AE344" s="43"/>
      <c r="AF344" s="43"/>
      <c r="AG344" s="43"/>
      <c r="AH344" s="43"/>
      <c r="AI344" s="43"/>
      <c r="AJ344" s="43"/>
      <c r="AK344" s="43"/>
      <c r="AL344" s="43"/>
      <c r="AM344" s="43"/>
      <c r="AN344" s="43"/>
      <c r="AO344" s="43"/>
      <c r="AP344" s="43"/>
      <c r="AQ344" s="43"/>
      <c r="AR344" s="43"/>
      <c r="AS344" s="43"/>
      <c r="AT344" s="43"/>
      <c r="AU344" s="43"/>
      <c r="AV344" s="43"/>
      <c r="AW344" s="43"/>
      <c r="AX344" s="43"/>
      <c r="AY344" s="34" t="s">
        <v>230</v>
      </c>
      <c r="AZ344" s="34" t="s">
        <v>308</v>
      </c>
      <c r="BA344" s="47" t="s">
        <v>298</v>
      </c>
      <c r="BB344" s="48"/>
      <c r="BC344" s="65"/>
      <c r="BD344" s="65"/>
      <c r="BI344" s="42">
        <v>1</v>
      </c>
    </row>
    <row r="345" spans="1:63" s="49" customFormat="1" ht="32.1" customHeight="1">
      <c r="A345" s="32">
        <f t="shared" si="37"/>
        <v>326</v>
      </c>
      <c r="B345" s="60" t="s">
        <v>834</v>
      </c>
      <c r="C345" s="78" t="s">
        <v>51</v>
      </c>
      <c r="D345" s="35">
        <f t="shared" si="35"/>
        <v>0.5</v>
      </c>
      <c r="E345" s="35"/>
      <c r="F345" s="35">
        <f t="shared" si="36"/>
        <v>0.5</v>
      </c>
      <c r="G345" s="46">
        <v>0.5</v>
      </c>
      <c r="H345" s="46"/>
      <c r="I345" s="46"/>
      <c r="J345" s="46"/>
      <c r="K345" s="46"/>
      <c r="L345" s="46"/>
      <c r="M345" s="46"/>
      <c r="N345" s="46"/>
      <c r="O345" s="46"/>
      <c r="P345" s="46"/>
      <c r="Q345" s="46"/>
      <c r="R345" s="46"/>
      <c r="S345" s="46"/>
      <c r="T345" s="46"/>
      <c r="U345" s="46"/>
      <c r="V345" s="46"/>
      <c r="W345" s="46"/>
      <c r="X345" s="46"/>
      <c r="Y345" s="46"/>
      <c r="Z345" s="46"/>
      <c r="AA345" s="46"/>
      <c r="AB345" s="46"/>
      <c r="AC345" s="46"/>
      <c r="AD345" s="46"/>
      <c r="AE345" s="46"/>
      <c r="AF345" s="46"/>
      <c r="AG345" s="46"/>
      <c r="AH345" s="46"/>
      <c r="AI345" s="46"/>
      <c r="AJ345" s="46"/>
      <c r="AK345" s="46"/>
      <c r="AL345" s="46"/>
      <c r="AM345" s="46"/>
      <c r="AN345" s="46"/>
      <c r="AO345" s="46"/>
      <c r="AP345" s="46"/>
      <c r="AQ345" s="46"/>
      <c r="AR345" s="46"/>
      <c r="AS345" s="46"/>
      <c r="AT345" s="46"/>
      <c r="AU345" s="46"/>
      <c r="AV345" s="46"/>
      <c r="AW345" s="46"/>
      <c r="AX345" s="46"/>
      <c r="AY345" s="47" t="s">
        <v>234</v>
      </c>
      <c r="AZ345" s="47" t="s">
        <v>835</v>
      </c>
      <c r="BA345" s="93" t="s">
        <v>291</v>
      </c>
      <c r="BB345" s="50"/>
      <c r="BI345" s="42">
        <v>1</v>
      </c>
      <c r="BK345" s="50"/>
    </row>
    <row r="346" spans="1:63" ht="19.350000000000001" customHeight="1">
      <c r="A346" s="32">
        <f t="shared" si="37"/>
        <v>327</v>
      </c>
      <c r="B346" s="56" t="s">
        <v>836</v>
      </c>
      <c r="C346" s="78" t="s">
        <v>51</v>
      </c>
      <c r="D346" s="35">
        <f t="shared" si="35"/>
        <v>0.83</v>
      </c>
      <c r="E346" s="35"/>
      <c r="F346" s="35">
        <f t="shared" si="36"/>
        <v>0.83</v>
      </c>
      <c r="G346" s="43">
        <v>0.53</v>
      </c>
      <c r="H346" s="43"/>
      <c r="I346" s="43"/>
      <c r="J346" s="43"/>
      <c r="K346" s="43"/>
      <c r="L346" s="43"/>
      <c r="M346" s="43">
        <v>0.22</v>
      </c>
      <c r="N346" s="43"/>
      <c r="O346" s="43"/>
      <c r="P346" s="43"/>
      <c r="Q346" s="43"/>
      <c r="R346" s="43"/>
      <c r="S346" s="43"/>
      <c r="T346" s="43"/>
      <c r="U346" s="43"/>
      <c r="V346" s="43"/>
      <c r="W346" s="43"/>
      <c r="X346" s="43"/>
      <c r="Y346" s="43"/>
      <c r="Z346" s="43"/>
      <c r="AA346" s="43">
        <v>0.08</v>
      </c>
      <c r="AB346" s="43"/>
      <c r="AC346" s="43"/>
      <c r="AD346" s="43"/>
      <c r="AE346" s="43"/>
      <c r="AF346" s="43"/>
      <c r="AG346" s="43"/>
      <c r="AH346" s="43"/>
      <c r="AI346" s="43"/>
      <c r="AJ346" s="43"/>
      <c r="AK346" s="43"/>
      <c r="AL346" s="43"/>
      <c r="AM346" s="43"/>
      <c r="AN346" s="43"/>
      <c r="AO346" s="43"/>
      <c r="AP346" s="43"/>
      <c r="AQ346" s="43"/>
      <c r="AR346" s="43"/>
      <c r="AS346" s="43"/>
      <c r="AT346" s="43"/>
      <c r="AU346" s="43"/>
      <c r="AV346" s="43"/>
      <c r="AW346" s="43"/>
      <c r="AX346" s="43"/>
      <c r="AY346" s="34" t="s">
        <v>239</v>
      </c>
      <c r="AZ346" s="34" t="s">
        <v>837</v>
      </c>
      <c r="BA346" s="47" t="s">
        <v>322</v>
      </c>
      <c r="BB346" s="48"/>
      <c r="BC346" s="15" t="s">
        <v>838</v>
      </c>
      <c r="BI346" s="42">
        <v>1</v>
      </c>
    </row>
    <row r="347" spans="1:63" ht="19.350000000000001" customHeight="1">
      <c r="A347" s="32">
        <f t="shared" si="37"/>
        <v>328</v>
      </c>
      <c r="B347" s="56" t="s">
        <v>839</v>
      </c>
      <c r="C347" s="78" t="s">
        <v>51</v>
      </c>
      <c r="D347" s="35">
        <f t="shared" si="35"/>
        <v>0.63</v>
      </c>
      <c r="E347" s="35"/>
      <c r="F347" s="35">
        <f t="shared" si="36"/>
        <v>0.63</v>
      </c>
      <c r="G347" s="43">
        <v>0.63</v>
      </c>
      <c r="H347" s="43"/>
      <c r="I347" s="43"/>
      <c r="J347" s="43"/>
      <c r="K347" s="43"/>
      <c r="L347" s="43"/>
      <c r="M347" s="43"/>
      <c r="N347" s="43"/>
      <c r="O347" s="43"/>
      <c r="P347" s="43"/>
      <c r="Q347" s="43"/>
      <c r="R347" s="43"/>
      <c r="S347" s="43"/>
      <c r="T347" s="43"/>
      <c r="U347" s="43"/>
      <c r="V347" s="43"/>
      <c r="W347" s="43"/>
      <c r="X347" s="43"/>
      <c r="Y347" s="43"/>
      <c r="Z347" s="43"/>
      <c r="AA347" s="43"/>
      <c r="AB347" s="43"/>
      <c r="AC347" s="43"/>
      <c r="AD347" s="43"/>
      <c r="AE347" s="43"/>
      <c r="AF347" s="43"/>
      <c r="AG347" s="43"/>
      <c r="AH347" s="43"/>
      <c r="AI347" s="43"/>
      <c r="AJ347" s="43"/>
      <c r="AK347" s="43"/>
      <c r="AL347" s="43"/>
      <c r="AM347" s="43"/>
      <c r="AN347" s="43"/>
      <c r="AO347" s="43"/>
      <c r="AP347" s="43"/>
      <c r="AQ347" s="43"/>
      <c r="AR347" s="43"/>
      <c r="AS347" s="43"/>
      <c r="AT347" s="43"/>
      <c r="AU347" s="43"/>
      <c r="AV347" s="43"/>
      <c r="AW347" s="43"/>
      <c r="AX347" s="43"/>
      <c r="AY347" s="47" t="s">
        <v>240</v>
      </c>
      <c r="AZ347" s="34" t="s">
        <v>305</v>
      </c>
      <c r="BA347" s="39" t="s">
        <v>291</v>
      </c>
      <c r="BB347" s="40"/>
      <c r="BD347" s="15" t="s">
        <v>12</v>
      </c>
      <c r="BI347" s="42">
        <v>1</v>
      </c>
    </row>
    <row r="348" spans="1:63" s="24" customFormat="1" ht="23.85" customHeight="1">
      <c r="A348" s="20" t="s">
        <v>840</v>
      </c>
      <c r="B348" s="25" t="s">
        <v>134</v>
      </c>
      <c r="C348" s="26"/>
      <c r="D348" s="27">
        <f t="shared" si="35"/>
        <v>16.100199999999994</v>
      </c>
      <c r="E348" s="83">
        <f>SUM(E349:E387)</f>
        <v>0</v>
      </c>
      <c r="F348" s="27">
        <f t="shared" si="36"/>
        <v>16.100199999999994</v>
      </c>
      <c r="G348" s="28">
        <f t="shared" ref="G348:AX348" si="38">SUM(G349:G387)</f>
        <v>4.6699999999999982</v>
      </c>
      <c r="H348" s="28">
        <f t="shared" si="38"/>
        <v>6.0000000000000005E-2</v>
      </c>
      <c r="I348" s="28">
        <f t="shared" si="38"/>
        <v>2.3700000000000006</v>
      </c>
      <c r="J348" s="28">
        <f t="shared" si="38"/>
        <v>2.6522000000000001</v>
      </c>
      <c r="K348" s="28">
        <f t="shared" si="38"/>
        <v>0</v>
      </c>
      <c r="L348" s="28">
        <f t="shared" si="38"/>
        <v>0</v>
      </c>
      <c r="M348" s="28">
        <f t="shared" si="38"/>
        <v>5.4599999999999991</v>
      </c>
      <c r="N348" s="28">
        <f t="shared" si="38"/>
        <v>0</v>
      </c>
      <c r="O348" s="28">
        <f t="shared" si="38"/>
        <v>0</v>
      </c>
      <c r="P348" s="28">
        <f t="shared" si="38"/>
        <v>0.02</v>
      </c>
      <c r="Q348" s="28">
        <f t="shared" si="38"/>
        <v>0</v>
      </c>
      <c r="R348" s="28">
        <f t="shared" si="38"/>
        <v>0</v>
      </c>
      <c r="S348" s="28">
        <f t="shared" si="38"/>
        <v>0</v>
      </c>
      <c r="T348" s="28">
        <f t="shared" si="38"/>
        <v>0</v>
      </c>
      <c r="U348" s="28">
        <f t="shared" si="38"/>
        <v>0</v>
      </c>
      <c r="V348" s="28">
        <f t="shared" si="38"/>
        <v>0</v>
      </c>
      <c r="W348" s="28">
        <f t="shared" si="38"/>
        <v>0</v>
      </c>
      <c r="X348" s="28">
        <f t="shared" si="38"/>
        <v>0</v>
      </c>
      <c r="Y348" s="28">
        <f t="shared" si="38"/>
        <v>0</v>
      </c>
      <c r="Z348" s="28">
        <f t="shared" si="38"/>
        <v>0.29000000000000004</v>
      </c>
      <c r="AA348" s="28">
        <f t="shared" si="38"/>
        <v>0</v>
      </c>
      <c r="AB348" s="28">
        <f t="shared" si="38"/>
        <v>0.04</v>
      </c>
      <c r="AC348" s="28">
        <f t="shared" si="38"/>
        <v>0</v>
      </c>
      <c r="AD348" s="28">
        <f t="shared" si="38"/>
        <v>0.02</v>
      </c>
      <c r="AE348" s="28">
        <f t="shared" si="38"/>
        <v>0</v>
      </c>
      <c r="AF348" s="28">
        <f t="shared" si="38"/>
        <v>0</v>
      </c>
      <c r="AG348" s="28">
        <f t="shared" si="38"/>
        <v>0</v>
      </c>
      <c r="AH348" s="28">
        <f t="shared" si="38"/>
        <v>0</v>
      </c>
      <c r="AI348" s="28">
        <f t="shared" si="38"/>
        <v>0</v>
      </c>
      <c r="AJ348" s="28">
        <f t="shared" si="38"/>
        <v>0</v>
      </c>
      <c r="AK348" s="28">
        <f t="shared" si="38"/>
        <v>0.02</v>
      </c>
      <c r="AL348" s="28">
        <f t="shared" si="38"/>
        <v>0</v>
      </c>
      <c r="AM348" s="28">
        <f t="shared" si="38"/>
        <v>0</v>
      </c>
      <c r="AN348" s="28">
        <f t="shared" si="38"/>
        <v>8.0000000000000002E-3</v>
      </c>
      <c r="AO348" s="28">
        <f t="shared" si="38"/>
        <v>0</v>
      </c>
      <c r="AP348" s="28">
        <f t="shared" si="38"/>
        <v>0.04</v>
      </c>
      <c r="AQ348" s="28">
        <f t="shared" si="38"/>
        <v>0</v>
      </c>
      <c r="AR348" s="28">
        <f t="shared" si="38"/>
        <v>0</v>
      </c>
      <c r="AS348" s="28">
        <f t="shared" si="38"/>
        <v>0</v>
      </c>
      <c r="AT348" s="28">
        <f t="shared" si="38"/>
        <v>0</v>
      </c>
      <c r="AU348" s="28">
        <f t="shared" si="38"/>
        <v>0</v>
      </c>
      <c r="AV348" s="28">
        <f t="shared" si="38"/>
        <v>0</v>
      </c>
      <c r="AW348" s="28">
        <f t="shared" si="38"/>
        <v>0</v>
      </c>
      <c r="AX348" s="28">
        <f t="shared" si="38"/>
        <v>0.45</v>
      </c>
      <c r="AY348" s="29"/>
      <c r="AZ348" s="29"/>
      <c r="BA348" s="30"/>
      <c r="BB348" s="31"/>
      <c r="BI348" s="42"/>
    </row>
    <row r="349" spans="1:63" ht="33.6" customHeight="1">
      <c r="A349" s="127">
        <f>A347+1</f>
        <v>329</v>
      </c>
      <c r="B349" s="56" t="s">
        <v>841</v>
      </c>
      <c r="C349" s="78" t="s">
        <v>46</v>
      </c>
      <c r="D349" s="35">
        <f t="shared" si="35"/>
        <v>0.19999999999999998</v>
      </c>
      <c r="E349" s="35"/>
      <c r="F349" s="35">
        <f t="shared" si="36"/>
        <v>0.19999999999999998</v>
      </c>
      <c r="G349" s="43">
        <v>0.06</v>
      </c>
      <c r="H349" s="43"/>
      <c r="I349" s="43">
        <v>0.06</v>
      </c>
      <c r="J349" s="43">
        <v>0.06</v>
      </c>
      <c r="K349" s="37"/>
      <c r="L349" s="43"/>
      <c r="M349" s="43"/>
      <c r="N349" s="43"/>
      <c r="O349" s="43"/>
      <c r="P349" s="43"/>
      <c r="Q349" s="43"/>
      <c r="R349" s="43"/>
      <c r="S349" s="43"/>
      <c r="T349" s="43"/>
      <c r="U349" s="43"/>
      <c r="V349" s="43"/>
      <c r="W349" s="43"/>
      <c r="X349" s="43"/>
      <c r="Y349" s="43"/>
      <c r="Z349" s="43">
        <v>0.02</v>
      </c>
      <c r="AA349" s="43"/>
      <c r="AB349" s="43"/>
      <c r="AC349" s="43"/>
      <c r="AD349" s="43"/>
      <c r="AE349" s="43"/>
      <c r="AF349" s="43"/>
      <c r="AG349" s="43"/>
      <c r="AH349" s="43"/>
      <c r="AI349" s="43"/>
      <c r="AJ349" s="43"/>
      <c r="AK349" s="43"/>
      <c r="AL349" s="43"/>
      <c r="AM349" s="43"/>
      <c r="AN349" s="43"/>
      <c r="AO349" s="43"/>
      <c r="AP349" s="43"/>
      <c r="AQ349" s="43"/>
      <c r="AR349" s="43"/>
      <c r="AS349" s="43"/>
      <c r="AT349" s="43"/>
      <c r="AU349" s="43"/>
      <c r="AV349" s="43"/>
      <c r="AW349" s="43"/>
      <c r="AX349" s="43"/>
      <c r="AY349" s="34" t="s">
        <v>842</v>
      </c>
      <c r="AZ349" s="34"/>
      <c r="BA349" s="63" t="s">
        <v>291</v>
      </c>
      <c r="BB349" s="64"/>
      <c r="BE349" s="41"/>
      <c r="BI349" s="42">
        <v>1</v>
      </c>
    </row>
    <row r="350" spans="1:63" ht="34.35" customHeight="1">
      <c r="A350" s="127">
        <f>A349+1</f>
        <v>330</v>
      </c>
      <c r="B350" s="56" t="s">
        <v>843</v>
      </c>
      <c r="C350" s="78" t="s">
        <v>46</v>
      </c>
      <c r="D350" s="35">
        <f t="shared" si="35"/>
        <v>0.16</v>
      </c>
      <c r="E350" s="35"/>
      <c r="F350" s="35">
        <f t="shared" si="36"/>
        <v>0.16</v>
      </c>
      <c r="G350" s="43">
        <v>0.04</v>
      </c>
      <c r="H350" s="43"/>
      <c r="I350" s="43">
        <v>0.05</v>
      </c>
      <c r="J350" s="43">
        <v>0.05</v>
      </c>
      <c r="K350" s="37"/>
      <c r="L350" s="43"/>
      <c r="M350" s="43"/>
      <c r="N350" s="43"/>
      <c r="O350" s="43"/>
      <c r="P350" s="43"/>
      <c r="Q350" s="43"/>
      <c r="R350" s="43"/>
      <c r="S350" s="43"/>
      <c r="T350" s="43"/>
      <c r="U350" s="43"/>
      <c r="V350" s="43"/>
      <c r="W350" s="43"/>
      <c r="X350" s="43"/>
      <c r="Y350" s="43"/>
      <c r="Z350" s="43">
        <v>0.02</v>
      </c>
      <c r="AA350" s="43"/>
      <c r="AB350" s="43"/>
      <c r="AC350" s="43"/>
      <c r="AD350" s="43"/>
      <c r="AE350" s="43"/>
      <c r="AF350" s="43"/>
      <c r="AG350" s="43"/>
      <c r="AH350" s="43"/>
      <c r="AI350" s="43"/>
      <c r="AJ350" s="43"/>
      <c r="AK350" s="43"/>
      <c r="AL350" s="43"/>
      <c r="AM350" s="43"/>
      <c r="AN350" s="43"/>
      <c r="AO350" s="43"/>
      <c r="AP350" s="43"/>
      <c r="AQ350" s="43"/>
      <c r="AR350" s="43"/>
      <c r="AS350" s="43"/>
      <c r="AT350" s="43"/>
      <c r="AU350" s="43"/>
      <c r="AV350" s="43"/>
      <c r="AW350" s="43"/>
      <c r="AX350" s="43"/>
      <c r="AY350" s="34" t="s">
        <v>844</v>
      </c>
      <c r="AZ350" s="34"/>
      <c r="BA350" s="63" t="s">
        <v>291</v>
      </c>
      <c r="BB350" s="64"/>
      <c r="BE350" s="41"/>
      <c r="BI350" s="42">
        <v>1</v>
      </c>
    </row>
    <row r="351" spans="1:63" ht="63">
      <c r="A351" s="127">
        <f>A350+1</f>
        <v>331</v>
      </c>
      <c r="B351" s="56" t="s">
        <v>845</v>
      </c>
      <c r="C351" s="78" t="s">
        <v>46</v>
      </c>
      <c r="D351" s="35">
        <f t="shared" si="35"/>
        <v>0.57999999999999996</v>
      </c>
      <c r="E351" s="35"/>
      <c r="F351" s="35">
        <f t="shared" si="36"/>
        <v>0.57999999999999996</v>
      </c>
      <c r="G351" s="43">
        <v>0.15</v>
      </c>
      <c r="H351" s="43"/>
      <c r="I351" s="43">
        <v>0.2</v>
      </c>
      <c r="J351" s="43">
        <v>0.1</v>
      </c>
      <c r="K351" s="37"/>
      <c r="L351" s="43"/>
      <c r="M351" s="43">
        <v>0.1</v>
      </c>
      <c r="N351" s="43"/>
      <c r="O351" s="43"/>
      <c r="P351" s="43"/>
      <c r="Q351" s="43"/>
      <c r="R351" s="43"/>
      <c r="S351" s="43"/>
      <c r="T351" s="43"/>
      <c r="U351" s="43"/>
      <c r="V351" s="43"/>
      <c r="W351" s="43"/>
      <c r="X351" s="43"/>
      <c r="Y351" s="43"/>
      <c r="Z351" s="43">
        <v>0.03</v>
      </c>
      <c r="AA351" s="43"/>
      <c r="AB351" s="43"/>
      <c r="AC351" s="43"/>
      <c r="AD351" s="43"/>
      <c r="AE351" s="43"/>
      <c r="AF351" s="43"/>
      <c r="AG351" s="43"/>
      <c r="AH351" s="43"/>
      <c r="AI351" s="43"/>
      <c r="AJ351" s="43"/>
      <c r="AK351" s="43"/>
      <c r="AL351" s="43"/>
      <c r="AM351" s="43"/>
      <c r="AN351" s="43"/>
      <c r="AO351" s="43"/>
      <c r="AP351" s="43"/>
      <c r="AQ351" s="43"/>
      <c r="AR351" s="43"/>
      <c r="AS351" s="43"/>
      <c r="AT351" s="43"/>
      <c r="AU351" s="43"/>
      <c r="AV351" s="43"/>
      <c r="AW351" s="43"/>
      <c r="AX351" s="43"/>
      <c r="AY351" s="34" t="s">
        <v>846</v>
      </c>
      <c r="AZ351" s="34"/>
      <c r="BA351" s="63" t="s">
        <v>291</v>
      </c>
      <c r="BB351" s="64"/>
      <c r="BE351" s="41"/>
      <c r="BI351" s="42">
        <v>1</v>
      </c>
    </row>
    <row r="352" spans="1:63" ht="63">
      <c r="A352" s="127">
        <f t="shared" ref="A352:A364" si="39">A351+1</f>
        <v>332</v>
      </c>
      <c r="B352" s="56" t="s">
        <v>847</v>
      </c>
      <c r="C352" s="78" t="s">
        <v>46</v>
      </c>
      <c r="D352" s="35">
        <f t="shared" si="35"/>
        <v>0.35000000000000003</v>
      </c>
      <c r="E352" s="35"/>
      <c r="F352" s="35">
        <f t="shared" si="36"/>
        <v>0.35000000000000003</v>
      </c>
      <c r="G352" s="43">
        <v>0.08</v>
      </c>
      <c r="H352" s="43"/>
      <c r="I352" s="43">
        <v>0.11</v>
      </c>
      <c r="J352" s="43">
        <v>0.1</v>
      </c>
      <c r="K352" s="37"/>
      <c r="L352" s="43"/>
      <c r="M352" s="43">
        <v>0.04</v>
      </c>
      <c r="N352" s="43"/>
      <c r="O352" s="43"/>
      <c r="P352" s="43"/>
      <c r="Q352" s="43"/>
      <c r="R352" s="43"/>
      <c r="S352" s="43"/>
      <c r="T352" s="43"/>
      <c r="U352" s="43"/>
      <c r="V352" s="43"/>
      <c r="W352" s="43"/>
      <c r="X352" s="43"/>
      <c r="Y352" s="43"/>
      <c r="Z352" s="43">
        <v>0.02</v>
      </c>
      <c r="AA352" s="43"/>
      <c r="AB352" s="43"/>
      <c r="AC352" s="43"/>
      <c r="AD352" s="43"/>
      <c r="AE352" s="43"/>
      <c r="AF352" s="43"/>
      <c r="AG352" s="43"/>
      <c r="AH352" s="43"/>
      <c r="AI352" s="43"/>
      <c r="AJ352" s="43"/>
      <c r="AK352" s="43"/>
      <c r="AL352" s="43"/>
      <c r="AM352" s="43"/>
      <c r="AN352" s="43"/>
      <c r="AO352" s="43"/>
      <c r="AP352" s="43"/>
      <c r="AQ352" s="43"/>
      <c r="AR352" s="43"/>
      <c r="AS352" s="43"/>
      <c r="AT352" s="43"/>
      <c r="AU352" s="43"/>
      <c r="AV352" s="43"/>
      <c r="AW352" s="43"/>
      <c r="AX352" s="43"/>
      <c r="AY352" s="34" t="s">
        <v>848</v>
      </c>
      <c r="AZ352" s="34"/>
      <c r="BA352" s="63" t="s">
        <v>291</v>
      </c>
      <c r="BB352" s="64"/>
      <c r="BE352" s="41"/>
      <c r="BI352" s="42">
        <v>1</v>
      </c>
    </row>
    <row r="353" spans="1:61" ht="81" customHeight="1">
      <c r="A353" s="127">
        <f t="shared" si="39"/>
        <v>333</v>
      </c>
      <c r="B353" s="56" t="s">
        <v>849</v>
      </c>
      <c r="C353" s="78" t="s">
        <v>46</v>
      </c>
      <c r="D353" s="35">
        <f t="shared" si="35"/>
        <v>1.2999999999999998</v>
      </c>
      <c r="E353" s="35"/>
      <c r="F353" s="35">
        <f t="shared" si="36"/>
        <v>1.2999999999999998</v>
      </c>
      <c r="G353" s="43">
        <v>0.9</v>
      </c>
      <c r="H353" s="43"/>
      <c r="I353" s="43">
        <v>0.1</v>
      </c>
      <c r="J353" s="43">
        <v>0.15</v>
      </c>
      <c r="K353" s="37"/>
      <c r="L353" s="43"/>
      <c r="M353" s="43">
        <v>0.15</v>
      </c>
      <c r="N353" s="43"/>
      <c r="O353" s="43"/>
      <c r="P353" s="43"/>
      <c r="Q353" s="43"/>
      <c r="R353" s="43"/>
      <c r="S353" s="43"/>
      <c r="T353" s="43"/>
      <c r="U353" s="43"/>
      <c r="V353" s="43"/>
      <c r="W353" s="43"/>
      <c r="X353" s="43"/>
      <c r="Y353" s="43"/>
      <c r="Z353" s="43"/>
      <c r="AA353" s="43"/>
      <c r="AB353" s="43"/>
      <c r="AC353" s="43"/>
      <c r="AD353" s="43"/>
      <c r="AE353" s="43"/>
      <c r="AF353" s="43"/>
      <c r="AG353" s="43"/>
      <c r="AH353" s="43"/>
      <c r="AI353" s="43"/>
      <c r="AJ353" s="43"/>
      <c r="AK353" s="43"/>
      <c r="AL353" s="43"/>
      <c r="AM353" s="43"/>
      <c r="AN353" s="43"/>
      <c r="AO353" s="43"/>
      <c r="AP353" s="43"/>
      <c r="AQ353" s="43"/>
      <c r="AR353" s="43"/>
      <c r="AS353" s="43"/>
      <c r="AT353" s="43"/>
      <c r="AU353" s="43"/>
      <c r="AV353" s="43"/>
      <c r="AW353" s="43"/>
      <c r="AX353" s="43"/>
      <c r="AY353" s="34" t="s">
        <v>850</v>
      </c>
      <c r="AZ353" s="34"/>
      <c r="BA353" s="63" t="s">
        <v>291</v>
      </c>
      <c r="BB353" s="64"/>
      <c r="BE353" s="41"/>
      <c r="BI353" s="42">
        <v>1</v>
      </c>
    </row>
    <row r="354" spans="1:61" ht="81" customHeight="1">
      <c r="A354" s="127">
        <f t="shared" si="39"/>
        <v>334</v>
      </c>
      <c r="B354" s="56" t="s">
        <v>851</v>
      </c>
      <c r="C354" s="78" t="s">
        <v>46</v>
      </c>
      <c r="D354" s="35">
        <f t="shared" si="35"/>
        <v>0.54999999999999993</v>
      </c>
      <c r="E354" s="35"/>
      <c r="F354" s="35">
        <f t="shared" si="36"/>
        <v>0.54999999999999993</v>
      </c>
      <c r="G354" s="43">
        <v>0.26</v>
      </c>
      <c r="H354" s="43"/>
      <c r="I354" s="43">
        <v>0.04</v>
      </c>
      <c r="J354" s="43">
        <v>0.15</v>
      </c>
      <c r="K354" s="37"/>
      <c r="L354" s="43"/>
      <c r="M354" s="43">
        <v>0.1</v>
      </c>
      <c r="N354" s="43"/>
      <c r="O354" s="43"/>
      <c r="P354" s="43"/>
      <c r="Q354" s="43"/>
      <c r="R354" s="43"/>
      <c r="S354" s="43"/>
      <c r="T354" s="43"/>
      <c r="U354" s="43"/>
      <c r="V354" s="43"/>
      <c r="W354" s="43"/>
      <c r="X354" s="43"/>
      <c r="Y354" s="43"/>
      <c r="Z354" s="43"/>
      <c r="AA354" s="43"/>
      <c r="AB354" s="43"/>
      <c r="AC354" s="43"/>
      <c r="AD354" s="43"/>
      <c r="AE354" s="43"/>
      <c r="AF354" s="43"/>
      <c r="AG354" s="43"/>
      <c r="AH354" s="43"/>
      <c r="AI354" s="43"/>
      <c r="AJ354" s="43"/>
      <c r="AK354" s="43"/>
      <c r="AL354" s="43"/>
      <c r="AM354" s="43"/>
      <c r="AN354" s="43"/>
      <c r="AO354" s="43"/>
      <c r="AP354" s="43"/>
      <c r="AQ354" s="43"/>
      <c r="AR354" s="43"/>
      <c r="AS354" s="43"/>
      <c r="AT354" s="43"/>
      <c r="AU354" s="43"/>
      <c r="AV354" s="43"/>
      <c r="AW354" s="43"/>
      <c r="AX354" s="43"/>
      <c r="AY354" s="34" t="s">
        <v>852</v>
      </c>
      <c r="AZ354" s="34"/>
      <c r="BA354" s="63" t="s">
        <v>291</v>
      </c>
      <c r="BB354" s="64"/>
      <c r="BE354" s="41"/>
      <c r="BI354" s="42">
        <v>1</v>
      </c>
    </row>
    <row r="355" spans="1:61" ht="50.85" customHeight="1">
      <c r="A355" s="127">
        <f t="shared" si="39"/>
        <v>335</v>
      </c>
      <c r="B355" s="56" t="s">
        <v>853</v>
      </c>
      <c r="C355" s="78" t="s">
        <v>46</v>
      </c>
      <c r="D355" s="35">
        <f t="shared" si="35"/>
        <v>5.0200000000000002E-2</v>
      </c>
      <c r="E355" s="35"/>
      <c r="F355" s="35">
        <f t="shared" si="36"/>
        <v>5.0200000000000002E-2</v>
      </c>
      <c r="G355" s="43">
        <v>0.01</v>
      </c>
      <c r="H355" s="43"/>
      <c r="I355" s="43">
        <v>0.01</v>
      </c>
      <c r="J355" s="43">
        <v>1.2200000000000001E-2</v>
      </c>
      <c r="K355" s="37"/>
      <c r="L355" s="43"/>
      <c r="M355" s="43"/>
      <c r="N355" s="43"/>
      <c r="O355" s="43"/>
      <c r="P355" s="43"/>
      <c r="Q355" s="43"/>
      <c r="R355" s="43"/>
      <c r="S355" s="43"/>
      <c r="T355" s="43"/>
      <c r="U355" s="43"/>
      <c r="V355" s="43"/>
      <c r="W355" s="43"/>
      <c r="X355" s="43"/>
      <c r="Y355" s="43"/>
      <c r="Z355" s="43">
        <v>0.01</v>
      </c>
      <c r="AA355" s="43"/>
      <c r="AB355" s="43"/>
      <c r="AC355" s="43"/>
      <c r="AD355" s="43"/>
      <c r="AE355" s="43"/>
      <c r="AF355" s="43"/>
      <c r="AG355" s="43"/>
      <c r="AH355" s="43"/>
      <c r="AI355" s="43"/>
      <c r="AJ355" s="43"/>
      <c r="AK355" s="43"/>
      <c r="AL355" s="43"/>
      <c r="AM355" s="43"/>
      <c r="AN355" s="43">
        <v>8.0000000000000002E-3</v>
      </c>
      <c r="AO355" s="43"/>
      <c r="AP355" s="43"/>
      <c r="AQ355" s="43"/>
      <c r="AR355" s="43"/>
      <c r="AS355" s="43"/>
      <c r="AT355" s="43"/>
      <c r="AU355" s="43"/>
      <c r="AV355" s="43"/>
      <c r="AW355" s="43"/>
      <c r="AX355" s="43"/>
      <c r="AY355" s="34" t="s">
        <v>854</v>
      </c>
      <c r="AZ355" s="34"/>
      <c r="BA355" s="63" t="s">
        <v>291</v>
      </c>
      <c r="BB355" s="64"/>
      <c r="BE355" s="41"/>
      <c r="BI355" s="42">
        <v>1</v>
      </c>
    </row>
    <row r="356" spans="1:61" ht="45.6" customHeight="1">
      <c r="A356" s="127">
        <f t="shared" si="39"/>
        <v>336</v>
      </c>
      <c r="B356" s="56" t="s">
        <v>855</v>
      </c>
      <c r="C356" s="78" t="s">
        <v>46</v>
      </c>
      <c r="D356" s="35">
        <f t="shared" si="35"/>
        <v>0.02</v>
      </c>
      <c r="E356" s="35"/>
      <c r="F356" s="35">
        <f t="shared" si="36"/>
        <v>0.02</v>
      </c>
      <c r="G356" s="43"/>
      <c r="H356" s="43"/>
      <c r="I356" s="43">
        <v>0.01</v>
      </c>
      <c r="J356" s="43">
        <v>0.01</v>
      </c>
      <c r="K356" s="37"/>
      <c r="L356" s="43"/>
      <c r="M356" s="43"/>
      <c r="N356" s="43"/>
      <c r="O356" s="43"/>
      <c r="P356" s="43"/>
      <c r="Q356" s="43"/>
      <c r="R356" s="43"/>
      <c r="S356" s="43"/>
      <c r="T356" s="43"/>
      <c r="U356" s="43"/>
      <c r="V356" s="43"/>
      <c r="W356" s="43"/>
      <c r="X356" s="43"/>
      <c r="Y356" s="43"/>
      <c r="Z356" s="43"/>
      <c r="AA356" s="43"/>
      <c r="AB356" s="43"/>
      <c r="AC356" s="43"/>
      <c r="AD356" s="43"/>
      <c r="AE356" s="43"/>
      <c r="AF356" s="43"/>
      <c r="AG356" s="43"/>
      <c r="AH356" s="43"/>
      <c r="AI356" s="43"/>
      <c r="AJ356" s="43"/>
      <c r="AK356" s="43"/>
      <c r="AL356" s="43"/>
      <c r="AM356" s="43"/>
      <c r="AN356" s="43"/>
      <c r="AO356" s="43"/>
      <c r="AP356" s="43"/>
      <c r="AQ356" s="43"/>
      <c r="AR356" s="43"/>
      <c r="AS356" s="43"/>
      <c r="AT356" s="43"/>
      <c r="AU356" s="43"/>
      <c r="AV356" s="43"/>
      <c r="AW356" s="43"/>
      <c r="AX356" s="43"/>
      <c r="AY356" s="34" t="s">
        <v>856</v>
      </c>
      <c r="AZ356" s="34"/>
      <c r="BA356" s="63" t="s">
        <v>291</v>
      </c>
      <c r="BB356" s="64"/>
      <c r="BE356" s="41"/>
      <c r="BI356" s="42">
        <v>1</v>
      </c>
    </row>
    <row r="357" spans="1:61" ht="48.6" customHeight="1">
      <c r="A357" s="127">
        <f t="shared" si="39"/>
        <v>337</v>
      </c>
      <c r="B357" s="56" t="s">
        <v>857</v>
      </c>
      <c r="C357" s="78" t="s">
        <v>46</v>
      </c>
      <c r="D357" s="35">
        <f t="shared" si="35"/>
        <v>6.0000000000000005E-2</v>
      </c>
      <c r="E357" s="35"/>
      <c r="F357" s="35">
        <f t="shared" si="36"/>
        <v>6.0000000000000005E-2</v>
      </c>
      <c r="G357" s="43">
        <v>0.01</v>
      </c>
      <c r="H357" s="43">
        <v>0.01</v>
      </c>
      <c r="I357" s="43">
        <v>0.02</v>
      </c>
      <c r="J357" s="43">
        <v>0.01</v>
      </c>
      <c r="K357" s="37"/>
      <c r="L357" s="43"/>
      <c r="M357" s="43">
        <v>0.01</v>
      </c>
      <c r="N357" s="43"/>
      <c r="O357" s="43"/>
      <c r="P357" s="43"/>
      <c r="Q357" s="43"/>
      <c r="R357" s="43"/>
      <c r="S357" s="43"/>
      <c r="T357" s="43"/>
      <c r="U357" s="43"/>
      <c r="V357" s="43"/>
      <c r="W357" s="43"/>
      <c r="X357" s="43"/>
      <c r="Y357" s="43"/>
      <c r="Z357" s="43"/>
      <c r="AA357" s="43"/>
      <c r="AB357" s="43"/>
      <c r="AC357" s="43"/>
      <c r="AD357" s="43"/>
      <c r="AE357" s="43"/>
      <c r="AF357" s="43"/>
      <c r="AG357" s="43"/>
      <c r="AH357" s="43"/>
      <c r="AI357" s="43"/>
      <c r="AJ357" s="43"/>
      <c r="AK357" s="43"/>
      <c r="AL357" s="43"/>
      <c r="AM357" s="43"/>
      <c r="AN357" s="43"/>
      <c r="AO357" s="43"/>
      <c r="AP357" s="43"/>
      <c r="AQ357" s="43"/>
      <c r="AR357" s="43"/>
      <c r="AS357" s="43"/>
      <c r="AT357" s="43"/>
      <c r="AU357" s="43"/>
      <c r="AV357" s="43"/>
      <c r="AW357" s="43"/>
      <c r="AX357" s="43"/>
      <c r="AY357" s="34" t="s">
        <v>858</v>
      </c>
      <c r="AZ357" s="34"/>
      <c r="BA357" s="63" t="s">
        <v>291</v>
      </c>
      <c r="BB357" s="64"/>
      <c r="BE357" s="41"/>
      <c r="BI357" s="42">
        <v>1</v>
      </c>
    </row>
    <row r="358" spans="1:61" ht="34.35" customHeight="1">
      <c r="A358" s="127">
        <f t="shared" si="39"/>
        <v>338</v>
      </c>
      <c r="B358" s="56" t="s">
        <v>859</v>
      </c>
      <c r="C358" s="78" t="s">
        <v>46</v>
      </c>
      <c r="D358" s="35">
        <f t="shared" si="35"/>
        <v>0.54</v>
      </c>
      <c r="E358" s="35"/>
      <c r="F358" s="35">
        <f t="shared" si="36"/>
        <v>0.54</v>
      </c>
      <c r="G358" s="43">
        <v>0.41</v>
      </c>
      <c r="H358" s="43"/>
      <c r="I358" s="43">
        <v>0.06</v>
      </c>
      <c r="J358" s="43">
        <v>0.05</v>
      </c>
      <c r="K358" s="37"/>
      <c r="L358" s="43"/>
      <c r="M358" s="43"/>
      <c r="N358" s="43"/>
      <c r="O358" s="43"/>
      <c r="P358" s="43"/>
      <c r="Q358" s="43"/>
      <c r="R358" s="43"/>
      <c r="S358" s="43"/>
      <c r="T358" s="43"/>
      <c r="U358" s="43"/>
      <c r="V358" s="43"/>
      <c r="W358" s="43"/>
      <c r="X358" s="43"/>
      <c r="Y358" s="43"/>
      <c r="Z358" s="43">
        <v>0.01</v>
      </c>
      <c r="AA358" s="43"/>
      <c r="AB358" s="43"/>
      <c r="AC358" s="43"/>
      <c r="AD358" s="43"/>
      <c r="AE358" s="43"/>
      <c r="AF358" s="43"/>
      <c r="AG358" s="43"/>
      <c r="AH358" s="43"/>
      <c r="AI358" s="43"/>
      <c r="AJ358" s="43"/>
      <c r="AK358" s="43"/>
      <c r="AL358" s="43"/>
      <c r="AM358" s="43"/>
      <c r="AN358" s="43"/>
      <c r="AO358" s="43"/>
      <c r="AP358" s="43">
        <v>0.01</v>
      </c>
      <c r="AQ358" s="43"/>
      <c r="AR358" s="43"/>
      <c r="AS358" s="43"/>
      <c r="AT358" s="43"/>
      <c r="AU358" s="43"/>
      <c r="AV358" s="43"/>
      <c r="AW358" s="43"/>
      <c r="AX358" s="43"/>
      <c r="AY358" s="34" t="s">
        <v>860</v>
      </c>
      <c r="AZ358" s="34"/>
      <c r="BA358" s="63" t="s">
        <v>291</v>
      </c>
      <c r="BB358" s="64"/>
      <c r="BE358" s="41"/>
      <c r="BI358" s="42">
        <v>1</v>
      </c>
    </row>
    <row r="359" spans="1:61" ht="32.85" customHeight="1">
      <c r="A359" s="127">
        <f t="shared" si="39"/>
        <v>339</v>
      </c>
      <c r="B359" s="56" t="s">
        <v>861</v>
      </c>
      <c r="C359" s="78" t="s">
        <v>46</v>
      </c>
      <c r="D359" s="35">
        <f t="shared" si="35"/>
        <v>0.26</v>
      </c>
      <c r="E359" s="35"/>
      <c r="F359" s="35">
        <f t="shared" si="36"/>
        <v>0.26</v>
      </c>
      <c r="G359" s="43">
        <v>0.06</v>
      </c>
      <c r="H359" s="43"/>
      <c r="I359" s="43">
        <v>0.12</v>
      </c>
      <c r="J359" s="43">
        <v>0.05</v>
      </c>
      <c r="K359" s="37"/>
      <c r="L359" s="43"/>
      <c r="M359" s="43"/>
      <c r="N359" s="43"/>
      <c r="O359" s="43"/>
      <c r="P359" s="43"/>
      <c r="Q359" s="43"/>
      <c r="R359" s="43"/>
      <c r="S359" s="43"/>
      <c r="T359" s="43"/>
      <c r="U359" s="43"/>
      <c r="V359" s="43"/>
      <c r="W359" s="43"/>
      <c r="X359" s="43"/>
      <c r="Y359" s="43"/>
      <c r="Z359" s="43"/>
      <c r="AA359" s="43"/>
      <c r="AB359" s="43">
        <v>0.01</v>
      </c>
      <c r="AC359" s="43"/>
      <c r="AD359" s="43">
        <v>0.01</v>
      </c>
      <c r="AE359" s="43"/>
      <c r="AF359" s="43"/>
      <c r="AG359" s="43"/>
      <c r="AH359" s="43"/>
      <c r="AI359" s="43"/>
      <c r="AJ359" s="43"/>
      <c r="AK359" s="43">
        <v>0.01</v>
      </c>
      <c r="AL359" s="43"/>
      <c r="AM359" s="43"/>
      <c r="AN359" s="43"/>
      <c r="AO359" s="43"/>
      <c r="AP359" s="43"/>
      <c r="AQ359" s="43"/>
      <c r="AR359" s="43"/>
      <c r="AS359" s="43"/>
      <c r="AT359" s="43"/>
      <c r="AU359" s="43"/>
      <c r="AV359" s="43"/>
      <c r="AW359" s="43"/>
      <c r="AX359" s="43"/>
      <c r="AY359" s="34" t="s">
        <v>860</v>
      </c>
      <c r="AZ359" s="34"/>
      <c r="BA359" s="63" t="s">
        <v>291</v>
      </c>
      <c r="BB359" s="64"/>
      <c r="BE359" s="41"/>
      <c r="BI359" s="42">
        <v>1</v>
      </c>
    </row>
    <row r="360" spans="1:61" ht="32.85" customHeight="1">
      <c r="A360" s="127">
        <f t="shared" si="39"/>
        <v>340</v>
      </c>
      <c r="B360" s="56" t="s">
        <v>862</v>
      </c>
      <c r="C360" s="78" t="s">
        <v>46</v>
      </c>
      <c r="D360" s="35">
        <f t="shared" si="35"/>
        <v>0.21000000000000002</v>
      </c>
      <c r="E360" s="35"/>
      <c r="F360" s="35">
        <f t="shared" si="36"/>
        <v>0.21000000000000002</v>
      </c>
      <c r="G360" s="43">
        <v>0.05</v>
      </c>
      <c r="H360" s="43"/>
      <c r="I360" s="43">
        <v>0.1</v>
      </c>
      <c r="J360" s="43">
        <v>0.05</v>
      </c>
      <c r="K360" s="37"/>
      <c r="L360" s="43"/>
      <c r="M360" s="43"/>
      <c r="N360" s="43"/>
      <c r="O360" s="43"/>
      <c r="P360" s="43"/>
      <c r="Q360" s="43"/>
      <c r="R360" s="43"/>
      <c r="S360" s="43"/>
      <c r="T360" s="43"/>
      <c r="U360" s="43"/>
      <c r="V360" s="43"/>
      <c r="W360" s="43"/>
      <c r="X360" s="43"/>
      <c r="Y360" s="43"/>
      <c r="Z360" s="43"/>
      <c r="AA360" s="43"/>
      <c r="AB360" s="43"/>
      <c r="AC360" s="43"/>
      <c r="AD360" s="43"/>
      <c r="AE360" s="43"/>
      <c r="AF360" s="43"/>
      <c r="AG360" s="43"/>
      <c r="AH360" s="43"/>
      <c r="AI360" s="43"/>
      <c r="AJ360" s="43"/>
      <c r="AK360" s="43">
        <v>0.01</v>
      </c>
      <c r="AL360" s="43"/>
      <c r="AM360" s="43"/>
      <c r="AN360" s="43"/>
      <c r="AO360" s="43"/>
      <c r="AP360" s="43"/>
      <c r="AQ360" s="43"/>
      <c r="AR360" s="43"/>
      <c r="AS360" s="43"/>
      <c r="AT360" s="43"/>
      <c r="AU360" s="43"/>
      <c r="AV360" s="43"/>
      <c r="AW360" s="43"/>
      <c r="AX360" s="43"/>
      <c r="AY360" s="34" t="s">
        <v>860</v>
      </c>
      <c r="AZ360" s="34"/>
      <c r="BA360" s="63" t="s">
        <v>291</v>
      </c>
      <c r="BB360" s="64"/>
      <c r="BE360" s="41"/>
      <c r="BI360" s="42">
        <v>1</v>
      </c>
    </row>
    <row r="361" spans="1:61" ht="32.85" customHeight="1">
      <c r="A361" s="127">
        <f t="shared" si="39"/>
        <v>341</v>
      </c>
      <c r="B361" s="56" t="s">
        <v>863</v>
      </c>
      <c r="C361" s="78" t="s">
        <v>46</v>
      </c>
      <c r="D361" s="35">
        <f t="shared" si="35"/>
        <v>0.12</v>
      </c>
      <c r="E361" s="35"/>
      <c r="F361" s="35">
        <f t="shared" si="36"/>
        <v>0.12</v>
      </c>
      <c r="G361" s="43">
        <v>0.04</v>
      </c>
      <c r="H361" s="43"/>
      <c r="I361" s="43">
        <v>0.05</v>
      </c>
      <c r="J361" s="43">
        <v>0.02</v>
      </c>
      <c r="K361" s="37"/>
      <c r="L361" s="43"/>
      <c r="M361" s="43"/>
      <c r="N361" s="43"/>
      <c r="O361" s="43"/>
      <c r="P361" s="43"/>
      <c r="Q361" s="43"/>
      <c r="R361" s="43"/>
      <c r="S361" s="43"/>
      <c r="T361" s="43"/>
      <c r="U361" s="43"/>
      <c r="V361" s="43"/>
      <c r="W361" s="43"/>
      <c r="X361" s="43"/>
      <c r="Y361" s="43"/>
      <c r="Z361" s="43"/>
      <c r="AA361" s="43"/>
      <c r="AB361" s="43"/>
      <c r="AC361" s="43"/>
      <c r="AD361" s="43"/>
      <c r="AE361" s="43"/>
      <c r="AF361" s="43"/>
      <c r="AG361" s="43"/>
      <c r="AH361" s="43"/>
      <c r="AI361" s="43"/>
      <c r="AJ361" s="43"/>
      <c r="AK361" s="43"/>
      <c r="AL361" s="43"/>
      <c r="AM361" s="43"/>
      <c r="AN361" s="43"/>
      <c r="AO361" s="43"/>
      <c r="AP361" s="43"/>
      <c r="AQ361" s="43"/>
      <c r="AR361" s="43"/>
      <c r="AS361" s="43"/>
      <c r="AT361" s="43"/>
      <c r="AU361" s="43"/>
      <c r="AV361" s="43"/>
      <c r="AW361" s="43"/>
      <c r="AX361" s="43">
        <v>0.01</v>
      </c>
      <c r="AY361" s="34" t="s">
        <v>860</v>
      </c>
      <c r="AZ361" s="34"/>
      <c r="BA361" s="63" t="s">
        <v>291</v>
      </c>
      <c r="BB361" s="64"/>
      <c r="BE361" s="41"/>
      <c r="BI361" s="42">
        <v>1</v>
      </c>
    </row>
    <row r="362" spans="1:61" ht="63">
      <c r="A362" s="127">
        <f t="shared" si="39"/>
        <v>342</v>
      </c>
      <c r="B362" s="56" t="s">
        <v>864</v>
      </c>
      <c r="C362" s="78" t="s">
        <v>46</v>
      </c>
      <c r="D362" s="35">
        <f t="shared" si="35"/>
        <v>0.05</v>
      </c>
      <c r="E362" s="35"/>
      <c r="F362" s="35">
        <f t="shared" si="36"/>
        <v>0.05</v>
      </c>
      <c r="G362" s="43">
        <v>0.01</v>
      </c>
      <c r="H362" s="43"/>
      <c r="I362" s="43">
        <v>0.02</v>
      </c>
      <c r="J362" s="43">
        <v>0.02</v>
      </c>
      <c r="K362" s="37"/>
      <c r="L362" s="43"/>
      <c r="M362" s="43"/>
      <c r="N362" s="43"/>
      <c r="O362" s="43"/>
      <c r="P362" s="43"/>
      <c r="Q362" s="43"/>
      <c r="R362" s="43"/>
      <c r="S362" s="43"/>
      <c r="T362" s="43"/>
      <c r="U362" s="43"/>
      <c r="V362" s="43"/>
      <c r="W362" s="43"/>
      <c r="X362" s="43"/>
      <c r="Y362" s="43"/>
      <c r="Z362" s="43"/>
      <c r="AA362" s="43"/>
      <c r="AB362" s="43"/>
      <c r="AC362" s="43"/>
      <c r="AD362" s="43"/>
      <c r="AE362" s="43"/>
      <c r="AF362" s="43"/>
      <c r="AG362" s="43"/>
      <c r="AH362" s="43"/>
      <c r="AI362" s="43"/>
      <c r="AJ362" s="43"/>
      <c r="AK362" s="43"/>
      <c r="AL362" s="43"/>
      <c r="AM362" s="43"/>
      <c r="AN362" s="43"/>
      <c r="AO362" s="43"/>
      <c r="AP362" s="43"/>
      <c r="AQ362" s="43"/>
      <c r="AR362" s="43"/>
      <c r="AS362" s="43"/>
      <c r="AT362" s="43"/>
      <c r="AU362" s="43"/>
      <c r="AV362" s="43"/>
      <c r="AW362" s="43"/>
      <c r="AX362" s="43"/>
      <c r="AY362" s="34" t="s">
        <v>860</v>
      </c>
      <c r="AZ362" s="34"/>
      <c r="BA362" s="63" t="s">
        <v>291</v>
      </c>
      <c r="BB362" s="64"/>
      <c r="BE362" s="41"/>
      <c r="BI362" s="42">
        <v>1</v>
      </c>
    </row>
    <row r="363" spans="1:61" ht="33" customHeight="1">
      <c r="A363" s="127">
        <f t="shared" si="39"/>
        <v>343</v>
      </c>
      <c r="B363" s="56" t="s">
        <v>865</v>
      </c>
      <c r="C363" s="78" t="s">
        <v>46</v>
      </c>
      <c r="D363" s="35">
        <f t="shared" si="35"/>
        <v>0.17</v>
      </c>
      <c r="E363" s="35"/>
      <c r="F363" s="35">
        <f t="shared" si="36"/>
        <v>0.17</v>
      </c>
      <c r="G363" s="43">
        <v>0.06</v>
      </c>
      <c r="H363" s="43"/>
      <c r="I363" s="43">
        <v>0.03</v>
      </c>
      <c r="J363" s="43">
        <v>0.03</v>
      </c>
      <c r="K363" s="37"/>
      <c r="L363" s="43"/>
      <c r="M363" s="43">
        <v>0.04</v>
      </c>
      <c r="N363" s="43"/>
      <c r="O363" s="43"/>
      <c r="P363" s="43"/>
      <c r="Q363" s="43"/>
      <c r="R363" s="43"/>
      <c r="S363" s="43"/>
      <c r="T363" s="43"/>
      <c r="U363" s="43"/>
      <c r="V363" s="43"/>
      <c r="W363" s="43"/>
      <c r="X363" s="43"/>
      <c r="Y363" s="43"/>
      <c r="Z363" s="43"/>
      <c r="AA363" s="43"/>
      <c r="AB363" s="43">
        <v>0.01</v>
      </c>
      <c r="AC363" s="43"/>
      <c r="AD363" s="43"/>
      <c r="AE363" s="43"/>
      <c r="AF363" s="43"/>
      <c r="AG363" s="43"/>
      <c r="AH363" s="43"/>
      <c r="AI363" s="43"/>
      <c r="AJ363" s="43"/>
      <c r="AK363" s="43"/>
      <c r="AL363" s="43"/>
      <c r="AM363" s="43"/>
      <c r="AN363" s="43"/>
      <c r="AO363" s="43"/>
      <c r="AP363" s="43"/>
      <c r="AQ363" s="43"/>
      <c r="AR363" s="43"/>
      <c r="AS363" s="43"/>
      <c r="AT363" s="43"/>
      <c r="AU363" s="43"/>
      <c r="AV363" s="43"/>
      <c r="AW363" s="43"/>
      <c r="AX363" s="43"/>
      <c r="AY363" s="34" t="s">
        <v>860</v>
      </c>
      <c r="AZ363" s="34"/>
      <c r="BA363" s="63" t="s">
        <v>291</v>
      </c>
      <c r="BB363" s="64"/>
      <c r="BE363" s="41"/>
      <c r="BI363" s="42">
        <v>1</v>
      </c>
    </row>
    <row r="364" spans="1:61" ht="33" customHeight="1">
      <c r="A364" s="127">
        <f t="shared" si="39"/>
        <v>344</v>
      </c>
      <c r="B364" s="56" t="s">
        <v>866</v>
      </c>
      <c r="C364" s="78" t="s">
        <v>46</v>
      </c>
      <c r="D364" s="35">
        <f t="shared" si="35"/>
        <v>0.22999999999999998</v>
      </c>
      <c r="E364" s="35"/>
      <c r="F364" s="35">
        <f t="shared" si="36"/>
        <v>0.22999999999999998</v>
      </c>
      <c r="G364" s="43">
        <v>0.08</v>
      </c>
      <c r="H364" s="43"/>
      <c r="I364" s="43">
        <v>0.08</v>
      </c>
      <c r="J364" s="43">
        <v>0.02</v>
      </c>
      <c r="K364" s="37"/>
      <c r="L364" s="43"/>
      <c r="M364" s="43">
        <v>0.05</v>
      </c>
      <c r="N364" s="43"/>
      <c r="O364" s="43"/>
      <c r="P364" s="43"/>
      <c r="Q364" s="43"/>
      <c r="R364" s="43"/>
      <c r="S364" s="43"/>
      <c r="T364" s="43"/>
      <c r="U364" s="43"/>
      <c r="V364" s="43"/>
      <c r="W364" s="43"/>
      <c r="X364" s="43"/>
      <c r="Y364" s="43"/>
      <c r="Z364" s="43"/>
      <c r="AA364" s="43"/>
      <c r="AB364" s="43"/>
      <c r="AC364" s="43"/>
      <c r="AD364" s="43"/>
      <c r="AE364" s="43"/>
      <c r="AF364" s="43"/>
      <c r="AG364" s="43"/>
      <c r="AH364" s="43"/>
      <c r="AI364" s="43"/>
      <c r="AJ364" s="43"/>
      <c r="AK364" s="43"/>
      <c r="AL364" s="43"/>
      <c r="AM364" s="43"/>
      <c r="AN364" s="43"/>
      <c r="AO364" s="43"/>
      <c r="AP364" s="43"/>
      <c r="AQ364" s="43"/>
      <c r="AR364" s="43"/>
      <c r="AS364" s="43"/>
      <c r="AT364" s="43"/>
      <c r="AU364" s="43"/>
      <c r="AV364" s="43"/>
      <c r="AW364" s="43"/>
      <c r="AX364" s="43"/>
      <c r="AY364" s="34" t="s">
        <v>867</v>
      </c>
      <c r="AZ364" s="34"/>
      <c r="BA364" s="63" t="s">
        <v>291</v>
      </c>
      <c r="BB364" s="64"/>
      <c r="BE364" s="41"/>
      <c r="BI364" s="42">
        <v>1</v>
      </c>
    </row>
    <row r="365" spans="1:61" ht="33" customHeight="1">
      <c r="A365" s="1674">
        <f>A364+1</f>
        <v>345</v>
      </c>
      <c r="B365" s="1659" t="s">
        <v>868</v>
      </c>
      <c r="C365" s="78" t="s">
        <v>46</v>
      </c>
      <c r="D365" s="35">
        <f t="shared" si="35"/>
        <v>0.05</v>
      </c>
      <c r="E365" s="35"/>
      <c r="F365" s="35">
        <f t="shared" si="36"/>
        <v>0.05</v>
      </c>
      <c r="G365" s="43"/>
      <c r="H365" s="43"/>
      <c r="I365" s="43">
        <v>0.05</v>
      </c>
      <c r="J365" s="43"/>
      <c r="K365" s="37"/>
      <c r="L365" s="43"/>
      <c r="M365" s="43"/>
      <c r="N365" s="43"/>
      <c r="O365" s="43"/>
      <c r="P365" s="43"/>
      <c r="Q365" s="43"/>
      <c r="R365" s="43"/>
      <c r="S365" s="43"/>
      <c r="T365" s="43"/>
      <c r="U365" s="43"/>
      <c r="V365" s="43"/>
      <c r="W365" s="43"/>
      <c r="X365" s="43"/>
      <c r="Y365" s="43"/>
      <c r="Z365" s="43"/>
      <c r="AA365" s="43"/>
      <c r="AB365" s="43"/>
      <c r="AC365" s="43"/>
      <c r="AD365" s="43"/>
      <c r="AE365" s="43"/>
      <c r="AF365" s="43"/>
      <c r="AG365" s="43"/>
      <c r="AH365" s="43"/>
      <c r="AI365" s="43"/>
      <c r="AJ365" s="43"/>
      <c r="AK365" s="43"/>
      <c r="AL365" s="43"/>
      <c r="AM365" s="43"/>
      <c r="AN365" s="43"/>
      <c r="AO365" s="43"/>
      <c r="AP365" s="43"/>
      <c r="AQ365" s="43"/>
      <c r="AR365" s="43"/>
      <c r="AS365" s="43"/>
      <c r="AT365" s="43"/>
      <c r="AU365" s="43"/>
      <c r="AV365" s="43"/>
      <c r="AW365" s="43"/>
      <c r="AX365" s="43"/>
      <c r="AY365" s="34" t="s">
        <v>289</v>
      </c>
      <c r="AZ365" s="34"/>
      <c r="BA365" s="1662" t="s">
        <v>291</v>
      </c>
      <c r="BB365" s="64"/>
      <c r="BE365" s="41"/>
      <c r="BI365" s="42">
        <v>1</v>
      </c>
    </row>
    <row r="366" spans="1:61" ht="33" customHeight="1">
      <c r="A366" s="1674"/>
      <c r="B366" s="1659"/>
      <c r="C366" s="78" t="s">
        <v>46</v>
      </c>
      <c r="D366" s="35">
        <f t="shared" si="35"/>
        <v>0.15000000000000002</v>
      </c>
      <c r="E366" s="35"/>
      <c r="F366" s="35">
        <f t="shared" si="36"/>
        <v>0.15000000000000002</v>
      </c>
      <c r="G366" s="43">
        <v>0.1</v>
      </c>
      <c r="H366" s="43"/>
      <c r="I366" s="43">
        <v>0.05</v>
      </c>
      <c r="J366" s="43"/>
      <c r="K366" s="37"/>
      <c r="L366" s="43"/>
      <c r="M366" s="43"/>
      <c r="N366" s="43"/>
      <c r="O366" s="43"/>
      <c r="P366" s="43"/>
      <c r="Q366" s="43"/>
      <c r="R366" s="43"/>
      <c r="S366" s="43"/>
      <c r="T366" s="43"/>
      <c r="U366" s="43"/>
      <c r="V366" s="43"/>
      <c r="W366" s="43"/>
      <c r="X366" s="43"/>
      <c r="Y366" s="43"/>
      <c r="Z366" s="43"/>
      <c r="AA366" s="43"/>
      <c r="AB366" s="43"/>
      <c r="AC366" s="43"/>
      <c r="AD366" s="43"/>
      <c r="AE366" s="43"/>
      <c r="AF366" s="43"/>
      <c r="AG366" s="43"/>
      <c r="AH366" s="43"/>
      <c r="AI366" s="43"/>
      <c r="AJ366" s="43"/>
      <c r="AK366" s="43"/>
      <c r="AL366" s="43"/>
      <c r="AM366" s="43"/>
      <c r="AN366" s="43"/>
      <c r="AO366" s="43"/>
      <c r="AP366" s="43"/>
      <c r="AQ366" s="43"/>
      <c r="AR366" s="43"/>
      <c r="AS366" s="43"/>
      <c r="AT366" s="43"/>
      <c r="AU366" s="43"/>
      <c r="AV366" s="43"/>
      <c r="AW366" s="43"/>
      <c r="AX366" s="43"/>
      <c r="AY366" s="34" t="s">
        <v>225</v>
      </c>
      <c r="AZ366" s="34"/>
      <c r="BA366" s="1662"/>
      <c r="BB366" s="64"/>
      <c r="BE366" s="41"/>
      <c r="BI366" s="42"/>
    </row>
    <row r="367" spans="1:61" ht="18.600000000000001" customHeight="1">
      <c r="A367" s="1674">
        <f>A365+1</f>
        <v>346</v>
      </c>
      <c r="B367" s="1659" t="s">
        <v>869</v>
      </c>
      <c r="C367" s="78" t="s">
        <v>46</v>
      </c>
      <c r="D367" s="35">
        <f t="shared" si="35"/>
        <v>0.11</v>
      </c>
      <c r="E367" s="35"/>
      <c r="F367" s="35">
        <f t="shared" si="36"/>
        <v>0.11</v>
      </c>
      <c r="G367" s="43">
        <v>0.08</v>
      </c>
      <c r="H367" s="43"/>
      <c r="I367" s="43">
        <v>0.03</v>
      </c>
      <c r="J367" s="43"/>
      <c r="K367" s="37"/>
      <c r="L367" s="43"/>
      <c r="M367" s="43"/>
      <c r="N367" s="43"/>
      <c r="O367" s="43"/>
      <c r="P367" s="43"/>
      <c r="Q367" s="43"/>
      <c r="R367" s="43"/>
      <c r="S367" s="43"/>
      <c r="T367" s="43"/>
      <c r="U367" s="43"/>
      <c r="V367" s="43"/>
      <c r="W367" s="43"/>
      <c r="X367" s="43"/>
      <c r="Y367" s="43"/>
      <c r="Z367" s="43"/>
      <c r="AA367" s="43"/>
      <c r="AB367" s="43"/>
      <c r="AC367" s="43"/>
      <c r="AD367" s="43"/>
      <c r="AE367" s="43"/>
      <c r="AF367" s="43"/>
      <c r="AG367" s="43"/>
      <c r="AH367" s="43"/>
      <c r="AI367" s="43"/>
      <c r="AJ367" s="43"/>
      <c r="AK367" s="43"/>
      <c r="AL367" s="43"/>
      <c r="AM367" s="43"/>
      <c r="AN367" s="43"/>
      <c r="AO367" s="43"/>
      <c r="AP367" s="43"/>
      <c r="AQ367" s="43"/>
      <c r="AR367" s="43"/>
      <c r="AS367" s="43"/>
      <c r="AT367" s="43"/>
      <c r="AU367" s="43"/>
      <c r="AV367" s="43"/>
      <c r="AW367" s="43"/>
      <c r="AX367" s="43"/>
      <c r="AY367" s="34" t="s">
        <v>240</v>
      </c>
      <c r="AZ367" s="34"/>
      <c r="BA367" s="1662" t="s">
        <v>291</v>
      </c>
      <c r="BB367" s="64"/>
      <c r="BE367" s="41"/>
      <c r="BI367" s="42">
        <v>1</v>
      </c>
    </row>
    <row r="368" spans="1:61" ht="18.600000000000001" customHeight="1">
      <c r="A368" s="1674"/>
      <c r="B368" s="1659"/>
      <c r="C368" s="78" t="s">
        <v>46</v>
      </c>
      <c r="D368" s="35">
        <f t="shared" si="35"/>
        <v>0.1</v>
      </c>
      <c r="E368" s="35"/>
      <c r="F368" s="35">
        <f t="shared" si="36"/>
        <v>0.1</v>
      </c>
      <c r="G368" s="43">
        <v>0.05</v>
      </c>
      <c r="H368" s="43"/>
      <c r="I368" s="43">
        <v>0.03</v>
      </c>
      <c r="J368" s="43"/>
      <c r="K368" s="37"/>
      <c r="L368" s="43"/>
      <c r="M368" s="43">
        <v>0.02</v>
      </c>
      <c r="N368" s="43"/>
      <c r="O368" s="43"/>
      <c r="P368" s="43"/>
      <c r="Q368" s="43"/>
      <c r="R368" s="43"/>
      <c r="S368" s="43"/>
      <c r="T368" s="43"/>
      <c r="U368" s="43"/>
      <c r="V368" s="43"/>
      <c r="W368" s="43"/>
      <c r="X368" s="43"/>
      <c r="Y368" s="43"/>
      <c r="Z368" s="43"/>
      <c r="AA368" s="43"/>
      <c r="AB368" s="43"/>
      <c r="AC368" s="43"/>
      <c r="AD368" s="43"/>
      <c r="AE368" s="43"/>
      <c r="AF368" s="43"/>
      <c r="AG368" s="43"/>
      <c r="AH368" s="43"/>
      <c r="AI368" s="43"/>
      <c r="AJ368" s="43"/>
      <c r="AK368" s="43"/>
      <c r="AL368" s="43"/>
      <c r="AM368" s="43"/>
      <c r="AN368" s="43"/>
      <c r="AO368" s="43"/>
      <c r="AP368" s="43"/>
      <c r="AQ368" s="43"/>
      <c r="AR368" s="43"/>
      <c r="AS368" s="43"/>
      <c r="AT368" s="43"/>
      <c r="AU368" s="43"/>
      <c r="AV368" s="43"/>
      <c r="AW368" s="43"/>
      <c r="AX368" s="43"/>
      <c r="AY368" s="34" t="s">
        <v>223</v>
      </c>
      <c r="AZ368" s="34"/>
      <c r="BA368" s="1662"/>
      <c r="BB368" s="64"/>
      <c r="BE368" s="41"/>
      <c r="BI368" s="42"/>
    </row>
    <row r="369" spans="1:61" ht="18.600000000000001" customHeight="1">
      <c r="A369" s="1674"/>
      <c r="B369" s="1659"/>
      <c r="C369" s="78" t="s">
        <v>46</v>
      </c>
      <c r="D369" s="35">
        <f t="shared" si="35"/>
        <v>0.13</v>
      </c>
      <c r="E369" s="35"/>
      <c r="F369" s="35">
        <f t="shared" si="36"/>
        <v>0.13</v>
      </c>
      <c r="G369" s="43">
        <v>0.05</v>
      </c>
      <c r="H369" s="43"/>
      <c r="I369" s="43">
        <v>0.03</v>
      </c>
      <c r="J369" s="43"/>
      <c r="K369" s="37"/>
      <c r="L369" s="43"/>
      <c r="M369" s="43">
        <v>0.05</v>
      </c>
      <c r="N369" s="43"/>
      <c r="O369" s="43"/>
      <c r="P369" s="43"/>
      <c r="Q369" s="43"/>
      <c r="R369" s="43"/>
      <c r="S369" s="43"/>
      <c r="T369" s="43"/>
      <c r="U369" s="43"/>
      <c r="V369" s="43"/>
      <c r="W369" s="43"/>
      <c r="X369" s="43"/>
      <c r="Y369" s="43"/>
      <c r="Z369" s="43"/>
      <c r="AA369" s="43"/>
      <c r="AB369" s="43"/>
      <c r="AC369" s="43"/>
      <c r="AD369" s="43"/>
      <c r="AE369" s="43"/>
      <c r="AF369" s="43"/>
      <c r="AG369" s="43"/>
      <c r="AH369" s="43"/>
      <c r="AI369" s="43"/>
      <c r="AJ369" s="43"/>
      <c r="AK369" s="43"/>
      <c r="AL369" s="43"/>
      <c r="AM369" s="43"/>
      <c r="AN369" s="43"/>
      <c r="AO369" s="43"/>
      <c r="AP369" s="43"/>
      <c r="AQ369" s="43"/>
      <c r="AR369" s="43"/>
      <c r="AS369" s="43"/>
      <c r="AT369" s="43"/>
      <c r="AU369" s="43"/>
      <c r="AV369" s="43"/>
      <c r="AW369" s="43"/>
      <c r="AX369" s="43"/>
      <c r="AY369" s="34" t="s">
        <v>221</v>
      </c>
      <c r="AZ369" s="34"/>
      <c r="BA369" s="1662"/>
      <c r="BB369" s="64"/>
      <c r="BE369" s="41"/>
      <c r="BI369" s="42"/>
    </row>
    <row r="370" spans="1:61" ht="63">
      <c r="A370" s="118">
        <f>A367+1</f>
        <v>347</v>
      </c>
      <c r="B370" s="56" t="s">
        <v>870</v>
      </c>
      <c r="C370" s="78" t="s">
        <v>46</v>
      </c>
      <c r="D370" s="35">
        <f t="shared" si="35"/>
        <v>0.01</v>
      </c>
      <c r="E370" s="35"/>
      <c r="F370" s="35">
        <f t="shared" si="36"/>
        <v>0.01</v>
      </c>
      <c r="G370" s="43">
        <v>0.01</v>
      </c>
      <c r="H370" s="43"/>
      <c r="I370" s="43"/>
      <c r="J370" s="43"/>
      <c r="K370" s="37"/>
      <c r="L370" s="43"/>
      <c r="M370" s="43"/>
      <c r="N370" s="43"/>
      <c r="O370" s="43"/>
      <c r="P370" s="43"/>
      <c r="Q370" s="43"/>
      <c r="R370" s="43"/>
      <c r="S370" s="43"/>
      <c r="T370" s="43"/>
      <c r="U370" s="43"/>
      <c r="V370" s="43"/>
      <c r="W370" s="43"/>
      <c r="X370" s="43"/>
      <c r="Y370" s="43"/>
      <c r="Z370" s="43"/>
      <c r="AA370" s="43"/>
      <c r="AB370" s="43"/>
      <c r="AC370" s="43"/>
      <c r="AD370" s="43"/>
      <c r="AE370" s="43"/>
      <c r="AF370" s="43"/>
      <c r="AG370" s="43"/>
      <c r="AH370" s="43"/>
      <c r="AI370" s="43"/>
      <c r="AJ370" s="43"/>
      <c r="AK370" s="43"/>
      <c r="AL370" s="43"/>
      <c r="AM370" s="43"/>
      <c r="AN370" s="43"/>
      <c r="AO370" s="43"/>
      <c r="AP370" s="43"/>
      <c r="AQ370" s="43"/>
      <c r="AR370" s="43"/>
      <c r="AS370" s="43"/>
      <c r="AT370" s="43"/>
      <c r="AU370" s="43"/>
      <c r="AV370" s="43"/>
      <c r="AW370" s="43"/>
      <c r="AX370" s="43"/>
      <c r="AY370" s="34" t="s">
        <v>871</v>
      </c>
      <c r="AZ370" s="34"/>
      <c r="BA370" s="63" t="s">
        <v>291</v>
      </c>
      <c r="BB370" s="64"/>
      <c r="BE370" s="41"/>
      <c r="BI370" s="42">
        <v>1</v>
      </c>
    </row>
    <row r="371" spans="1:61" ht="34.35" customHeight="1">
      <c r="A371" s="118">
        <f>A370+1</f>
        <v>348</v>
      </c>
      <c r="B371" s="56" t="s">
        <v>872</v>
      </c>
      <c r="C371" s="78" t="s">
        <v>46</v>
      </c>
      <c r="D371" s="35">
        <f t="shared" si="35"/>
        <v>0.11</v>
      </c>
      <c r="E371" s="35"/>
      <c r="F371" s="35">
        <f t="shared" si="36"/>
        <v>0.11</v>
      </c>
      <c r="G371" s="43">
        <v>0.01</v>
      </c>
      <c r="H371" s="43"/>
      <c r="I371" s="43"/>
      <c r="J371" s="43">
        <v>0.01</v>
      </c>
      <c r="K371" s="37"/>
      <c r="L371" s="43"/>
      <c r="M371" s="43">
        <v>0.09</v>
      </c>
      <c r="N371" s="43"/>
      <c r="O371" s="43"/>
      <c r="P371" s="43"/>
      <c r="Q371" s="43"/>
      <c r="R371" s="43"/>
      <c r="S371" s="43"/>
      <c r="T371" s="43"/>
      <c r="U371" s="43"/>
      <c r="V371" s="43"/>
      <c r="W371" s="43"/>
      <c r="X371" s="43"/>
      <c r="Y371" s="43"/>
      <c r="Z371" s="43"/>
      <c r="AA371" s="43"/>
      <c r="AB371" s="43"/>
      <c r="AC371" s="43"/>
      <c r="AD371" s="43"/>
      <c r="AE371" s="43"/>
      <c r="AF371" s="43"/>
      <c r="AG371" s="43"/>
      <c r="AH371" s="43"/>
      <c r="AI371" s="43"/>
      <c r="AJ371" s="43"/>
      <c r="AK371" s="43"/>
      <c r="AL371" s="43"/>
      <c r="AM371" s="43"/>
      <c r="AN371" s="43"/>
      <c r="AO371" s="43"/>
      <c r="AP371" s="43"/>
      <c r="AQ371" s="43"/>
      <c r="AR371" s="43"/>
      <c r="AS371" s="43"/>
      <c r="AT371" s="43"/>
      <c r="AU371" s="43"/>
      <c r="AV371" s="43"/>
      <c r="AW371" s="43"/>
      <c r="AX371" s="43"/>
      <c r="AY371" s="34" t="s">
        <v>873</v>
      </c>
      <c r="AZ371" s="34"/>
      <c r="BA371" s="63" t="s">
        <v>291</v>
      </c>
      <c r="BB371" s="64"/>
      <c r="BE371" s="41"/>
      <c r="BI371" s="42">
        <v>1</v>
      </c>
    </row>
    <row r="372" spans="1:61" ht="32.85" customHeight="1">
      <c r="A372" s="118">
        <f>A371+1</f>
        <v>349</v>
      </c>
      <c r="B372" s="56" t="s">
        <v>874</v>
      </c>
      <c r="C372" s="78" t="s">
        <v>46</v>
      </c>
      <c r="D372" s="35">
        <f t="shared" si="35"/>
        <v>0.28000000000000003</v>
      </c>
      <c r="E372" s="35"/>
      <c r="F372" s="35">
        <f t="shared" si="36"/>
        <v>0.28000000000000003</v>
      </c>
      <c r="G372" s="43">
        <v>0.05</v>
      </c>
      <c r="H372" s="43"/>
      <c r="I372" s="43"/>
      <c r="J372" s="43">
        <v>0.06</v>
      </c>
      <c r="K372" s="37"/>
      <c r="L372" s="43"/>
      <c r="M372" s="43">
        <v>0.17</v>
      </c>
      <c r="N372" s="43"/>
      <c r="O372" s="43"/>
      <c r="P372" s="43"/>
      <c r="Q372" s="43"/>
      <c r="R372" s="43"/>
      <c r="S372" s="43"/>
      <c r="T372" s="43"/>
      <c r="U372" s="43"/>
      <c r="V372" s="43"/>
      <c r="W372" s="43"/>
      <c r="X372" s="43"/>
      <c r="Y372" s="43"/>
      <c r="Z372" s="43"/>
      <c r="AA372" s="43"/>
      <c r="AB372" s="43"/>
      <c r="AC372" s="43"/>
      <c r="AD372" s="43"/>
      <c r="AE372" s="43"/>
      <c r="AF372" s="43"/>
      <c r="AG372" s="43"/>
      <c r="AH372" s="43"/>
      <c r="AI372" s="43"/>
      <c r="AJ372" s="43"/>
      <c r="AK372" s="43"/>
      <c r="AL372" s="43"/>
      <c r="AM372" s="43"/>
      <c r="AN372" s="43"/>
      <c r="AO372" s="43"/>
      <c r="AP372" s="43"/>
      <c r="AQ372" s="43"/>
      <c r="AR372" s="43"/>
      <c r="AS372" s="43"/>
      <c r="AT372" s="43"/>
      <c r="AU372" s="43"/>
      <c r="AV372" s="43"/>
      <c r="AW372" s="43"/>
      <c r="AX372" s="43"/>
      <c r="AY372" s="34" t="s">
        <v>875</v>
      </c>
      <c r="AZ372" s="34"/>
      <c r="BA372" s="63" t="s">
        <v>291</v>
      </c>
      <c r="BB372" s="64"/>
      <c r="BE372" s="41"/>
      <c r="BI372" s="42">
        <v>1</v>
      </c>
    </row>
    <row r="373" spans="1:61" ht="78.75">
      <c r="A373" s="118">
        <f>A372+1</f>
        <v>350</v>
      </c>
      <c r="B373" s="56" t="s">
        <v>876</v>
      </c>
      <c r="C373" s="78" t="s">
        <v>46</v>
      </c>
      <c r="D373" s="35">
        <f t="shared" si="35"/>
        <v>4.71</v>
      </c>
      <c r="E373" s="35"/>
      <c r="F373" s="35">
        <f t="shared" si="36"/>
        <v>4.71</v>
      </c>
      <c r="G373" s="43">
        <v>0.34</v>
      </c>
      <c r="H373" s="43"/>
      <c r="I373" s="43">
        <v>0.4</v>
      </c>
      <c r="J373" s="43">
        <v>0.87</v>
      </c>
      <c r="K373" s="37"/>
      <c r="L373" s="43"/>
      <c r="M373" s="43">
        <v>2.68</v>
      </c>
      <c r="N373" s="43"/>
      <c r="O373" s="43"/>
      <c r="P373" s="43"/>
      <c r="Q373" s="43"/>
      <c r="R373" s="43"/>
      <c r="S373" s="43"/>
      <c r="T373" s="43"/>
      <c r="U373" s="43"/>
      <c r="V373" s="43"/>
      <c r="W373" s="43"/>
      <c r="X373" s="43"/>
      <c r="Y373" s="43"/>
      <c r="Z373" s="43"/>
      <c r="AA373" s="43"/>
      <c r="AB373" s="43"/>
      <c r="AC373" s="43"/>
      <c r="AD373" s="43"/>
      <c r="AE373" s="43"/>
      <c r="AF373" s="43"/>
      <c r="AG373" s="43"/>
      <c r="AH373" s="43"/>
      <c r="AI373" s="43"/>
      <c r="AJ373" s="43"/>
      <c r="AK373" s="43"/>
      <c r="AL373" s="43"/>
      <c r="AM373" s="43"/>
      <c r="AN373" s="43"/>
      <c r="AO373" s="43"/>
      <c r="AP373" s="43"/>
      <c r="AQ373" s="43"/>
      <c r="AR373" s="43"/>
      <c r="AS373" s="43"/>
      <c r="AT373" s="43"/>
      <c r="AU373" s="43"/>
      <c r="AV373" s="43"/>
      <c r="AW373" s="43"/>
      <c r="AX373" s="43">
        <v>0.42</v>
      </c>
      <c r="AY373" s="34" t="s">
        <v>877</v>
      </c>
      <c r="AZ373" s="34"/>
      <c r="BA373" s="63" t="s">
        <v>291</v>
      </c>
      <c r="BB373" s="64"/>
      <c r="BE373" s="41"/>
      <c r="BG373" s="15" t="s">
        <v>878</v>
      </c>
      <c r="BI373" s="42">
        <v>1</v>
      </c>
    </row>
    <row r="374" spans="1:61" ht="106.35" customHeight="1">
      <c r="A374" s="118">
        <f>A373+1</f>
        <v>351</v>
      </c>
      <c r="B374" s="56" t="s">
        <v>879</v>
      </c>
      <c r="C374" s="78" t="s">
        <v>46</v>
      </c>
      <c r="D374" s="35">
        <f t="shared" si="35"/>
        <v>0.38</v>
      </c>
      <c r="E374" s="35"/>
      <c r="F374" s="35">
        <f t="shared" si="36"/>
        <v>0.38</v>
      </c>
      <c r="G374" s="43">
        <v>0.06</v>
      </c>
      <c r="H374" s="43"/>
      <c r="I374" s="43">
        <v>0.02</v>
      </c>
      <c r="J374" s="43">
        <v>0.03</v>
      </c>
      <c r="K374" s="37"/>
      <c r="L374" s="43"/>
      <c r="M374" s="43">
        <v>0.25</v>
      </c>
      <c r="N374" s="43"/>
      <c r="O374" s="43"/>
      <c r="P374" s="43"/>
      <c r="Q374" s="43"/>
      <c r="R374" s="43"/>
      <c r="S374" s="43"/>
      <c r="T374" s="43"/>
      <c r="U374" s="43"/>
      <c r="V374" s="43"/>
      <c r="W374" s="43"/>
      <c r="X374" s="43"/>
      <c r="Y374" s="43"/>
      <c r="Z374" s="43"/>
      <c r="AA374" s="43"/>
      <c r="AB374" s="43">
        <v>0.01</v>
      </c>
      <c r="AC374" s="43"/>
      <c r="AD374" s="43">
        <v>0.01</v>
      </c>
      <c r="AE374" s="43"/>
      <c r="AF374" s="43"/>
      <c r="AG374" s="43"/>
      <c r="AH374" s="43"/>
      <c r="AI374" s="43"/>
      <c r="AJ374" s="43"/>
      <c r="AK374" s="43"/>
      <c r="AL374" s="43"/>
      <c r="AM374" s="43"/>
      <c r="AN374" s="43"/>
      <c r="AO374" s="43"/>
      <c r="AP374" s="43"/>
      <c r="AQ374" s="43"/>
      <c r="AR374" s="43"/>
      <c r="AS374" s="43"/>
      <c r="AT374" s="43"/>
      <c r="AU374" s="43"/>
      <c r="AV374" s="43"/>
      <c r="AW374" s="43"/>
      <c r="AX374" s="43"/>
      <c r="AY374" s="34" t="s">
        <v>880</v>
      </c>
      <c r="AZ374" s="34"/>
      <c r="BA374" s="63" t="s">
        <v>291</v>
      </c>
      <c r="BB374" s="64"/>
      <c r="BE374" s="41"/>
      <c r="BI374" s="42">
        <v>1</v>
      </c>
    </row>
    <row r="375" spans="1:61" ht="78.75">
      <c r="A375" s="118">
        <f t="shared" ref="A375:A382" si="40">A374+1</f>
        <v>352</v>
      </c>
      <c r="B375" s="56" t="s">
        <v>881</v>
      </c>
      <c r="C375" s="78" t="s">
        <v>46</v>
      </c>
      <c r="D375" s="35">
        <f t="shared" si="35"/>
        <v>0.09</v>
      </c>
      <c r="E375" s="35"/>
      <c r="F375" s="35">
        <f t="shared" si="36"/>
        <v>0.09</v>
      </c>
      <c r="G375" s="43">
        <v>0.04</v>
      </c>
      <c r="H375" s="43"/>
      <c r="I375" s="43">
        <v>0.01</v>
      </c>
      <c r="J375" s="43">
        <v>0.01</v>
      </c>
      <c r="K375" s="37"/>
      <c r="L375" s="43"/>
      <c r="M375" s="43">
        <v>0.02</v>
      </c>
      <c r="N375" s="43"/>
      <c r="O375" s="43"/>
      <c r="P375" s="43"/>
      <c r="Q375" s="43"/>
      <c r="R375" s="43"/>
      <c r="S375" s="43"/>
      <c r="T375" s="43"/>
      <c r="U375" s="43"/>
      <c r="V375" s="43"/>
      <c r="W375" s="43"/>
      <c r="X375" s="43"/>
      <c r="Y375" s="43"/>
      <c r="Z375" s="43"/>
      <c r="AA375" s="43"/>
      <c r="AB375" s="43">
        <v>0.01</v>
      </c>
      <c r="AC375" s="43"/>
      <c r="AD375" s="43"/>
      <c r="AE375" s="43"/>
      <c r="AF375" s="43"/>
      <c r="AG375" s="43"/>
      <c r="AH375" s="43"/>
      <c r="AI375" s="43"/>
      <c r="AJ375" s="43"/>
      <c r="AK375" s="43"/>
      <c r="AL375" s="43"/>
      <c r="AM375" s="43"/>
      <c r="AN375" s="43"/>
      <c r="AO375" s="43"/>
      <c r="AP375" s="43"/>
      <c r="AQ375" s="43"/>
      <c r="AR375" s="43"/>
      <c r="AS375" s="43"/>
      <c r="AT375" s="43"/>
      <c r="AU375" s="43"/>
      <c r="AV375" s="43"/>
      <c r="AW375" s="43"/>
      <c r="AX375" s="43"/>
      <c r="AY375" s="34" t="s">
        <v>882</v>
      </c>
      <c r="AZ375" s="34"/>
      <c r="BA375" s="63" t="s">
        <v>291</v>
      </c>
      <c r="BB375" s="64"/>
      <c r="BE375" s="41"/>
      <c r="BI375" s="42">
        <v>1</v>
      </c>
    </row>
    <row r="376" spans="1:61" ht="20.100000000000001" customHeight="1">
      <c r="A376" s="118">
        <f t="shared" si="40"/>
        <v>353</v>
      </c>
      <c r="B376" s="56" t="s">
        <v>883</v>
      </c>
      <c r="C376" s="78" t="s">
        <v>46</v>
      </c>
      <c r="D376" s="35">
        <f t="shared" si="35"/>
        <v>0.01</v>
      </c>
      <c r="E376" s="35"/>
      <c r="F376" s="35">
        <f t="shared" si="36"/>
        <v>0.01</v>
      </c>
      <c r="G376" s="43">
        <v>0.01</v>
      </c>
      <c r="H376" s="43"/>
      <c r="I376" s="43"/>
      <c r="J376" s="43"/>
      <c r="K376" s="37"/>
      <c r="L376" s="43"/>
      <c r="M376" s="43"/>
      <c r="N376" s="43"/>
      <c r="O376" s="43"/>
      <c r="P376" s="43"/>
      <c r="Q376" s="43"/>
      <c r="R376" s="43"/>
      <c r="S376" s="43"/>
      <c r="T376" s="43"/>
      <c r="U376" s="43"/>
      <c r="V376" s="43"/>
      <c r="W376" s="43"/>
      <c r="X376" s="43"/>
      <c r="Y376" s="43"/>
      <c r="Z376" s="43"/>
      <c r="AA376" s="43"/>
      <c r="AB376" s="43"/>
      <c r="AC376" s="43"/>
      <c r="AD376" s="43"/>
      <c r="AE376" s="43"/>
      <c r="AF376" s="43"/>
      <c r="AG376" s="43"/>
      <c r="AH376" s="43"/>
      <c r="AI376" s="43"/>
      <c r="AJ376" s="43"/>
      <c r="AK376" s="43"/>
      <c r="AL376" s="43"/>
      <c r="AM376" s="43"/>
      <c r="AN376" s="43"/>
      <c r="AO376" s="43"/>
      <c r="AP376" s="43"/>
      <c r="AQ376" s="43"/>
      <c r="AR376" s="43"/>
      <c r="AS376" s="43"/>
      <c r="AT376" s="43"/>
      <c r="AU376" s="43"/>
      <c r="AV376" s="43"/>
      <c r="AW376" s="43"/>
      <c r="AX376" s="43"/>
      <c r="AY376" s="34" t="s">
        <v>234</v>
      </c>
      <c r="AZ376" s="34"/>
      <c r="BA376" s="63" t="s">
        <v>291</v>
      </c>
      <c r="BB376" s="64"/>
      <c r="BE376" s="41"/>
      <c r="BI376" s="42">
        <v>1</v>
      </c>
    </row>
    <row r="377" spans="1:61" ht="47.25">
      <c r="A377" s="118">
        <f t="shared" si="40"/>
        <v>354</v>
      </c>
      <c r="B377" s="56" t="s">
        <v>884</v>
      </c>
      <c r="C377" s="78" t="s">
        <v>46</v>
      </c>
      <c r="D377" s="35">
        <f t="shared" si="35"/>
        <v>0.24</v>
      </c>
      <c r="E377" s="35"/>
      <c r="F377" s="35">
        <f t="shared" si="36"/>
        <v>0.24</v>
      </c>
      <c r="G377" s="43">
        <v>7.0000000000000007E-2</v>
      </c>
      <c r="H377" s="43"/>
      <c r="I377" s="43">
        <v>0.04</v>
      </c>
      <c r="J377" s="43">
        <v>0.03</v>
      </c>
      <c r="K377" s="37"/>
      <c r="L377" s="43"/>
      <c r="M377" s="43">
        <v>0.05</v>
      </c>
      <c r="N377" s="43"/>
      <c r="O377" s="43"/>
      <c r="P377" s="43"/>
      <c r="Q377" s="43"/>
      <c r="R377" s="43"/>
      <c r="S377" s="43"/>
      <c r="T377" s="43"/>
      <c r="U377" s="43"/>
      <c r="V377" s="43"/>
      <c r="W377" s="43"/>
      <c r="X377" s="43"/>
      <c r="Y377" s="43"/>
      <c r="Z377" s="43">
        <v>0.05</v>
      </c>
      <c r="AA377" s="43"/>
      <c r="AB377" s="43"/>
      <c r="AC377" s="43"/>
      <c r="AD377" s="43"/>
      <c r="AE377" s="43"/>
      <c r="AF377" s="43"/>
      <c r="AG377" s="43"/>
      <c r="AH377" s="43"/>
      <c r="AI377" s="43"/>
      <c r="AJ377" s="43"/>
      <c r="AK377" s="43"/>
      <c r="AL377" s="43"/>
      <c r="AM377" s="43"/>
      <c r="AN377" s="43"/>
      <c r="AO377" s="43"/>
      <c r="AP377" s="43"/>
      <c r="AQ377" s="43"/>
      <c r="AR377" s="43"/>
      <c r="AS377" s="43"/>
      <c r="AT377" s="43"/>
      <c r="AU377" s="43"/>
      <c r="AV377" s="43"/>
      <c r="AW377" s="43"/>
      <c r="AX377" s="43"/>
      <c r="AY377" s="34" t="s">
        <v>885</v>
      </c>
      <c r="AZ377" s="34"/>
      <c r="BA377" s="63" t="s">
        <v>291</v>
      </c>
      <c r="BB377" s="64"/>
      <c r="BE377" s="41"/>
      <c r="BI377" s="42">
        <v>1</v>
      </c>
    </row>
    <row r="378" spans="1:61" ht="55.35" customHeight="1">
      <c r="A378" s="118">
        <f t="shared" si="40"/>
        <v>355</v>
      </c>
      <c r="B378" s="56" t="s">
        <v>886</v>
      </c>
      <c r="C378" s="78" t="s">
        <v>46</v>
      </c>
      <c r="D378" s="35">
        <f t="shared" si="35"/>
        <v>0.16999999999999998</v>
      </c>
      <c r="E378" s="35"/>
      <c r="F378" s="35">
        <f t="shared" si="36"/>
        <v>0.16999999999999998</v>
      </c>
      <c r="G378" s="43">
        <v>0.06</v>
      </c>
      <c r="H378" s="43"/>
      <c r="I378" s="43">
        <v>0.01</v>
      </c>
      <c r="J378" s="43">
        <v>0.03</v>
      </c>
      <c r="K378" s="37"/>
      <c r="L378" s="43"/>
      <c r="M378" s="43">
        <v>0.02</v>
      </c>
      <c r="N378" s="43"/>
      <c r="O378" s="43"/>
      <c r="P378" s="43"/>
      <c r="Q378" s="43"/>
      <c r="R378" s="43"/>
      <c r="S378" s="43"/>
      <c r="T378" s="43"/>
      <c r="U378" s="43"/>
      <c r="V378" s="43"/>
      <c r="W378" s="43"/>
      <c r="X378" s="43"/>
      <c r="Y378" s="43"/>
      <c r="Z378" s="43">
        <v>0.05</v>
      </c>
      <c r="AA378" s="43"/>
      <c r="AB378" s="43"/>
      <c r="AC378" s="43"/>
      <c r="AD378" s="43"/>
      <c r="AE378" s="43"/>
      <c r="AF378" s="43"/>
      <c r="AG378" s="43"/>
      <c r="AH378" s="43"/>
      <c r="AI378" s="43"/>
      <c r="AJ378" s="43"/>
      <c r="AK378" s="43"/>
      <c r="AL378" s="43"/>
      <c r="AM378" s="43"/>
      <c r="AN378" s="43"/>
      <c r="AO378" s="43"/>
      <c r="AP378" s="43"/>
      <c r="AQ378" s="43"/>
      <c r="AR378" s="43"/>
      <c r="AS378" s="43"/>
      <c r="AT378" s="43"/>
      <c r="AU378" s="43"/>
      <c r="AV378" s="43"/>
      <c r="AW378" s="43"/>
      <c r="AX378" s="43"/>
      <c r="AY378" s="34" t="s">
        <v>887</v>
      </c>
      <c r="AZ378" s="34"/>
      <c r="BA378" s="63" t="s">
        <v>291</v>
      </c>
      <c r="BB378" s="64"/>
      <c r="BE378" s="41"/>
      <c r="BI378" s="42">
        <v>1</v>
      </c>
    </row>
    <row r="379" spans="1:61" ht="47.25">
      <c r="A379" s="118">
        <f t="shared" si="40"/>
        <v>356</v>
      </c>
      <c r="B379" s="56" t="s">
        <v>888</v>
      </c>
      <c r="C379" s="78" t="s">
        <v>46</v>
      </c>
      <c r="D379" s="35">
        <f t="shared" si="35"/>
        <v>0.09</v>
      </c>
      <c r="E379" s="35"/>
      <c r="F379" s="35">
        <f t="shared" si="36"/>
        <v>0.09</v>
      </c>
      <c r="G379" s="43">
        <v>0.04</v>
      </c>
      <c r="H379" s="43"/>
      <c r="I379" s="43">
        <v>0.05</v>
      </c>
      <c r="J379" s="43"/>
      <c r="K379" s="37"/>
      <c r="L379" s="43"/>
      <c r="M379" s="43"/>
      <c r="N379" s="43"/>
      <c r="O379" s="43"/>
      <c r="P379" s="43"/>
      <c r="Q379" s="43"/>
      <c r="R379" s="43"/>
      <c r="S379" s="43"/>
      <c r="T379" s="43"/>
      <c r="U379" s="43"/>
      <c r="V379" s="43"/>
      <c r="W379" s="43"/>
      <c r="X379" s="43"/>
      <c r="Y379" s="43"/>
      <c r="Z379" s="43"/>
      <c r="AA379" s="43"/>
      <c r="AB379" s="43"/>
      <c r="AC379" s="43"/>
      <c r="AD379" s="43"/>
      <c r="AE379" s="43"/>
      <c r="AF379" s="43"/>
      <c r="AG379" s="43"/>
      <c r="AH379" s="43"/>
      <c r="AI379" s="43"/>
      <c r="AJ379" s="43"/>
      <c r="AK379" s="43"/>
      <c r="AL379" s="43"/>
      <c r="AM379" s="43"/>
      <c r="AN379" s="43"/>
      <c r="AO379" s="43"/>
      <c r="AP379" s="43"/>
      <c r="AQ379" s="43"/>
      <c r="AR379" s="43"/>
      <c r="AS379" s="43"/>
      <c r="AT379" s="43"/>
      <c r="AU379" s="43"/>
      <c r="AV379" s="43"/>
      <c r="AW379" s="43"/>
      <c r="AX379" s="43"/>
      <c r="AY379" s="34" t="s">
        <v>229</v>
      </c>
      <c r="AZ379" s="34"/>
      <c r="BA379" s="63" t="s">
        <v>291</v>
      </c>
      <c r="BB379" s="64"/>
      <c r="BE379" s="41"/>
      <c r="BI379" s="42">
        <v>1</v>
      </c>
    </row>
    <row r="380" spans="1:61" ht="33" customHeight="1">
      <c r="A380" s="118">
        <f t="shared" si="40"/>
        <v>357</v>
      </c>
      <c r="B380" s="56" t="s">
        <v>889</v>
      </c>
      <c r="C380" s="78" t="s">
        <v>46</v>
      </c>
      <c r="D380" s="35">
        <f t="shared" si="35"/>
        <v>0.04</v>
      </c>
      <c r="E380" s="35"/>
      <c r="F380" s="35">
        <f t="shared" si="36"/>
        <v>0.04</v>
      </c>
      <c r="G380" s="43">
        <v>0.02</v>
      </c>
      <c r="H380" s="43"/>
      <c r="I380" s="43">
        <v>0.01</v>
      </c>
      <c r="J380" s="43">
        <v>0.01</v>
      </c>
      <c r="K380" s="37"/>
      <c r="L380" s="43"/>
      <c r="M380" s="43"/>
      <c r="N380" s="43"/>
      <c r="O380" s="43"/>
      <c r="P380" s="43"/>
      <c r="Q380" s="43"/>
      <c r="R380" s="43"/>
      <c r="S380" s="43"/>
      <c r="T380" s="43"/>
      <c r="U380" s="43"/>
      <c r="V380" s="43"/>
      <c r="W380" s="43"/>
      <c r="X380" s="43"/>
      <c r="Y380" s="43"/>
      <c r="Z380" s="43"/>
      <c r="AA380" s="43"/>
      <c r="AB380" s="43"/>
      <c r="AC380" s="43"/>
      <c r="AD380" s="43"/>
      <c r="AE380" s="43"/>
      <c r="AF380" s="43"/>
      <c r="AG380" s="43"/>
      <c r="AH380" s="43"/>
      <c r="AI380" s="43"/>
      <c r="AJ380" s="43"/>
      <c r="AK380" s="43"/>
      <c r="AL380" s="43"/>
      <c r="AM380" s="43"/>
      <c r="AN380" s="43"/>
      <c r="AO380" s="43"/>
      <c r="AP380" s="43"/>
      <c r="AQ380" s="43"/>
      <c r="AR380" s="43"/>
      <c r="AS380" s="43"/>
      <c r="AT380" s="43"/>
      <c r="AU380" s="43"/>
      <c r="AV380" s="43"/>
      <c r="AW380" s="43"/>
      <c r="AX380" s="43"/>
      <c r="AY380" s="34" t="s">
        <v>235</v>
      </c>
      <c r="AZ380" s="34"/>
      <c r="BA380" s="63" t="s">
        <v>291</v>
      </c>
      <c r="BB380" s="64"/>
      <c r="BE380" s="41"/>
      <c r="BI380" s="42">
        <v>1</v>
      </c>
    </row>
    <row r="381" spans="1:61" ht="20.100000000000001" customHeight="1">
      <c r="A381" s="118">
        <f t="shared" si="40"/>
        <v>358</v>
      </c>
      <c r="B381" s="56" t="s">
        <v>890</v>
      </c>
      <c r="C381" s="78" t="s">
        <v>46</v>
      </c>
      <c r="D381" s="35">
        <f t="shared" si="35"/>
        <v>0.1</v>
      </c>
      <c r="E381" s="35"/>
      <c r="F381" s="35">
        <f t="shared" si="36"/>
        <v>0.1</v>
      </c>
      <c r="G381" s="43">
        <v>0.1</v>
      </c>
      <c r="H381" s="43"/>
      <c r="I381" s="43"/>
      <c r="J381" s="43"/>
      <c r="K381" s="37"/>
      <c r="L381" s="43"/>
      <c r="M381" s="43"/>
      <c r="N381" s="43"/>
      <c r="O381" s="43"/>
      <c r="P381" s="43"/>
      <c r="Q381" s="43"/>
      <c r="R381" s="43"/>
      <c r="S381" s="43"/>
      <c r="T381" s="43"/>
      <c r="U381" s="43"/>
      <c r="V381" s="43"/>
      <c r="W381" s="43"/>
      <c r="X381" s="43"/>
      <c r="Y381" s="43"/>
      <c r="Z381" s="43"/>
      <c r="AA381" s="43"/>
      <c r="AB381" s="43"/>
      <c r="AC381" s="43"/>
      <c r="AD381" s="43"/>
      <c r="AE381" s="43"/>
      <c r="AF381" s="43"/>
      <c r="AG381" s="43"/>
      <c r="AH381" s="43"/>
      <c r="AI381" s="43"/>
      <c r="AJ381" s="43"/>
      <c r="AK381" s="43"/>
      <c r="AL381" s="43"/>
      <c r="AM381" s="43"/>
      <c r="AN381" s="43"/>
      <c r="AO381" s="43"/>
      <c r="AP381" s="43"/>
      <c r="AQ381" s="43"/>
      <c r="AR381" s="43"/>
      <c r="AS381" s="43"/>
      <c r="AT381" s="43"/>
      <c r="AU381" s="43"/>
      <c r="AV381" s="43"/>
      <c r="AW381" s="43"/>
      <c r="AX381" s="43"/>
      <c r="AY381" s="34" t="s">
        <v>237</v>
      </c>
      <c r="AZ381" s="34"/>
      <c r="BA381" s="63" t="s">
        <v>291</v>
      </c>
      <c r="BB381" s="64"/>
      <c r="BC381" s="40"/>
      <c r="BD381" s="40"/>
      <c r="BE381" s="40"/>
      <c r="BI381" s="42">
        <v>1</v>
      </c>
    </row>
    <row r="382" spans="1:61" ht="20.100000000000001" customHeight="1">
      <c r="A382" s="118">
        <f t="shared" si="40"/>
        <v>359</v>
      </c>
      <c r="B382" s="56" t="s">
        <v>891</v>
      </c>
      <c r="C382" s="78" t="s">
        <v>46</v>
      </c>
      <c r="D382" s="35">
        <f t="shared" si="35"/>
        <v>0.5</v>
      </c>
      <c r="E382" s="35"/>
      <c r="F382" s="35">
        <f t="shared" si="36"/>
        <v>0.5</v>
      </c>
      <c r="G382" s="43"/>
      <c r="H382" s="43"/>
      <c r="I382" s="43"/>
      <c r="J382" s="43"/>
      <c r="K382" s="43"/>
      <c r="L382" s="43"/>
      <c r="M382" s="43">
        <v>0.5</v>
      </c>
      <c r="N382" s="43"/>
      <c r="O382" s="43"/>
      <c r="P382" s="43"/>
      <c r="Q382" s="43"/>
      <c r="R382" s="43"/>
      <c r="S382" s="43"/>
      <c r="T382" s="43"/>
      <c r="U382" s="43"/>
      <c r="V382" s="43"/>
      <c r="W382" s="43"/>
      <c r="X382" s="43"/>
      <c r="Y382" s="43"/>
      <c r="Z382" s="43"/>
      <c r="AA382" s="43"/>
      <c r="AB382" s="43"/>
      <c r="AC382" s="43"/>
      <c r="AD382" s="43"/>
      <c r="AE382" s="43"/>
      <c r="AF382" s="43"/>
      <c r="AG382" s="43"/>
      <c r="AH382" s="43"/>
      <c r="AI382" s="43"/>
      <c r="AJ382" s="43"/>
      <c r="AK382" s="43"/>
      <c r="AL382" s="43"/>
      <c r="AM382" s="43"/>
      <c r="AN382" s="43"/>
      <c r="AO382" s="43"/>
      <c r="AP382" s="43"/>
      <c r="AQ382" s="43"/>
      <c r="AR382" s="43"/>
      <c r="AS382" s="43"/>
      <c r="AT382" s="43"/>
      <c r="AU382" s="43"/>
      <c r="AV382" s="43"/>
      <c r="AW382" s="43"/>
      <c r="AX382" s="43"/>
      <c r="AY382" s="34" t="s">
        <v>241</v>
      </c>
      <c r="AZ382" s="34" t="s">
        <v>387</v>
      </c>
      <c r="BA382" s="47" t="s">
        <v>298</v>
      </c>
      <c r="BB382" s="48"/>
      <c r="BG382" s="15" t="s">
        <v>892</v>
      </c>
      <c r="BI382" s="42">
        <v>1</v>
      </c>
    </row>
    <row r="383" spans="1:61" ht="20.100000000000001" customHeight="1">
      <c r="A383" s="118">
        <f>A382+1</f>
        <v>360</v>
      </c>
      <c r="B383" s="56" t="s">
        <v>893</v>
      </c>
      <c r="C383" s="78" t="s">
        <v>46</v>
      </c>
      <c r="D383" s="35">
        <f>E383+F383</f>
        <v>0.5</v>
      </c>
      <c r="E383" s="35"/>
      <c r="F383" s="35">
        <f>SUM(G383:AX383)</f>
        <v>0.5</v>
      </c>
      <c r="G383" s="43"/>
      <c r="H383" s="43"/>
      <c r="I383" s="43"/>
      <c r="J383" s="43"/>
      <c r="K383" s="43"/>
      <c r="L383" s="43"/>
      <c r="M383" s="43">
        <v>0.5</v>
      </c>
      <c r="N383" s="43"/>
      <c r="O383" s="43"/>
      <c r="P383" s="43"/>
      <c r="Q383" s="43"/>
      <c r="R383" s="43"/>
      <c r="S383" s="43"/>
      <c r="T383" s="43"/>
      <c r="U383" s="43"/>
      <c r="V383" s="43"/>
      <c r="W383" s="43"/>
      <c r="X383" s="43"/>
      <c r="Y383" s="43"/>
      <c r="Z383" s="43"/>
      <c r="AA383" s="43"/>
      <c r="AB383" s="43"/>
      <c r="AC383" s="43"/>
      <c r="AD383" s="43"/>
      <c r="AE383" s="43"/>
      <c r="AF383" s="43"/>
      <c r="AG383" s="43"/>
      <c r="AH383" s="43"/>
      <c r="AI383" s="43"/>
      <c r="AJ383" s="43"/>
      <c r="AK383" s="43"/>
      <c r="AL383" s="43"/>
      <c r="AM383" s="43"/>
      <c r="AN383" s="43"/>
      <c r="AO383" s="43"/>
      <c r="AP383" s="43"/>
      <c r="AQ383" s="43"/>
      <c r="AR383" s="43"/>
      <c r="AS383" s="43"/>
      <c r="AT383" s="43"/>
      <c r="AU383" s="43"/>
      <c r="AV383" s="43"/>
      <c r="AW383" s="43"/>
      <c r="AX383" s="43"/>
      <c r="AY383" s="34" t="s">
        <v>233</v>
      </c>
      <c r="AZ383" s="34"/>
      <c r="BA383" s="47" t="s">
        <v>298</v>
      </c>
      <c r="BB383" s="48"/>
      <c r="BG383" s="58" t="s">
        <v>311</v>
      </c>
      <c r="BI383" s="42"/>
    </row>
    <row r="384" spans="1:61" ht="20.100000000000001" customHeight="1">
      <c r="A384" s="118">
        <f>A383+1</f>
        <v>361</v>
      </c>
      <c r="B384" s="56" t="s">
        <v>894</v>
      </c>
      <c r="C384" s="78" t="s">
        <v>46</v>
      </c>
      <c r="D384" s="35">
        <f>E384+F384</f>
        <v>0.22999999999999998</v>
      </c>
      <c r="E384" s="35"/>
      <c r="F384" s="35">
        <f>SUM(G384:AX384)</f>
        <v>0.22999999999999998</v>
      </c>
      <c r="G384" s="43">
        <v>0.08</v>
      </c>
      <c r="H384" s="43"/>
      <c r="I384" s="43">
        <v>0.08</v>
      </c>
      <c r="J384" s="43">
        <v>0.02</v>
      </c>
      <c r="K384" s="37"/>
      <c r="L384" s="43"/>
      <c r="M384" s="43">
        <v>0.05</v>
      </c>
      <c r="N384" s="43"/>
      <c r="O384" s="43"/>
      <c r="P384" s="43"/>
      <c r="Q384" s="43"/>
      <c r="R384" s="43"/>
      <c r="S384" s="43"/>
      <c r="T384" s="43"/>
      <c r="U384" s="43"/>
      <c r="V384" s="43"/>
      <c r="W384" s="43"/>
      <c r="X384" s="43"/>
      <c r="Y384" s="43"/>
      <c r="Z384" s="43"/>
      <c r="AA384" s="43"/>
      <c r="AB384" s="43"/>
      <c r="AC384" s="43"/>
      <c r="AD384" s="43"/>
      <c r="AE384" s="43"/>
      <c r="AF384" s="43"/>
      <c r="AG384" s="43"/>
      <c r="AH384" s="43"/>
      <c r="AI384" s="43"/>
      <c r="AJ384" s="43"/>
      <c r="AK384" s="43"/>
      <c r="AL384" s="43"/>
      <c r="AM384" s="43"/>
      <c r="AN384" s="43"/>
      <c r="AO384" s="43"/>
      <c r="AP384" s="43"/>
      <c r="AQ384" s="43"/>
      <c r="AR384" s="43"/>
      <c r="AS384" s="43"/>
      <c r="AT384" s="43"/>
      <c r="AU384" s="43"/>
      <c r="AV384" s="43"/>
      <c r="AW384" s="43"/>
      <c r="AX384" s="43"/>
      <c r="AY384" s="34" t="s">
        <v>895</v>
      </c>
      <c r="AZ384" s="34"/>
      <c r="BA384" s="47" t="s">
        <v>298</v>
      </c>
      <c r="BB384" s="48"/>
      <c r="BG384" s="58" t="s">
        <v>311</v>
      </c>
      <c r="BI384" s="42"/>
    </row>
    <row r="385" spans="1:63" ht="20.100000000000001" customHeight="1">
      <c r="A385" s="118">
        <f>A384+1</f>
        <v>362</v>
      </c>
      <c r="B385" s="56" t="s">
        <v>896</v>
      </c>
      <c r="C385" s="78" t="s">
        <v>46</v>
      </c>
      <c r="D385" s="35">
        <f>E385+F385</f>
        <v>0.23</v>
      </c>
      <c r="E385" s="35"/>
      <c r="F385" s="35">
        <f>SUM(G385:AX385)</f>
        <v>0.23</v>
      </c>
      <c r="G385" s="43">
        <v>0.05</v>
      </c>
      <c r="H385" s="43"/>
      <c r="I385" s="43">
        <v>0.02</v>
      </c>
      <c r="J385" s="43">
        <v>0.06</v>
      </c>
      <c r="K385" s="37"/>
      <c r="L385" s="43"/>
      <c r="M385" s="43">
        <v>0.1</v>
      </c>
      <c r="N385" s="43"/>
      <c r="O385" s="43"/>
      <c r="P385" s="43"/>
      <c r="Q385" s="43"/>
      <c r="R385" s="43"/>
      <c r="S385" s="43"/>
      <c r="T385" s="43"/>
      <c r="U385" s="43"/>
      <c r="V385" s="43"/>
      <c r="W385" s="43"/>
      <c r="X385" s="43"/>
      <c r="Y385" s="43"/>
      <c r="Z385" s="43"/>
      <c r="AA385" s="43"/>
      <c r="AB385" s="43"/>
      <c r="AC385" s="43"/>
      <c r="AD385" s="43"/>
      <c r="AE385" s="43"/>
      <c r="AF385" s="43"/>
      <c r="AG385" s="43"/>
      <c r="AH385" s="43"/>
      <c r="AI385" s="43"/>
      <c r="AJ385" s="43"/>
      <c r="AK385" s="43"/>
      <c r="AL385" s="43"/>
      <c r="AM385" s="43"/>
      <c r="AN385" s="43"/>
      <c r="AO385" s="43"/>
      <c r="AP385" s="43"/>
      <c r="AQ385" s="43"/>
      <c r="AR385" s="43"/>
      <c r="AS385" s="43"/>
      <c r="AT385" s="43"/>
      <c r="AU385" s="43"/>
      <c r="AV385" s="43"/>
      <c r="AW385" s="43"/>
      <c r="AX385" s="43"/>
      <c r="AY385" s="34" t="s">
        <v>895</v>
      </c>
      <c r="AZ385" s="34"/>
      <c r="BA385" s="47" t="s">
        <v>298</v>
      </c>
      <c r="BB385" s="48"/>
      <c r="BG385" s="58" t="s">
        <v>311</v>
      </c>
      <c r="BI385" s="42"/>
    </row>
    <row r="386" spans="1:63" ht="33" customHeight="1">
      <c r="A386" s="118">
        <f>A385+1</f>
        <v>363</v>
      </c>
      <c r="B386" s="128" t="s">
        <v>897</v>
      </c>
      <c r="C386" s="78" t="s">
        <v>46</v>
      </c>
      <c r="D386" s="35">
        <f>E386+F386</f>
        <v>0.1</v>
      </c>
      <c r="E386" s="35"/>
      <c r="F386" s="35">
        <f>SUM(G386:AX386)</f>
        <v>0.1</v>
      </c>
      <c r="G386" s="43">
        <v>0.03</v>
      </c>
      <c r="H386" s="43"/>
      <c r="I386" s="43">
        <v>0.02</v>
      </c>
      <c r="J386" s="43">
        <v>0.03</v>
      </c>
      <c r="K386" s="37"/>
      <c r="L386" s="43"/>
      <c r="M386" s="43">
        <v>0.02</v>
      </c>
      <c r="N386" s="43"/>
      <c r="O386" s="43"/>
      <c r="P386" s="43"/>
      <c r="Q386" s="43"/>
      <c r="R386" s="43"/>
      <c r="S386" s="43"/>
      <c r="T386" s="43"/>
      <c r="U386" s="43"/>
      <c r="V386" s="43"/>
      <c r="W386" s="43"/>
      <c r="X386" s="43"/>
      <c r="Y386" s="43"/>
      <c r="Z386" s="43"/>
      <c r="AA386" s="43"/>
      <c r="AB386" s="43"/>
      <c r="AC386" s="43"/>
      <c r="AD386" s="43"/>
      <c r="AE386" s="43"/>
      <c r="AF386" s="43"/>
      <c r="AG386" s="43"/>
      <c r="AH386" s="43"/>
      <c r="AI386" s="43"/>
      <c r="AJ386" s="43"/>
      <c r="AK386" s="43"/>
      <c r="AL386" s="43"/>
      <c r="AM386" s="43"/>
      <c r="AN386" s="43"/>
      <c r="AO386" s="43"/>
      <c r="AP386" s="43"/>
      <c r="AQ386" s="43"/>
      <c r="AR386" s="43"/>
      <c r="AS386" s="43"/>
      <c r="AT386" s="43"/>
      <c r="AU386" s="43"/>
      <c r="AV386" s="43"/>
      <c r="AW386" s="43"/>
      <c r="AX386" s="43"/>
      <c r="AY386" s="34" t="s">
        <v>230</v>
      </c>
      <c r="AZ386" s="34"/>
      <c r="BA386" s="47" t="s">
        <v>298</v>
      </c>
      <c r="BB386" s="48"/>
      <c r="BG386" s="58" t="s">
        <v>311</v>
      </c>
      <c r="BI386" s="42"/>
    </row>
    <row r="387" spans="1:63" ht="33.6" customHeight="1">
      <c r="A387" s="118">
        <f>A386+1</f>
        <v>364</v>
      </c>
      <c r="B387" s="129" t="s">
        <v>898</v>
      </c>
      <c r="C387" s="78" t="s">
        <v>46</v>
      </c>
      <c r="D387" s="35">
        <f t="shared" si="35"/>
        <v>2.92</v>
      </c>
      <c r="E387" s="108"/>
      <c r="F387" s="35">
        <f t="shared" si="36"/>
        <v>2.92</v>
      </c>
      <c r="G387" s="109">
        <v>1.2</v>
      </c>
      <c r="H387" s="109">
        <v>0.05</v>
      </c>
      <c r="I387" s="109">
        <v>0.46</v>
      </c>
      <c r="J387" s="109">
        <v>0.61</v>
      </c>
      <c r="K387" s="109"/>
      <c r="L387" s="109"/>
      <c r="M387" s="109">
        <v>0.45</v>
      </c>
      <c r="N387" s="109"/>
      <c r="O387" s="109"/>
      <c r="P387" s="109">
        <v>0.02</v>
      </c>
      <c r="Q387" s="109"/>
      <c r="R387" s="109"/>
      <c r="S387" s="109"/>
      <c r="T387" s="109"/>
      <c r="U387" s="109"/>
      <c r="V387" s="109"/>
      <c r="W387" s="109"/>
      <c r="X387" s="109"/>
      <c r="Y387" s="109"/>
      <c r="Z387" s="109">
        <v>0.08</v>
      </c>
      <c r="AA387" s="109"/>
      <c r="AB387" s="109"/>
      <c r="AC387" s="109"/>
      <c r="AD387" s="109"/>
      <c r="AE387" s="109"/>
      <c r="AF387" s="109"/>
      <c r="AG387" s="109"/>
      <c r="AH387" s="109"/>
      <c r="AI387" s="109"/>
      <c r="AJ387" s="109"/>
      <c r="AK387" s="109"/>
      <c r="AL387" s="109"/>
      <c r="AM387" s="109"/>
      <c r="AN387" s="109"/>
      <c r="AO387" s="109"/>
      <c r="AP387" s="109">
        <v>0.03</v>
      </c>
      <c r="AQ387" s="109"/>
      <c r="AR387" s="109"/>
      <c r="AS387" s="109"/>
      <c r="AT387" s="109"/>
      <c r="AU387" s="109"/>
      <c r="AV387" s="109"/>
      <c r="AW387" s="109"/>
      <c r="AX387" s="109">
        <v>0.02</v>
      </c>
      <c r="AY387" s="34" t="s">
        <v>860</v>
      </c>
      <c r="AZ387" s="34"/>
      <c r="BA387" s="63" t="s">
        <v>291</v>
      </c>
      <c r="BB387" s="64"/>
      <c r="BD387" s="15" t="s">
        <v>12</v>
      </c>
      <c r="BE387" s="41"/>
      <c r="BI387" s="42">
        <v>1</v>
      </c>
    </row>
    <row r="388" spans="1:63" s="24" customFormat="1" ht="22.35" customHeight="1">
      <c r="A388" s="130" t="s">
        <v>899</v>
      </c>
      <c r="B388" s="25" t="s">
        <v>135</v>
      </c>
      <c r="C388" s="26"/>
      <c r="D388" s="27">
        <f t="shared" si="35"/>
        <v>0.13</v>
      </c>
      <c r="E388" s="83">
        <f>SUM(E389:E391)</f>
        <v>0</v>
      </c>
      <c r="F388" s="27">
        <f t="shared" si="36"/>
        <v>0.13</v>
      </c>
      <c r="G388" s="28">
        <f t="shared" ref="G388:AW388" si="41">SUM(G389:G391)</f>
        <v>0.13</v>
      </c>
      <c r="H388" s="28">
        <f t="shared" si="41"/>
        <v>0</v>
      </c>
      <c r="I388" s="28">
        <f t="shared" si="41"/>
        <v>0</v>
      </c>
      <c r="J388" s="28">
        <f t="shared" si="41"/>
        <v>0</v>
      </c>
      <c r="K388" s="28">
        <f t="shared" si="41"/>
        <v>0</v>
      </c>
      <c r="L388" s="28">
        <f t="shared" si="41"/>
        <v>0</v>
      </c>
      <c r="M388" s="28">
        <f t="shared" si="41"/>
        <v>0</v>
      </c>
      <c r="N388" s="28">
        <f t="shared" si="41"/>
        <v>0</v>
      </c>
      <c r="O388" s="28">
        <f t="shared" si="41"/>
        <v>0</v>
      </c>
      <c r="P388" s="28">
        <f t="shared" si="41"/>
        <v>0</v>
      </c>
      <c r="Q388" s="28">
        <f t="shared" si="41"/>
        <v>0</v>
      </c>
      <c r="R388" s="28">
        <f t="shared" si="41"/>
        <v>0</v>
      </c>
      <c r="S388" s="28">
        <f t="shared" si="41"/>
        <v>0</v>
      </c>
      <c r="T388" s="28">
        <f t="shared" si="41"/>
        <v>0</v>
      </c>
      <c r="U388" s="28">
        <f t="shared" si="41"/>
        <v>0</v>
      </c>
      <c r="V388" s="28">
        <f t="shared" si="41"/>
        <v>0</v>
      </c>
      <c r="W388" s="28">
        <f t="shared" si="41"/>
        <v>0</v>
      </c>
      <c r="X388" s="28">
        <f t="shared" si="41"/>
        <v>0</v>
      </c>
      <c r="Y388" s="28">
        <f t="shared" si="41"/>
        <v>0</v>
      </c>
      <c r="Z388" s="28">
        <f t="shared" si="41"/>
        <v>0</v>
      </c>
      <c r="AA388" s="28">
        <f t="shared" si="41"/>
        <v>0</v>
      </c>
      <c r="AB388" s="28">
        <f t="shared" si="41"/>
        <v>0</v>
      </c>
      <c r="AC388" s="28">
        <f t="shared" si="41"/>
        <v>0</v>
      </c>
      <c r="AD388" s="28">
        <f t="shared" si="41"/>
        <v>0</v>
      </c>
      <c r="AE388" s="28">
        <f t="shared" si="41"/>
        <v>0</v>
      </c>
      <c r="AF388" s="28">
        <f t="shared" si="41"/>
        <v>0</v>
      </c>
      <c r="AG388" s="28">
        <f t="shared" si="41"/>
        <v>0</v>
      </c>
      <c r="AH388" s="28">
        <f t="shared" si="41"/>
        <v>0</v>
      </c>
      <c r="AI388" s="28">
        <f t="shared" si="41"/>
        <v>0</v>
      </c>
      <c r="AJ388" s="28">
        <f t="shared" si="41"/>
        <v>0</v>
      </c>
      <c r="AK388" s="28">
        <f t="shared" si="41"/>
        <v>0</v>
      </c>
      <c r="AL388" s="28">
        <f t="shared" si="41"/>
        <v>0</v>
      </c>
      <c r="AM388" s="28">
        <f t="shared" si="41"/>
        <v>0</v>
      </c>
      <c r="AN388" s="28">
        <f t="shared" si="41"/>
        <v>0</v>
      </c>
      <c r="AO388" s="28">
        <f t="shared" si="41"/>
        <v>0</v>
      </c>
      <c r="AP388" s="28">
        <f t="shared" si="41"/>
        <v>0</v>
      </c>
      <c r="AQ388" s="28">
        <f t="shared" si="41"/>
        <v>0</v>
      </c>
      <c r="AR388" s="28">
        <f t="shared" si="41"/>
        <v>0</v>
      </c>
      <c r="AS388" s="28">
        <f t="shared" si="41"/>
        <v>0</v>
      </c>
      <c r="AT388" s="28">
        <f t="shared" si="41"/>
        <v>0</v>
      </c>
      <c r="AU388" s="28">
        <f t="shared" si="41"/>
        <v>0</v>
      </c>
      <c r="AV388" s="28">
        <f t="shared" si="41"/>
        <v>0</v>
      </c>
      <c r="AW388" s="28">
        <f t="shared" si="41"/>
        <v>0</v>
      </c>
      <c r="AX388" s="28">
        <f>SUM(AX389:AX391)</f>
        <v>0</v>
      </c>
      <c r="AY388" s="29"/>
      <c r="AZ388" s="29"/>
      <c r="BA388" s="30"/>
      <c r="BB388" s="31"/>
      <c r="BI388" s="42"/>
    </row>
    <row r="389" spans="1:63" s="24" customFormat="1" ht="19.350000000000001" customHeight="1">
      <c r="A389" s="118">
        <f>A387+1</f>
        <v>365</v>
      </c>
      <c r="B389" s="56" t="s">
        <v>900</v>
      </c>
      <c r="C389" s="78" t="s">
        <v>47</v>
      </c>
      <c r="D389" s="35">
        <f t="shared" si="35"/>
        <v>0.03</v>
      </c>
      <c r="E389" s="35"/>
      <c r="F389" s="35">
        <f t="shared" si="36"/>
        <v>0.03</v>
      </c>
      <c r="G389" s="43">
        <v>0.03</v>
      </c>
      <c r="H389" s="28"/>
      <c r="I389" s="28"/>
      <c r="J389" s="28"/>
      <c r="K389" s="28"/>
      <c r="L389" s="28"/>
      <c r="M389" s="28"/>
      <c r="N389" s="28"/>
      <c r="O389" s="28"/>
      <c r="P389" s="28"/>
      <c r="Q389" s="28"/>
      <c r="R389" s="28"/>
      <c r="S389" s="28"/>
      <c r="T389" s="28"/>
      <c r="U389" s="28"/>
      <c r="V389" s="28"/>
      <c r="W389" s="28"/>
      <c r="X389" s="28"/>
      <c r="Y389" s="28"/>
      <c r="Z389" s="28"/>
      <c r="AA389" s="28"/>
      <c r="AB389" s="28"/>
      <c r="AC389" s="28"/>
      <c r="AD389" s="28"/>
      <c r="AE389" s="28"/>
      <c r="AF389" s="28"/>
      <c r="AG389" s="28"/>
      <c r="AH389" s="28"/>
      <c r="AI389" s="28"/>
      <c r="AJ389" s="28"/>
      <c r="AK389" s="28"/>
      <c r="AL389" s="28"/>
      <c r="AM389" s="28"/>
      <c r="AN389" s="28"/>
      <c r="AO389" s="28"/>
      <c r="AP389" s="28"/>
      <c r="AQ389" s="28"/>
      <c r="AR389" s="28"/>
      <c r="AS389" s="28"/>
      <c r="AT389" s="28"/>
      <c r="AU389" s="28"/>
      <c r="AV389" s="28"/>
      <c r="AW389" s="28"/>
      <c r="AX389" s="28"/>
      <c r="AY389" s="34" t="s">
        <v>230</v>
      </c>
      <c r="AZ389" s="34" t="s">
        <v>308</v>
      </c>
      <c r="BA389" s="47" t="s">
        <v>298</v>
      </c>
      <c r="BB389" s="48"/>
      <c r="BI389" s="42">
        <v>1</v>
      </c>
    </row>
    <row r="390" spans="1:63" ht="19.350000000000001" customHeight="1">
      <c r="A390" s="118">
        <f>A389+1</f>
        <v>366</v>
      </c>
      <c r="B390" s="56" t="s">
        <v>901</v>
      </c>
      <c r="C390" s="34" t="s">
        <v>47</v>
      </c>
      <c r="D390" s="35">
        <f t="shared" si="35"/>
        <v>0.05</v>
      </c>
      <c r="E390" s="36"/>
      <c r="F390" s="35">
        <f t="shared" si="36"/>
        <v>0.05</v>
      </c>
      <c r="G390" s="37">
        <v>0.05</v>
      </c>
      <c r="H390" s="37"/>
      <c r="I390" s="119"/>
      <c r="J390" s="119"/>
      <c r="K390" s="37"/>
      <c r="L390" s="37"/>
      <c r="M390" s="37"/>
      <c r="N390" s="37"/>
      <c r="O390" s="37"/>
      <c r="P390" s="37"/>
      <c r="Q390" s="37"/>
      <c r="R390" s="37"/>
      <c r="S390" s="37"/>
      <c r="T390" s="37"/>
      <c r="U390" s="37"/>
      <c r="V390" s="37"/>
      <c r="W390" s="37"/>
      <c r="X390" s="37"/>
      <c r="Y390" s="37"/>
      <c r="Z390" s="37"/>
      <c r="AA390" s="37"/>
      <c r="AB390" s="37"/>
      <c r="AC390" s="37"/>
      <c r="AD390" s="37"/>
      <c r="AE390" s="37"/>
      <c r="AF390" s="37"/>
      <c r="AG390" s="37"/>
      <c r="AH390" s="37"/>
      <c r="AI390" s="37"/>
      <c r="AJ390" s="37"/>
      <c r="AK390" s="37"/>
      <c r="AL390" s="37"/>
      <c r="AM390" s="37"/>
      <c r="AN390" s="37"/>
      <c r="AO390" s="37"/>
      <c r="AP390" s="37"/>
      <c r="AQ390" s="37"/>
      <c r="AR390" s="37"/>
      <c r="AS390" s="37"/>
      <c r="AT390" s="37"/>
      <c r="AU390" s="37"/>
      <c r="AV390" s="37"/>
      <c r="AW390" s="37"/>
      <c r="AX390" s="37"/>
      <c r="AY390" s="38" t="s">
        <v>228</v>
      </c>
      <c r="AZ390" s="34" t="s">
        <v>731</v>
      </c>
      <c r="BA390" s="47" t="s">
        <v>298</v>
      </c>
      <c r="BB390" s="48"/>
      <c r="BE390" s="41"/>
      <c r="BI390" s="42">
        <v>1</v>
      </c>
    </row>
    <row r="391" spans="1:63" ht="19.350000000000001" customHeight="1">
      <c r="A391" s="118">
        <f>A390+1</f>
        <v>367</v>
      </c>
      <c r="B391" s="56" t="s">
        <v>902</v>
      </c>
      <c r="C391" s="78" t="s">
        <v>47</v>
      </c>
      <c r="D391" s="35">
        <f t="shared" si="35"/>
        <v>0.05</v>
      </c>
      <c r="E391" s="35"/>
      <c r="F391" s="35">
        <f t="shared" si="36"/>
        <v>0.05</v>
      </c>
      <c r="G391" s="109">
        <v>0.05</v>
      </c>
      <c r="H391" s="43"/>
      <c r="I391" s="43"/>
      <c r="J391" s="43"/>
      <c r="K391" s="43"/>
      <c r="L391" s="43"/>
      <c r="M391" s="43"/>
      <c r="N391" s="43"/>
      <c r="O391" s="43"/>
      <c r="P391" s="43"/>
      <c r="Q391" s="43"/>
      <c r="R391" s="43"/>
      <c r="S391" s="43"/>
      <c r="T391" s="43"/>
      <c r="U391" s="43"/>
      <c r="V391" s="43"/>
      <c r="W391" s="43"/>
      <c r="X391" s="43"/>
      <c r="Y391" s="43"/>
      <c r="Z391" s="43"/>
      <c r="AA391" s="43"/>
      <c r="AB391" s="43"/>
      <c r="AC391" s="43"/>
      <c r="AD391" s="43"/>
      <c r="AE391" s="43"/>
      <c r="AF391" s="43"/>
      <c r="AG391" s="43"/>
      <c r="AH391" s="43"/>
      <c r="AI391" s="43"/>
      <c r="AJ391" s="43"/>
      <c r="AK391" s="43"/>
      <c r="AL391" s="43"/>
      <c r="AM391" s="43"/>
      <c r="AN391" s="43"/>
      <c r="AO391" s="43"/>
      <c r="AP391" s="43"/>
      <c r="AQ391" s="43"/>
      <c r="AR391" s="43"/>
      <c r="AS391" s="43"/>
      <c r="AT391" s="43"/>
      <c r="AU391" s="43"/>
      <c r="AV391" s="43"/>
      <c r="AW391" s="43"/>
      <c r="AX391" s="43"/>
      <c r="AY391" s="34" t="s">
        <v>239</v>
      </c>
      <c r="AZ391" s="34" t="s">
        <v>451</v>
      </c>
      <c r="BA391" s="39" t="s">
        <v>322</v>
      </c>
      <c r="BB391" s="40"/>
      <c r="BC391" s="15" t="s">
        <v>903</v>
      </c>
      <c r="BD391" s="15" t="s">
        <v>904</v>
      </c>
      <c r="BG391" s="15" t="s">
        <v>905</v>
      </c>
      <c r="BI391" s="42">
        <v>1</v>
      </c>
    </row>
    <row r="392" spans="1:63" s="91" customFormat="1" ht="26.1" customHeight="1">
      <c r="A392" s="131" t="s">
        <v>906</v>
      </c>
      <c r="B392" s="132" t="s">
        <v>907</v>
      </c>
      <c r="C392" s="131"/>
      <c r="D392" s="27">
        <f t="shared" si="35"/>
        <v>0.3</v>
      </c>
      <c r="E392" s="133">
        <f>SUM(E393:E393)</f>
        <v>0</v>
      </c>
      <c r="F392" s="27">
        <f t="shared" si="36"/>
        <v>0.3</v>
      </c>
      <c r="G392" s="74">
        <f t="shared" ref="G392:AX392" si="42">SUM(G393:G393)</f>
        <v>0</v>
      </c>
      <c r="H392" s="74">
        <f t="shared" si="42"/>
        <v>0</v>
      </c>
      <c r="I392" s="74">
        <f t="shared" si="42"/>
        <v>0</v>
      </c>
      <c r="J392" s="74">
        <f t="shared" si="42"/>
        <v>0.3</v>
      </c>
      <c r="K392" s="74">
        <f t="shared" si="42"/>
        <v>0</v>
      </c>
      <c r="L392" s="74">
        <f t="shared" si="42"/>
        <v>0</v>
      </c>
      <c r="M392" s="74">
        <f t="shared" si="42"/>
        <v>0</v>
      </c>
      <c r="N392" s="74">
        <f t="shared" si="42"/>
        <v>0</v>
      </c>
      <c r="O392" s="74">
        <f t="shared" si="42"/>
        <v>0</v>
      </c>
      <c r="P392" s="74">
        <f t="shared" si="42"/>
        <v>0</v>
      </c>
      <c r="Q392" s="74">
        <f t="shared" si="42"/>
        <v>0</v>
      </c>
      <c r="R392" s="74">
        <f t="shared" si="42"/>
        <v>0</v>
      </c>
      <c r="S392" s="74">
        <f t="shared" si="42"/>
        <v>0</v>
      </c>
      <c r="T392" s="74">
        <f t="shared" si="42"/>
        <v>0</v>
      </c>
      <c r="U392" s="74">
        <f t="shared" si="42"/>
        <v>0</v>
      </c>
      <c r="V392" s="74">
        <f t="shared" si="42"/>
        <v>0</v>
      </c>
      <c r="W392" s="74">
        <f t="shared" si="42"/>
        <v>0</v>
      </c>
      <c r="X392" s="74">
        <f t="shared" si="42"/>
        <v>0</v>
      </c>
      <c r="Y392" s="74">
        <f t="shared" si="42"/>
        <v>0</v>
      </c>
      <c r="Z392" s="74">
        <f t="shared" si="42"/>
        <v>0</v>
      </c>
      <c r="AA392" s="74">
        <f t="shared" si="42"/>
        <v>0</v>
      </c>
      <c r="AB392" s="74">
        <f t="shared" si="42"/>
        <v>0</v>
      </c>
      <c r="AC392" s="74">
        <f t="shared" si="42"/>
        <v>0</v>
      </c>
      <c r="AD392" s="74">
        <f t="shared" si="42"/>
        <v>0</v>
      </c>
      <c r="AE392" s="74">
        <f t="shared" si="42"/>
        <v>0</v>
      </c>
      <c r="AF392" s="74">
        <f t="shared" si="42"/>
        <v>0</v>
      </c>
      <c r="AG392" s="74">
        <f t="shared" si="42"/>
        <v>0</v>
      </c>
      <c r="AH392" s="74">
        <f t="shared" si="42"/>
        <v>0</v>
      </c>
      <c r="AI392" s="74">
        <f t="shared" si="42"/>
        <v>0</v>
      </c>
      <c r="AJ392" s="74">
        <f t="shared" si="42"/>
        <v>0</v>
      </c>
      <c r="AK392" s="74">
        <f t="shared" si="42"/>
        <v>0</v>
      </c>
      <c r="AL392" s="74">
        <f t="shared" si="42"/>
        <v>0</v>
      </c>
      <c r="AM392" s="74">
        <f t="shared" si="42"/>
        <v>0</v>
      </c>
      <c r="AN392" s="74">
        <f t="shared" si="42"/>
        <v>0</v>
      </c>
      <c r="AO392" s="74">
        <f t="shared" si="42"/>
        <v>0</v>
      </c>
      <c r="AP392" s="74">
        <f t="shared" si="42"/>
        <v>0</v>
      </c>
      <c r="AQ392" s="74">
        <f t="shared" si="42"/>
        <v>0</v>
      </c>
      <c r="AR392" s="74">
        <f t="shared" si="42"/>
        <v>0</v>
      </c>
      <c r="AS392" s="74">
        <f t="shared" si="42"/>
        <v>0</v>
      </c>
      <c r="AT392" s="74">
        <f t="shared" si="42"/>
        <v>0</v>
      </c>
      <c r="AU392" s="74">
        <f t="shared" si="42"/>
        <v>0</v>
      </c>
      <c r="AV392" s="74">
        <f t="shared" si="42"/>
        <v>0</v>
      </c>
      <c r="AW392" s="74">
        <f t="shared" si="42"/>
        <v>0</v>
      </c>
      <c r="AX392" s="74">
        <f t="shared" si="42"/>
        <v>0</v>
      </c>
      <c r="AY392" s="134"/>
      <c r="AZ392" s="134"/>
      <c r="BA392" s="131"/>
      <c r="BB392" s="92"/>
      <c r="BI392" s="42"/>
      <c r="BK392" s="92"/>
    </row>
    <row r="393" spans="1:63" ht="34.35" customHeight="1">
      <c r="A393" s="32">
        <f>A391+1</f>
        <v>368</v>
      </c>
      <c r="B393" s="33" t="s">
        <v>908</v>
      </c>
      <c r="C393" s="78" t="s">
        <v>36</v>
      </c>
      <c r="D393" s="35">
        <f t="shared" si="35"/>
        <v>0.3</v>
      </c>
      <c r="E393" s="108"/>
      <c r="F393" s="35">
        <f t="shared" si="36"/>
        <v>0.3</v>
      </c>
      <c r="G393" s="109"/>
      <c r="H393" s="109"/>
      <c r="I393" s="109"/>
      <c r="J393" s="109">
        <v>0.3</v>
      </c>
      <c r="K393" s="109"/>
      <c r="L393" s="109"/>
      <c r="M393" s="109"/>
      <c r="N393" s="109"/>
      <c r="O393" s="109"/>
      <c r="P393" s="109"/>
      <c r="Q393" s="109"/>
      <c r="R393" s="109"/>
      <c r="S393" s="109"/>
      <c r="T393" s="109"/>
      <c r="U393" s="109"/>
      <c r="V393" s="109"/>
      <c r="W393" s="109"/>
      <c r="X393" s="109"/>
      <c r="Y393" s="109"/>
      <c r="Z393" s="109"/>
      <c r="AA393" s="109"/>
      <c r="AB393" s="109"/>
      <c r="AC393" s="109"/>
      <c r="AD393" s="109"/>
      <c r="AE393" s="109"/>
      <c r="AF393" s="109"/>
      <c r="AG393" s="109"/>
      <c r="AH393" s="109"/>
      <c r="AI393" s="109"/>
      <c r="AJ393" s="109"/>
      <c r="AK393" s="109"/>
      <c r="AL393" s="109"/>
      <c r="AM393" s="109"/>
      <c r="AN393" s="109"/>
      <c r="AO393" s="109"/>
      <c r="AP393" s="109"/>
      <c r="AQ393" s="109"/>
      <c r="AR393" s="109"/>
      <c r="AS393" s="109"/>
      <c r="AT393" s="109"/>
      <c r="AU393" s="109"/>
      <c r="AV393" s="109"/>
      <c r="AW393" s="109"/>
      <c r="AX393" s="109"/>
      <c r="AY393" s="34" t="s">
        <v>289</v>
      </c>
      <c r="AZ393" s="34" t="s">
        <v>909</v>
      </c>
      <c r="BA393" s="39" t="s">
        <v>291</v>
      </c>
      <c r="BB393" s="40"/>
      <c r="BD393" s="15" t="s">
        <v>12</v>
      </c>
      <c r="BE393" s="41"/>
      <c r="BI393" s="42">
        <v>1</v>
      </c>
    </row>
    <row r="394" spans="1:63" s="24" customFormat="1" ht="21.6" customHeight="1">
      <c r="A394" s="20" t="s">
        <v>910</v>
      </c>
      <c r="B394" s="25" t="s">
        <v>80</v>
      </c>
      <c r="C394" s="26"/>
      <c r="D394" s="27">
        <f t="shared" si="35"/>
        <v>2.2400000000000002</v>
      </c>
      <c r="E394" s="83">
        <f>SUM(E395:E406)</f>
        <v>0</v>
      </c>
      <c r="F394" s="27">
        <f t="shared" si="36"/>
        <v>2.2400000000000002</v>
      </c>
      <c r="G394" s="28">
        <f t="shared" ref="G394:AX394" si="43">SUM(G395:G406)</f>
        <v>0.11</v>
      </c>
      <c r="H394" s="28">
        <f t="shared" si="43"/>
        <v>0</v>
      </c>
      <c r="I394" s="28">
        <f t="shared" si="43"/>
        <v>0.1</v>
      </c>
      <c r="J394" s="28">
        <f t="shared" si="43"/>
        <v>0.92999999999999994</v>
      </c>
      <c r="K394" s="28">
        <f t="shared" si="43"/>
        <v>0</v>
      </c>
      <c r="L394" s="28">
        <f t="shared" si="43"/>
        <v>0</v>
      </c>
      <c r="M394" s="28">
        <f t="shared" si="43"/>
        <v>1.1000000000000001</v>
      </c>
      <c r="N394" s="28">
        <f t="shared" si="43"/>
        <v>0</v>
      </c>
      <c r="O394" s="28">
        <f t="shared" si="43"/>
        <v>0</v>
      </c>
      <c r="P394" s="28">
        <f t="shared" si="43"/>
        <v>0</v>
      </c>
      <c r="Q394" s="28">
        <f t="shared" si="43"/>
        <v>0</v>
      </c>
      <c r="R394" s="28">
        <f t="shared" si="43"/>
        <v>0</v>
      </c>
      <c r="S394" s="28">
        <f t="shared" si="43"/>
        <v>0</v>
      </c>
      <c r="T394" s="28">
        <f t="shared" si="43"/>
        <v>0</v>
      </c>
      <c r="U394" s="28">
        <f t="shared" si="43"/>
        <v>0</v>
      </c>
      <c r="V394" s="28">
        <f t="shared" si="43"/>
        <v>0</v>
      </c>
      <c r="W394" s="28">
        <f t="shared" si="43"/>
        <v>0</v>
      </c>
      <c r="X394" s="28">
        <f t="shared" si="43"/>
        <v>0</v>
      </c>
      <c r="Y394" s="28">
        <f t="shared" si="43"/>
        <v>0</v>
      </c>
      <c r="Z394" s="28">
        <f t="shared" si="43"/>
        <v>0</v>
      </c>
      <c r="AA394" s="28">
        <f t="shared" si="43"/>
        <v>0</v>
      </c>
      <c r="AB394" s="28">
        <f t="shared" si="43"/>
        <v>0</v>
      </c>
      <c r="AC394" s="28">
        <f t="shared" si="43"/>
        <v>0</v>
      </c>
      <c r="AD394" s="28">
        <f t="shared" si="43"/>
        <v>0</v>
      </c>
      <c r="AE394" s="28">
        <f t="shared" si="43"/>
        <v>0</v>
      </c>
      <c r="AF394" s="28">
        <f t="shared" si="43"/>
        <v>0</v>
      </c>
      <c r="AG394" s="28">
        <f t="shared" si="43"/>
        <v>0</v>
      </c>
      <c r="AH394" s="28">
        <f t="shared" si="43"/>
        <v>0</v>
      </c>
      <c r="AI394" s="28">
        <f t="shared" si="43"/>
        <v>0</v>
      </c>
      <c r="AJ394" s="28">
        <f t="shared" si="43"/>
        <v>0</v>
      </c>
      <c r="AK394" s="28">
        <f t="shared" si="43"/>
        <v>0</v>
      </c>
      <c r="AL394" s="28">
        <f t="shared" si="43"/>
        <v>0</v>
      </c>
      <c r="AM394" s="28">
        <f t="shared" si="43"/>
        <v>0</v>
      </c>
      <c r="AN394" s="28">
        <f t="shared" si="43"/>
        <v>0</v>
      </c>
      <c r="AO394" s="28">
        <f t="shared" si="43"/>
        <v>0</v>
      </c>
      <c r="AP394" s="28">
        <f t="shared" si="43"/>
        <v>0</v>
      </c>
      <c r="AQ394" s="28">
        <f t="shared" si="43"/>
        <v>0</v>
      </c>
      <c r="AR394" s="28">
        <f t="shared" si="43"/>
        <v>0</v>
      </c>
      <c r="AS394" s="28">
        <f t="shared" si="43"/>
        <v>0</v>
      </c>
      <c r="AT394" s="28">
        <f t="shared" si="43"/>
        <v>0</v>
      </c>
      <c r="AU394" s="28">
        <f t="shared" si="43"/>
        <v>0</v>
      </c>
      <c r="AV394" s="28">
        <f t="shared" si="43"/>
        <v>0</v>
      </c>
      <c r="AW394" s="28">
        <f t="shared" si="43"/>
        <v>0</v>
      </c>
      <c r="AX394" s="28">
        <f t="shared" si="43"/>
        <v>0</v>
      </c>
      <c r="AY394" s="29"/>
      <c r="AZ394" s="29"/>
      <c r="BA394" s="30"/>
      <c r="BB394" s="31"/>
      <c r="BI394" s="42"/>
    </row>
    <row r="395" spans="1:63" ht="19.350000000000001" customHeight="1">
      <c r="A395" s="32">
        <f>A393+1</f>
        <v>369</v>
      </c>
      <c r="B395" s="56" t="s">
        <v>911</v>
      </c>
      <c r="C395" s="78" t="s">
        <v>37</v>
      </c>
      <c r="D395" s="35">
        <f t="shared" si="35"/>
        <v>0.1</v>
      </c>
      <c r="E395" s="108"/>
      <c r="F395" s="35">
        <f t="shared" si="36"/>
        <v>0.1</v>
      </c>
      <c r="G395" s="43">
        <v>0.1</v>
      </c>
      <c r="H395" s="43"/>
      <c r="I395" s="43"/>
      <c r="J395" s="43"/>
      <c r="K395" s="43"/>
      <c r="L395" s="43"/>
      <c r="M395" s="43"/>
      <c r="N395" s="43"/>
      <c r="O395" s="43"/>
      <c r="P395" s="43"/>
      <c r="Q395" s="43"/>
      <c r="R395" s="43"/>
      <c r="S395" s="43"/>
      <c r="T395" s="43"/>
      <c r="U395" s="43"/>
      <c r="V395" s="43"/>
      <c r="W395" s="43"/>
      <c r="X395" s="43"/>
      <c r="Y395" s="43"/>
      <c r="Z395" s="43"/>
      <c r="AA395" s="43"/>
      <c r="AB395" s="43"/>
      <c r="AC395" s="43"/>
      <c r="AD395" s="43"/>
      <c r="AE395" s="43"/>
      <c r="AF395" s="43"/>
      <c r="AG395" s="43"/>
      <c r="AH395" s="43"/>
      <c r="AI395" s="43"/>
      <c r="AJ395" s="43"/>
      <c r="AK395" s="43"/>
      <c r="AL395" s="43"/>
      <c r="AM395" s="43"/>
      <c r="AN395" s="43"/>
      <c r="AO395" s="43"/>
      <c r="AP395" s="43"/>
      <c r="AQ395" s="43"/>
      <c r="AR395" s="43"/>
      <c r="AS395" s="43"/>
      <c r="AT395" s="43"/>
      <c r="AU395" s="43"/>
      <c r="AV395" s="43"/>
      <c r="AW395" s="43"/>
      <c r="AX395" s="43"/>
      <c r="AY395" s="34" t="s">
        <v>221</v>
      </c>
      <c r="AZ395" s="34" t="s">
        <v>305</v>
      </c>
      <c r="BA395" s="47" t="s">
        <v>298</v>
      </c>
      <c r="BB395" s="48"/>
      <c r="BI395" s="42">
        <v>1</v>
      </c>
      <c r="BJ395" s="15" t="s">
        <v>912</v>
      </c>
      <c r="BK395" s="15" t="s">
        <v>546</v>
      </c>
    </row>
    <row r="396" spans="1:63" s="61" customFormat="1" ht="19.350000000000001" customHeight="1">
      <c r="A396" s="32">
        <f>A395+1</f>
        <v>370</v>
      </c>
      <c r="B396" s="56" t="s">
        <v>913</v>
      </c>
      <c r="C396" s="78" t="s">
        <v>37</v>
      </c>
      <c r="D396" s="35">
        <f t="shared" si="35"/>
        <v>1</v>
      </c>
      <c r="E396" s="108"/>
      <c r="F396" s="35">
        <f t="shared" si="36"/>
        <v>1</v>
      </c>
      <c r="G396" s="43"/>
      <c r="H396" s="43"/>
      <c r="I396" s="43"/>
      <c r="J396" s="43">
        <v>0.5</v>
      </c>
      <c r="K396" s="43"/>
      <c r="L396" s="43"/>
      <c r="M396" s="43">
        <v>0.5</v>
      </c>
      <c r="N396" s="43"/>
      <c r="O396" s="43"/>
      <c r="P396" s="43"/>
      <c r="Q396" s="43"/>
      <c r="R396" s="43"/>
      <c r="S396" s="43"/>
      <c r="T396" s="43"/>
      <c r="U396" s="43"/>
      <c r="V396" s="43"/>
      <c r="W396" s="43"/>
      <c r="X396" s="43"/>
      <c r="Y396" s="43"/>
      <c r="Z396" s="43"/>
      <c r="AA396" s="43"/>
      <c r="AB396" s="43"/>
      <c r="AC396" s="43"/>
      <c r="AD396" s="43"/>
      <c r="AE396" s="43"/>
      <c r="AF396" s="43"/>
      <c r="AG396" s="43"/>
      <c r="AH396" s="43"/>
      <c r="AI396" s="43"/>
      <c r="AJ396" s="43"/>
      <c r="AK396" s="43"/>
      <c r="AL396" s="43"/>
      <c r="AM396" s="43"/>
      <c r="AN396" s="43"/>
      <c r="AO396" s="43"/>
      <c r="AP396" s="43"/>
      <c r="AQ396" s="43"/>
      <c r="AR396" s="43"/>
      <c r="AS396" s="43"/>
      <c r="AT396" s="43"/>
      <c r="AU396" s="43"/>
      <c r="AV396" s="43"/>
      <c r="AW396" s="43"/>
      <c r="AX396" s="43"/>
      <c r="AY396" s="34" t="s">
        <v>222</v>
      </c>
      <c r="AZ396" s="34" t="s">
        <v>682</v>
      </c>
      <c r="BA396" s="47" t="s">
        <v>298</v>
      </c>
      <c r="BB396" s="48"/>
      <c r="BC396" s="15"/>
      <c r="BD396" s="15"/>
      <c r="BE396" s="15"/>
      <c r="BF396" s="15"/>
      <c r="BI396" s="42">
        <v>1</v>
      </c>
    </row>
    <row r="397" spans="1:63" ht="19.350000000000001" customHeight="1">
      <c r="A397" s="32">
        <f>A396+1</f>
        <v>371</v>
      </c>
      <c r="B397" s="56" t="s">
        <v>911</v>
      </c>
      <c r="C397" s="78" t="s">
        <v>37</v>
      </c>
      <c r="D397" s="35">
        <f t="shared" si="35"/>
        <v>0.1</v>
      </c>
      <c r="E397" s="108"/>
      <c r="F397" s="35">
        <f t="shared" si="36"/>
        <v>0.1</v>
      </c>
      <c r="G397" s="43"/>
      <c r="H397" s="43"/>
      <c r="I397" s="43"/>
      <c r="J397" s="43">
        <v>0.1</v>
      </c>
      <c r="K397" s="43"/>
      <c r="L397" s="43"/>
      <c r="M397" s="43"/>
      <c r="N397" s="43"/>
      <c r="O397" s="43"/>
      <c r="P397" s="43"/>
      <c r="Q397" s="43"/>
      <c r="R397" s="43"/>
      <c r="S397" s="43"/>
      <c r="T397" s="43"/>
      <c r="U397" s="43"/>
      <c r="V397" s="43"/>
      <c r="W397" s="43"/>
      <c r="X397" s="43"/>
      <c r="Y397" s="43"/>
      <c r="Z397" s="43"/>
      <c r="AA397" s="43"/>
      <c r="AB397" s="43"/>
      <c r="AC397" s="43"/>
      <c r="AD397" s="43"/>
      <c r="AE397" s="43"/>
      <c r="AF397" s="43"/>
      <c r="AG397" s="43"/>
      <c r="AH397" s="43"/>
      <c r="AI397" s="43"/>
      <c r="AJ397" s="43"/>
      <c r="AK397" s="43"/>
      <c r="AL397" s="43"/>
      <c r="AM397" s="43"/>
      <c r="AN397" s="43"/>
      <c r="AO397" s="43"/>
      <c r="AP397" s="43"/>
      <c r="AQ397" s="43"/>
      <c r="AR397" s="43"/>
      <c r="AS397" s="43"/>
      <c r="AT397" s="43"/>
      <c r="AU397" s="43"/>
      <c r="AV397" s="43"/>
      <c r="AW397" s="43"/>
      <c r="AX397" s="43"/>
      <c r="AY397" s="34" t="s">
        <v>223</v>
      </c>
      <c r="AZ397" s="34" t="s">
        <v>387</v>
      </c>
      <c r="BA397" s="47" t="s">
        <v>322</v>
      </c>
      <c r="BB397" s="48"/>
      <c r="BC397" s="139"/>
      <c r="BD397" s="139" t="s">
        <v>14</v>
      </c>
      <c r="BI397" s="42">
        <v>1</v>
      </c>
      <c r="BJ397" s="15" t="s">
        <v>914</v>
      </c>
      <c r="BK397" s="15" t="s">
        <v>546</v>
      </c>
    </row>
    <row r="398" spans="1:63" ht="19.350000000000001" customHeight="1">
      <c r="A398" s="32">
        <f t="shared" ref="A398:A406" si="44">A397+1</f>
        <v>372</v>
      </c>
      <c r="B398" s="56" t="s">
        <v>911</v>
      </c>
      <c r="C398" s="78" t="s">
        <v>37</v>
      </c>
      <c r="D398" s="35">
        <f t="shared" si="35"/>
        <v>0.1</v>
      </c>
      <c r="E398" s="36"/>
      <c r="F398" s="35">
        <f t="shared" si="36"/>
        <v>0.1</v>
      </c>
      <c r="G398" s="43"/>
      <c r="H398" s="43"/>
      <c r="I398" s="43">
        <v>0.1</v>
      </c>
      <c r="J398" s="43"/>
      <c r="K398" s="43"/>
      <c r="L398" s="43"/>
      <c r="M398" s="43"/>
      <c r="N398" s="43"/>
      <c r="O398" s="43"/>
      <c r="P398" s="43"/>
      <c r="Q398" s="43"/>
      <c r="R398" s="43"/>
      <c r="S398" s="43"/>
      <c r="T398" s="43"/>
      <c r="U398" s="43"/>
      <c r="V398" s="43"/>
      <c r="W398" s="43"/>
      <c r="X398" s="43"/>
      <c r="Y398" s="43"/>
      <c r="Z398" s="43"/>
      <c r="AA398" s="43"/>
      <c r="AB398" s="43"/>
      <c r="AC398" s="43"/>
      <c r="AD398" s="43"/>
      <c r="AE398" s="43"/>
      <c r="AF398" s="43"/>
      <c r="AG398" s="43"/>
      <c r="AH398" s="43"/>
      <c r="AI398" s="43"/>
      <c r="AJ398" s="43"/>
      <c r="AK398" s="43"/>
      <c r="AL398" s="43"/>
      <c r="AM398" s="43"/>
      <c r="AN398" s="43"/>
      <c r="AO398" s="43"/>
      <c r="AP398" s="43"/>
      <c r="AQ398" s="43"/>
      <c r="AR398" s="43"/>
      <c r="AS398" s="43"/>
      <c r="AT398" s="43"/>
      <c r="AU398" s="43"/>
      <c r="AV398" s="43"/>
      <c r="AW398" s="43"/>
      <c r="AX398" s="43"/>
      <c r="AY398" s="34" t="s">
        <v>225</v>
      </c>
      <c r="AZ398" s="34" t="s">
        <v>915</v>
      </c>
      <c r="BA398" s="47" t="s">
        <v>298</v>
      </c>
      <c r="BB398" s="48"/>
      <c r="BD398" s="15" t="s">
        <v>19</v>
      </c>
      <c r="BG398" s="15" t="s">
        <v>758</v>
      </c>
      <c r="BI398" s="42">
        <v>1</v>
      </c>
      <c r="BJ398" s="15" t="s">
        <v>914</v>
      </c>
      <c r="BK398" s="15" t="s">
        <v>546</v>
      </c>
    </row>
    <row r="399" spans="1:63" s="49" customFormat="1" ht="19.350000000000001" customHeight="1">
      <c r="A399" s="32">
        <f t="shared" si="44"/>
        <v>373</v>
      </c>
      <c r="B399" s="56" t="s">
        <v>911</v>
      </c>
      <c r="C399" s="78" t="s">
        <v>37</v>
      </c>
      <c r="D399" s="35">
        <f t="shared" si="35"/>
        <v>0.12</v>
      </c>
      <c r="E399" s="45"/>
      <c r="F399" s="35">
        <f t="shared" si="36"/>
        <v>0.12</v>
      </c>
      <c r="G399" s="46"/>
      <c r="H399" s="46"/>
      <c r="I399" s="46"/>
      <c r="J399" s="46">
        <v>0.12</v>
      </c>
      <c r="K399" s="46"/>
      <c r="L399" s="46"/>
      <c r="M399" s="46"/>
      <c r="N399" s="46"/>
      <c r="O399" s="46"/>
      <c r="P399" s="46"/>
      <c r="Q399" s="46"/>
      <c r="R399" s="46"/>
      <c r="S399" s="46"/>
      <c r="T399" s="46"/>
      <c r="U399" s="46"/>
      <c r="V399" s="46"/>
      <c r="W399" s="46"/>
      <c r="X399" s="46"/>
      <c r="Y399" s="46"/>
      <c r="Z399" s="46"/>
      <c r="AA399" s="46"/>
      <c r="AB399" s="46"/>
      <c r="AC399" s="46"/>
      <c r="AD399" s="46"/>
      <c r="AE399" s="46"/>
      <c r="AF399" s="46"/>
      <c r="AG399" s="46"/>
      <c r="AH399" s="46"/>
      <c r="AI399" s="46"/>
      <c r="AJ399" s="46"/>
      <c r="AK399" s="46"/>
      <c r="AL399" s="46"/>
      <c r="AM399" s="46"/>
      <c r="AN399" s="46"/>
      <c r="AO399" s="46"/>
      <c r="AP399" s="46"/>
      <c r="AQ399" s="46"/>
      <c r="AR399" s="46"/>
      <c r="AS399" s="46"/>
      <c r="AT399" s="46"/>
      <c r="AU399" s="46"/>
      <c r="AV399" s="46"/>
      <c r="AW399" s="46"/>
      <c r="AX399" s="46"/>
      <c r="AY399" s="47" t="s">
        <v>227</v>
      </c>
      <c r="AZ399" s="47" t="s">
        <v>916</v>
      </c>
      <c r="BA399" s="47" t="s">
        <v>291</v>
      </c>
      <c r="BB399" s="48" t="s">
        <v>917</v>
      </c>
      <c r="BI399" s="42">
        <v>1</v>
      </c>
      <c r="BK399" s="50"/>
    </row>
    <row r="400" spans="1:63" s="49" customFormat="1" ht="19.350000000000001" customHeight="1">
      <c r="A400" s="32">
        <f t="shared" si="44"/>
        <v>374</v>
      </c>
      <c r="B400" s="56" t="s">
        <v>911</v>
      </c>
      <c r="C400" s="78" t="s">
        <v>37</v>
      </c>
      <c r="D400" s="35">
        <f t="shared" si="35"/>
        <v>0.1</v>
      </c>
      <c r="E400" s="108"/>
      <c r="F400" s="35">
        <f t="shared" ref="F400:F410" si="45">SUM(G400:AX400)</f>
        <v>0.1</v>
      </c>
      <c r="G400" s="43"/>
      <c r="H400" s="43"/>
      <c r="I400" s="43"/>
      <c r="J400" s="43"/>
      <c r="K400" s="46"/>
      <c r="L400" s="46"/>
      <c r="M400" s="43">
        <v>0.1</v>
      </c>
      <c r="N400" s="46"/>
      <c r="O400" s="46"/>
      <c r="P400" s="46"/>
      <c r="Q400" s="46"/>
      <c r="R400" s="46"/>
      <c r="S400" s="46"/>
      <c r="T400" s="46"/>
      <c r="U400" s="46"/>
      <c r="V400" s="46"/>
      <c r="W400" s="46"/>
      <c r="X400" s="46"/>
      <c r="Y400" s="46"/>
      <c r="Z400" s="46"/>
      <c r="AA400" s="46"/>
      <c r="AB400" s="46"/>
      <c r="AC400" s="46"/>
      <c r="AD400" s="46"/>
      <c r="AE400" s="46"/>
      <c r="AF400" s="46"/>
      <c r="AG400" s="46"/>
      <c r="AH400" s="46"/>
      <c r="AI400" s="46"/>
      <c r="AJ400" s="46"/>
      <c r="AK400" s="46"/>
      <c r="AL400" s="46"/>
      <c r="AM400" s="46"/>
      <c r="AN400" s="46"/>
      <c r="AO400" s="46"/>
      <c r="AP400" s="46"/>
      <c r="AQ400" s="46"/>
      <c r="AR400" s="46"/>
      <c r="AS400" s="46"/>
      <c r="AT400" s="46"/>
      <c r="AU400" s="46"/>
      <c r="AV400" s="46"/>
      <c r="AW400" s="46"/>
      <c r="AX400" s="46"/>
      <c r="AY400" s="34" t="s">
        <v>229</v>
      </c>
      <c r="AZ400" s="34" t="s">
        <v>389</v>
      </c>
      <c r="BA400" s="93" t="s">
        <v>291</v>
      </c>
      <c r="BB400" s="50"/>
      <c r="BC400" s="49" t="s">
        <v>918</v>
      </c>
      <c r="BI400" s="42">
        <v>1</v>
      </c>
      <c r="BJ400" s="15" t="s">
        <v>919</v>
      </c>
      <c r="BK400" s="50" t="s">
        <v>546</v>
      </c>
    </row>
    <row r="401" spans="1:64" s="49" customFormat="1" ht="19.350000000000001" customHeight="1">
      <c r="A401" s="32">
        <f>A400+1</f>
        <v>375</v>
      </c>
      <c r="B401" s="56" t="s">
        <v>911</v>
      </c>
      <c r="C401" s="78" t="s">
        <v>37</v>
      </c>
      <c r="D401" s="35">
        <f t="shared" si="35"/>
        <v>0.30000000000000004</v>
      </c>
      <c r="E401" s="108"/>
      <c r="F401" s="35">
        <f t="shared" si="45"/>
        <v>0.30000000000000004</v>
      </c>
      <c r="G401" s="46"/>
      <c r="H401" s="43"/>
      <c r="I401" s="43"/>
      <c r="J401" s="43">
        <v>0.1</v>
      </c>
      <c r="K401" s="46"/>
      <c r="L401" s="46"/>
      <c r="M401" s="46">
        <v>0.2</v>
      </c>
      <c r="N401" s="46"/>
      <c r="O401" s="46"/>
      <c r="P401" s="46"/>
      <c r="Q401" s="46"/>
      <c r="R401" s="46"/>
      <c r="S401" s="46"/>
      <c r="T401" s="46"/>
      <c r="U401" s="46"/>
      <c r="V401" s="46"/>
      <c r="W401" s="46"/>
      <c r="X401" s="46"/>
      <c r="Y401" s="46"/>
      <c r="Z401" s="46"/>
      <c r="AA401" s="46"/>
      <c r="AB401" s="46"/>
      <c r="AC401" s="46"/>
      <c r="AD401" s="46"/>
      <c r="AE401" s="46"/>
      <c r="AF401" s="46"/>
      <c r="AG401" s="46"/>
      <c r="AH401" s="46"/>
      <c r="AI401" s="46"/>
      <c r="AJ401" s="46"/>
      <c r="AK401" s="46"/>
      <c r="AL401" s="46"/>
      <c r="AM401" s="46"/>
      <c r="AN401" s="46"/>
      <c r="AO401" s="46"/>
      <c r="AP401" s="46"/>
      <c r="AQ401" s="46"/>
      <c r="AR401" s="46"/>
      <c r="AS401" s="46"/>
      <c r="AT401" s="46"/>
      <c r="AU401" s="46"/>
      <c r="AV401" s="46"/>
      <c r="AW401" s="46"/>
      <c r="AX401" s="46"/>
      <c r="AY401" s="47" t="s">
        <v>233</v>
      </c>
      <c r="AZ401" s="47" t="s">
        <v>615</v>
      </c>
      <c r="BA401" s="93" t="s">
        <v>291</v>
      </c>
      <c r="BB401" s="50"/>
      <c r="BC401" s="49" t="s">
        <v>920</v>
      </c>
      <c r="BI401" s="42">
        <v>1</v>
      </c>
      <c r="BJ401" s="15" t="s">
        <v>921</v>
      </c>
      <c r="BK401" s="50" t="s">
        <v>546</v>
      </c>
    </row>
    <row r="402" spans="1:64" ht="19.350000000000001" customHeight="1">
      <c r="A402" s="32">
        <f t="shared" si="44"/>
        <v>376</v>
      </c>
      <c r="B402" s="56" t="s">
        <v>911</v>
      </c>
      <c r="C402" s="78" t="s">
        <v>37</v>
      </c>
      <c r="D402" s="35">
        <f t="shared" si="35"/>
        <v>0.1</v>
      </c>
      <c r="E402" s="108"/>
      <c r="F402" s="35">
        <f t="shared" si="45"/>
        <v>0.1</v>
      </c>
      <c r="G402" s="43"/>
      <c r="H402" s="43"/>
      <c r="I402" s="43"/>
      <c r="J402" s="43"/>
      <c r="K402" s="43"/>
      <c r="L402" s="43"/>
      <c r="M402" s="43">
        <v>0.1</v>
      </c>
      <c r="N402" s="43"/>
      <c r="O402" s="43"/>
      <c r="P402" s="43"/>
      <c r="Q402" s="43"/>
      <c r="R402" s="43"/>
      <c r="S402" s="43"/>
      <c r="T402" s="43"/>
      <c r="U402" s="43"/>
      <c r="V402" s="43"/>
      <c r="W402" s="43"/>
      <c r="X402" s="43"/>
      <c r="Y402" s="43"/>
      <c r="Z402" s="43"/>
      <c r="AA402" s="43"/>
      <c r="AB402" s="43"/>
      <c r="AC402" s="43"/>
      <c r="AD402" s="43"/>
      <c r="AE402" s="43"/>
      <c r="AF402" s="43"/>
      <c r="AG402" s="43"/>
      <c r="AH402" s="43"/>
      <c r="AI402" s="43"/>
      <c r="AJ402" s="43"/>
      <c r="AK402" s="43"/>
      <c r="AL402" s="43"/>
      <c r="AM402" s="43"/>
      <c r="AN402" s="43"/>
      <c r="AO402" s="43"/>
      <c r="AP402" s="43"/>
      <c r="AQ402" s="43"/>
      <c r="AR402" s="43"/>
      <c r="AS402" s="43"/>
      <c r="AT402" s="43"/>
      <c r="AU402" s="43"/>
      <c r="AV402" s="43"/>
      <c r="AW402" s="43"/>
      <c r="AX402" s="43"/>
      <c r="AY402" s="34" t="s">
        <v>236</v>
      </c>
      <c r="AZ402" s="34" t="s">
        <v>615</v>
      </c>
      <c r="BA402" s="63" t="s">
        <v>291</v>
      </c>
      <c r="BB402" s="64"/>
      <c r="BI402" s="42">
        <v>1</v>
      </c>
      <c r="BJ402" s="15" t="s">
        <v>922</v>
      </c>
      <c r="BK402" s="15" t="s">
        <v>546</v>
      </c>
    </row>
    <row r="403" spans="1:64" s="71" customFormat="1" ht="19.350000000000001" customHeight="1">
      <c r="A403" s="32">
        <f t="shared" si="44"/>
        <v>377</v>
      </c>
      <c r="B403" s="56" t="s">
        <v>911</v>
      </c>
      <c r="C403" s="78" t="s">
        <v>37</v>
      </c>
      <c r="D403" s="35">
        <f t="shared" si="35"/>
        <v>0.1</v>
      </c>
      <c r="E403" s="108"/>
      <c r="F403" s="35">
        <f t="shared" si="45"/>
        <v>0.1</v>
      </c>
      <c r="G403" s="77"/>
      <c r="H403" s="77"/>
      <c r="I403" s="77"/>
      <c r="J403" s="77">
        <v>0.1</v>
      </c>
      <c r="K403" s="77"/>
      <c r="L403" s="77"/>
      <c r="M403" s="77"/>
      <c r="N403" s="77"/>
      <c r="O403" s="77"/>
      <c r="P403" s="77"/>
      <c r="Q403" s="77"/>
      <c r="R403" s="77"/>
      <c r="S403" s="77"/>
      <c r="T403" s="77"/>
      <c r="U403" s="77"/>
      <c r="V403" s="77"/>
      <c r="W403" s="77"/>
      <c r="X403" s="77"/>
      <c r="Y403" s="77"/>
      <c r="Z403" s="77"/>
      <c r="AA403" s="77"/>
      <c r="AB403" s="77"/>
      <c r="AC403" s="77"/>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94" t="s">
        <v>235</v>
      </c>
      <c r="AZ403" s="94" t="s">
        <v>389</v>
      </c>
      <c r="BA403" s="118" t="s">
        <v>291</v>
      </c>
      <c r="BB403" s="72"/>
      <c r="BI403" s="42">
        <v>1</v>
      </c>
      <c r="BJ403" s="15" t="s">
        <v>923</v>
      </c>
      <c r="BK403" s="72" t="s">
        <v>546</v>
      </c>
    </row>
    <row r="404" spans="1:64" ht="19.350000000000001" customHeight="1">
      <c r="A404" s="32">
        <f t="shared" si="44"/>
        <v>378</v>
      </c>
      <c r="B404" s="56" t="s">
        <v>911</v>
      </c>
      <c r="C404" s="78" t="s">
        <v>37</v>
      </c>
      <c r="D404" s="35">
        <f t="shared" si="35"/>
        <v>0.02</v>
      </c>
      <c r="E404" s="108"/>
      <c r="F404" s="35">
        <f t="shared" si="45"/>
        <v>0.02</v>
      </c>
      <c r="G404" s="43">
        <v>0.01</v>
      </c>
      <c r="H404" s="43"/>
      <c r="I404" s="43"/>
      <c r="J404" s="43">
        <v>0.01</v>
      </c>
      <c r="K404" s="43"/>
      <c r="L404" s="43"/>
      <c r="M404" s="43"/>
      <c r="N404" s="43"/>
      <c r="O404" s="43"/>
      <c r="P404" s="43"/>
      <c r="Q404" s="43"/>
      <c r="R404" s="43"/>
      <c r="S404" s="43"/>
      <c r="T404" s="43"/>
      <c r="U404" s="43"/>
      <c r="V404" s="43"/>
      <c r="W404" s="43"/>
      <c r="X404" s="43"/>
      <c r="Y404" s="43"/>
      <c r="Z404" s="43"/>
      <c r="AA404" s="43"/>
      <c r="AB404" s="43"/>
      <c r="AC404" s="43"/>
      <c r="AD404" s="43"/>
      <c r="AE404" s="43"/>
      <c r="AF404" s="43"/>
      <c r="AG404" s="43"/>
      <c r="AH404" s="43"/>
      <c r="AI404" s="43"/>
      <c r="AJ404" s="43"/>
      <c r="AK404" s="43"/>
      <c r="AL404" s="43"/>
      <c r="AM404" s="43"/>
      <c r="AN404" s="43"/>
      <c r="AO404" s="43"/>
      <c r="AP404" s="43"/>
      <c r="AQ404" s="43"/>
      <c r="AR404" s="43"/>
      <c r="AS404" s="43"/>
      <c r="AT404" s="43"/>
      <c r="AU404" s="43"/>
      <c r="AV404" s="43"/>
      <c r="AW404" s="43"/>
      <c r="AX404" s="43"/>
      <c r="AY404" s="34" t="s">
        <v>237</v>
      </c>
      <c r="AZ404" s="63" t="s">
        <v>924</v>
      </c>
      <c r="BA404" s="63" t="s">
        <v>291</v>
      </c>
      <c r="BB404" s="64"/>
      <c r="BC404" s="64"/>
      <c r="BD404" s="64" t="s">
        <v>924</v>
      </c>
      <c r="BE404" s="64"/>
      <c r="BI404" s="42">
        <v>1</v>
      </c>
    </row>
    <row r="405" spans="1:64" ht="19.350000000000001" customHeight="1">
      <c r="A405" s="32">
        <f t="shared" si="44"/>
        <v>379</v>
      </c>
      <c r="B405" s="56" t="s">
        <v>911</v>
      </c>
      <c r="C405" s="78" t="s">
        <v>37</v>
      </c>
      <c r="D405" s="35">
        <f t="shared" ref="D405:D468" si="46">E405+F405</f>
        <v>0.1</v>
      </c>
      <c r="E405" s="108"/>
      <c r="F405" s="35">
        <f t="shared" si="45"/>
        <v>0.1</v>
      </c>
      <c r="G405" s="43"/>
      <c r="H405" s="43"/>
      <c r="I405" s="43"/>
      <c r="J405" s="43"/>
      <c r="K405" s="43"/>
      <c r="L405" s="43"/>
      <c r="M405" s="43">
        <v>0.1</v>
      </c>
      <c r="N405" s="43"/>
      <c r="O405" s="43"/>
      <c r="P405" s="43"/>
      <c r="Q405" s="43"/>
      <c r="R405" s="43"/>
      <c r="S405" s="43"/>
      <c r="T405" s="43"/>
      <c r="U405" s="43"/>
      <c r="V405" s="43"/>
      <c r="W405" s="43"/>
      <c r="X405" s="43"/>
      <c r="Y405" s="43"/>
      <c r="Z405" s="43"/>
      <c r="AA405" s="43"/>
      <c r="AB405" s="43"/>
      <c r="AC405" s="43"/>
      <c r="AD405" s="43"/>
      <c r="AE405" s="43"/>
      <c r="AF405" s="43"/>
      <c r="AG405" s="43"/>
      <c r="AH405" s="43"/>
      <c r="AI405" s="43"/>
      <c r="AJ405" s="43"/>
      <c r="AK405" s="43"/>
      <c r="AL405" s="43"/>
      <c r="AM405" s="43"/>
      <c r="AN405" s="43"/>
      <c r="AO405" s="43"/>
      <c r="AP405" s="43"/>
      <c r="AQ405" s="43"/>
      <c r="AR405" s="43"/>
      <c r="AS405" s="43"/>
      <c r="AT405" s="43"/>
      <c r="AU405" s="43"/>
      <c r="AV405" s="43"/>
      <c r="AW405" s="43"/>
      <c r="AX405" s="43"/>
      <c r="AY405" s="34" t="s">
        <v>239</v>
      </c>
      <c r="AZ405" s="34" t="s">
        <v>925</v>
      </c>
      <c r="BA405" s="39" t="s">
        <v>291</v>
      </c>
      <c r="BB405" s="40"/>
      <c r="BD405" s="15" t="s">
        <v>926</v>
      </c>
      <c r="BI405" s="42">
        <v>1</v>
      </c>
      <c r="BJ405" s="15" t="s">
        <v>927</v>
      </c>
      <c r="BK405" s="15" t="s">
        <v>546</v>
      </c>
    </row>
    <row r="406" spans="1:64" ht="19.350000000000001" customHeight="1">
      <c r="A406" s="32">
        <f t="shared" si="44"/>
        <v>380</v>
      </c>
      <c r="B406" s="56" t="s">
        <v>911</v>
      </c>
      <c r="C406" s="78" t="s">
        <v>37</v>
      </c>
      <c r="D406" s="35">
        <f t="shared" si="46"/>
        <v>0.1</v>
      </c>
      <c r="E406" s="108"/>
      <c r="F406" s="35">
        <f t="shared" si="45"/>
        <v>0.1</v>
      </c>
      <c r="G406" s="43"/>
      <c r="H406" s="43"/>
      <c r="I406" s="43"/>
      <c r="J406" s="43"/>
      <c r="K406" s="43"/>
      <c r="L406" s="43"/>
      <c r="M406" s="43">
        <v>0.1</v>
      </c>
      <c r="N406" s="43"/>
      <c r="O406" s="43"/>
      <c r="P406" s="43"/>
      <c r="Q406" s="43"/>
      <c r="R406" s="43"/>
      <c r="S406" s="43"/>
      <c r="T406" s="43"/>
      <c r="U406" s="43"/>
      <c r="V406" s="43"/>
      <c r="W406" s="43"/>
      <c r="X406" s="43"/>
      <c r="Y406" s="43"/>
      <c r="Z406" s="43"/>
      <c r="AA406" s="43"/>
      <c r="AB406" s="43"/>
      <c r="AC406" s="43"/>
      <c r="AD406" s="43"/>
      <c r="AE406" s="43"/>
      <c r="AF406" s="43"/>
      <c r="AG406" s="43"/>
      <c r="AH406" s="43"/>
      <c r="AI406" s="43"/>
      <c r="AJ406" s="43"/>
      <c r="AK406" s="43"/>
      <c r="AL406" s="43"/>
      <c r="AM406" s="43"/>
      <c r="AN406" s="43"/>
      <c r="AO406" s="43"/>
      <c r="AP406" s="43"/>
      <c r="AQ406" s="43"/>
      <c r="AR406" s="43"/>
      <c r="AS406" s="43"/>
      <c r="AT406" s="43"/>
      <c r="AU406" s="43"/>
      <c r="AV406" s="43"/>
      <c r="AW406" s="43"/>
      <c r="AX406" s="43"/>
      <c r="AY406" s="34" t="s">
        <v>241</v>
      </c>
      <c r="AZ406" s="34" t="s">
        <v>305</v>
      </c>
      <c r="BA406" s="47" t="s">
        <v>298</v>
      </c>
      <c r="BB406" s="48" t="s">
        <v>351</v>
      </c>
      <c r="BI406" s="42">
        <v>1</v>
      </c>
      <c r="BJ406" s="15" t="s">
        <v>928</v>
      </c>
      <c r="BK406" s="15" t="s">
        <v>546</v>
      </c>
    </row>
    <row r="407" spans="1:64" s="24" customFormat="1" ht="21" customHeight="1">
      <c r="A407" s="20" t="s">
        <v>929</v>
      </c>
      <c r="B407" s="25" t="s">
        <v>111</v>
      </c>
      <c r="C407" s="26"/>
      <c r="D407" s="27">
        <f t="shared" si="46"/>
        <v>9.07</v>
      </c>
      <c r="E407" s="27">
        <f>SUM(E408:E424)</f>
        <v>3.6300000000000003</v>
      </c>
      <c r="F407" s="27">
        <f t="shared" si="45"/>
        <v>5.44</v>
      </c>
      <c r="G407" s="28">
        <f>SUM(G408:G424)</f>
        <v>0</v>
      </c>
      <c r="H407" s="28">
        <f t="shared" ref="H407:AX407" si="47">SUM(H408:H424)</f>
        <v>0.73</v>
      </c>
      <c r="I407" s="28">
        <f t="shared" si="47"/>
        <v>0.28000000000000003</v>
      </c>
      <c r="J407" s="28">
        <f t="shared" si="47"/>
        <v>1.44</v>
      </c>
      <c r="K407" s="28">
        <f t="shared" si="47"/>
        <v>0</v>
      </c>
      <c r="L407" s="28">
        <f t="shared" si="47"/>
        <v>0</v>
      </c>
      <c r="M407" s="28">
        <f t="shared" si="47"/>
        <v>2.88</v>
      </c>
      <c r="N407" s="28">
        <f t="shared" si="47"/>
        <v>0</v>
      </c>
      <c r="O407" s="28">
        <f t="shared" si="47"/>
        <v>0</v>
      </c>
      <c r="P407" s="28">
        <f t="shared" si="47"/>
        <v>0</v>
      </c>
      <c r="Q407" s="28">
        <f t="shared" si="47"/>
        <v>0</v>
      </c>
      <c r="R407" s="28">
        <f t="shared" si="47"/>
        <v>0</v>
      </c>
      <c r="S407" s="28">
        <f t="shared" si="47"/>
        <v>0</v>
      </c>
      <c r="T407" s="28">
        <f t="shared" si="47"/>
        <v>0</v>
      </c>
      <c r="U407" s="28">
        <f t="shared" si="47"/>
        <v>0</v>
      </c>
      <c r="V407" s="28">
        <f t="shared" si="47"/>
        <v>0</v>
      </c>
      <c r="W407" s="28">
        <f t="shared" si="47"/>
        <v>0</v>
      </c>
      <c r="X407" s="28">
        <f t="shared" si="47"/>
        <v>0</v>
      </c>
      <c r="Y407" s="28">
        <f t="shared" si="47"/>
        <v>0</v>
      </c>
      <c r="Z407" s="28">
        <f t="shared" si="47"/>
        <v>0</v>
      </c>
      <c r="AA407" s="28">
        <f t="shared" si="47"/>
        <v>0</v>
      </c>
      <c r="AB407" s="28">
        <f t="shared" si="47"/>
        <v>0</v>
      </c>
      <c r="AC407" s="28">
        <f t="shared" si="47"/>
        <v>0</v>
      </c>
      <c r="AD407" s="28">
        <f t="shared" si="47"/>
        <v>0</v>
      </c>
      <c r="AE407" s="28">
        <f t="shared" si="47"/>
        <v>0</v>
      </c>
      <c r="AF407" s="28">
        <f t="shared" si="47"/>
        <v>0</v>
      </c>
      <c r="AG407" s="28">
        <f t="shared" si="47"/>
        <v>0</v>
      </c>
      <c r="AH407" s="28">
        <f t="shared" si="47"/>
        <v>0</v>
      </c>
      <c r="AI407" s="28">
        <f t="shared" si="47"/>
        <v>0</v>
      </c>
      <c r="AJ407" s="28">
        <f t="shared" si="47"/>
        <v>0</v>
      </c>
      <c r="AK407" s="28">
        <f t="shared" si="47"/>
        <v>0</v>
      </c>
      <c r="AL407" s="28">
        <f t="shared" si="47"/>
        <v>0</v>
      </c>
      <c r="AM407" s="28">
        <f t="shared" si="47"/>
        <v>0</v>
      </c>
      <c r="AN407" s="28">
        <f t="shared" si="47"/>
        <v>0</v>
      </c>
      <c r="AO407" s="28">
        <f t="shared" si="47"/>
        <v>0</v>
      </c>
      <c r="AP407" s="28">
        <f t="shared" si="47"/>
        <v>0.11</v>
      </c>
      <c r="AQ407" s="28">
        <f t="shared" si="47"/>
        <v>0</v>
      </c>
      <c r="AR407" s="28">
        <f t="shared" si="47"/>
        <v>0</v>
      </c>
      <c r="AS407" s="28">
        <f t="shared" si="47"/>
        <v>0</v>
      </c>
      <c r="AT407" s="28">
        <f t="shared" si="47"/>
        <v>0</v>
      </c>
      <c r="AU407" s="28">
        <f t="shared" si="47"/>
        <v>0</v>
      </c>
      <c r="AV407" s="28">
        <f t="shared" si="47"/>
        <v>0</v>
      </c>
      <c r="AW407" s="28">
        <f t="shared" si="47"/>
        <v>0</v>
      </c>
      <c r="AX407" s="28">
        <f t="shared" si="47"/>
        <v>0</v>
      </c>
      <c r="AY407" s="29"/>
      <c r="AZ407" s="29"/>
      <c r="BA407" s="30"/>
      <c r="BB407" s="31"/>
      <c r="BI407" s="42"/>
    </row>
    <row r="408" spans="1:64">
      <c r="A408" s="32">
        <f>A406+1</f>
        <v>381</v>
      </c>
      <c r="B408" s="56" t="s">
        <v>930</v>
      </c>
      <c r="C408" s="78" t="s">
        <v>38</v>
      </c>
      <c r="D408" s="35">
        <f t="shared" si="46"/>
        <v>0.27</v>
      </c>
      <c r="E408" s="36">
        <v>0.09</v>
      </c>
      <c r="F408" s="35">
        <f t="shared" si="45"/>
        <v>0.18</v>
      </c>
      <c r="G408" s="37"/>
      <c r="H408" s="37"/>
      <c r="I408" s="37"/>
      <c r="J408" s="37"/>
      <c r="K408" s="37"/>
      <c r="L408" s="37"/>
      <c r="M408" s="37">
        <v>0.18</v>
      </c>
      <c r="N408" s="37"/>
      <c r="O408" s="37"/>
      <c r="P408" s="37"/>
      <c r="Q408" s="37"/>
      <c r="R408" s="37"/>
      <c r="S408" s="37"/>
      <c r="T408" s="37"/>
      <c r="U408" s="37"/>
      <c r="V408" s="37"/>
      <c r="W408" s="37"/>
      <c r="X408" s="37"/>
      <c r="Y408" s="37"/>
      <c r="Z408" s="37"/>
      <c r="AA408" s="37"/>
      <c r="AB408" s="37"/>
      <c r="AC408" s="37"/>
      <c r="AD408" s="37"/>
      <c r="AE408" s="37"/>
      <c r="AF408" s="37"/>
      <c r="AG408" s="37"/>
      <c r="AH408" s="37"/>
      <c r="AI408" s="37"/>
      <c r="AJ408" s="37"/>
      <c r="AK408" s="37"/>
      <c r="AL408" s="37"/>
      <c r="AM408" s="37"/>
      <c r="AN408" s="37"/>
      <c r="AO408" s="37"/>
      <c r="AP408" s="37"/>
      <c r="AQ408" s="37"/>
      <c r="AR408" s="37"/>
      <c r="AS408" s="37"/>
      <c r="AT408" s="37"/>
      <c r="AU408" s="37"/>
      <c r="AV408" s="37"/>
      <c r="AW408" s="37"/>
      <c r="AX408" s="37"/>
      <c r="AY408" s="34" t="s">
        <v>221</v>
      </c>
      <c r="AZ408" s="34" t="s">
        <v>451</v>
      </c>
      <c r="BA408" s="39" t="s">
        <v>291</v>
      </c>
      <c r="BB408" s="40"/>
      <c r="BC408" s="15" t="s">
        <v>931</v>
      </c>
      <c r="BE408" s="41"/>
      <c r="BG408" s="15" t="s">
        <v>407</v>
      </c>
      <c r="BI408" s="42">
        <v>1</v>
      </c>
    </row>
    <row r="409" spans="1:64" ht="17.850000000000001" customHeight="1">
      <c r="A409" s="32">
        <f>A408+1</f>
        <v>382</v>
      </c>
      <c r="B409" s="56" t="s">
        <v>932</v>
      </c>
      <c r="C409" s="78" t="s">
        <v>38</v>
      </c>
      <c r="D409" s="35">
        <f t="shared" si="46"/>
        <v>0.21</v>
      </c>
      <c r="E409" s="36">
        <v>0.09</v>
      </c>
      <c r="F409" s="35">
        <f t="shared" si="45"/>
        <v>0.12</v>
      </c>
      <c r="G409" s="37"/>
      <c r="H409" s="37"/>
      <c r="I409" s="37"/>
      <c r="J409" s="37"/>
      <c r="K409" s="107"/>
      <c r="L409" s="37"/>
      <c r="M409" s="37">
        <v>0.12</v>
      </c>
      <c r="N409" s="37"/>
      <c r="O409" s="37"/>
      <c r="P409" s="37"/>
      <c r="Q409" s="37"/>
      <c r="R409" s="37"/>
      <c r="S409" s="37"/>
      <c r="T409" s="37"/>
      <c r="U409" s="37"/>
      <c r="V409" s="37"/>
      <c r="W409" s="37"/>
      <c r="X409" s="37"/>
      <c r="Y409" s="37"/>
      <c r="Z409" s="37"/>
      <c r="AA409" s="37"/>
      <c r="AB409" s="37"/>
      <c r="AC409" s="37"/>
      <c r="AD409" s="37"/>
      <c r="AE409" s="37"/>
      <c r="AF409" s="37"/>
      <c r="AG409" s="37"/>
      <c r="AH409" s="37"/>
      <c r="AI409" s="37"/>
      <c r="AJ409" s="37"/>
      <c r="AK409" s="37"/>
      <c r="AL409" s="37"/>
      <c r="AM409" s="37"/>
      <c r="AN409" s="37"/>
      <c r="AO409" s="37"/>
      <c r="AP409" s="37"/>
      <c r="AQ409" s="37"/>
      <c r="AR409" s="37"/>
      <c r="AS409" s="37"/>
      <c r="AT409" s="37"/>
      <c r="AU409" s="37"/>
      <c r="AV409" s="37"/>
      <c r="AW409" s="37"/>
      <c r="AX409" s="37"/>
      <c r="AY409" s="34" t="s">
        <v>221</v>
      </c>
      <c r="AZ409" s="34" t="s">
        <v>308</v>
      </c>
      <c r="BA409" s="47" t="s">
        <v>298</v>
      </c>
      <c r="BB409" s="48"/>
      <c r="BE409" s="41"/>
      <c r="BI409" s="42">
        <v>1</v>
      </c>
    </row>
    <row r="410" spans="1:64" ht="17.850000000000001" customHeight="1">
      <c r="A410" s="32">
        <f>A409+1</f>
        <v>383</v>
      </c>
      <c r="B410" s="56" t="s">
        <v>933</v>
      </c>
      <c r="C410" s="78" t="s">
        <v>38</v>
      </c>
      <c r="D410" s="35">
        <f t="shared" si="46"/>
        <v>0.64</v>
      </c>
      <c r="E410" s="36">
        <v>0.44</v>
      </c>
      <c r="F410" s="35">
        <f t="shared" si="45"/>
        <v>0.2</v>
      </c>
      <c r="G410" s="37"/>
      <c r="H410" s="37"/>
      <c r="I410" s="37"/>
      <c r="J410" s="37"/>
      <c r="K410" s="107"/>
      <c r="L410" s="37"/>
      <c r="M410" s="37">
        <v>0.2</v>
      </c>
      <c r="N410" s="37"/>
      <c r="O410" s="37"/>
      <c r="P410" s="37"/>
      <c r="Q410" s="37"/>
      <c r="R410" s="37"/>
      <c r="S410" s="37"/>
      <c r="T410" s="37"/>
      <c r="U410" s="37"/>
      <c r="V410" s="37"/>
      <c r="W410" s="37"/>
      <c r="X410" s="37"/>
      <c r="Y410" s="37"/>
      <c r="Z410" s="37"/>
      <c r="AA410" s="37"/>
      <c r="AB410" s="37"/>
      <c r="AC410" s="37"/>
      <c r="AD410" s="37"/>
      <c r="AE410" s="37"/>
      <c r="AF410" s="37"/>
      <c r="AG410" s="37"/>
      <c r="AH410" s="37"/>
      <c r="AI410" s="37"/>
      <c r="AJ410" s="37"/>
      <c r="AK410" s="37"/>
      <c r="AL410" s="37"/>
      <c r="AM410" s="37"/>
      <c r="AN410" s="37"/>
      <c r="AO410" s="37"/>
      <c r="AP410" s="37"/>
      <c r="AQ410" s="37"/>
      <c r="AR410" s="37"/>
      <c r="AS410" s="37"/>
      <c r="AT410" s="37"/>
      <c r="AU410" s="37"/>
      <c r="AV410" s="37"/>
      <c r="AW410" s="37"/>
      <c r="AX410" s="37"/>
      <c r="AY410" s="34" t="s">
        <v>221</v>
      </c>
      <c r="AZ410" s="34" t="s">
        <v>387</v>
      </c>
      <c r="BA410" s="47" t="s">
        <v>298</v>
      </c>
      <c r="BB410" s="48"/>
      <c r="BC410" s="15" t="s">
        <v>381</v>
      </c>
      <c r="BE410" s="41"/>
      <c r="BI410" s="42">
        <v>1</v>
      </c>
    </row>
    <row r="411" spans="1:64" s="61" customFormat="1" ht="17.850000000000001" customHeight="1">
      <c r="A411" s="32">
        <f t="shared" ref="A411:A424" si="48">A410+1</f>
        <v>384</v>
      </c>
      <c r="B411" s="88" t="s">
        <v>934</v>
      </c>
      <c r="C411" s="78" t="s">
        <v>38</v>
      </c>
      <c r="D411" s="35">
        <f t="shared" si="46"/>
        <v>0.55000000000000004</v>
      </c>
      <c r="E411" s="35"/>
      <c r="F411" s="35">
        <f t="shared" ref="F411:F424" si="49">SUM(G411:AX411)</f>
        <v>0.55000000000000004</v>
      </c>
      <c r="G411" s="43"/>
      <c r="H411" s="43"/>
      <c r="I411" s="43"/>
      <c r="J411" s="43">
        <v>7.0000000000000007E-2</v>
      </c>
      <c r="K411" s="43"/>
      <c r="L411" s="43"/>
      <c r="M411" s="43">
        <v>0.48</v>
      </c>
      <c r="N411" s="43"/>
      <c r="O411" s="43"/>
      <c r="P411" s="43"/>
      <c r="Q411" s="43"/>
      <c r="R411" s="43"/>
      <c r="S411" s="43"/>
      <c r="T411" s="43"/>
      <c r="U411" s="43"/>
      <c r="V411" s="43"/>
      <c r="W411" s="43"/>
      <c r="X411" s="43"/>
      <c r="Y411" s="43"/>
      <c r="Z411" s="43"/>
      <c r="AA411" s="43"/>
      <c r="AB411" s="43"/>
      <c r="AC411" s="43"/>
      <c r="AD411" s="43"/>
      <c r="AE411" s="43"/>
      <c r="AF411" s="43"/>
      <c r="AG411" s="43"/>
      <c r="AH411" s="43"/>
      <c r="AI411" s="43"/>
      <c r="AJ411" s="43"/>
      <c r="AK411" s="43"/>
      <c r="AL411" s="43"/>
      <c r="AM411" s="43"/>
      <c r="AN411" s="43"/>
      <c r="AO411" s="43"/>
      <c r="AP411" s="43"/>
      <c r="AQ411" s="43"/>
      <c r="AR411" s="43"/>
      <c r="AS411" s="43"/>
      <c r="AT411" s="43"/>
      <c r="AU411" s="43"/>
      <c r="AV411" s="43"/>
      <c r="AW411" s="43"/>
      <c r="AX411" s="43"/>
      <c r="AY411" s="34" t="s">
        <v>222</v>
      </c>
      <c r="AZ411" s="34" t="s">
        <v>410</v>
      </c>
      <c r="BA411" s="47" t="s">
        <v>298</v>
      </c>
      <c r="BB411" s="48"/>
      <c r="BC411" s="15"/>
      <c r="BD411" s="15"/>
      <c r="BE411" s="15"/>
      <c r="BF411" s="15"/>
      <c r="BI411" s="42">
        <v>1</v>
      </c>
      <c r="BL411" s="61" t="s">
        <v>935</v>
      </c>
    </row>
    <row r="412" spans="1:64" s="49" customFormat="1" ht="17.850000000000001" customHeight="1">
      <c r="A412" s="32">
        <f t="shared" si="48"/>
        <v>385</v>
      </c>
      <c r="B412" s="60" t="s">
        <v>936</v>
      </c>
      <c r="C412" s="78" t="s">
        <v>38</v>
      </c>
      <c r="D412" s="35">
        <f t="shared" si="46"/>
        <v>1.1199999999999999</v>
      </c>
      <c r="E412" s="45">
        <v>0.17</v>
      </c>
      <c r="F412" s="35">
        <f t="shared" si="49"/>
        <v>0.95</v>
      </c>
      <c r="G412" s="46"/>
      <c r="H412" s="46"/>
      <c r="I412" s="46"/>
      <c r="J412" s="46"/>
      <c r="K412" s="46"/>
      <c r="L412" s="46"/>
      <c r="M412" s="46">
        <v>0.95</v>
      </c>
      <c r="N412" s="46"/>
      <c r="O412" s="46"/>
      <c r="P412" s="46"/>
      <c r="Q412" s="46"/>
      <c r="R412" s="46"/>
      <c r="S412" s="46"/>
      <c r="T412" s="46"/>
      <c r="U412" s="46"/>
      <c r="V412" s="46"/>
      <c r="W412" s="46"/>
      <c r="X412" s="46"/>
      <c r="Y412" s="46"/>
      <c r="Z412" s="46"/>
      <c r="AA412" s="46"/>
      <c r="AB412" s="46"/>
      <c r="AC412" s="46"/>
      <c r="AD412" s="46"/>
      <c r="AE412" s="46"/>
      <c r="AF412" s="46"/>
      <c r="AG412" s="46"/>
      <c r="AH412" s="46"/>
      <c r="AI412" s="46"/>
      <c r="AJ412" s="46"/>
      <c r="AK412" s="46"/>
      <c r="AL412" s="46"/>
      <c r="AM412" s="46"/>
      <c r="AN412" s="46"/>
      <c r="AO412" s="46"/>
      <c r="AP412" s="46"/>
      <c r="AQ412" s="46"/>
      <c r="AR412" s="46"/>
      <c r="AS412" s="46"/>
      <c r="AT412" s="46"/>
      <c r="AU412" s="46"/>
      <c r="AV412" s="46"/>
      <c r="AW412" s="46"/>
      <c r="AX412" s="46"/>
      <c r="AY412" s="47" t="s">
        <v>224</v>
      </c>
      <c r="AZ412" s="47" t="s">
        <v>389</v>
      </c>
      <c r="BA412" s="47" t="s">
        <v>298</v>
      </c>
      <c r="BB412" s="48"/>
      <c r="BC412" s="49" t="s">
        <v>937</v>
      </c>
      <c r="BI412" s="42">
        <v>1</v>
      </c>
      <c r="BK412" s="50"/>
    </row>
    <row r="413" spans="1:64" ht="17.850000000000001" customHeight="1">
      <c r="A413" s="32">
        <f t="shared" si="48"/>
        <v>386</v>
      </c>
      <c r="B413" s="33" t="s">
        <v>938</v>
      </c>
      <c r="C413" s="78" t="s">
        <v>38</v>
      </c>
      <c r="D413" s="35">
        <f t="shared" si="46"/>
        <v>0.91</v>
      </c>
      <c r="E413" s="108">
        <v>0.81</v>
      </c>
      <c r="F413" s="35">
        <f t="shared" si="49"/>
        <v>0.1</v>
      </c>
      <c r="G413" s="109"/>
      <c r="H413" s="109"/>
      <c r="I413" s="109">
        <v>0.1</v>
      </c>
      <c r="J413" s="109"/>
      <c r="K413" s="37"/>
      <c r="L413" s="37"/>
      <c r="M413" s="109"/>
      <c r="N413" s="37"/>
      <c r="O413" s="37"/>
      <c r="P413" s="109"/>
      <c r="Q413" s="37"/>
      <c r="R413" s="37"/>
      <c r="S413" s="37"/>
      <c r="T413" s="37"/>
      <c r="U413" s="37"/>
      <c r="V413" s="37"/>
      <c r="W413" s="37"/>
      <c r="X413" s="37"/>
      <c r="Y413" s="37"/>
      <c r="Z413" s="37"/>
      <c r="AA413" s="37"/>
      <c r="AB413" s="37"/>
      <c r="AC413" s="37"/>
      <c r="AD413" s="37"/>
      <c r="AE413" s="37"/>
      <c r="AF413" s="37"/>
      <c r="AG413" s="37"/>
      <c r="AH413" s="37"/>
      <c r="AI413" s="109"/>
      <c r="AJ413" s="37"/>
      <c r="AK413" s="37"/>
      <c r="AL413" s="37"/>
      <c r="AM413" s="37"/>
      <c r="AN413" s="37"/>
      <c r="AO413" s="37"/>
      <c r="AP413" s="37"/>
      <c r="AQ413" s="37"/>
      <c r="AR413" s="109"/>
      <c r="AS413" s="109"/>
      <c r="AT413" s="109"/>
      <c r="AU413" s="109"/>
      <c r="AV413" s="109"/>
      <c r="AW413" s="109"/>
      <c r="AX413" s="109"/>
      <c r="AY413" s="34" t="s">
        <v>225</v>
      </c>
      <c r="AZ413" s="34" t="s">
        <v>939</v>
      </c>
      <c r="BA413" s="63" t="s">
        <v>291</v>
      </c>
      <c r="BB413" s="64"/>
      <c r="BD413" s="15" t="s">
        <v>940</v>
      </c>
      <c r="BE413" s="41"/>
      <c r="BI413" s="42">
        <v>1</v>
      </c>
      <c r="BJ413" s="15" t="s">
        <v>941</v>
      </c>
      <c r="BK413" s="15" t="s">
        <v>546</v>
      </c>
    </row>
    <row r="414" spans="1:64" ht="17.850000000000001" customHeight="1">
      <c r="A414" s="32">
        <f t="shared" si="48"/>
        <v>387</v>
      </c>
      <c r="B414" s="33" t="s">
        <v>942</v>
      </c>
      <c r="C414" s="78" t="s">
        <v>38</v>
      </c>
      <c r="D414" s="35">
        <f t="shared" si="46"/>
        <v>0.7</v>
      </c>
      <c r="E414" s="108">
        <v>0.25</v>
      </c>
      <c r="F414" s="35">
        <f t="shared" si="49"/>
        <v>0.45</v>
      </c>
      <c r="G414" s="109"/>
      <c r="H414" s="109">
        <v>0.45</v>
      </c>
      <c r="I414" s="109"/>
      <c r="J414" s="109"/>
      <c r="K414" s="37"/>
      <c r="L414" s="37"/>
      <c r="M414" s="109"/>
      <c r="N414" s="37"/>
      <c r="O414" s="37"/>
      <c r="P414" s="109"/>
      <c r="Q414" s="37"/>
      <c r="R414" s="37"/>
      <c r="S414" s="37"/>
      <c r="T414" s="37"/>
      <c r="U414" s="37"/>
      <c r="V414" s="37"/>
      <c r="W414" s="37"/>
      <c r="X414" s="37"/>
      <c r="Y414" s="37"/>
      <c r="Z414" s="37"/>
      <c r="AA414" s="37"/>
      <c r="AB414" s="37"/>
      <c r="AC414" s="37"/>
      <c r="AD414" s="37"/>
      <c r="AE414" s="37"/>
      <c r="AF414" s="37"/>
      <c r="AG414" s="37"/>
      <c r="AH414" s="37"/>
      <c r="AI414" s="109"/>
      <c r="AJ414" s="37"/>
      <c r="AK414" s="37"/>
      <c r="AL414" s="37"/>
      <c r="AM414" s="37"/>
      <c r="AN414" s="37"/>
      <c r="AO414" s="37"/>
      <c r="AP414" s="37"/>
      <c r="AQ414" s="37"/>
      <c r="AR414" s="109"/>
      <c r="AS414" s="109"/>
      <c r="AT414" s="109"/>
      <c r="AU414" s="109"/>
      <c r="AV414" s="109"/>
      <c r="AW414" s="109"/>
      <c r="AX414" s="109"/>
      <c r="AY414" s="34" t="s">
        <v>225</v>
      </c>
      <c r="AZ414" s="34" t="s">
        <v>943</v>
      </c>
      <c r="BA414" s="47" t="s">
        <v>298</v>
      </c>
      <c r="BB414" s="48"/>
      <c r="BE414" s="41"/>
      <c r="BI414" s="42">
        <v>1</v>
      </c>
    </row>
    <row r="415" spans="1:64" s="24" customFormat="1" ht="17.850000000000001" customHeight="1">
      <c r="A415" s="32">
        <f t="shared" si="48"/>
        <v>388</v>
      </c>
      <c r="B415" s="56" t="s">
        <v>944</v>
      </c>
      <c r="C415" s="78" t="s">
        <v>38</v>
      </c>
      <c r="D415" s="35">
        <f t="shared" si="46"/>
        <v>1.17</v>
      </c>
      <c r="E415" s="36">
        <v>0.4</v>
      </c>
      <c r="F415" s="35">
        <f t="shared" si="49"/>
        <v>0.77</v>
      </c>
      <c r="G415" s="37"/>
      <c r="H415" s="37">
        <v>0.28000000000000003</v>
      </c>
      <c r="I415" s="37"/>
      <c r="J415" s="37">
        <v>0.38</v>
      </c>
      <c r="K415" s="37"/>
      <c r="L415" s="37"/>
      <c r="M415" s="37"/>
      <c r="N415" s="37"/>
      <c r="O415" s="37"/>
      <c r="P415" s="37"/>
      <c r="Q415" s="37"/>
      <c r="R415" s="37"/>
      <c r="S415" s="37"/>
      <c r="T415" s="37"/>
      <c r="U415" s="37"/>
      <c r="V415" s="37"/>
      <c r="W415" s="37"/>
      <c r="X415" s="37"/>
      <c r="Y415" s="37"/>
      <c r="Z415" s="37"/>
      <c r="AA415" s="37"/>
      <c r="AB415" s="37"/>
      <c r="AC415" s="37"/>
      <c r="AD415" s="37"/>
      <c r="AE415" s="37"/>
      <c r="AF415" s="37"/>
      <c r="AG415" s="37"/>
      <c r="AH415" s="37"/>
      <c r="AI415" s="37"/>
      <c r="AJ415" s="37"/>
      <c r="AK415" s="37"/>
      <c r="AL415" s="37"/>
      <c r="AM415" s="37"/>
      <c r="AN415" s="37"/>
      <c r="AO415" s="37"/>
      <c r="AP415" s="37">
        <v>0.11</v>
      </c>
      <c r="AQ415" s="37"/>
      <c r="AR415" s="37"/>
      <c r="AS415" s="37"/>
      <c r="AT415" s="37"/>
      <c r="AU415" s="37"/>
      <c r="AV415" s="37"/>
      <c r="AW415" s="37"/>
      <c r="AX415" s="37"/>
      <c r="AY415" s="34" t="s">
        <v>487</v>
      </c>
      <c r="AZ415" s="34" t="s">
        <v>945</v>
      </c>
      <c r="BA415" s="63" t="s">
        <v>291</v>
      </c>
      <c r="BB415" s="40"/>
      <c r="BE415" s="41"/>
      <c r="BF415" s="135"/>
      <c r="BG415" s="24" t="s">
        <v>946</v>
      </c>
      <c r="BI415" s="42">
        <v>1</v>
      </c>
    </row>
    <row r="416" spans="1:64" ht="17.850000000000001" customHeight="1">
      <c r="A416" s="32">
        <f t="shared" si="48"/>
        <v>389</v>
      </c>
      <c r="B416" s="56" t="s">
        <v>947</v>
      </c>
      <c r="C416" s="78" t="s">
        <v>38</v>
      </c>
      <c r="D416" s="35">
        <f t="shared" si="46"/>
        <v>0.1</v>
      </c>
      <c r="E416" s="36">
        <v>7.0000000000000007E-2</v>
      </c>
      <c r="F416" s="35">
        <f t="shared" si="49"/>
        <v>0.03</v>
      </c>
      <c r="G416" s="37"/>
      <c r="H416" s="37"/>
      <c r="I416" s="37"/>
      <c r="J416" s="37">
        <v>0.03</v>
      </c>
      <c r="K416" s="37"/>
      <c r="L416" s="37"/>
      <c r="M416" s="37"/>
      <c r="N416" s="37"/>
      <c r="O416" s="37"/>
      <c r="P416" s="37"/>
      <c r="Q416" s="37"/>
      <c r="R416" s="37"/>
      <c r="S416" s="37"/>
      <c r="T416" s="37"/>
      <c r="U416" s="37"/>
      <c r="V416" s="37"/>
      <c r="W416" s="37"/>
      <c r="X416" s="37"/>
      <c r="Y416" s="37"/>
      <c r="Z416" s="37"/>
      <c r="AA416" s="37"/>
      <c r="AB416" s="37"/>
      <c r="AC416" s="37"/>
      <c r="AD416" s="37"/>
      <c r="AE416" s="37"/>
      <c r="AF416" s="37"/>
      <c r="AG416" s="37"/>
      <c r="AH416" s="37"/>
      <c r="AI416" s="37"/>
      <c r="AJ416" s="37"/>
      <c r="AK416" s="37"/>
      <c r="AL416" s="37"/>
      <c r="AM416" s="37"/>
      <c r="AN416" s="37"/>
      <c r="AO416" s="37"/>
      <c r="AP416" s="37"/>
      <c r="AQ416" s="37"/>
      <c r="AR416" s="37"/>
      <c r="AS416" s="37"/>
      <c r="AT416" s="37"/>
      <c r="AU416" s="37"/>
      <c r="AV416" s="37"/>
      <c r="AW416" s="37"/>
      <c r="AX416" s="37"/>
      <c r="AY416" s="34" t="s">
        <v>231</v>
      </c>
      <c r="AZ416" s="34" t="s">
        <v>387</v>
      </c>
      <c r="BA416" s="39" t="s">
        <v>291</v>
      </c>
      <c r="BB416" s="40"/>
      <c r="BE416" s="41"/>
      <c r="BI416" s="42">
        <v>1</v>
      </c>
    </row>
    <row r="417" spans="1:63" ht="17.850000000000001" customHeight="1">
      <c r="A417" s="32">
        <f t="shared" si="48"/>
        <v>390</v>
      </c>
      <c r="B417" s="56" t="s">
        <v>948</v>
      </c>
      <c r="C417" s="78" t="s">
        <v>38</v>
      </c>
      <c r="D417" s="35">
        <f t="shared" si="46"/>
        <v>0.2</v>
      </c>
      <c r="E417" s="36"/>
      <c r="F417" s="35">
        <f t="shared" si="49"/>
        <v>0.2</v>
      </c>
      <c r="G417" s="37"/>
      <c r="H417" s="37"/>
      <c r="I417" s="37"/>
      <c r="J417" s="37"/>
      <c r="K417" s="37"/>
      <c r="L417" s="37"/>
      <c r="M417" s="37">
        <v>0.2</v>
      </c>
      <c r="N417" s="37"/>
      <c r="O417" s="37"/>
      <c r="P417" s="37"/>
      <c r="Q417" s="37"/>
      <c r="R417" s="37"/>
      <c r="S417" s="37"/>
      <c r="T417" s="37"/>
      <c r="U417" s="37"/>
      <c r="V417" s="37"/>
      <c r="W417" s="37"/>
      <c r="X417" s="37"/>
      <c r="Y417" s="37"/>
      <c r="Z417" s="37"/>
      <c r="AA417" s="37"/>
      <c r="AB417" s="37"/>
      <c r="AC417" s="37"/>
      <c r="AD417" s="37"/>
      <c r="AE417" s="37"/>
      <c r="AF417" s="37"/>
      <c r="AG417" s="37"/>
      <c r="AH417" s="37"/>
      <c r="AI417" s="37"/>
      <c r="AJ417" s="37"/>
      <c r="AK417" s="37"/>
      <c r="AL417" s="37"/>
      <c r="AM417" s="37"/>
      <c r="AN417" s="37"/>
      <c r="AO417" s="37"/>
      <c r="AP417" s="37"/>
      <c r="AQ417" s="37"/>
      <c r="AR417" s="37"/>
      <c r="AS417" s="37"/>
      <c r="AT417" s="37"/>
      <c r="AU417" s="37"/>
      <c r="AV417" s="37"/>
      <c r="AW417" s="37"/>
      <c r="AX417" s="37"/>
      <c r="AY417" s="34" t="s">
        <v>232</v>
      </c>
      <c r="AZ417" s="34" t="s">
        <v>410</v>
      </c>
      <c r="BA417" s="63" t="s">
        <v>291</v>
      </c>
      <c r="BB417" s="64"/>
      <c r="BD417" s="15" t="s">
        <v>18</v>
      </c>
      <c r="BE417" s="41"/>
      <c r="BI417" s="42">
        <v>1</v>
      </c>
    </row>
    <row r="418" spans="1:63" s="71" customFormat="1" ht="20.85" customHeight="1">
      <c r="A418" s="32">
        <f t="shared" si="48"/>
        <v>391</v>
      </c>
      <c r="B418" s="66" t="s">
        <v>949</v>
      </c>
      <c r="C418" s="118" t="s">
        <v>38</v>
      </c>
      <c r="D418" s="35">
        <f t="shared" si="46"/>
        <v>0.3</v>
      </c>
      <c r="E418" s="67">
        <v>0.12</v>
      </c>
      <c r="F418" s="35">
        <f>SUM(G418:AX418)</f>
        <v>0.18</v>
      </c>
      <c r="G418" s="68"/>
      <c r="H418" s="68"/>
      <c r="I418" s="68">
        <v>0.18</v>
      </c>
      <c r="J418" s="68"/>
      <c r="K418" s="68"/>
      <c r="L418" s="68"/>
      <c r="M418" s="68"/>
      <c r="N418" s="68"/>
      <c r="O418" s="68"/>
      <c r="P418" s="68"/>
      <c r="Q418" s="68"/>
      <c r="R418" s="68"/>
      <c r="S418" s="68"/>
      <c r="T418" s="68"/>
      <c r="U418" s="68"/>
      <c r="V418" s="68"/>
      <c r="W418" s="68"/>
      <c r="X418" s="68"/>
      <c r="Y418" s="68"/>
      <c r="Z418" s="68"/>
      <c r="AA418" s="68"/>
      <c r="AB418" s="68"/>
      <c r="AC418" s="68"/>
      <c r="AD418" s="68"/>
      <c r="AE418" s="68"/>
      <c r="AF418" s="68"/>
      <c r="AG418" s="68"/>
      <c r="AH418" s="68"/>
      <c r="AI418" s="68"/>
      <c r="AJ418" s="68"/>
      <c r="AK418" s="68"/>
      <c r="AL418" s="68"/>
      <c r="AM418" s="68"/>
      <c r="AN418" s="68"/>
      <c r="AO418" s="68"/>
      <c r="AP418" s="68"/>
      <c r="AQ418" s="68"/>
      <c r="AR418" s="68"/>
      <c r="AS418" s="68"/>
      <c r="AT418" s="68"/>
      <c r="AU418" s="68"/>
      <c r="AV418" s="68"/>
      <c r="AW418" s="68"/>
      <c r="AX418" s="68"/>
      <c r="AY418" s="70" t="s">
        <v>226</v>
      </c>
      <c r="AZ418" s="70" t="s">
        <v>950</v>
      </c>
      <c r="BA418" s="70" t="s">
        <v>291</v>
      </c>
      <c r="BB418" s="81"/>
      <c r="BC418" s="71" t="s">
        <v>951</v>
      </c>
      <c r="BG418" s="71" t="s">
        <v>299</v>
      </c>
      <c r="BI418" s="42">
        <v>1</v>
      </c>
      <c r="BK418" s="72"/>
    </row>
    <row r="419" spans="1:63" s="49" customFormat="1" ht="17.850000000000001" customHeight="1">
      <c r="A419" s="32">
        <f>A418+1</f>
        <v>392</v>
      </c>
      <c r="B419" s="136" t="s">
        <v>952</v>
      </c>
      <c r="C419" s="78" t="s">
        <v>38</v>
      </c>
      <c r="D419" s="35">
        <f t="shared" si="46"/>
        <v>0.41</v>
      </c>
      <c r="E419" s="36">
        <v>0.41</v>
      </c>
      <c r="F419" s="89">
        <f t="shared" si="49"/>
        <v>0</v>
      </c>
      <c r="G419" s="46"/>
      <c r="H419" s="46"/>
      <c r="I419" s="46"/>
      <c r="J419" s="46"/>
      <c r="K419" s="46"/>
      <c r="L419" s="46"/>
      <c r="M419" s="46"/>
      <c r="N419" s="46"/>
      <c r="O419" s="46"/>
      <c r="P419" s="46"/>
      <c r="Q419" s="46"/>
      <c r="R419" s="46"/>
      <c r="S419" s="46"/>
      <c r="T419" s="46"/>
      <c r="U419" s="46"/>
      <c r="V419" s="46"/>
      <c r="W419" s="46"/>
      <c r="X419" s="46"/>
      <c r="Y419" s="46"/>
      <c r="Z419" s="46"/>
      <c r="AA419" s="46"/>
      <c r="AB419" s="46"/>
      <c r="AC419" s="46"/>
      <c r="AD419" s="46"/>
      <c r="AE419" s="46"/>
      <c r="AF419" s="46"/>
      <c r="AG419" s="46"/>
      <c r="AH419" s="46"/>
      <c r="AI419" s="46"/>
      <c r="AJ419" s="46"/>
      <c r="AK419" s="46"/>
      <c r="AL419" s="46"/>
      <c r="AM419" s="46"/>
      <c r="AN419" s="46"/>
      <c r="AO419" s="46"/>
      <c r="AP419" s="46"/>
      <c r="AQ419" s="46"/>
      <c r="AR419" s="46"/>
      <c r="AS419" s="46"/>
      <c r="AT419" s="46"/>
      <c r="AU419" s="46"/>
      <c r="AV419" s="46"/>
      <c r="AW419" s="46"/>
      <c r="AX419" s="46"/>
      <c r="AY419" s="47" t="s">
        <v>953</v>
      </c>
      <c r="AZ419" s="47" t="s">
        <v>954</v>
      </c>
      <c r="BA419" s="93" t="s">
        <v>291</v>
      </c>
      <c r="BB419" s="50"/>
      <c r="BI419" s="42">
        <v>1</v>
      </c>
      <c r="BK419" s="50"/>
    </row>
    <row r="420" spans="1:63" s="49" customFormat="1" ht="17.850000000000001" customHeight="1">
      <c r="A420" s="32">
        <f t="shared" si="48"/>
        <v>393</v>
      </c>
      <c r="B420" s="136" t="s">
        <v>955</v>
      </c>
      <c r="C420" s="78" t="s">
        <v>38</v>
      </c>
      <c r="D420" s="35">
        <f t="shared" si="46"/>
        <v>0.27</v>
      </c>
      <c r="E420" s="36">
        <v>0.17</v>
      </c>
      <c r="F420" s="35">
        <f t="shared" si="49"/>
        <v>0.1</v>
      </c>
      <c r="G420" s="46"/>
      <c r="H420" s="46"/>
      <c r="I420" s="46"/>
      <c r="J420" s="46"/>
      <c r="K420" s="46"/>
      <c r="L420" s="46"/>
      <c r="M420" s="46">
        <v>0.1</v>
      </c>
      <c r="N420" s="46"/>
      <c r="O420" s="46"/>
      <c r="P420" s="46"/>
      <c r="Q420" s="46"/>
      <c r="R420" s="46"/>
      <c r="S420" s="46"/>
      <c r="T420" s="46"/>
      <c r="U420" s="46"/>
      <c r="V420" s="46"/>
      <c r="W420" s="46"/>
      <c r="X420" s="46"/>
      <c r="Y420" s="46"/>
      <c r="Z420" s="46"/>
      <c r="AA420" s="46"/>
      <c r="AB420" s="46"/>
      <c r="AC420" s="46"/>
      <c r="AD420" s="46"/>
      <c r="AE420" s="46"/>
      <c r="AF420" s="46"/>
      <c r="AG420" s="46"/>
      <c r="AH420" s="46"/>
      <c r="AI420" s="46"/>
      <c r="AJ420" s="46"/>
      <c r="AK420" s="46"/>
      <c r="AL420" s="46"/>
      <c r="AM420" s="46"/>
      <c r="AN420" s="46"/>
      <c r="AO420" s="46"/>
      <c r="AP420" s="46"/>
      <c r="AQ420" s="46"/>
      <c r="AR420" s="46"/>
      <c r="AS420" s="46"/>
      <c r="AT420" s="46"/>
      <c r="AU420" s="46"/>
      <c r="AV420" s="46"/>
      <c r="AW420" s="46"/>
      <c r="AX420" s="46"/>
      <c r="AY420" s="47" t="s">
        <v>953</v>
      </c>
      <c r="AZ420" s="47" t="s">
        <v>956</v>
      </c>
      <c r="BA420" s="93" t="s">
        <v>291</v>
      </c>
      <c r="BB420" s="50"/>
      <c r="BI420" s="42">
        <v>1</v>
      </c>
      <c r="BK420" s="50"/>
    </row>
    <row r="421" spans="1:63" s="49" customFormat="1" ht="17.850000000000001" customHeight="1">
      <c r="A421" s="32">
        <f t="shared" si="48"/>
        <v>394</v>
      </c>
      <c r="B421" s="60" t="s">
        <v>957</v>
      </c>
      <c r="C421" s="78" t="s">
        <v>38</v>
      </c>
      <c r="D421" s="35">
        <f t="shared" si="46"/>
        <v>0.44</v>
      </c>
      <c r="E421" s="36">
        <v>0.14000000000000001</v>
      </c>
      <c r="F421" s="35">
        <f t="shared" si="49"/>
        <v>0.3</v>
      </c>
      <c r="G421" s="46"/>
      <c r="H421" s="46"/>
      <c r="I421" s="46"/>
      <c r="J421" s="46"/>
      <c r="K421" s="46"/>
      <c r="L421" s="46"/>
      <c r="M421" s="46">
        <v>0.3</v>
      </c>
      <c r="N421" s="46"/>
      <c r="O421" s="46"/>
      <c r="P421" s="46"/>
      <c r="Q421" s="46"/>
      <c r="R421" s="46"/>
      <c r="S421" s="46"/>
      <c r="T421" s="46"/>
      <c r="U421" s="46"/>
      <c r="V421" s="46"/>
      <c r="W421" s="46"/>
      <c r="X421" s="46"/>
      <c r="Y421" s="46"/>
      <c r="Z421" s="46"/>
      <c r="AA421" s="46"/>
      <c r="AB421" s="46"/>
      <c r="AC421" s="46"/>
      <c r="AD421" s="46"/>
      <c r="AE421" s="46"/>
      <c r="AF421" s="46"/>
      <c r="AG421" s="46"/>
      <c r="AH421" s="46"/>
      <c r="AI421" s="46"/>
      <c r="AJ421" s="46"/>
      <c r="AK421" s="46"/>
      <c r="AL421" s="46"/>
      <c r="AM421" s="46"/>
      <c r="AN421" s="46"/>
      <c r="AO421" s="46"/>
      <c r="AP421" s="46"/>
      <c r="AQ421" s="46"/>
      <c r="AR421" s="46"/>
      <c r="AS421" s="46"/>
      <c r="AT421" s="46"/>
      <c r="AU421" s="46"/>
      <c r="AV421" s="46"/>
      <c r="AW421" s="46"/>
      <c r="AX421" s="46"/>
      <c r="AY421" s="47" t="s">
        <v>234</v>
      </c>
      <c r="AZ421" s="47" t="s">
        <v>387</v>
      </c>
      <c r="BA421" s="93" t="s">
        <v>291</v>
      </c>
      <c r="BB421" s="50"/>
      <c r="BD421" s="49" t="s">
        <v>299</v>
      </c>
      <c r="BI421" s="42">
        <v>1</v>
      </c>
      <c r="BK421" s="50"/>
    </row>
    <row r="422" spans="1:63" ht="17.850000000000001" customHeight="1">
      <c r="A422" s="32">
        <f t="shared" si="48"/>
        <v>395</v>
      </c>
      <c r="B422" s="33" t="s">
        <v>958</v>
      </c>
      <c r="C422" s="78" t="s">
        <v>38</v>
      </c>
      <c r="D422" s="35">
        <f t="shared" si="46"/>
        <v>1.19</v>
      </c>
      <c r="E422" s="108">
        <v>0.19</v>
      </c>
      <c r="F422" s="35">
        <f t="shared" si="49"/>
        <v>1</v>
      </c>
      <c r="G422" s="109"/>
      <c r="H422" s="109"/>
      <c r="I422" s="109"/>
      <c r="J422" s="109">
        <v>0.65</v>
      </c>
      <c r="K422" s="37"/>
      <c r="L422" s="37"/>
      <c r="M422" s="109">
        <v>0.35</v>
      </c>
      <c r="N422" s="37"/>
      <c r="O422" s="37"/>
      <c r="P422" s="109"/>
      <c r="Q422" s="37"/>
      <c r="R422" s="37"/>
      <c r="S422" s="37"/>
      <c r="T422" s="37"/>
      <c r="U422" s="37"/>
      <c r="V422" s="37"/>
      <c r="W422" s="37"/>
      <c r="X422" s="37"/>
      <c r="Y422" s="37"/>
      <c r="Z422" s="37"/>
      <c r="AA422" s="37"/>
      <c r="AB422" s="37"/>
      <c r="AC422" s="37"/>
      <c r="AD422" s="37"/>
      <c r="AE422" s="37"/>
      <c r="AF422" s="37"/>
      <c r="AG422" s="37"/>
      <c r="AH422" s="37"/>
      <c r="AI422" s="109"/>
      <c r="AJ422" s="37"/>
      <c r="AK422" s="37"/>
      <c r="AL422" s="37"/>
      <c r="AM422" s="37"/>
      <c r="AN422" s="37"/>
      <c r="AO422" s="37"/>
      <c r="AP422" s="37"/>
      <c r="AQ422" s="37"/>
      <c r="AR422" s="109"/>
      <c r="AS422" s="109"/>
      <c r="AT422" s="109"/>
      <c r="AU422" s="109"/>
      <c r="AV422" s="109"/>
      <c r="AW422" s="109"/>
      <c r="AX422" s="109"/>
      <c r="AY422" s="34" t="s">
        <v>429</v>
      </c>
      <c r="AZ422" s="34" t="s">
        <v>959</v>
      </c>
      <c r="BA422" s="63" t="s">
        <v>291</v>
      </c>
      <c r="BB422" s="64"/>
      <c r="BD422" s="15" t="s">
        <v>960</v>
      </c>
      <c r="BE422" s="41"/>
      <c r="BI422" s="42">
        <v>1</v>
      </c>
    </row>
    <row r="423" spans="1:63" ht="17.850000000000001" customHeight="1">
      <c r="A423" s="32">
        <f t="shared" si="48"/>
        <v>396</v>
      </c>
      <c r="B423" s="88" t="s">
        <v>961</v>
      </c>
      <c r="C423" s="78" t="s">
        <v>38</v>
      </c>
      <c r="D423" s="35">
        <f t="shared" si="46"/>
        <v>0.19</v>
      </c>
      <c r="E423" s="36">
        <v>0.08</v>
      </c>
      <c r="F423" s="35">
        <f t="shared" si="49"/>
        <v>0.11</v>
      </c>
      <c r="G423" s="37"/>
      <c r="H423" s="37"/>
      <c r="I423" s="37"/>
      <c r="J423" s="37">
        <v>0.11</v>
      </c>
      <c r="K423" s="37"/>
      <c r="L423" s="37"/>
      <c r="M423" s="37"/>
      <c r="N423" s="37"/>
      <c r="O423" s="37"/>
      <c r="P423" s="37"/>
      <c r="Q423" s="37"/>
      <c r="R423" s="37"/>
      <c r="S423" s="37"/>
      <c r="T423" s="37"/>
      <c r="U423" s="37"/>
      <c r="V423" s="37"/>
      <c r="W423" s="37"/>
      <c r="X423" s="37"/>
      <c r="Y423" s="37"/>
      <c r="Z423" s="37"/>
      <c r="AA423" s="37"/>
      <c r="AB423" s="37"/>
      <c r="AC423" s="37"/>
      <c r="AD423" s="37"/>
      <c r="AE423" s="37"/>
      <c r="AF423" s="37"/>
      <c r="AG423" s="37"/>
      <c r="AH423" s="37"/>
      <c r="AI423" s="37"/>
      <c r="AJ423" s="37"/>
      <c r="AK423" s="37"/>
      <c r="AL423" s="37"/>
      <c r="AM423" s="37"/>
      <c r="AN423" s="37"/>
      <c r="AO423" s="37"/>
      <c r="AP423" s="37"/>
      <c r="AQ423" s="37"/>
      <c r="AR423" s="37"/>
      <c r="AS423" s="37"/>
      <c r="AT423" s="37"/>
      <c r="AU423" s="37"/>
      <c r="AV423" s="37"/>
      <c r="AW423" s="37"/>
      <c r="AX423" s="37"/>
      <c r="AY423" s="34" t="s">
        <v>238</v>
      </c>
      <c r="AZ423" s="34" t="s">
        <v>804</v>
      </c>
      <c r="BA423" s="47" t="s">
        <v>291</v>
      </c>
      <c r="BB423" s="48"/>
      <c r="BC423" s="65"/>
      <c r="BD423" s="65" t="s">
        <v>962</v>
      </c>
      <c r="BE423" s="40" t="s">
        <v>963</v>
      </c>
      <c r="BI423" s="42">
        <v>1</v>
      </c>
    </row>
    <row r="424" spans="1:63" ht="17.850000000000001" customHeight="1">
      <c r="A424" s="32">
        <f t="shared" si="48"/>
        <v>397</v>
      </c>
      <c r="B424" s="56" t="s">
        <v>964</v>
      </c>
      <c r="C424" s="78" t="s">
        <v>38</v>
      </c>
      <c r="D424" s="35">
        <f t="shared" si="46"/>
        <v>0.4</v>
      </c>
      <c r="E424" s="36">
        <v>0.2</v>
      </c>
      <c r="F424" s="35">
        <f t="shared" si="49"/>
        <v>0.2</v>
      </c>
      <c r="G424" s="43"/>
      <c r="H424" s="37"/>
      <c r="I424" s="119"/>
      <c r="J424" s="119">
        <v>0.2</v>
      </c>
      <c r="K424" s="37"/>
      <c r="L424" s="37"/>
      <c r="M424" s="37"/>
      <c r="N424" s="37"/>
      <c r="O424" s="37"/>
      <c r="P424" s="37"/>
      <c r="Q424" s="37"/>
      <c r="R424" s="37"/>
      <c r="S424" s="37"/>
      <c r="T424" s="37"/>
      <c r="U424" s="37"/>
      <c r="V424" s="37"/>
      <c r="W424" s="37"/>
      <c r="X424" s="37"/>
      <c r="Y424" s="37"/>
      <c r="Z424" s="37"/>
      <c r="AA424" s="37"/>
      <c r="AB424" s="37"/>
      <c r="AC424" s="37"/>
      <c r="AD424" s="37"/>
      <c r="AE424" s="37"/>
      <c r="AF424" s="37"/>
      <c r="AG424" s="37"/>
      <c r="AH424" s="37"/>
      <c r="AI424" s="37"/>
      <c r="AJ424" s="37"/>
      <c r="AK424" s="37"/>
      <c r="AL424" s="37"/>
      <c r="AM424" s="37"/>
      <c r="AN424" s="37"/>
      <c r="AO424" s="37"/>
      <c r="AP424" s="37"/>
      <c r="AQ424" s="37"/>
      <c r="AR424" s="37"/>
      <c r="AS424" s="37"/>
      <c r="AT424" s="37"/>
      <c r="AU424" s="37"/>
      <c r="AV424" s="37"/>
      <c r="AW424" s="37"/>
      <c r="AX424" s="37"/>
      <c r="AY424" s="38" t="s">
        <v>239</v>
      </c>
      <c r="AZ424" s="38" t="s">
        <v>387</v>
      </c>
      <c r="BA424" s="47" t="s">
        <v>298</v>
      </c>
      <c r="BB424" s="48"/>
      <c r="BD424" s="15" t="s">
        <v>965</v>
      </c>
      <c r="BE424" s="41"/>
      <c r="BI424" s="42">
        <v>1</v>
      </c>
    </row>
    <row r="425" spans="1:63" s="24" customFormat="1" ht="34.35" customHeight="1">
      <c r="A425" s="137" t="s">
        <v>966</v>
      </c>
      <c r="B425" s="25" t="s">
        <v>243</v>
      </c>
      <c r="C425" s="26"/>
      <c r="D425" s="27">
        <f t="shared" si="46"/>
        <v>50.230000000000004</v>
      </c>
      <c r="E425" s="27">
        <f>SUM(E426:E470)</f>
        <v>29.890000000000008</v>
      </c>
      <c r="F425" s="27">
        <f>SUM(G425:AX425)</f>
        <v>20.34</v>
      </c>
      <c r="G425" s="28">
        <f t="shared" ref="G425:AX425" si="50">SUM(G426:G470)</f>
        <v>1.95</v>
      </c>
      <c r="H425" s="28">
        <f t="shared" si="50"/>
        <v>1.1199999999999999</v>
      </c>
      <c r="I425" s="28">
        <f t="shared" si="50"/>
        <v>1.2</v>
      </c>
      <c r="J425" s="28">
        <f t="shared" si="50"/>
        <v>2.6100000000000003</v>
      </c>
      <c r="K425" s="28">
        <f t="shared" si="50"/>
        <v>0</v>
      </c>
      <c r="L425" s="28">
        <f t="shared" si="50"/>
        <v>0</v>
      </c>
      <c r="M425" s="28">
        <f t="shared" si="50"/>
        <v>13.35</v>
      </c>
      <c r="N425" s="28">
        <f t="shared" si="50"/>
        <v>0</v>
      </c>
      <c r="O425" s="28">
        <f t="shared" si="50"/>
        <v>0</v>
      </c>
      <c r="P425" s="28">
        <f t="shared" si="50"/>
        <v>0.11</v>
      </c>
      <c r="Q425" s="28">
        <f t="shared" si="50"/>
        <v>0</v>
      </c>
      <c r="R425" s="28">
        <f t="shared" si="50"/>
        <v>0</v>
      </c>
      <c r="S425" s="28">
        <f t="shared" si="50"/>
        <v>0</v>
      </c>
      <c r="T425" s="28">
        <f t="shared" si="50"/>
        <v>0</v>
      </c>
      <c r="U425" s="28">
        <f t="shared" si="50"/>
        <v>0</v>
      </c>
      <c r="V425" s="28">
        <f t="shared" si="50"/>
        <v>0</v>
      </c>
      <c r="W425" s="28">
        <f t="shared" si="50"/>
        <v>0</v>
      </c>
      <c r="X425" s="28">
        <f t="shared" si="50"/>
        <v>0</v>
      </c>
      <c r="Y425" s="28">
        <f t="shared" si="50"/>
        <v>0</v>
      </c>
      <c r="Z425" s="28">
        <f t="shared" si="50"/>
        <v>0</v>
      </c>
      <c r="AA425" s="28">
        <f t="shared" si="50"/>
        <v>0</v>
      </c>
      <c r="AB425" s="28">
        <f t="shared" si="50"/>
        <v>0</v>
      </c>
      <c r="AC425" s="28">
        <f t="shared" si="50"/>
        <v>0</v>
      </c>
      <c r="AD425" s="28">
        <f t="shared" si="50"/>
        <v>0</v>
      </c>
      <c r="AE425" s="28">
        <f t="shared" si="50"/>
        <v>0</v>
      </c>
      <c r="AF425" s="28">
        <f t="shared" si="50"/>
        <v>0</v>
      </c>
      <c r="AG425" s="28">
        <f t="shared" si="50"/>
        <v>0</v>
      </c>
      <c r="AH425" s="28">
        <f t="shared" si="50"/>
        <v>0</v>
      </c>
      <c r="AI425" s="28">
        <f t="shared" si="50"/>
        <v>0</v>
      </c>
      <c r="AJ425" s="28">
        <f t="shared" si="50"/>
        <v>0</v>
      </c>
      <c r="AK425" s="28">
        <f t="shared" si="50"/>
        <v>0</v>
      </c>
      <c r="AL425" s="28">
        <f t="shared" si="50"/>
        <v>0</v>
      </c>
      <c r="AM425" s="28">
        <f t="shared" si="50"/>
        <v>0</v>
      </c>
      <c r="AN425" s="28">
        <f t="shared" si="50"/>
        <v>0</v>
      </c>
      <c r="AO425" s="28">
        <f t="shared" si="50"/>
        <v>0</v>
      </c>
      <c r="AP425" s="28">
        <f t="shared" si="50"/>
        <v>0</v>
      </c>
      <c r="AQ425" s="28">
        <f t="shared" si="50"/>
        <v>0</v>
      </c>
      <c r="AR425" s="28">
        <f t="shared" si="50"/>
        <v>0</v>
      </c>
      <c r="AS425" s="28">
        <f t="shared" si="50"/>
        <v>0</v>
      </c>
      <c r="AT425" s="28">
        <f t="shared" si="50"/>
        <v>0</v>
      </c>
      <c r="AU425" s="28">
        <f t="shared" si="50"/>
        <v>0</v>
      </c>
      <c r="AV425" s="28">
        <f t="shared" si="50"/>
        <v>0</v>
      </c>
      <c r="AW425" s="28">
        <f t="shared" si="50"/>
        <v>0</v>
      </c>
      <c r="AX425" s="28">
        <f t="shared" si="50"/>
        <v>0</v>
      </c>
      <c r="AY425" s="29"/>
      <c r="AZ425" s="29"/>
      <c r="BA425" s="30"/>
      <c r="BB425" s="31"/>
      <c r="BE425" s="59"/>
      <c r="BI425" s="42"/>
    </row>
    <row r="426" spans="1:63" ht="18.600000000000001" customHeight="1">
      <c r="A426" s="138">
        <f>A424+1</f>
        <v>398</v>
      </c>
      <c r="B426" s="56" t="s">
        <v>967</v>
      </c>
      <c r="C426" s="78" t="s">
        <v>40</v>
      </c>
      <c r="D426" s="35">
        <f t="shared" si="46"/>
        <v>8.129999999999999</v>
      </c>
      <c r="E426" s="108">
        <v>4.13</v>
      </c>
      <c r="F426" s="35">
        <f>SUM(G426:AX426)</f>
        <v>4</v>
      </c>
      <c r="G426" s="109">
        <v>0.45</v>
      </c>
      <c r="H426" s="109"/>
      <c r="I426" s="109"/>
      <c r="J426" s="109"/>
      <c r="K426" s="109"/>
      <c r="L426" s="109"/>
      <c r="M426" s="109">
        <v>3.55</v>
      </c>
      <c r="N426" s="109"/>
      <c r="O426" s="109"/>
      <c r="P426" s="109"/>
      <c r="Q426" s="109"/>
      <c r="R426" s="109"/>
      <c r="S426" s="109"/>
      <c r="T426" s="109"/>
      <c r="U426" s="109"/>
      <c r="V426" s="109"/>
      <c r="W426" s="109"/>
      <c r="X426" s="109"/>
      <c r="Y426" s="109"/>
      <c r="Z426" s="109"/>
      <c r="AA426" s="109"/>
      <c r="AB426" s="109"/>
      <c r="AC426" s="109"/>
      <c r="AD426" s="109"/>
      <c r="AE426" s="109"/>
      <c r="AF426" s="109"/>
      <c r="AG426" s="109"/>
      <c r="AH426" s="109"/>
      <c r="AI426" s="109"/>
      <c r="AJ426" s="109"/>
      <c r="AK426" s="109"/>
      <c r="AL426" s="109"/>
      <c r="AM426" s="109"/>
      <c r="AN426" s="109"/>
      <c r="AO426" s="109"/>
      <c r="AP426" s="109"/>
      <c r="AQ426" s="109"/>
      <c r="AR426" s="109"/>
      <c r="AS426" s="109"/>
      <c r="AT426" s="109"/>
      <c r="AU426" s="109"/>
      <c r="AV426" s="109"/>
      <c r="AW426" s="109"/>
      <c r="AX426" s="109"/>
      <c r="AY426" s="34" t="s">
        <v>289</v>
      </c>
      <c r="AZ426" s="34" t="s">
        <v>467</v>
      </c>
      <c r="BA426" s="63" t="s">
        <v>291</v>
      </c>
      <c r="BB426" s="64"/>
      <c r="BD426" s="15" t="s">
        <v>7</v>
      </c>
      <c r="BE426" s="41"/>
      <c r="BI426" s="42">
        <v>1</v>
      </c>
    </row>
    <row r="427" spans="1:63" s="61" customFormat="1" ht="18.600000000000001" customHeight="1">
      <c r="A427" s="138">
        <f>A426+1</f>
        <v>399</v>
      </c>
      <c r="B427" s="60" t="s">
        <v>968</v>
      </c>
      <c r="C427" s="78" t="s">
        <v>40</v>
      </c>
      <c r="D427" s="35">
        <f t="shared" si="46"/>
        <v>0.45</v>
      </c>
      <c r="E427" s="36">
        <v>0.2</v>
      </c>
      <c r="F427" s="35">
        <f t="shared" ref="F427:F469" si="51">SUM(G427:AX427)</f>
        <v>0.25</v>
      </c>
      <c r="G427" s="43"/>
      <c r="H427" s="43"/>
      <c r="I427" s="43"/>
      <c r="J427" s="43"/>
      <c r="K427" s="43"/>
      <c r="L427" s="43"/>
      <c r="M427" s="43">
        <v>0.25</v>
      </c>
      <c r="N427" s="43"/>
      <c r="O427" s="43"/>
      <c r="P427" s="43"/>
      <c r="Q427" s="43"/>
      <c r="R427" s="43"/>
      <c r="S427" s="43"/>
      <c r="T427" s="43"/>
      <c r="U427" s="43"/>
      <c r="V427" s="43"/>
      <c r="W427" s="43"/>
      <c r="X427" s="43"/>
      <c r="Y427" s="43"/>
      <c r="Z427" s="43"/>
      <c r="AA427" s="43"/>
      <c r="AB427" s="43"/>
      <c r="AC427" s="43"/>
      <c r="AD427" s="43"/>
      <c r="AE427" s="43"/>
      <c r="AF427" s="43"/>
      <c r="AG427" s="43"/>
      <c r="AH427" s="43"/>
      <c r="AI427" s="43"/>
      <c r="AJ427" s="43"/>
      <c r="AK427" s="43"/>
      <c r="AL427" s="43"/>
      <c r="AM427" s="43"/>
      <c r="AN427" s="43"/>
      <c r="AO427" s="43"/>
      <c r="AP427" s="43"/>
      <c r="AQ427" s="43"/>
      <c r="AR427" s="43"/>
      <c r="AS427" s="43"/>
      <c r="AT427" s="43"/>
      <c r="AU427" s="43"/>
      <c r="AV427" s="43"/>
      <c r="AW427" s="43"/>
      <c r="AX427" s="43"/>
      <c r="AY427" s="34" t="s">
        <v>221</v>
      </c>
      <c r="AZ427" s="34" t="s">
        <v>328</v>
      </c>
      <c r="BA427" s="63" t="s">
        <v>291</v>
      </c>
      <c r="BB427" s="64"/>
      <c r="BC427" s="15"/>
      <c r="BD427" s="15"/>
      <c r="BE427" s="41"/>
      <c r="BF427" s="15"/>
      <c r="BI427" s="42">
        <v>1</v>
      </c>
    </row>
    <row r="428" spans="1:63" s="61" customFormat="1" ht="18.600000000000001" customHeight="1">
      <c r="A428" s="138">
        <f>A427+1</f>
        <v>400</v>
      </c>
      <c r="B428" s="60" t="s">
        <v>969</v>
      </c>
      <c r="C428" s="78" t="s">
        <v>40</v>
      </c>
      <c r="D428" s="35">
        <f t="shared" si="46"/>
        <v>0.16</v>
      </c>
      <c r="E428" s="36"/>
      <c r="F428" s="35">
        <f t="shared" si="51"/>
        <v>0.16</v>
      </c>
      <c r="G428" s="43">
        <v>0.16</v>
      </c>
      <c r="H428" s="43"/>
      <c r="I428" s="43"/>
      <c r="J428" s="43"/>
      <c r="K428" s="43"/>
      <c r="L428" s="43"/>
      <c r="M428" s="43"/>
      <c r="N428" s="43"/>
      <c r="O428" s="43"/>
      <c r="P428" s="43"/>
      <c r="Q428" s="43"/>
      <c r="R428" s="43"/>
      <c r="S428" s="43"/>
      <c r="T428" s="43"/>
      <c r="U428" s="43"/>
      <c r="V428" s="43"/>
      <c r="W428" s="43"/>
      <c r="X428" s="43"/>
      <c r="Y428" s="43"/>
      <c r="Z428" s="43"/>
      <c r="AA428" s="43"/>
      <c r="AB428" s="43"/>
      <c r="AC428" s="43"/>
      <c r="AD428" s="43"/>
      <c r="AE428" s="43"/>
      <c r="AF428" s="43"/>
      <c r="AG428" s="43"/>
      <c r="AH428" s="43"/>
      <c r="AI428" s="43"/>
      <c r="AJ428" s="43"/>
      <c r="AK428" s="43"/>
      <c r="AL428" s="43"/>
      <c r="AM428" s="43"/>
      <c r="AN428" s="43"/>
      <c r="AO428" s="43"/>
      <c r="AP428" s="43"/>
      <c r="AQ428" s="43"/>
      <c r="AR428" s="43"/>
      <c r="AS428" s="43"/>
      <c r="AT428" s="43"/>
      <c r="AU428" s="43"/>
      <c r="AV428" s="43"/>
      <c r="AW428" s="43"/>
      <c r="AX428" s="43"/>
      <c r="AY428" s="34" t="s">
        <v>221</v>
      </c>
      <c r="AZ428" s="34" t="s">
        <v>451</v>
      </c>
      <c r="BA428" s="63" t="s">
        <v>291</v>
      </c>
      <c r="BB428" s="64"/>
      <c r="BC428" s="15"/>
      <c r="BD428" s="15"/>
      <c r="BE428" s="41"/>
      <c r="BF428" s="15"/>
      <c r="BI428" s="42">
        <v>1</v>
      </c>
    </row>
    <row r="429" spans="1:63" s="61" customFormat="1" ht="18.600000000000001" customHeight="1">
      <c r="A429" s="138">
        <f t="shared" ref="A429:A470" si="52">A428+1</f>
        <v>401</v>
      </c>
      <c r="B429" s="60" t="s">
        <v>970</v>
      </c>
      <c r="C429" s="78" t="s">
        <v>40</v>
      </c>
      <c r="D429" s="35">
        <f t="shared" si="46"/>
        <v>0.52</v>
      </c>
      <c r="E429" s="36">
        <v>0.27</v>
      </c>
      <c r="F429" s="35">
        <f t="shared" si="51"/>
        <v>0.25</v>
      </c>
      <c r="G429" s="43"/>
      <c r="H429" s="43"/>
      <c r="I429" s="43"/>
      <c r="J429" s="43">
        <v>0.25</v>
      </c>
      <c r="K429" s="43"/>
      <c r="L429" s="43"/>
      <c r="M429" s="43"/>
      <c r="N429" s="43"/>
      <c r="O429" s="43"/>
      <c r="P429" s="43"/>
      <c r="Q429" s="43"/>
      <c r="R429" s="43"/>
      <c r="S429" s="43"/>
      <c r="T429" s="43"/>
      <c r="U429" s="43"/>
      <c r="V429" s="43"/>
      <c r="W429" s="43"/>
      <c r="X429" s="43"/>
      <c r="Y429" s="43"/>
      <c r="Z429" s="43"/>
      <c r="AA429" s="43"/>
      <c r="AB429" s="43"/>
      <c r="AC429" s="43"/>
      <c r="AD429" s="43"/>
      <c r="AE429" s="43"/>
      <c r="AF429" s="43"/>
      <c r="AG429" s="43"/>
      <c r="AH429" s="43"/>
      <c r="AI429" s="43"/>
      <c r="AJ429" s="43"/>
      <c r="AK429" s="43"/>
      <c r="AL429" s="43"/>
      <c r="AM429" s="43"/>
      <c r="AN429" s="43"/>
      <c r="AO429" s="43"/>
      <c r="AP429" s="43"/>
      <c r="AQ429" s="43"/>
      <c r="AR429" s="43"/>
      <c r="AS429" s="43"/>
      <c r="AT429" s="43"/>
      <c r="AU429" s="43"/>
      <c r="AV429" s="43"/>
      <c r="AW429" s="43"/>
      <c r="AX429" s="43"/>
      <c r="AY429" s="34" t="s">
        <v>221</v>
      </c>
      <c r="AZ429" s="34" t="s">
        <v>387</v>
      </c>
      <c r="BA429" s="63" t="s">
        <v>291</v>
      </c>
      <c r="BB429" s="64"/>
      <c r="BC429" s="15"/>
      <c r="BD429" s="15"/>
      <c r="BE429" s="41"/>
      <c r="BF429" s="15"/>
      <c r="BI429" s="42">
        <v>1</v>
      </c>
    </row>
    <row r="430" spans="1:63" s="61" customFormat="1" ht="18.600000000000001" customHeight="1">
      <c r="A430" s="138">
        <f t="shared" si="52"/>
        <v>402</v>
      </c>
      <c r="B430" s="60" t="s">
        <v>971</v>
      </c>
      <c r="C430" s="78" t="s">
        <v>40</v>
      </c>
      <c r="D430" s="35">
        <f t="shared" si="46"/>
        <v>0.4</v>
      </c>
      <c r="E430" s="36">
        <v>0.3</v>
      </c>
      <c r="F430" s="35">
        <f t="shared" si="51"/>
        <v>0.1</v>
      </c>
      <c r="G430" s="43"/>
      <c r="H430" s="43"/>
      <c r="I430" s="43"/>
      <c r="J430" s="43">
        <v>0.1</v>
      </c>
      <c r="K430" s="43"/>
      <c r="L430" s="43"/>
      <c r="M430" s="43"/>
      <c r="N430" s="43"/>
      <c r="O430" s="43"/>
      <c r="P430" s="43"/>
      <c r="Q430" s="43"/>
      <c r="R430" s="43"/>
      <c r="S430" s="43"/>
      <c r="T430" s="43"/>
      <c r="U430" s="43"/>
      <c r="V430" s="43"/>
      <c r="W430" s="43"/>
      <c r="X430" s="43"/>
      <c r="Y430" s="43"/>
      <c r="Z430" s="43"/>
      <c r="AA430" s="43"/>
      <c r="AB430" s="43"/>
      <c r="AC430" s="43"/>
      <c r="AD430" s="43"/>
      <c r="AE430" s="43"/>
      <c r="AF430" s="43"/>
      <c r="AG430" s="43"/>
      <c r="AH430" s="43"/>
      <c r="AI430" s="43"/>
      <c r="AJ430" s="43"/>
      <c r="AK430" s="43"/>
      <c r="AL430" s="43"/>
      <c r="AM430" s="43"/>
      <c r="AN430" s="43"/>
      <c r="AO430" s="43"/>
      <c r="AP430" s="43"/>
      <c r="AQ430" s="43"/>
      <c r="AR430" s="43"/>
      <c r="AS430" s="43"/>
      <c r="AT430" s="43"/>
      <c r="AU430" s="43"/>
      <c r="AV430" s="43"/>
      <c r="AW430" s="43"/>
      <c r="AX430" s="43"/>
      <c r="AY430" s="34" t="s">
        <v>221</v>
      </c>
      <c r="AZ430" s="34" t="s">
        <v>308</v>
      </c>
      <c r="BA430" s="63" t="s">
        <v>291</v>
      </c>
      <c r="BB430" s="64"/>
      <c r="BC430" s="15"/>
      <c r="BD430" s="15"/>
      <c r="BE430" s="41"/>
      <c r="BF430" s="15"/>
      <c r="BI430" s="42">
        <v>1</v>
      </c>
    </row>
    <row r="431" spans="1:63" s="61" customFormat="1" ht="18.600000000000001" customHeight="1">
      <c r="A431" s="138">
        <f t="shared" si="52"/>
        <v>403</v>
      </c>
      <c r="B431" s="60" t="s">
        <v>972</v>
      </c>
      <c r="C431" s="78" t="s">
        <v>40</v>
      </c>
      <c r="D431" s="35">
        <f t="shared" si="46"/>
        <v>0.94</v>
      </c>
      <c r="E431" s="36">
        <v>0.74</v>
      </c>
      <c r="F431" s="35">
        <f t="shared" si="51"/>
        <v>0.2</v>
      </c>
      <c r="G431" s="43"/>
      <c r="H431" s="43"/>
      <c r="I431" s="43"/>
      <c r="J431" s="43"/>
      <c r="K431" s="43"/>
      <c r="L431" s="43"/>
      <c r="M431" s="43">
        <v>0.2</v>
      </c>
      <c r="N431" s="43"/>
      <c r="O431" s="43"/>
      <c r="P431" s="43"/>
      <c r="Q431" s="43"/>
      <c r="R431" s="43"/>
      <c r="S431" s="43"/>
      <c r="T431" s="43"/>
      <c r="U431" s="43"/>
      <c r="V431" s="43"/>
      <c r="W431" s="43"/>
      <c r="X431" s="43"/>
      <c r="Y431" s="43"/>
      <c r="Z431" s="43"/>
      <c r="AA431" s="43"/>
      <c r="AB431" s="43"/>
      <c r="AC431" s="43"/>
      <c r="AD431" s="43"/>
      <c r="AE431" s="43"/>
      <c r="AF431" s="43"/>
      <c r="AG431" s="43"/>
      <c r="AH431" s="43"/>
      <c r="AI431" s="43"/>
      <c r="AJ431" s="43"/>
      <c r="AK431" s="43"/>
      <c r="AL431" s="43"/>
      <c r="AM431" s="43"/>
      <c r="AN431" s="43"/>
      <c r="AO431" s="43"/>
      <c r="AP431" s="43"/>
      <c r="AQ431" s="43"/>
      <c r="AR431" s="43"/>
      <c r="AS431" s="43"/>
      <c r="AT431" s="43"/>
      <c r="AU431" s="43"/>
      <c r="AV431" s="43"/>
      <c r="AW431" s="43"/>
      <c r="AX431" s="43"/>
      <c r="AY431" s="34" t="s">
        <v>222</v>
      </c>
      <c r="AZ431" s="34" t="s">
        <v>417</v>
      </c>
      <c r="BA431" s="39" t="s">
        <v>291</v>
      </c>
      <c r="BB431" s="40"/>
      <c r="BC431" s="41"/>
      <c r="BD431" s="41"/>
      <c r="BE431" s="15"/>
      <c r="BF431" s="15"/>
      <c r="BI431" s="42">
        <v>1</v>
      </c>
    </row>
    <row r="432" spans="1:63" s="61" customFormat="1" ht="18.600000000000001" customHeight="1">
      <c r="A432" s="138">
        <f>A431+1</f>
        <v>404</v>
      </c>
      <c r="B432" s="60" t="s">
        <v>973</v>
      </c>
      <c r="C432" s="78" t="s">
        <v>40</v>
      </c>
      <c r="D432" s="35">
        <f t="shared" si="46"/>
        <v>1.4200000000000002</v>
      </c>
      <c r="E432" s="36">
        <v>1.32</v>
      </c>
      <c r="F432" s="35">
        <f t="shared" si="51"/>
        <v>0.1</v>
      </c>
      <c r="G432" s="43"/>
      <c r="H432" s="43"/>
      <c r="I432" s="43"/>
      <c r="J432" s="43"/>
      <c r="K432" s="43"/>
      <c r="L432" s="43"/>
      <c r="M432" s="43">
        <v>0.1</v>
      </c>
      <c r="N432" s="43"/>
      <c r="O432" s="43"/>
      <c r="P432" s="43"/>
      <c r="Q432" s="43"/>
      <c r="R432" s="43"/>
      <c r="S432" s="43"/>
      <c r="T432" s="43"/>
      <c r="U432" s="43"/>
      <c r="V432" s="43"/>
      <c r="W432" s="43"/>
      <c r="X432" s="43"/>
      <c r="Y432" s="43"/>
      <c r="Z432" s="43"/>
      <c r="AA432" s="43"/>
      <c r="AB432" s="43"/>
      <c r="AC432" s="43"/>
      <c r="AD432" s="43"/>
      <c r="AE432" s="43"/>
      <c r="AF432" s="43"/>
      <c r="AG432" s="43"/>
      <c r="AH432" s="43"/>
      <c r="AI432" s="43"/>
      <c r="AJ432" s="43"/>
      <c r="AK432" s="43"/>
      <c r="AL432" s="43"/>
      <c r="AM432" s="43"/>
      <c r="AN432" s="43"/>
      <c r="AO432" s="43"/>
      <c r="AP432" s="43"/>
      <c r="AQ432" s="43"/>
      <c r="AR432" s="43"/>
      <c r="AS432" s="43"/>
      <c r="AT432" s="43"/>
      <c r="AU432" s="43"/>
      <c r="AV432" s="43"/>
      <c r="AW432" s="43"/>
      <c r="AX432" s="43"/>
      <c r="AY432" s="34" t="s">
        <v>222</v>
      </c>
      <c r="AZ432" s="34" t="s">
        <v>451</v>
      </c>
      <c r="BA432" s="39" t="s">
        <v>291</v>
      </c>
      <c r="BB432" s="40"/>
      <c r="BC432" s="41"/>
      <c r="BD432" s="41"/>
      <c r="BE432" s="15"/>
      <c r="BF432" s="15"/>
      <c r="BI432" s="42">
        <v>1</v>
      </c>
    </row>
    <row r="433" spans="1:63" s="61" customFormat="1" ht="18.600000000000001" customHeight="1">
      <c r="A433" s="138">
        <f t="shared" si="52"/>
        <v>405</v>
      </c>
      <c r="B433" s="60" t="s">
        <v>968</v>
      </c>
      <c r="C433" s="78" t="s">
        <v>40</v>
      </c>
      <c r="D433" s="35">
        <f t="shared" si="46"/>
        <v>0.95000000000000007</v>
      </c>
      <c r="E433" s="36">
        <v>0.8</v>
      </c>
      <c r="F433" s="35">
        <f t="shared" si="51"/>
        <v>0.15</v>
      </c>
      <c r="G433" s="43"/>
      <c r="H433" s="43"/>
      <c r="I433" s="43"/>
      <c r="J433" s="43"/>
      <c r="K433" s="43"/>
      <c r="L433" s="43"/>
      <c r="M433" s="43">
        <v>0.15</v>
      </c>
      <c r="N433" s="43"/>
      <c r="O433" s="43"/>
      <c r="P433" s="43"/>
      <c r="Q433" s="43"/>
      <c r="R433" s="43"/>
      <c r="S433" s="43"/>
      <c r="T433" s="43"/>
      <c r="U433" s="43"/>
      <c r="V433" s="43"/>
      <c r="W433" s="43"/>
      <c r="X433" s="43"/>
      <c r="Y433" s="43"/>
      <c r="Z433" s="43"/>
      <c r="AA433" s="43"/>
      <c r="AB433" s="43"/>
      <c r="AC433" s="43"/>
      <c r="AD433" s="43"/>
      <c r="AE433" s="43"/>
      <c r="AF433" s="43"/>
      <c r="AG433" s="43"/>
      <c r="AH433" s="43"/>
      <c r="AI433" s="43"/>
      <c r="AJ433" s="43"/>
      <c r="AK433" s="43"/>
      <c r="AL433" s="43"/>
      <c r="AM433" s="43"/>
      <c r="AN433" s="43"/>
      <c r="AO433" s="43"/>
      <c r="AP433" s="43"/>
      <c r="AQ433" s="43"/>
      <c r="AR433" s="43"/>
      <c r="AS433" s="43"/>
      <c r="AT433" s="43"/>
      <c r="AU433" s="43"/>
      <c r="AV433" s="43"/>
      <c r="AW433" s="43"/>
      <c r="AX433" s="43"/>
      <c r="AY433" s="34" t="s">
        <v>222</v>
      </c>
      <c r="AZ433" s="34" t="s">
        <v>328</v>
      </c>
      <c r="BA433" s="39" t="s">
        <v>291</v>
      </c>
      <c r="BB433" s="40"/>
      <c r="BC433" s="41"/>
      <c r="BD433" s="41"/>
      <c r="BE433" s="15"/>
      <c r="BF433" s="15"/>
      <c r="BI433" s="42">
        <v>1</v>
      </c>
    </row>
    <row r="434" spans="1:63" s="61" customFormat="1" ht="18.600000000000001" customHeight="1">
      <c r="A434" s="138">
        <f t="shared" si="52"/>
        <v>406</v>
      </c>
      <c r="B434" s="60" t="s">
        <v>974</v>
      </c>
      <c r="C434" s="78" t="s">
        <v>40</v>
      </c>
      <c r="D434" s="35">
        <f t="shared" si="46"/>
        <v>1.7</v>
      </c>
      <c r="E434" s="36">
        <v>1.5</v>
      </c>
      <c r="F434" s="35">
        <f t="shared" si="51"/>
        <v>0.2</v>
      </c>
      <c r="G434" s="43"/>
      <c r="H434" s="43"/>
      <c r="I434" s="43"/>
      <c r="J434" s="43"/>
      <c r="K434" s="43"/>
      <c r="L434" s="43"/>
      <c r="M434" s="43">
        <v>0.2</v>
      </c>
      <c r="N434" s="43"/>
      <c r="O434" s="43"/>
      <c r="P434" s="43"/>
      <c r="Q434" s="43"/>
      <c r="R434" s="43"/>
      <c r="S434" s="43"/>
      <c r="T434" s="43"/>
      <c r="U434" s="43"/>
      <c r="V434" s="43"/>
      <c r="W434" s="43"/>
      <c r="X434" s="43"/>
      <c r="Y434" s="43"/>
      <c r="Z434" s="43"/>
      <c r="AA434" s="43"/>
      <c r="AB434" s="43"/>
      <c r="AC434" s="43"/>
      <c r="AD434" s="43"/>
      <c r="AE434" s="43"/>
      <c r="AF434" s="43"/>
      <c r="AG434" s="43"/>
      <c r="AH434" s="43"/>
      <c r="AI434" s="43"/>
      <c r="AJ434" s="43"/>
      <c r="AK434" s="43"/>
      <c r="AL434" s="43"/>
      <c r="AM434" s="43"/>
      <c r="AN434" s="43"/>
      <c r="AO434" s="43"/>
      <c r="AP434" s="43"/>
      <c r="AQ434" s="43"/>
      <c r="AR434" s="43"/>
      <c r="AS434" s="43"/>
      <c r="AT434" s="43"/>
      <c r="AU434" s="43"/>
      <c r="AV434" s="43"/>
      <c r="AW434" s="43"/>
      <c r="AX434" s="43"/>
      <c r="AY434" s="34" t="s">
        <v>222</v>
      </c>
      <c r="AZ434" s="34" t="s">
        <v>305</v>
      </c>
      <c r="BA434" s="39" t="s">
        <v>291</v>
      </c>
      <c r="BB434" s="40"/>
      <c r="BC434" s="41"/>
      <c r="BD434" s="41"/>
      <c r="BE434" s="15"/>
      <c r="BF434" s="15"/>
      <c r="BI434" s="42">
        <v>1</v>
      </c>
    </row>
    <row r="435" spans="1:63" s="61" customFormat="1" ht="18.600000000000001" customHeight="1">
      <c r="A435" s="138">
        <f t="shared" si="52"/>
        <v>407</v>
      </c>
      <c r="B435" s="60" t="s">
        <v>971</v>
      </c>
      <c r="C435" s="78" t="s">
        <v>40</v>
      </c>
      <c r="D435" s="35">
        <f t="shared" si="46"/>
        <v>2.36</v>
      </c>
      <c r="E435" s="36">
        <v>2.2599999999999998</v>
      </c>
      <c r="F435" s="35">
        <f t="shared" si="51"/>
        <v>0.1</v>
      </c>
      <c r="G435" s="43"/>
      <c r="H435" s="43"/>
      <c r="I435" s="43"/>
      <c r="J435" s="43"/>
      <c r="K435" s="43"/>
      <c r="L435" s="43"/>
      <c r="M435" s="43">
        <v>0.1</v>
      </c>
      <c r="N435" s="43"/>
      <c r="O435" s="43"/>
      <c r="P435" s="43"/>
      <c r="Q435" s="43"/>
      <c r="R435" s="43"/>
      <c r="S435" s="43"/>
      <c r="T435" s="43"/>
      <c r="U435" s="43"/>
      <c r="V435" s="43"/>
      <c r="W435" s="43"/>
      <c r="X435" s="43"/>
      <c r="Y435" s="43"/>
      <c r="Z435" s="43"/>
      <c r="AA435" s="43"/>
      <c r="AB435" s="43"/>
      <c r="AC435" s="43"/>
      <c r="AD435" s="43"/>
      <c r="AE435" s="43"/>
      <c r="AF435" s="43"/>
      <c r="AG435" s="43"/>
      <c r="AH435" s="43"/>
      <c r="AI435" s="43"/>
      <c r="AJ435" s="43"/>
      <c r="AK435" s="43"/>
      <c r="AL435" s="43"/>
      <c r="AM435" s="43"/>
      <c r="AN435" s="43"/>
      <c r="AO435" s="43"/>
      <c r="AP435" s="43"/>
      <c r="AQ435" s="43"/>
      <c r="AR435" s="43"/>
      <c r="AS435" s="43"/>
      <c r="AT435" s="43"/>
      <c r="AU435" s="43"/>
      <c r="AV435" s="43"/>
      <c r="AW435" s="43"/>
      <c r="AX435" s="43"/>
      <c r="AY435" s="34" t="s">
        <v>222</v>
      </c>
      <c r="AZ435" s="34" t="s">
        <v>308</v>
      </c>
      <c r="BA435" s="39" t="s">
        <v>291</v>
      </c>
      <c r="BB435" s="40"/>
      <c r="BC435" s="41"/>
      <c r="BD435" s="41"/>
      <c r="BE435" s="15"/>
      <c r="BF435" s="15"/>
      <c r="BI435" s="42">
        <v>1</v>
      </c>
    </row>
    <row r="436" spans="1:63" s="61" customFormat="1" ht="18.600000000000001" customHeight="1">
      <c r="A436" s="138">
        <f t="shared" si="52"/>
        <v>408</v>
      </c>
      <c r="B436" s="60" t="s">
        <v>975</v>
      </c>
      <c r="C436" s="78" t="s">
        <v>40</v>
      </c>
      <c r="D436" s="35">
        <f t="shared" si="46"/>
        <v>0.5</v>
      </c>
      <c r="E436" s="36"/>
      <c r="F436" s="35">
        <f t="shared" si="51"/>
        <v>0.5</v>
      </c>
      <c r="G436" s="43"/>
      <c r="H436" s="43"/>
      <c r="I436" s="43"/>
      <c r="J436" s="43"/>
      <c r="K436" s="43"/>
      <c r="L436" s="43"/>
      <c r="M436" s="43">
        <v>0.5</v>
      </c>
      <c r="N436" s="43"/>
      <c r="O436" s="43"/>
      <c r="P436" s="43"/>
      <c r="Q436" s="43"/>
      <c r="R436" s="43"/>
      <c r="S436" s="43"/>
      <c r="T436" s="43"/>
      <c r="U436" s="43"/>
      <c r="V436" s="43"/>
      <c r="W436" s="43"/>
      <c r="X436" s="43"/>
      <c r="Y436" s="43"/>
      <c r="Z436" s="43"/>
      <c r="AA436" s="43"/>
      <c r="AB436" s="43"/>
      <c r="AC436" s="43"/>
      <c r="AD436" s="43"/>
      <c r="AE436" s="43"/>
      <c r="AF436" s="43"/>
      <c r="AG436" s="43"/>
      <c r="AH436" s="43"/>
      <c r="AI436" s="43"/>
      <c r="AJ436" s="43"/>
      <c r="AK436" s="43"/>
      <c r="AL436" s="43"/>
      <c r="AM436" s="43"/>
      <c r="AN436" s="43"/>
      <c r="AO436" s="43"/>
      <c r="AP436" s="43"/>
      <c r="AQ436" s="43"/>
      <c r="AR436" s="43"/>
      <c r="AS436" s="43"/>
      <c r="AT436" s="43"/>
      <c r="AU436" s="43"/>
      <c r="AV436" s="43"/>
      <c r="AW436" s="43"/>
      <c r="AX436" s="43"/>
      <c r="AY436" s="34" t="s">
        <v>222</v>
      </c>
      <c r="AZ436" s="34" t="s">
        <v>410</v>
      </c>
      <c r="BA436" s="39" t="s">
        <v>291</v>
      </c>
      <c r="BB436" s="40"/>
      <c r="BC436" s="41"/>
      <c r="BD436" s="41"/>
      <c r="BE436" s="15"/>
      <c r="BF436" s="15"/>
      <c r="BI436" s="42">
        <v>1</v>
      </c>
      <c r="BJ436" s="15" t="s">
        <v>976</v>
      </c>
      <c r="BK436" s="61" t="s">
        <v>546</v>
      </c>
    </row>
    <row r="437" spans="1:63" ht="18.600000000000001" customHeight="1">
      <c r="A437" s="138">
        <f t="shared" si="52"/>
        <v>409</v>
      </c>
      <c r="B437" s="60" t="s">
        <v>977</v>
      </c>
      <c r="C437" s="78" t="s">
        <v>40</v>
      </c>
      <c r="D437" s="35">
        <f t="shared" si="46"/>
        <v>2.35</v>
      </c>
      <c r="E437" s="36">
        <v>1.85</v>
      </c>
      <c r="F437" s="35">
        <f t="shared" si="51"/>
        <v>0.5</v>
      </c>
      <c r="G437" s="43"/>
      <c r="H437" s="43"/>
      <c r="I437" s="43"/>
      <c r="J437" s="43"/>
      <c r="K437" s="43"/>
      <c r="L437" s="43"/>
      <c r="M437" s="43">
        <v>0.5</v>
      </c>
      <c r="N437" s="43"/>
      <c r="O437" s="43"/>
      <c r="P437" s="43"/>
      <c r="Q437" s="43"/>
      <c r="R437" s="43"/>
      <c r="S437" s="43"/>
      <c r="T437" s="43"/>
      <c r="U437" s="43"/>
      <c r="V437" s="43"/>
      <c r="W437" s="43"/>
      <c r="X437" s="43"/>
      <c r="Y437" s="43"/>
      <c r="Z437" s="43"/>
      <c r="AA437" s="43"/>
      <c r="AB437" s="43"/>
      <c r="AC437" s="43"/>
      <c r="AD437" s="43"/>
      <c r="AE437" s="43"/>
      <c r="AF437" s="43"/>
      <c r="AG437" s="43"/>
      <c r="AH437" s="43"/>
      <c r="AI437" s="43"/>
      <c r="AJ437" s="43"/>
      <c r="AK437" s="43"/>
      <c r="AL437" s="43"/>
      <c r="AM437" s="43"/>
      <c r="AN437" s="43"/>
      <c r="AO437" s="43"/>
      <c r="AP437" s="43"/>
      <c r="AQ437" s="43"/>
      <c r="AR437" s="43"/>
      <c r="AS437" s="43"/>
      <c r="AT437" s="43"/>
      <c r="AU437" s="43"/>
      <c r="AV437" s="43"/>
      <c r="AW437" s="43"/>
      <c r="AX437" s="43"/>
      <c r="AY437" s="34" t="s">
        <v>223</v>
      </c>
      <c r="AZ437" s="47" t="s">
        <v>387</v>
      </c>
      <c r="BA437" s="63" t="s">
        <v>291</v>
      </c>
      <c r="BB437" s="64"/>
      <c r="BC437" s="65"/>
      <c r="BD437" s="65"/>
      <c r="BE437" s="41"/>
      <c r="BI437" s="42">
        <v>1</v>
      </c>
      <c r="BJ437" s="15" t="s">
        <v>978</v>
      </c>
      <c r="BK437" s="15" t="s">
        <v>546</v>
      </c>
    </row>
    <row r="438" spans="1:63" ht="18.600000000000001" customHeight="1">
      <c r="A438" s="138">
        <f t="shared" si="52"/>
        <v>410</v>
      </c>
      <c r="B438" s="60" t="s">
        <v>979</v>
      </c>
      <c r="C438" s="78" t="s">
        <v>40</v>
      </c>
      <c r="D438" s="35">
        <f t="shared" si="46"/>
        <v>0.46</v>
      </c>
      <c r="E438" s="45">
        <v>0.26</v>
      </c>
      <c r="F438" s="35">
        <f t="shared" si="51"/>
        <v>0.2</v>
      </c>
      <c r="G438" s="43"/>
      <c r="H438" s="43"/>
      <c r="I438" s="43"/>
      <c r="J438" s="43">
        <v>0.2</v>
      </c>
      <c r="K438" s="43"/>
      <c r="L438" s="43"/>
      <c r="M438" s="43"/>
      <c r="N438" s="43"/>
      <c r="O438" s="43"/>
      <c r="P438" s="43"/>
      <c r="Q438" s="43"/>
      <c r="R438" s="43"/>
      <c r="S438" s="43"/>
      <c r="T438" s="43"/>
      <c r="U438" s="43"/>
      <c r="V438" s="43"/>
      <c r="W438" s="43"/>
      <c r="X438" s="43"/>
      <c r="Y438" s="43"/>
      <c r="Z438" s="43"/>
      <c r="AA438" s="43"/>
      <c r="AB438" s="43"/>
      <c r="AC438" s="43"/>
      <c r="AD438" s="43"/>
      <c r="AE438" s="43"/>
      <c r="AF438" s="43"/>
      <c r="AG438" s="43"/>
      <c r="AH438" s="43"/>
      <c r="AI438" s="43"/>
      <c r="AJ438" s="43"/>
      <c r="AK438" s="43"/>
      <c r="AL438" s="43"/>
      <c r="AM438" s="43"/>
      <c r="AN438" s="43"/>
      <c r="AO438" s="43"/>
      <c r="AP438" s="43"/>
      <c r="AQ438" s="43"/>
      <c r="AR438" s="43"/>
      <c r="AS438" s="43"/>
      <c r="AT438" s="43"/>
      <c r="AU438" s="43"/>
      <c r="AV438" s="43"/>
      <c r="AW438" s="43"/>
      <c r="AX438" s="43"/>
      <c r="AY438" s="34" t="s">
        <v>223</v>
      </c>
      <c r="AZ438" s="47" t="s">
        <v>389</v>
      </c>
      <c r="BA438" s="47" t="s">
        <v>298</v>
      </c>
      <c r="BB438" s="48"/>
      <c r="BC438" s="139"/>
      <c r="BD438" s="139" t="s">
        <v>14</v>
      </c>
      <c r="BE438" s="41"/>
      <c r="BI438" s="42">
        <v>1</v>
      </c>
    </row>
    <row r="439" spans="1:63" s="24" customFormat="1" ht="18.600000000000001" customHeight="1">
      <c r="A439" s="138">
        <f t="shared" si="52"/>
        <v>411</v>
      </c>
      <c r="B439" s="56" t="s">
        <v>980</v>
      </c>
      <c r="C439" s="78" t="s">
        <v>40</v>
      </c>
      <c r="D439" s="35">
        <f t="shared" si="46"/>
        <v>1.1499999999999999</v>
      </c>
      <c r="E439" s="35">
        <v>0.8</v>
      </c>
      <c r="F439" s="35">
        <f t="shared" si="51"/>
        <v>0.35</v>
      </c>
      <c r="G439" s="28"/>
      <c r="H439" s="43">
        <v>0.35</v>
      </c>
      <c r="I439" s="28"/>
      <c r="J439" s="28"/>
      <c r="K439" s="28"/>
      <c r="L439" s="28"/>
      <c r="M439" s="28"/>
      <c r="N439" s="28"/>
      <c r="O439" s="28"/>
      <c r="P439" s="28"/>
      <c r="Q439" s="28"/>
      <c r="R439" s="28"/>
      <c r="S439" s="28"/>
      <c r="T439" s="28"/>
      <c r="U439" s="28"/>
      <c r="V439" s="28"/>
      <c r="W439" s="28"/>
      <c r="X439" s="28"/>
      <c r="Y439" s="28"/>
      <c r="Z439" s="28"/>
      <c r="AA439" s="28"/>
      <c r="AB439" s="28"/>
      <c r="AC439" s="28"/>
      <c r="AD439" s="28"/>
      <c r="AE439" s="28"/>
      <c r="AF439" s="28"/>
      <c r="AG439" s="28"/>
      <c r="AH439" s="28"/>
      <c r="AI439" s="28"/>
      <c r="AJ439" s="28"/>
      <c r="AK439" s="28"/>
      <c r="AL439" s="28"/>
      <c r="AM439" s="28"/>
      <c r="AN439" s="28"/>
      <c r="AO439" s="28"/>
      <c r="AP439" s="28"/>
      <c r="AQ439" s="28"/>
      <c r="AR439" s="28"/>
      <c r="AS439" s="28"/>
      <c r="AT439" s="28"/>
      <c r="AU439" s="28"/>
      <c r="AV439" s="28"/>
      <c r="AW439" s="28"/>
      <c r="AX439" s="28"/>
      <c r="AY439" s="34" t="s">
        <v>225</v>
      </c>
      <c r="AZ439" s="34" t="s">
        <v>981</v>
      </c>
      <c r="BA439" s="63" t="s">
        <v>291</v>
      </c>
      <c r="BB439" s="64"/>
      <c r="BE439" s="59"/>
      <c r="BI439" s="42">
        <v>1</v>
      </c>
    </row>
    <row r="440" spans="1:63" s="71" customFormat="1" ht="31.5">
      <c r="A440" s="138">
        <f t="shared" si="52"/>
        <v>412</v>
      </c>
      <c r="B440" s="66" t="s">
        <v>982</v>
      </c>
      <c r="C440" s="78" t="s">
        <v>40</v>
      </c>
      <c r="D440" s="35">
        <f t="shared" si="46"/>
        <v>0.66</v>
      </c>
      <c r="E440" s="67">
        <v>0.46</v>
      </c>
      <c r="F440" s="35">
        <f t="shared" si="51"/>
        <v>0.2</v>
      </c>
      <c r="G440" s="68"/>
      <c r="H440" s="68"/>
      <c r="I440" s="68"/>
      <c r="J440" s="68"/>
      <c r="K440" s="68"/>
      <c r="L440" s="68"/>
      <c r="M440" s="68">
        <v>0.2</v>
      </c>
      <c r="N440" s="68"/>
      <c r="O440" s="68"/>
      <c r="P440" s="68"/>
      <c r="Q440" s="68"/>
      <c r="R440" s="68"/>
      <c r="S440" s="68"/>
      <c r="T440" s="68"/>
      <c r="U440" s="68"/>
      <c r="V440" s="68"/>
      <c r="W440" s="68"/>
      <c r="X440" s="68"/>
      <c r="Y440" s="68"/>
      <c r="Z440" s="68"/>
      <c r="AA440" s="68"/>
      <c r="AB440" s="68"/>
      <c r="AC440" s="68"/>
      <c r="AD440" s="68"/>
      <c r="AE440" s="68"/>
      <c r="AF440" s="68"/>
      <c r="AG440" s="68"/>
      <c r="AH440" s="68"/>
      <c r="AI440" s="68"/>
      <c r="AJ440" s="68"/>
      <c r="AK440" s="68"/>
      <c r="AL440" s="68"/>
      <c r="AM440" s="68"/>
      <c r="AN440" s="68"/>
      <c r="AO440" s="68"/>
      <c r="AP440" s="68"/>
      <c r="AQ440" s="68"/>
      <c r="AR440" s="68"/>
      <c r="AS440" s="68"/>
      <c r="AT440" s="68"/>
      <c r="AU440" s="68"/>
      <c r="AV440" s="68"/>
      <c r="AW440" s="68"/>
      <c r="AX440" s="68"/>
      <c r="AY440" s="70" t="s">
        <v>983</v>
      </c>
      <c r="AZ440" s="70" t="s">
        <v>392</v>
      </c>
      <c r="BA440" s="70" t="s">
        <v>291</v>
      </c>
      <c r="BB440" s="81"/>
      <c r="BI440" s="42">
        <v>1</v>
      </c>
      <c r="BK440" s="72"/>
    </row>
    <row r="441" spans="1:63" s="71" customFormat="1">
      <c r="A441" s="138">
        <f t="shared" si="52"/>
        <v>413</v>
      </c>
      <c r="B441" s="66" t="s">
        <v>984</v>
      </c>
      <c r="C441" s="78" t="s">
        <v>40</v>
      </c>
      <c r="D441" s="35">
        <f t="shared" si="46"/>
        <v>1.1599999999999999</v>
      </c>
      <c r="E441" s="67">
        <v>0.96</v>
      </c>
      <c r="F441" s="35">
        <f t="shared" si="51"/>
        <v>0.2</v>
      </c>
      <c r="G441" s="68">
        <v>0.2</v>
      </c>
      <c r="H441" s="68"/>
      <c r="I441" s="68"/>
      <c r="J441" s="68"/>
      <c r="K441" s="68"/>
      <c r="L441" s="68"/>
      <c r="M441" s="68"/>
      <c r="N441" s="68"/>
      <c r="O441" s="68"/>
      <c r="P441" s="68"/>
      <c r="Q441" s="68"/>
      <c r="R441" s="68"/>
      <c r="S441" s="68"/>
      <c r="T441" s="68"/>
      <c r="U441" s="68"/>
      <c r="V441" s="68"/>
      <c r="W441" s="68"/>
      <c r="X441" s="68"/>
      <c r="Y441" s="68"/>
      <c r="Z441" s="68"/>
      <c r="AA441" s="68"/>
      <c r="AB441" s="68"/>
      <c r="AC441" s="68"/>
      <c r="AD441" s="68"/>
      <c r="AE441" s="68"/>
      <c r="AF441" s="68"/>
      <c r="AG441" s="68"/>
      <c r="AH441" s="68"/>
      <c r="AI441" s="68"/>
      <c r="AJ441" s="68"/>
      <c r="AK441" s="68"/>
      <c r="AL441" s="68"/>
      <c r="AM441" s="68"/>
      <c r="AN441" s="68"/>
      <c r="AO441" s="68"/>
      <c r="AP441" s="68"/>
      <c r="AQ441" s="68"/>
      <c r="AR441" s="68"/>
      <c r="AS441" s="68"/>
      <c r="AT441" s="68"/>
      <c r="AU441" s="68"/>
      <c r="AV441" s="68"/>
      <c r="AW441" s="68"/>
      <c r="AX441" s="68"/>
      <c r="AY441" s="70" t="s">
        <v>226</v>
      </c>
      <c r="AZ441" s="70" t="s">
        <v>950</v>
      </c>
      <c r="BA441" s="70" t="s">
        <v>291</v>
      </c>
      <c r="BB441" s="81"/>
      <c r="BC441" s="71" t="s">
        <v>985</v>
      </c>
      <c r="BI441" s="42">
        <v>1</v>
      </c>
      <c r="BJ441" s="15" t="s">
        <v>986</v>
      </c>
      <c r="BK441" s="72" t="s">
        <v>546</v>
      </c>
    </row>
    <row r="442" spans="1:63" s="71" customFormat="1" ht="19.350000000000001" customHeight="1">
      <c r="A442" s="138">
        <f t="shared" si="52"/>
        <v>414</v>
      </c>
      <c r="B442" s="66" t="s">
        <v>987</v>
      </c>
      <c r="C442" s="78" t="s">
        <v>40</v>
      </c>
      <c r="D442" s="35">
        <f t="shared" si="46"/>
        <v>1.2</v>
      </c>
      <c r="E442" s="67">
        <v>1</v>
      </c>
      <c r="F442" s="35">
        <f t="shared" si="51"/>
        <v>0.2</v>
      </c>
      <c r="G442" s="68"/>
      <c r="H442" s="68"/>
      <c r="I442" s="68">
        <v>0.2</v>
      </c>
      <c r="J442" s="68"/>
      <c r="K442" s="68"/>
      <c r="L442" s="68"/>
      <c r="M442" s="68"/>
      <c r="N442" s="68"/>
      <c r="O442" s="68"/>
      <c r="P442" s="68"/>
      <c r="Q442" s="68"/>
      <c r="R442" s="68"/>
      <c r="S442" s="68"/>
      <c r="T442" s="68"/>
      <c r="U442" s="68"/>
      <c r="V442" s="68"/>
      <c r="W442" s="68"/>
      <c r="X442" s="68"/>
      <c r="Y442" s="68"/>
      <c r="Z442" s="68"/>
      <c r="AA442" s="68"/>
      <c r="AB442" s="68"/>
      <c r="AC442" s="68"/>
      <c r="AD442" s="68"/>
      <c r="AE442" s="68"/>
      <c r="AF442" s="68"/>
      <c r="AG442" s="68"/>
      <c r="AH442" s="68"/>
      <c r="AI442" s="68"/>
      <c r="AJ442" s="68"/>
      <c r="AK442" s="68"/>
      <c r="AL442" s="68"/>
      <c r="AM442" s="68"/>
      <c r="AN442" s="68"/>
      <c r="AO442" s="68"/>
      <c r="AP442" s="68"/>
      <c r="AQ442" s="68"/>
      <c r="AR442" s="68"/>
      <c r="AS442" s="68"/>
      <c r="AT442" s="68"/>
      <c r="AU442" s="68"/>
      <c r="AV442" s="68"/>
      <c r="AW442" s="68"/>
      <c r="AX442" s="68"/>
      <c r="AY442" s="70" t="s">
        <v>226</v>
      </c>
      <c r="AZ442" s="70" t="s">
        <v>988</v>
      </c>
      <c r="BA442" s="70" t="s">
        <v>291</v>
      </c>
      <c r="BB442" s="81"/>
      <c r="BI442" s="42">
        <v>1</v>
      </c>
      <c r="BJ442" s="15" t="s">
        <v>989</v>
      </c>
      <c r="BK442" s="72" t="s">
        <v>546</v>
      </c>
    </row>
    <row r="443" spans="1:63" s="71" customFormat="1" ht="19.350000000000001" customHeight="1">
      <c r="A443" s="138">
        <f t="shared" si="52"/>
        <v>415</v>
      </c>
      <c r="B443" s="66" t="s">
        <v>990</v>
      </c>
      <c r="C443" s="78" t="s">
        <v>40</v>
      </c>
      <c r="D443" s="35">
        <f t="shared" si="46"/>
        <v>0.5</v>
      </c>
      <c r="E443" s="67"/>
      <c r="F443" s="35">
        <f t="shared" si="51"/>
        <v>0.5</v>
      </c>
      <c r="G443" s="68"/>
      <c r="H443" s="68">
        <v>0.5</v>
      </c>
      <c r="I443" s="68"/>
      <c r="J443" s="68"/>
      <c r="K443" s="68"/>
      <c r="L443" s="68"/>
      <c r="M443" s="68"/>
      <c r="N443" s="68"/>
      <c r="O443" s="68"/>
      <c r="P443" s="68"/>
      <c r="Q443" s="68"/>
      <c r="R443" s="68"/>
      <c r="S443" s="68"/>
      <c r="T443" s="68"/>
      <c r="U443" s="68"/>
      <c r="V443" s="68"/>
      <c r="W443" s="68"/>
      <c r="X443" s="68"/>
      <c r="Y443" s="68"/>
      <c r="Z443" s="68"/>
      <c r="AA443" s="68"/>
      <c r="AB443" s="68"/>
      <c r="AC443" s="68"/>
      <c r="AD443" s="68"/>
      <c r="AE443" s="68"/>
      <c r="AF443" s="68"/>
      <c r="AG443" s="68"/>
      <c r="AH443" s="68"/>
      <c r="AI443" s="68"/>
      <c r="AJ443" s="68"/>
      <c r="AK443" s="68"/>
      <c r="AL443" s="68"/>
      <c r="AM443" s="68"/>
      <c r="AN443" s="68"/>
      <c r="AO443" s="68"/>
      <c r="AP443" s="68"/>
      <c r="AQ443" s="68"/>
      <c r="AR443" s="68"/>
      <c r="AS443" s="68"/>
      <c r="AT443" s="68"/>
      <c r="AU443" s="68"/>
      <c r="AV443" s="68"/>
      <c r="AW443" s="68"/>
      <c r="AX443" s="68"/>
      <c r="AY443" s="70" t="s">
        <v>226</v>
      </c>
      <c r="AZ443" s="70" t="s">
        <v>394</v>
      </c>
      <c r="BA443" s="47" t="s">
        <v>298</v>
      </c>
      <c r="BB443" s="48"/>
      <c r="BI443" s="42">
        <v>1</v>
      </c>
      <c r="BJ443" s="15" t="s">
        <v>976</v>
      </c>
      <c r="BK443" s="72" t="s">
        <v>546</v>
      </c>
    </row>
    <row r="444" spans="1:63" ht="33.6" customHeight="1">
      <c r="A444" s="138">
        <f t="shared" si="52"/>
        <v>416</v>
      </c>
      <c r="B444" s="56" t="s">
        <v>991</v>
      </c>
      <c r="C444" s="78" t="s">
        <v>40</v>
      </c>
      <c r="D444" s="35">
        <f t="shared" si="46"/>
        <v>0.18</v>
      </c>
      <c r="E444" s="36">
        <v>7.0000000000000007E-2</v>
      </c>
      <c r="F444" s="35">
        <f t="shared" si="51"/>
        <v>0.11</v>
      </c>
      <c r="G444" s="43"/>
      <c r="H444" s="43">
        <v>0.11</v>
      </c>
      <c r="I444" s="43"/>
      <c r="J444" s="43"/>
      <c r="K444" s="43"/>
      <c r="L444" s="43"/>
      <c r="M444" s="43"/>
      <c r="N444" s="43"/>
      <c r="O444" s="43"/>
      <c r="P444" s="43"/>
      <c r="Q444" s="43"/>
      <c r="R444" s="43"/>
      <c r="S444" s="43"/>
      <c r="T444" s="43"/>
      <c r="U444" s="43"/>
      <c r="V444" s="43"/>
      <c r="W444" s="43"/>
      <c r="X444" s="43"/>
      <c r="Y444" s="43"/>
      <c r="Z444" s="43"/>
      <c r="AA444" s="43"/>
      <c r="AB444" s="43"/>
      <c r="AC444" s="43"/>
      <c r="AD444" s="43"/>
      <c r="AE444" s="43"/>
      <c r="AF444" s="43"/>
      <c r="AG444" s="43"/>
      <c r="AH444" s="43"/>
      <c r="AI444" s="43"/>
      <c r="AJ444" s="43"/>
      <c r="AK444" s="43"/>
      <c r="AL444" s="43"/>
      <c r="AM444" s="43"/>
      <c r="AN444" s="43"/>
      <c r="AO444" s="43"/>
      <c r="AP444" s="43"/>
      <c r="AQ444" s="43"/>
      <c r="AR444" s="43"/>
      <c r="AS444" s="43"/>
      <c r="AT444" s="43"/>
      <c r="AU444" s="43"/>
      <c r="AV444" s="43"/>
      <c r="AW444" s="43"/>
      <c r="AX444" s="43"/>
      <c r="AY444" s="34" t="s">
        <v>487</v>
      </c>
      <c r="AZ444" s="34" t="s">
        <v>992</v>
      </c>
      <c r="BA444" s="47" t="s">
        <v>298</v>
      </c>
      <c r="BB444" s="48"/>
      <c r="BE444" s="41"/>
      <c r="BI444" s="42">
        <v>1</v>
      </c>
    </row>
    <row r="445" spans="1:63" s="49" customFormat="1" ht="31.5">
      <c r="A445" s="138">
        <f t="shared" si="52"/>
        <v>417</v>
      </c>
      <c r="B445" s="60" t="s">
        <v>993</v>
      </c>
      <c r="C445" s="78" t="s">
        <v>40</v>
      </c>
      <c r="D445" s="35">
        <f t="shared" si="46"/>
        <v>0.2</v>
      </c>
      <c r="E445" s="36"/>
      <c r="F445" s="35">
        <f t="shared" si="51"/>
        <v>0.2</v>
      </c>
      <c r="G445" s="46"/>
      <c r="H445" s="46"/>
      <c r="I445" s="46"/>
      <c r="J445" s="46"/>
      <c r="K445" s="46"/>
      <c r="L445" s="46"/>
      <c r="M445" s="43">
        <v>0.2</v>
      </c>
      <c r="N445" s="46"/>
      <c r="O445" s="46"/>
      <c r="P445" s="46"/>
      <c r="Q445" s="46"/>
      <c r="R445" s="46"/>
      <c r="S445" s="46"/>
      <c r="T445" s="46"/>
      <c r="U445" s="46"/>
      <c r="V445" s="46"/>
      <c r="W445" s="46"/>
      <c r="X445" s="46"/>
      <c r="Y445" s="46"/>
      <c r="Z445" s="46"/>
      <c r="AA445" s="46"/>
      <c r="AB445" s="46"/>
      <c r="AC445" s="46"/>
      <c r="AD445" s="46"/>
      <c r="AE445" s="46"/>
      <c r="AF445" s="46"/>
      <c r="AG445" s="46"/>
      <c r="AH445" s="46"/>
      <c r="AI445" s="46"/>
      <c r="AJ445" s="46"/>
      <c r="AK445" s="46"/>
      <c r="AL445" s="46"/>
      <c r="AM445" s="46"/>
      <c r="AN445" s="46"/>
      <c r="AO445" s="46"/>
      <c r="AP445" s="46"/>
      <c r="AQ445" s="46"/>
      <c r="AR445" s="46"/>
      <c r="AS445" s="46"/>
      <c r="AT445" s="46"/>
      <c r="AU445" s="46"/>
      <c r="AV445" s="46"/>
      <c r="AW445" s="46"/>
      <c r="AX445" s="46"/>
      <c r="AY445" s="34" t="s">
        <v>229</v>
      </c>
      <c r="AZ445" s="34" t="s">
        <v>994</v>
      </c>
      <c r="BA445" s="93" t="s">
        <v>291</v>
      </c>
      <c r="BB445" s="50"/>
      <c r="BI445" s="42">
        <v>1</v>
      </c>
      <c r="BK445" s="50"/>
    </row>
    <row r="446" spans="1:63" s="91" customFormat="1" ht="20.85" customHeight="1">
      <c r="A446" s="138">
        <f t="shared" si="52"/>
        <v>418</v>
      </c>
      <c r="B446" s="62" t="s">
        <v>995</v>
      </c>
      <c r="C446" s="78" t="s">
        <v>40</v>
      </c>
      <c r="D446" s="35">
        <f t="shared" si="46"/>
        <v>1.5</v>
      </c>
      <c r="E446" s="36">
        <v>1.3</v>
      </c>
      <c r="F446" s="35">
        <f t="shared" si="51"/>
        <v>0.2</v>
      </c>
      <c r="G446" s="90"/>
      <c r="H446" s="90"/>
      <c r="I446" s="90"/>
      <c r="J446" s="90"/>
      <c r="K446" s="90"/>
      <c r="L446" s="90"/>
      <c r="M446" s="43">
        <v>0.2</v>
      </c>
      <c r="N446" s="90"/>
      <c r="O446" s="90"/>
      <c r="P446" s="90"/>
      <c r="Q446" s="90"/>
      <c r="R446" s="90"/>
      <c r="S446" s="90"/>
      <c r="T446" s="90"/>
      <c r="U446" s="90"/>
      <c r="V446" s="90"/>
      <c r="W446" s="90"/>
      <c r="X446" s="90"/>
      <c r="Y446" s="90"/>
      <c r="Z446" s="90"/>
      <c r="AA446" s="90"/>
      <c r="AB446" s="90"/>
      <c r="AC446" s="90"/>
      <c r="AD446" s="90"/>
      <c r="AE446" s="90"/>
      <c r="AF446" s="90"/>
      <c r="AG446" s="90"/>
      <c r="AH446" s="90"/>
      <c r="AI446" s="90"/>
      <c r="AJ446" s="90"/>
      <c r="AK446" s="90"/>
      <c r="AL446" s="90"/>
      <c r="AM446" s="90"/>
      <c r="AN446" s="90"/>
      <c r="AO446" s="90"/>
      <c r="AP446" s="90"/>
      <c r="AQ446" s="90"/>
      <c r="AR446" s="90"/>
      <c r="AS446" s="90"/>
      <c r="AT446" s="90"/>
      <c r="AU446" s="90"/>
      <c r="AV446" s="90"/>
      <c r="AW446" s="90"/>
      <c r="AX446" s="90"/>
      <c r="AY446" s="34" t="s">
        <v>229</v>
      </c>
      <c r="AZ446" s="34" t="s">
        <v>996</v>
      </c>
      <c r="BA446" s="93" t="s">
        <v>291</v>
      </c>
      <c r="BB446" s="50"/>
      <c r="BC446" s="49"/>
      <c r="BD446" s="49"/>
      <c r="BE446" s="49"/>
      <c r="BI446" s="42">
        <v>1</v>
      </c>
      <c r="BJ446" s="15" t="s">
        <v>997</v>
      </c>
      <c r="BK446" s="92" t="s">
        <v>546</v>
      </c>
    </row>
    <row r="447" spans="1:63" ht="20.85" customHeight="1">
      <c r="A447" s="138">
        <f t="shared" si="52"/>
        <v>419</v>
      </c>
      <c r="B447" s="56" t="s">
        <v>998</v>
      </c>
      <c r="C447" s="78" t="s">
        <v>40</v>
      </c>
      <c r="D447" s="35">
        <f t="shared" si="46"/>
        <v>0.5</v>
      </c>
      <c r="E447" s="36"/>
      <c r="F447" s="35">
        <f t="shared" si="51"/>
        <v>0.5</v>
      </c>
      <c r="G447" s="43"/>
      <c r="H447" s="43"/>
      <c r="I447" s="43"/>
      <c r="J447" s="43"/>
      <c r="K447" s="43"/>
      <c r="L447" s="43"/>
      <c r="M447" s="43">
        <v>0.5</v>
      </c>
      <c r="N447" s="43"/>
      <c r="O447" s="43"/>
      <c r="P447" s="43"/>
      <c r="Q447" s="43"/>
      <c r="R447" s="43"/>
      <c r="S447" s="43"/>
      <c r="T447" s="43"/>
      <c r="U447" s="43"/>
      <c r="V447" s="43"/>
      <c r="W447" s="43"/>
      <c r="X447" s="43"/>
      <c r="Y447" s="43"/>
      <c r="Z447" s="43"/>
      <c r="AA447" s="43"/>
      <c r="AB447" s="43"/>
      <c r="AC447" s="43"/>
      <c r="AD447" s="43"/>
      <c r="AE447" s="43"/>
      <c r="AF447" s="43"/>
      <c r="AG447" s="43"/>
      <c r="AH447" s="43"/>
      <c r="AI447" s="43"/>
      <c r="AJ447" s="43"/>
      <c r="AK447" s="43"/>
      <c r="AL447" s="43"/>
      <c r="AM447" s="43"/>
      <c r="AN447" s="43"/>
      <c r="AO447" s="43"/>
      <c r="AP447" s="43"/>
      <c r="AQ447" s="43"/>
      <c r="AR447" s="43"/>
      <c r="AS447" s="43"/>
      <c r="AT447" s="43"/>
      <c r="AU447" s="43"/>
      <c r="AV447" s="43"/>
      <c r="AW447" s="43"/>
      <c r="AX447" s="43"/>
      <c r="AY447" s="34" t="s">
        <v>230</v>
      </c>
      <c r="AZ447" s="34" t="s">
        <v>328</v>
      </c>
      <c r="BA447" s="63" t="s">
        <v>291</v>
      </c>
      <c r="BB447" s="64"/>
      <c r="BD447" s="15" t="s">
        <v>999</v>
      </c>
      <c r="BE447" s="41"/>
      <c r="BI447" s="42">
        <v>1</v>
      </c>
      <c r="BJ447" s="15" t="s">
        <v>978</v>
      </c>
      <c r="BK447" s="15" t="s">
        <v>546</v>
      </c>
    </row>
    <row r="448" spans="1:63" ht="20.85" customHeight="1">
      <c r="A448" s="138">
        <f t="shared" si="52"/>
        <v>420</v>
      </c>
      <c r="B448" s="56" t="s">
        <v>1000</v>
      </c>
      <c r="C448" s="78" t="s">
        <v>40</v>
      </c>
      <c r="D448" s="35">
        <f t="shared" si="46"/>
        <v>1.5999999999999999</v>
      </c>
      <c r="E448" s="36">
        <v>1.4</v>
      </c>
      <c r="F448" s="35">
        <f t="shared" si="51"/>
        <v>0.2</v>
      </c>
      <c r="G448" s="43"/>
      <c r="H448" s="43"/>
      <c r="I448" s="43"/>
      <c r="J448" s="43"/>
      <c r="K448" s="43"/>
      <c r="L448" s="43"/>
      <c r="M448" s="43">
        <v>0.2</v>
      </c>
      <c r="N448" s="43"/>
      <c r="O448" s="43"/>
      <c r="P448" s="43"/>
      <c r="Q448" s="43"/>
      <c r="R448" s="43"/>
      <c r="S448" s="43"/>
      <c r="T448" s="43"/>
      <c r="U448" s="43"/>
      <c r="V448" s="43"/>
      <c r="W448" s="43"/>
      <c r="X448" s="43"/>
      <c r="Y448" s="43"/>
      <c r="Z448" s="43"/>
      <c r="AA448" s="43"/>
      <c r="AB448" s="43"/>
      <c r="AC448" s="43"/>
      <c r="AD448" s="43"/>
      <c r="AE448" s="43"/>
      <c r="AF448" s="43"/>
      <c r="AG448" s="43"/>
      <c r="AH448" s="43"/>
      <c r="AI448" s="43"/>
      <c r="AJ448" s="43"/>
      <c r="AK448" s="43"/>
      <c r="AL448" s="43"/>
      <c r="AM448" s="43"/>
      <c r="AN448" s="43"/>
      <c r="AO448" s="43"/>
      <c r="AP448" s="43"/>
      <c r="AQ448" s="43"/>
      <c r="AR448" s="43"/>
      <c r="AS448" s="43"/>
      <c r="AT448" s="43"/>
      <c r="AU448" s="43"/>
      <c r="AV448" s="43"/>
      <c r="AW448" s="43"/>
      <c r="AX448" s="43"/>
      <c r="AY448" s="34" t="s">
        <v>231</v>
      </c>
      <c r="AZ448" s="34" t="s">
        <v>1001</v>
      </c>
      <c r="BA448" s="39" t="s">
        <v>291</v>
      </c>
      <c r="BB448" s="40"/>
      <c r="BC448" s="15" t="s">
        <v>1002</v>
      </c>
      <c r="BE448" s="41"/>
      <c r="BI448" s="42">
        <v>1</v>
      </c>
      <c r="BJ448" s="15" t="s">
        <v>1003</v>
      </c>
      <c r="BK448" s="15" t="s">
        <v>546</v>
      </c>
    </row>
    <row r="449" spans="1:63" ht="20.85" customHeight="1">
      <c r="A449" s="138">
        <f t="shared" si="52"/>
        <v>421</v>
      </c>
      <c r="B449" s="60" t="s">
        <v>1004</v>
      </c>
      <c r="C449" s="78" t="s">
        <v>40</v>
      </c>
      <c r="D449" s="35">
        <f t="shared" si="46"/>
        <v>0.6</v>
      </c>
      <c r="E449" s="36"/>
      <c r="F449" s="35">
        <f t="shared" si="51"/>
        <v>0.6</v>
      </c>
      <c r="G449" s="43"/>
      <c r="H449" s="43"/>
      <c r="I449" s="43"/>
      <c r="J449" s="43"/>
      <c r="K449" s="43"/>
      <c r="L449" s="43"/>
      <c r="M449" s="43">
        <v>0.6</v>
      </c>
      <c r="N449" s="43"/>
      <c r="O449" s="43"/>
      <c r="P449" s="43"/>
      <c r="Q449" s="43"/>
      <c r="R449" s="43"/>
      <c r="S449" s="43"/>
      <c r="T449" s="43"/>
      <c r="U449" s="43"/>
      <c r="V449" s="43"/>
      <c r="W449" s="43"/>
      <c r="X449" s="43"/>
      <c r="Y449" s="43"/>
      <c r="Z449" s="43"/>
      <c r="AA449" s="43"/>
      <c r="AB449" s="43"/>
      <c r="AC449" s="43"/>
      <c r="AD449" s="43"/>
      <c r="AE449" s="43"/>
      <c r="AF449" s="43"/>
      <c r="AG449" s="43"/>
      <c r="AH449" s="43"/>
      <c r="AI449" s="43"/>
      <c r="AJ449" s="43"/>
      <c r="AK449" s="43"/>
      <c r="AL449" s="43"/>
      <c r="AM449" s="43"/>
      <c r="AN449" s="43"/>
      <c r="AO449" s="43"/>
      <c r="AP449" s="43"/>
      <c r="AQ449" s="43"/>
      <c r="AR449" s="43"/>
      <c r="AS449" s="43"/>
      <c r="AT449" s="43"/>
      <c r="AU449" s="43"/>
      <c r="AV449" s="43"/>
      <c r="AW449" s="43"/>
      <c r="AX449" s="43"/>
      <c r="AY449" s="34" t="s">
        <v>232</v>
      </c>
      <c r="AZ449" s="34" t="s">
        <v>387</v>
      </c>
      <c r="BA449" s="63" t="s">
        <v>291</v>
      </c>
      <c r="BB449" s="64"/>
      <c r="BC449" s="15" t="s">
        <v>1005</v>
      </c>
      <c r="BD449" s="15" t="s">
        <v>18</v>
      </c>
      <c r="BE449" s="41"/>
      <c r="BI449" s="42">
        <v>1</v>
      </c>
      <c r="BJ449" s="15" t="s">
        <v>1006</v>
      </c>
      <c r="BK449" s="15" t="s">
        <v>546</v>
      </c>
    </row>
    <row r="450" spans="1:63" s="49" customFormat="1" ht="65.099999999999994" customHeight="1">
      <c r="A450" s="138">
        <f t="shared" si="52"/>
        <v>422</v>
      </c>
      <c r="B450" s="33" t="s">
        <v>1007</v>
      </c>
      <c r="C450" s="78" t="s">
        <v>40</v>
      </c>
      <c r="D450" s="35">
        <f t="shared" si="46"/>
        <v>1.3</v>
      </c>
      <c r="E450" s="36"/>
      <c r="F450" s="35">
        <f t="shared" si="51"/>
        <v>1.3</v>
      </c>
      <c r="G450" s="46">
        <v>0.18</v>
      </c>
      <c r="H450" s="46"/>
      <c r="I450" s="46">
        <v>0.1</v>
      </c>
      <c r="J450" s="46"/>
      <c r="K450" s="46"/>
      <c r="L450" s="46"/>
      <c r="M450" s="46">
        <v>1.02</v>
      </c>
      <c r="N450" s="46"/>
      <c r="O450" s="46"/>
      <c r="P450" s="46"/>
      <c r="Q450" s="46"/>
      <c r="R450" s="46"/>
      <c r="S450" s="46"/>
      <c r="T450" s="46"/>
      <c r="U450" s="46"/>
      <c r="V450" s="46"/>
      <c r="W450" s="46"/>
      <c r="X450" s="46"/>
      <c r="Y450" s="46"/>
      <c r="Z450" s="46"/>
      <c r="AA450" s="46"/>
      <c r="AB450" s="46"/>
      <c r="AC450" s="46"/>
      <c r="AD450" s="46"/>
      <c r="AE450" s="46"/>
      <c r="AF450" s="46"/>
      <c r="AG450" s="46"/>
      <c r="AH450" s="46"/>
      <c r="AI450" s="46"/>
      <c r="AJ450" s="46"/>
      <c r="AK450" s="46"/>
      <c r="AL450" s="46"/>
      <c r="AM450" s="46"/>
      <c r="AN450" s="46"/>
      <c r="AO450" s="46"/>
      <c r="AP450" s="46"/>
      <c r="AQ450" s="46"/>
      <c r="AR450" s="46"/>
      <c r="AS450" s="46"/>
      <c r="AT450" s="46"/>
      <c r="AU450" s="46"/>
      <c r="AV450" s="46"/>
      <c r="AW450" s="46"/>
      <c r="AX450" s="46"/>
      <c r="AY450" s="47" t="s">
        <v>1008</v>
      </c>
      <c r="AZ450" s="47" t="s">
        <v>1009</v>
      </c>
      <c r="BA450" s="93" t="s">
        <v>291</v>
      </c>
      <c r="BB450" s="50"/>
      <c r="BI450" s="42">
        <v>1</v>
      </c>
      <c r="BK450" s="50"/>
    </row>
    <row r="451" spans="1:63" s="49" customFormat="1" ht="19.350000000000001" customHeight="1">
      <c r="A451" s="138">
        <f t="shared" si="52"/>
        <v>423</v>
      </c>
      <c r="B451" s="56" t="s">
        <v>1010</v>
      </c>
      <c r="C451" s="78" t="s">
        <v>40</v>
      </c>
      <c r="D451" s="35">
        <f t="shared" si="46"/>
        <v>0.5</v>
      </c>
      <c r="E451" s="36"/>
      <c r="F451" s="35">
        <f t="shared" si="51"/>
        <v>0.5</v>
      </c>
      <c r="G451" s="46"/>
      <c r="H451" s="46"/>
      <c r="I451" s="46"/>
      <c r="J451" s="46"/>
      <c r="K451" s="46"/>
      <c r="L451" s="46"/>
      <c r="M451" s="46">
        <v>0.5</v>
      </c>
      <c r="N451" s="46"/>
      <c r="O451" s="46"/>
      <c r="P451" s="46"/>
      <c r="Q451" s="46"/>
      <c r="R451" s="46"/>
      <c r="S451" s="46"/>
      <c r="T451" s="46"/>
      <c r="U451" s="46"/>
      <c r="V451" s="46"/>
      <c r="W451" s="46"/>
      <c r="X451" s="46"/>
      <c r="Y451" s="46"/>
      <c r="Z451" s="46"/>
      <c r="AA451" s="46"/>
      <c r="AB451" s="46"/>
      <c r="AC451" s="46"/>
      <c r="AD451" s="46"/>
      <c r="AE451" s="46"/>
      <c r="AF451" s="46"/>
      <c r="AG451" s="46"/>
      <c r="AH451" s="46"/>
      <c r="AI451" s="46"/>
      <c r="AJ451" s="46"/>
      <c r="AK451" s="46"/>
      <c r="AL451" s="46"/>
      <c r="AM451" s="46"/>
      <c r="AN451" s="46"/>
      <c r="AO451" s="46"/>
      <c r="AP451" s="46"/>
      <c r="AQ451" s="46"/>
      <c r="AR451" s="46"/>
      <c r="AS451" s="46"/>
      <c r="AT451" s="46"/>
      <c r="AU451" s="46"/>
      <c r="AV451" s="46"/>
      <c r="AW451" s="46"/>
      <c r="AX451" s="46"/>
      <c r="AY451" s="47" t="s">
        <v>953</v>
      </c>
      <c r="AZ451" s="47" t="s">
        <v>784</v>
      </c>
      <c r="BA451" s="93" t="s">
        <v>291</v>
      </c>
      <c r="BB451" s="50"/>
      <c r="BC451" s="49" t="s">
        <v>1011</v>
      </c>
      <c r="BI451" s="42">
        <v>1</v>
      </c>
      <c r="BJ451" s="15" t="s">
        <v>976</v>
      </c>
      <c r="BK451" s="50" t="s">
        <v>546</v>
      </c>
    </row>
    <row r="452" spans="1:63" s="49" customFormat="1" ht="19.350000000000001" customHeight="1">
      <c r="A452" s="138">
        <f t="shared" si="52"/>
        <v>424</v>
      </c>
      <c r="B452" s="56" t="s">
        <v>1012</v>
      </c>
      <c r="C452" s="78" t="s">
        <v>40</v>
      </c>
      <c r="D452" s="35">
        <f t="shared" si="46"/>
        <v>1</v>
      </c>
      <c r="E452" s="36">
        <v>0.8</v>
      </c>
      <c r="F452" s="35">
        <f t="shared" si="51"/>
        <v>0.2</v>
      </c>
      <c r="G452" s="46"/>
      <c r="H452" s="46"/>
      <c r="I452" s="46">
        <v>0.2</v>
      </c>
      <c r="J452" s="46"/>
      <c r="K452" s="46"/>
      <c r="L452" s="46"/>
      <c r="M452" s="46"/>
      <c r="N452" s="46"/>
      <c r="O452" s="46"/>
      <c r="P452" s="46"/>
      <c r="Q452" s="46"/>
      <c r="R452" s="46"/>
      <c r="S452" s="46"/>
      <c r="T452" s="46"/>
      <c r="U452" s="46"/>
      <c r="V452" s="46"/>
      <c r="W452" s="46"/>
      <c r="X452" s="46"/>
      <c r="Y452" s="46"/>
      <c r="Z452" s="46"/>
      <c r="AA452" s="46"/>
      <c r="AB452" s="46"/>
      <c r="AC452" s="46"/>
      <c r="AD452" s="46"/>
      <c r="AE452" s="46"/>
      <c r="AF452" s="46"/>
      <c r="AG452" s="46"/>
      <c r="AH452" s="46"/>
      <c r="AI452" s="46"/>
      <c r="AJ452" s="46"/>
      <c r="AK452" s="46"/>
      <c r="AL452" s="46"/>
      <c r="AM452" s="46"/>
      <c r="AN452" s="46"/>
      <c r="AO452" s="46"/>
      <c r="AP452" s="46"/>
      <c r="AQ452" s="46"/>
      <c r="AR452" s="46"/>
      <c r="AS452" s="46"/>
      <c r="AT452" s="46"/>
      <c r="AU452" s="46"/>
      <c r="AV452" s="46"/>
      <c r="AW452" s="46"/>
      <c r="AX452" s="46"/>
      <c r="AY452" s="47" t="s">
        <v>953</v>
      </c>
      <c r="AZ452" s="47" t="s">
        <v>1013</v>
      </c>
      <c r="BA452" s="93" t="s">
        <v>291</v>
      </c>
      <c r="BB452" s="50"/>
      <c r="BC452" s="49" t="s">
        <v>1014</v>
      </c>
      <c r="BI452" s="42">
        <v>1</v>
      </c>
      <c r="BK452" s="50"/>
    </row>
    <row r="453" spans="1:63" s="49" customFormat="1" ht="31.5">
      <c r="A453" s="138">
        <f t="shared" si="52"/>
        <v>425</v>
      </c>
      <c r="B453" s="56" t="s">
        <v>1015</v>
      </c>
      <c r="C453" s="78" t="s">
        <v>40</v>
      </c>
      <c r="D453" s="35">
        <f t="shared" si="46"/>
        <v>0.59</v>
      </c>
      <c r="E453" s="36">
        <v>0.28999999999999998</v>
      </c>
      <c r="F453" s="35">
        <f t="shared" si="51"/>
        <v>0.3</v>
      </c>
      <c r="G453" s="46">
        <v>0.3</v>
      </c>
      <c r="H453" s="46"/>
      <c r="I453" s="46"/>
      <c r="J453" s="46"/>
      <c r="K453" s="46"/>
      <c r="L453" s="46"/>
      <c r="M453" s="46"/>
      <c r="N453" s="46"/>
      <c r="O453" s="46"/>
      <c r="P453" s="46"/>
      <c r="Q453" s="46"/>
      <c r="R453" s="46"/>
      <c r="S453" s="46"/>
      <c r="T453" s="46"/>
      <c r="U453" s="46"/>
      <c r="V453" s="46"/>
      <c r="W453" s="46"/>
      <c r="X453" s="46"/>
      <c r="Y453" s="46"/>
      <c r="Z453" s="46"/>
      <c r="AA453" s="46"/>
      <c r="AB453" s="46"/>
      <c r="AC453" s="46"/>
      <c r="AD453" s="46"/>
      <c r="AE453" s="46"/>
      <c r="AF453" s="46"/>
      <c r="AG453" s="46"/>
      <c r="AH453" s="46"/>
      <c r="AI453" s="46"/>
      <c r="AJ453" s="46"/>
      <c r="AK453" s="46"/>
      <c r="AL453" s="46"/>
      <c r="AM453" s="46"/>
      <c r="AN453" s="46"/>
      <c r="AO453" s="46"/>
      <c r="AP453" s="46"/>
      <c r="AQ453" s="46"/>
      <c r="AR453" s="46"/>
      <c r="AS453" s="46"/>
      <c r="AT453" s="46"/>
      <c r="AU453" s="46"/>
      <c r="AV453" s="46"/>
      <c r="AW453" s="46"/>
      <c r="AX453" s="46"/>
      <c r="AY453" s="47" t="s">
        <v>953</v>
      </c>
      <c r="AZ453" s="47" t="s">
        <v>788</v>
      </c>
      <c r="BA453" s="93" t="s">
        <v>291</v>
      </c>
      <c r="BB453" s="50"/>
      <c r="BC453" s="49" t="s">
        <v>1016</v>
      </c>
      <c r="BI453" s="42">
        <v>1</v>
      </c>
      <c r="BJ453" s="15" t="s">
        <v>1017</v>
      </c>
      <c r="BK453" s="50" t="s">
        <v>546</v>
      </c>
    </row>
    <row r="454" spans="1:63" s="49" customFormat="1" ht="19.350000000000001" customHeight="1">
      <c r="A454" s="138">
        <f t="shared" si="52"/>
        <v>426</v>
      </c>
      <c r="B454" s="56" t="s">
        <v>1018</v>
      </c>
      <c r="C454" s="78" t="s">
        <v>40</v>
      </c>
      <c r="D454" s="35">
        <f t="shared" si="46"/>
        <v>0.73</v>
      </c>
      <c r="E454" s="36">
        <v>0.53</v>
      </c>
      <c r="F454" s="35">
        <f t="shared" si="51"/>
        <v>0.2</v>
      </c>
      <c r="G454" s="46"/>
      <c r="H454" s="46"/>
      <c r="I454" s="46"/>
      <c r="J454" s="46"/>
      <c r="K454" s="46"/>
      <c r="L454" s="46"/>
      <c r="M454" s="46">
        <v>0.2</v>
      </c>
      <c r="N454" s="46"/>
      <c r="O454" s="46"/>
      <c r="P454" s="46"/>
      <c r="Q454" s="46"/>
      <c r="R454" s="46"/>
      <c r="S454" s="46"/>
      <c r="T454" s="46"/>
      <c r="U454" s="46"/>
      <c r="V454" s="46"/>
      <c r="W454" s="46"/>
      <c r="X454" s="46"/>
      <c r="Y454" s="46"/>
      <c r="Z454" s="46"/>
      <c r="AA454" s="46"/>
      <c r="AB454" s="46"/>
      <c r="AC454" s="46"/>
      <c r="AD454" s="46"/>
      <c r="AE454" s="46"/>
      <c r="AF454" s="46"/>
      <c r="AG454" s="46"/>
      <c r="AH454" s="46"/>
      <c r="AI454" s="46"/>
      <c r="AJ454" s="46"/>
      <c r="AK454" s="46"/>
      <c r="AL454" s="46"/>
      <c r="AM454" s="46"/>
      <c r="AN454" s="46"/>
      <c r="AO454" s="46"/>
      <c r="AP454" s="46"/>
      <c r="AQ454" s="46"/>
      <c r="AR454" s="46"/>
      <c r="AS454" s="46"/>
      <c r="AT454" s="46"/>
      <c r="AU454" s="46"/>
      <c r="AV454" s="46"/>
      <c r="AW454" s="46"/>
      <c r="AX454" s="46"/>
      <c r="AY454" s="47" t="s">
        <v>953</v>
      </c>
      <c r="AZ454" s="47" t="s">
        <v>1019</v>
      </c>
      <c r="BA454" s="93" t="s">
        <v>291</v>
      </c>
      <c r="BB454" s="50"/>
      <c r="BC454" s="49" t="s">
        <v>1020</v>
      </c>
      <c r="BI454" s="42">
        <v>1</v>
      </c>
      <c r="BK454" s="50"/>
    </row>
    <row r="455" spans="1:63" s="49" customFormat="1" ht="19.350000000000001" customHeight="1">
      <c r="A455" s="138">
        <f t="shared" si="52"/>
        <v>427</v>
      </c>
      <c r="B455" s="56" t="s">
        <v>1021</v>
      </c>
      <c r="C455" s="78" t="s">
        <v>40</v>
      </c>
      <c r="D455" s="35">
        <f t="shared" si="46"/>
        <v>0.5</v>
      </c>
      <c r="E455" s="36">
        <v>0.3</v>
      </c>
      <c r="F455" s="35">
        <f t="shared" si="51"/>
        <v>0.2</v>
      </c>
      <c r="G455" s="46"/>
      <c r="H455" s="46"/>
      <c r="I455" s="46">
        <v>0.2</v>
      </c>
      <c r="J455" s="46"/>
      <c r="K455" s="46"/>
      <c r="L455" s="46"/>
      <c r="M455" s="46"/>
      <c r="N455" s="46"/>
      <c r="O455" s="46"/>
      <c r="P455" s="46"/>
      <c r="Q455" s="46"/>
      <c r="R455" s="46"/>
      <c r="S455" s="46"/>
      <c r="T455" s="46"/>
      <c r="U455" s="46"/>
      <c r="V455" s="46"/>
      <c r="W455" s="46"/>
      <c r="X455" s="46"/>
      <c r="Y455" s="46"/>
      <c r="Z455" s="46"/>
      <c r="AA455" s="46"/>
      <c r="AB455" s="46"/>
      <c r="AC455" s="46"/>
      <c r="AD455" s="46"/>
      <c r="AE455" s="46"/>
      <c r="AF455" s="46"/>
      <c r="AG455" s="46"/>
      <c r="AH455" s="46"/>
      <c r="AI455" s="46"/>
      <c r="AJ455" s="46"/>
      <c r="AK455" s="46"/>
      <c r="AL455" s="46"/>
      <c r="AM455" s="46"/>
      <c r="AN455" s="46"/>
      <c r="AO455" s="46"/>
      <c r="AP455" s="46"/>
      <c r="AQ455" s="46"/>
      <c r="AR455" s="46"/>
      <c r="AS455" s="46"/>
      <c r="AT455" s="46"/>
      <c r="AU455" s="46"/>
      <c r="AV455" s="46"/>
      <c r="AW455" s="46"/>
      <c r="AX455" s="46"/>
      <c r="AY455" s="47" t="s">
        <v>953</v>
      </c>
      <c r="AZ455" s="47" t="s">
        <v>1022</v>
      </c>
      <c r="BA455" s="93" t="s">
        <v>291</v>
      </c>
      <c r="BB455" s="50"/>
      <c r="BC455" s="49" t="s">
        <v>1023</v>
      </c>
      <c r="BI455" s="42">
        <v>1</v>
      </c>
      <c r="BK455" s="50"/>
    </row>
    <row r="456" spans="1:63" s="49" customFormat="1" ht="20.100000000000001" customHeight="1">
      <c r="A456" s="138">
        <f t="shared" si="52"/>
        <v>428</v>
      </c>
      <c r="B456" s="56" t="s">
        <v>1024</v>
      </c>
      <c r="C456" s="78" t="s">
        <v>40</v>
      </c>
      <c r="D456" s="35">
        <f t="shared" si="46"/>
        <v>0.82000000000000006</v>
      </c>
      <c r="E456" s="36">
        <v>0.62</v>
      </c>
      <c r="F456" s="35">
        <f t="shared" si="51"/>
        <v>0.2</v>
      </c>
      <c r="G456" s="46"/>
      <c r="H456" s="46"/>
      <c r="I456" s="46"/>
      <c r="J456" s="46">
        <v>0.2</v>
      </c>
      <c r="K456" s="46"/>
      <c r="L456" s="46"/>
      <c r="M456" s="46"/>
      <c r="N456" s="46"/>
      <c r="O456" s="46"/>
      <c r="P456" s="46"/>
      <c r="Q456" s="46"/>
      <c r="R456" s="46"/>
      <c r="S456" s="46"/>
      <c r="T456" s="46"/>
      <c r="U456" s="46"/>
      <c r="V456" s="46"/>
      <c r="W456" s="46"/>
      <c r="X456" s="46"/>
      <c r="Y456" s="46"/>
      <c r="Z456" s="46"/>
      <c r="AA456" s="46"/>
      <c r="AB456" s="46"/>
      <c r="AC456" s="46"/>
      <c r="AD456" s="46"/>
      <c r="AE456" s="46"/>
      <c r="AF456" s="46"/>
      <c r="AG456" s="46"/>
      <c r="AH456" s="46"/>
      <c r="AI456" s="46"/>
      <c r="AJ456" s="46"/>
      <c r="AK456" s="46"/>
      <c r="AL456" s="46"/>
      <c r="AM456" s="46"/>
      <c r="AN456" s="46"/>
      <c r="AO456" s="46"/>
      <c r="AP456" s="46"/>
      <c r="AQ456" s="46"/>
      <c r="AR456" s="46"/>
      <c r="AS456" s="46"/>
      <c r="AT456" s="46"/>
      <c r="AU456" s="46"/>
      <c r="AV456" s="46"/>
      <c r="AW456" s="46"/>
      <c r="AX456" s="46"/>
      <c r="AY456" s="47" t="s">
        <v>953</v>
      </c>
      <c r="AZ456" s="47" t="s">
        <v>956</v>
      </c>
      <c r="BA456" s="93" t="s">
        <v>291</v>
      </c>
      <c r="BB456" s="50" t="s">
        <v>506</v>
      </c>
      <c r="BC456" s="49" t="s">
        <v>1023</v>
      </c>
      <c r="BI456" s="42">
        <v>1</v>
      </c>
      <c r="BK456" s="50"/>
    </row>
    <row r="457" spans="1:63" s="49" customFormat="1" ht="21.6" customHeight="1">
      <c r="A457" s="138">
        <f t="shared" si="52"/>
        <v>429</v>
      </c>
      <c r="B457" s="56" t="s">
        <v>1025</v>
      </c>
      <c r="C457" s="78" t="s">
        <v>40</v>
      </c>
      <c r="D457" s="35">
        <f t="shared" si="46"/>
        <v>1.18</v>
      </c>
      <c r="E457" s="36">
        <v>0.98</v>
      </c>
      <c r="F457" s="35">
        <f t="shared" si="51"/>
        <v>0.2</v>
      </c>
      <c r="G457" s="46"/>
      <c r="H457" s="46"/>
      <c r="I457" s="46">
        <v>0.2</v>
      </c>
      <c r="J457" s="46"/>
      <c r="K457" s="46"/>
      <c r="L457" s="46"/>
      <c r="M457" s="46"/>
      <c r="N457" s="46"/>
      <c r="O457" s="46"/>
      <c r="P457" s="46"/>
      <c r="Q457" s="46"/>
      <c r="R457" s="46"/>
      <c r="S457" s="46"/>
      <c r="T457" s="46"/>
      <c r="U457" s="46"/>
      <c r="V457" s="46"/>
      <c r="W457" s="46"/>
      <c r="X457" s="46"/>
      <c r="Y457" s="46"/>
      <c r="Z457" s="46"/>
      <c r="AA457" s="46"/>
      <c r="AB457" s="46"/>
      <c r="AC457" s="46"/>
      <c r="AD457" s="46"/>
      <c r="AE457" s="46"/>
      <c r="AF457" s="46"/>
      <c r="AG457" s="46"/>
      <c r="AH457" s="46"/>
      <c r="AI457" s="46"/>
      <c r="AJ457" s="46"/>
      <c r="AK457" s="46"/>
      <c r="AL457" s="46"/>
      <c r="AM457" s="46"/>
      <c r="AN457" s="46"/>
      <c r="AO457" s="46"/>
      <c r="AP457" s="46"/>
      <c r="AQ457" s="46"/>
      <c r="AR457" s="46"/>
      <c r="AS457" s="46"/>
      <c r="AT457" s="46"/>
      <c r="AU457" s="46"/>
      <c r="AV457" s="46"/>
      <c r="AW457" s="46"/>
      <c r="AX457" s="46"/>
      <c r="AY457" s="47" t="s">
        <v>953</v>
      </c>
      <c r="AZ457" s="47" t="s">
        <v>954</v>
      </c>
      <c r="BA457" s="93" t="s">
        <v>291</v>
      </c>
      <c r="BB457" s="50"/>
      <c r="BC457" s="49" t="s">
        <v>1026</v>
      </c>
      <c r="BI457" s="42">
        <v>1</v>
      </c>
      <c r="BK457" s="50"/>
    </row>
    <row r="458" spans="1:63" ht="19.350000000000001" customHeight="1">
      <c r="A458" s="138">
        <f t="shared" si="52"/>
        <v>430</v>
      </c>
      <c r="B458" s="56" t="s">
        <v>1027</v>
      </c>
      <c r="C458" s="78" t="s">
        <v>40</v>
      </c>
      <c r="D458" s="35">
        <f t="shared" si="46"/>
        <v>0.72</v>
      </c>
      <c r="E458" s="36">
        <v>0.42</v>
      </c>
      <c r="F458" s="35">
        <f t="shared" si="51"/>
        <v>0.3</v>
      </c>
      <c r="G458" s="43"/>
      <c r="H458" s="43"/>
      <c r="I458" s="43"/>
      <c r="J458" s="43">
        <v>0.3</v>
      </c>
      <c r="K458" s="43"/>
      <c r="L458" s="43"/>
      <c r="M458" s="43"/>
      <c r="N458" s="43"/>
      <c r="O458" s="43"/>
      <c r="P458" s="43"/>
      <c r="Q458" s="43"/>
      <c r="R458" s="43"/>
      <c r="S458" s="43"/>
      <c r="T458" s="43"/>
      <c r="U458" s="43"/>
      <c r="V458" s="43"/>
      <c r="W458" s="43"/>
      <c r="X458" s="43"/>
      <c r="Y458" s="43"/>
      <c r="Z458" s="43"/>
      <c r="AA458" s="43"/>
      <c r="AB458" s="43"/>
      <c r="AC458" s="43"/>
      <c r="AD458" s="43"/>
      <c r="AE458" s="43"/>
      <c r="AF458" s="43"/>
      <c r="AG458" s="43"/>
      <c r="AH458" s="43"/>
      <c r="AI458" s="43"/>
      <c r="AJ458" s="43"/>
      <c r="AK458" s="43"/>
      <c r="AL458" s="43"/>
      <c r="AM458" s="43"/>
      <c r="AN458" s="43"/>
      <c r="AO458" s="43"/>
      <c r="AP458" s="43"/>
      <c r="AQ458" s="43"/>
      <c r="AR458" s="43"/>
      <c r="AS458" s="43"/>
      <c r="AT458" s="43"/>
      <c r="AU458" s="43"/>
      <c r="AV458" s="43"/>
      <c r="AW458" s="43"/>
      <c r="AX458" s="43"/>
      <c r="AY458" s="34" t="s">
        <v>429</v>
      </c>
      <c r="AZ458" s="34" t="s">
        <v>430</v>
      </c>
      <c r="BA458" s="63" t="s">
        <v>291</v>
      </c>
      <c r="BB458" s="64"/>
      <c r="BE458" s="41"/>
      <c r="BI458" s="42">
        <v>1</v>
      </c>
      <c r="BJ458" s="15" t="s">
        <v>1028</v>
      </c>
      <c r="BK458" s="15" t="s">
        <v>546</v>
      </c>
    </row>
    <row r="459" spans="1:63" ht="19.350000000000001" customHeight="1">
      <c r="A459" s="138">
        <f t="shared" si="52"/>
        <v>431</v>
      </c>
      <c r="B459" s="56" t="s">
        <v>1029</v>
      </c>
      <c r="C459" s="78" t="s">
        <v>40</v>
      </c>
      <c r="D459" s="35">
        <f t="shared" si="46"/>
        <v>0.52</v>
      </c>
      <c r="E459" s="36">
        <v>0.36</v>
      </c>
      <c r="F459" s="35">
        <f t="shared" si="51"/>
        <v>0.16</v>
      </c>
      <c r="G459" s="43">
        <v>0.16</v>
      </c>
      <c r="H459" s="43"/>
      <c r="I459" s="43"/>
      <c r="J459" s="43"/>
      <c r="K459" s="43"/>
      <c r="L459" s="43"/>
      <c r="M459" s="43"/>
      <c r="N459" s="43"/>
      <c r="O459" s="43"/>
      <c r="P459" s="43"/>
      <c r="Q459" s="43"/>
      <c r="R459" s="43"/>
      <c r="S459" s="43"/>
      <c r="T459" s="43"/>
      <c r="U459" s="43"/>
      <c r="V459" s="43"/>
      <c r="W459" s="43"/>
      <c r="X459" s="43"/>
      <c r="Y459" s="43"/>
      <c r="Z459" s="43"/>
      <c r="AA459" s="43"/>
      <c r="AB459" s="43"/>
      <c r="AC459" s="43"/>
      <c r="AD459" s="43"/>
      <c r="AE459" s="43"/>
      <c r="AF459" s="43"/>
      <c r="AG459" s="43"/>
      <c r="AH459" s="43"/>
      <c r="AI459" s="43"/>
      <c r="AJ459" s="43"/>
      <c r="AK459" s="43"/>
      <c r="AL459" s="43"/>
      <c r="AM459" s="43"/>
      <c r="AN459" s="43"/>
      <c r="AO459" s="43"/>
      <c r="AP459" s="43"/>
      <c r="AQ459" s="43"/>
      <c r="AR459" s="43"/>
      <c r="AS459" s="43"/>
      <c r="AT459" s="43"/>
      <c r="AU459" s="43"/>
      <c r="AV459" s="43"/>
      <c r="AW459" s="43"/>
      <c r="AX459" s="43"/>
      <c r="AY459" s="34" t="s">
        <v>237</v>
      </c>
      <c r="AZ459" s="34" t="s">
        <v>471</v>
      </c>
      <c r="BA459" s="63" t="s">
        <v>291</v>
      </c>
      <c r="BB459" s="64"/>
      <c r="BC459" s="64"/>
      <c r="BD459" s="64"/>
      <c r="BE459" s="64"/>
      <c r="BI459" s="42">
        <v>1</v>
      </c>
    </row>
    <row r="460" spans="1:63" ht="19.350000000000001" customHeight="1">
      <c r="A460" s="138">
        <f t="shared" si="52"/>
        <v>432</v>
      </c>
      <c r="B460" s="56" t="s">
        <v>979</v>
      </c>
      <c r="C460" s="78" t="s">
        <v>40</v>
      </c>
      <c r="D460" s="35">
        <f t="shared" si="46"/>
        <v>1.2</v>
      </c>
      <c r="E460" s="36">
        <v>1</v>
      </c>
      <c r="F460" s="35">
        <f t="shared" si="51"/>
        <v>0.2</v>
      </c>
      <c r="G460" s="43"/>
      <c r="H460" s="43"/>
      <c r="I460" s="43"/>
      <c r="J460" s="43"/>
      <c r="K460" s="43"/>
      <c r="L460" s="43"/>
      <c r="M460" s="43">
        <v>0.2</v>
      </c>
      <c r="N460" s="43"/>
      <c r="O460" s="43"/>
      <c r="P460" s="43"/>
      <c r="Q460" s="43"/>
      <c r="R460" s="43"/>
      <c r="S460" s="43"/>
      <c r="T460" s="43"/>
      <c r="U460" s="43"/>
      <c r="V460" s="43"/>
      <c r="W460" s="43"/>
      <c r="X460" s="43"/>
      <c r="Y460" s="43"/>
      <c r="Z460" s="43"/>
      <c r="AA460" s="43"/>
      <c r="AB460" s="43"/>
      <c r="AC460" s="43"/>
      <c r="AD460" s="43"/>
      <c r="AE460" s="43"/>
      <c r="AF460" s="43"/>
      <c r="AG460" s="43"/>
      <c r="AH460" s="43"/>
      <c r="AI460" s="43"/>
      <c r="AJ460" s="43"/>
      <c r="AK460" s="43"/>
      <c r="AL460" s="43"/>
      <c r="AM460" s="43"/>
      <c r="AN460" s="43"/>
      <c r="AO460" s="43"/>
      <c r="AP460" s="43"/>
      <c r="AQ460" s="43"/>
      <c r="AR460" s="43"/>
      <c r="AS460" s="43"/>
      <c r="AT460" s="43"/>
      <c r="AU460" s="43"/>
      <c r="AV460" s="43"/>
      <c r="AW460" s="43"/>
      <c r="AX460" s="43"/>
      <c r="AY460" s="34" t="s">
        <v>237</v>
      </c>
      <c r="AZ460" s="34" t="s">
        <v>389</v>
      </c>
      <c r="BA460" s="63" t="s">
        <v>291</v>
      </c>
      <c r="BB460" s="64"/>
      <c r="BC460" s="64"/>
      <c r="BD460" s="64"/>
      <c r="BE460" s="64"/>
      <c r="BI460" s="42">
        <v>1</v>
      </c>
      <c r="BJ460" s="15" t="s">
        <v>997</v>
      </c>
      <c r="BK460" s="15" t="s">
        <v>546</v>
      </c>
    </row>
    <row r="461" spans="1:63" ht="19.350000000000001" customHeight="1">
      <c r="A461" s="138">
        <f t="shared" si="52"/>
        <v>433</v>
      </c>
      <c r="B461" s="56" t="s">
        <v>1030</v>
      </c>
      <c r="C461" s="78" t="s">
        <v>40</v>
      </c>
      <c r="D461" s="35">
        <f t="shared" si="46"/>
        <v>1.01</v>
      </c>
      <c r="E461" s="36">
        <v>0.71</v>
      </c>
      <c r="F461" s="35">
        <f t="shared" si="51"/>
        <v>0.3</v>
      </c>
      <c r="G461" s="43"/>
      <c r="H461" s="43"/>
      <c r="I461" s="43"/>
      <c r="J461" s="43"/>
      <c r="K461" s="43"/>
      <c r="L461" s="43"/>
      <c r="M461" s="43">
        <v>0.3</v>
      </c>
      <c r="N461" s="43"/>
      <c r="O461" s="43"/>
      <c r="P461" s="43"/>
      <c r="Q461" s="43"/>
      <c r="R461" s="43"/>
      <c r="S461" s="43"/>
      <c r="T461" s="43"/>
      <c r="U461" s="43"/>
      <c r="V461" s="43"/>
      <c r="W461" s="43"/>
      <c r="X461" s="43"/>
      <c r="Y461" s="43"/>
      <c r="Z461" s="43"/>
      <c r="AA461" s="43"/>
      <c r="AB461" s="43"/>
      <c r="AC461" s="43"/>
      <c r="AD461" s="43"/>
      <c r="AE461" s="43"/>
      <c r="AF461" s="43"/>
      <c r="AG461" s="43"/>
      <c r="AH461" s="43"/>
      <c r="AI461" s="43"/>
      <c r="AJ461" s="43"/>
      <c r="AK461" s="43"/>
      <c r="AL461" s="43"/>
      <c r="AM461" s="43"/>
      <c r="AN461" s="43"/>
      <c r="AO461" s="43"/>
      <c r="AP461" s="43"/>
      <c r="AQ461" s="43"/>
      <c r="AR461" s="43"/>
      <c r="AS461" s="43"/>
      <c r="AT461" s="43"/>
      <c r="AU461" s="43"/>
      <c r="AV461" s="43"/>
      <c r="AW461" s="43"/>
      <c r="AX461" s="43"/>
      <c r="AY461" s="34" t="s">
        <v>237</v>
      </c>
      <c r="AZ461" s="63" t="s">
        <v>387</v>
      </c>
      <c r="BA461" s="63" t="s">
        <v>291</v>
      </c>
      <c r="BB461" s="64"/>
      <c r="BC461" s="64"/>
      <c r="BD461" s="64" t="s">
        <v>387</v>
      </c>
      <c r="BE461" s="64"/>
      <c r="BI461" s="42">
        <v>1</v>
      </c>
      <c r="BJ461" s="15" t="s">
        <v>1031</v>
      </c>
      <c r="BK461" s="15" t="s">
        <v>546</v>
      </c>
    </row>
    <row r="462" spans="1:63" ht="19.350000000000001" customHeight="1">
      <c r="A462" s="138">
        <f t="shared" si="52"/>
        <v>434</v>
      </c>
      <c r="B462" s="56" t="s">
        <v>1032</v>
      </c>
      <c r="C462" s="78" t="s">
        <v>40</v>
      </c>
      <c r="D462" s="35">
        <f t="shared" si="46"/>
        <v>1.1199999999999999</v>
      </c>
      <c r="E462" s="36">
        <v>0.82</v>
      </c>
      <c r="F462" s="35">
        <f t="shared" si="51"/>
        <v>0.3</v>
      </c>
      <c r="G462" s="43"/>
      <c r="H462" s="43"/>
      <c r="I462" s="43"/>
      <c r="J462" s="43"/>
      <c r="K462" s="43"/>
      <c r="L462" s="43"/>
      <c r="M462" s="43">
        <v>0.3</v>
      </c>
      <c r="N462" s="43"/>
      <c r="O462" s="43"/>
      <c r="P462" s="43"/>
      <c r="Q462" s="43"/>
      <c r="R462" s="43"/>
      <c r="S462" s="43"/>
      <c r="T462" s="43"/>
      <c r="U462" s="43"/>
      <c r="V462" s="43"/>
      <c r="W462" s="43"/>
      <c r="X462" s="43"/>
      <c r="Y462" s="43"/>
      <c r="Z462" s="43"/>
      <c r="AA462" s="43"/>
      <c r="AB462" s="43"/>
      <c r="AC462" s="43"/>
      <c r="AD462" s="43"/>
      <c r="AE462" s="43"/>
      <c r="AF462" s="43"/>
      <c r="AG462" s="43"/>
      <c r="AH462" s="43"/>
      <c r="AI462" s="43"/>
      <c r="AJ462" s="43"/>
      <c r="AK462" s="43"/>
      <c r="AL462" s="43"/>
      <c r="AM462" s="43"/>
      <c r="AN462" s="43"/>
      <c r="AO462" s="43"/>
      <c r="AP462" s="43"/>
      <c r="AQ462" s="43"/>
      <c r="AR462" s="43"/>
      <c r="AS462" s="43"/>
      <c r="AT462" s="43"/>
      <c r="AU462" s="43"/>
      <c r="AV462" s="43"/>
      <c r="AW462" s="43"/>
      <c r="AX462" s="43"/>
      <c r="AY462" s="34" t="s">
        <v>237</v>
      </c>
      <c r="AZ462" s="34" t="s">
        <v>451</v>
      </c>
      <c r="BA462" s="63" t="s">
        <v>291</v>
      </c>
      <c r="BB462" s="64"/>
      <c r="BC462" s="64"/>
      <c r="BD462" s="64"/>
      <c r="BE462" s="64"/>
      <c r="BI462" s="42">
        <v>1</v>
      </c>
      <c r="BJ462" s="15" t="s">
        <v>1028</v>
      </c>
      <c r="BK462" s="15" t="s">
        <v>546</v>
      </c>
    </row>
    <row r="463" spans="1:63" ht="19.350000000000001" customHeight="1">
      <c r="A463" s="138">
        <f t="shared" si="52"/>
        <v>435</v>
      </c>
      <c r="B463" s="60" t="s">
        <v>1033</v>
      </c>
      <c r="C463" s="78" t="s">
        <v>40</v>
      </c>
      <c r="D463" s="35">
        <f t="shared" si="46"/>
        <v>0.5</v>
      </c>
      <c r="E463" s="36"/>
      <c r="F463" s="35">
        <f t="shared" si="51"/>
        <v>0.5</v>
      </c>
      <c r="G463" s="43">
        <v>0.5</v>
      </c>
      <c r="H463" s="43"/>
      <c r="I463" s="43"/>
      <c r="J463" s="43"/>
      <c r="K463" s="43"/>
      <c r="L463" s="43"/>
      <c r="M463" s="43"/>
      <c r="N463" s="43"/>
      <c r="O463" s="43"/>
      <c r="P463" s="43"/>
      <c r="Q463" s="43"/>
      <c r="R463" s="43"/>
      <c r="S463" s="43"/>
      <c r="T463" s="43"/>
      <c r="U463" s="43"/>
      <c r="V463" s="43"/>
      <c r="W463" s="43"/>
      <c r="X463" s="43"/>
      <c r="Y463" s="43"/>
      <c r="Z463" s="43"/>
      <c r="AA463" s="43"/>
      <c r="AB463" s="43"/>
      <c r="AC463" s="43"/>
      <c r="AD463" s="43"/>
      <c r="AE463" s="43"/>
      <c r="AF463" s="43"/>
      <c r="AG463" s="43"/>
      <c r="AH463" s="43"/>
      <c r="AI463" s="43"/>
      <c r="AJ463" s="43"/>
      <c r="AK463" s="43"/>
      <c r="AL463" s="43"/>
      <c r="AM463" s="43"/>
      <c r="AN463" s="43"/>
      <c r="AO463" s="43"/>
      <c r="AP463" s="43"/>
      <c r="AQ463" s="43"/>
      <c r="AR463" s="43"/>
      <c r="AS463" s="43"/>
      <c r="AT463" s="43"/>
      <c r="AU463" s="43"/>
      <c r="AV463" s="43"/>
      <c r="AW463" s="43"/>
      <c r="AX463" s="43"/>
      <c r="AY463" s="34" t="s">
        <v>238</v>
      </c>
      <c r="AZ463" s="34" t="s">
        <v>1034</v>
      </c>
      <c r="BA463" s="47" t="s">
        <v>298</v>
      </c>
      <c r="BB463" s="48"/>
      <c r="BC463" s="65" t="s">
        <v>1035</v>
      </c>
      <c r="BD463" s="65"/>
      <c r="BE463" s="41"/>
      <c r="BI463" s="42">
        <v>1</v>
      </c>
      <c r="BJ463" s="15" t="s">
        <v>976</v>
      </c>
      <c r="BK463" s="15" t="s">
        <v>546</v>
      </c>
    </row>
    <row r="464" spans="1:63" ht="19.350000000000001" customHeight="1">
      <c r="A464" s="138">
        <f t="shared" si="52"/>
        <v>436</v>
      </c>
      <c r="B464" s="56" t="s">
        <v>1036</v>
      </c>
      <c r="C464" s="78" t="s">
        <v>40</v>
      </c>
      <c r="D464" s="35">
        <f t="shared" si="46"/>
        <v>0.89999999999999991</v>
      </c>
      <c r="E464" s="36">
        <v>0.3</v>
      </c>
      <c r="F464" s="35">
        <f t="shared" si="51"/>
        <v>0.6</v>
      </c>
      <c r="G464" s="43"/>
      <c r="H464" s="43"/>
      <c r="I464" s="43"/>
      <c r="J464" s="43"/>
      <c r="K464" s="43"/>
      <c r="L464" s="43"/>
      <c r="M464" s="43">
        <v>0.6</v>
      </c>
      <c r="N464" s="43"/>
      <c r="O464" s="43"/>
      <c r="P464" s="43"/>
      <c r="Q464" s="43"/>
      <c r="R464" s="43"/>
      <c r="S464" s="43"/>
      <c r="T464" s="43"/>
      <c r="U464" s="43"/>
      <c r="V464" s="43"/>
      <c r="W464" s="43"/>
      <c r="X464" s="43"/>
      <c r="Y464" s="43"/>
      <c r="Z464" s="43"/>
      <c r="AA464" s="43"/>
      <c r="AB464" s="43"/>
      <c r="AC464" s="43"/>
      <c r="AD464" s="43"/>
      <c r="AE464" s="43"/>
      <c r="AF464" s="43"/>
      <c r="AG464" s="43"/>
      <c r="AH464" s="43"/>
      <c r="AI464" s="43"/>
      <c r="AJ464" s="43"/>
      <c r="AK464" s="43"/>
      <c r="AL464" s="43"/>
      <c r="AM464" s="43"/>
      <c r="AN464" s="43"/>
      <c r="AO464" s="43"/>
      <c r="AP464" s="43"/>
      <c r="AQ464" s="43"/>
      <c r="AR464" s="43"/>
      <c r="AS464" s="43"/>
      <c r="AT464" s="43"/>
      <c r="AU464" s="43"/>
      <c r="AV464" s="43"/>
      <c r="AW464" s="43"/>
      <c r="AX464" s="43"/>
      <c r="AY464" s="34" t="s">
        <v>239</v>
      </c>
      <c r="AZ464" s="34" t="s">
        <v>417</v>
      </c>
      <c r="BA464" s="39" t="s">
        <v>291</v>
      </c>
      <c r="BB464" s="40"/>
      <c r="BD464" s="15" t="s">
        <v>1037</v>
      </c>
      <c r="BE464" s="41"/>
      <c r="BI464" s="42">
        <v>1</v>
      </c>
      <c r="BJ464" s="15" t="s">
        <v>1038</v>
      </c>
      <c r="BK464" s="15" t="s">
        <v>546</v>
      </c>
    </row>
    <row r="465" spans="1:63" ht="33" customHeight="1">
      <c r="A465" s="138">
        <f t="shared" si="52"/>
        <v>437</v>
      </c>
      <c r="B465" s="56" t="s">
        <v>1039</v>
      </c>
      <c r="C465" s="78" t="s">
        <v>40</v>
      </c>
      <c r="D465" s="35">
        <f t="shared" si="46"/>
        <v>2.2999999999999998</v>
      </c>
      <c r="E465" s="36"/>
      <c r="F465" s="35">
        <f t="shared" si="51"/>
        <v>2.2999999999999998</v>
      </c>
      <c r="G465" s="43"/>
      <c r="H465" s="43">
        <v>0.16</v>
      </c>
      <c r="I465" s="43"/>
      <c r="J465" s="43"/>
      <c r="K465" s="43"/>
      <c r="L465" s="43"/>
      <c r="M465" s="43">
        <v>2.0299999999999998</v>
      </c>
      <c r="N465" s="43"/>
      <c r="O465" s="43"/>
      <c r="P465" s="43">
        <v>0.11</v>
      </c>
      <c r="Q465" s="43"/>
      <c r="R465" s="43"/>
      <c r="S465" s="43"/>
      <c r="T465" s="43"/>
      <c r="U465" s="43"/>
      <c r="V465" s="43"/>
      <c r="W465" s="43"/>
      <c r="X465" s="43"/>
      <c r="Y465" s="43"/>
      <c r="Z465" s="43"/>
      <c r="AA465" s="43"/>
      <c r="AB465" s="43"/>
      <c r="AC465" s="43"/>
      <c r="AD465" s="43"/>
      <c r="AE465" s="43"/>
      <c r="AF465" s="43"/>
      <c r="AG465" s="43"/>
      <c r="AH465" s="43"/>
      <c r="AI465" s="43"/>
      <c r="AJ465" s="43"/>
      <c r="AK465" s="43"/>
      <c r="AL465" s="43"/>
      <c r="AM465" s="43"/>
      <c r="AN465" s="43"/>
      <c r="AO465" s="43"/>
      <c r="AP465" s="43"/>
      <c r="AQ465" s="43"/>
      <c r="AR465" s="43"/>
      <c r="AS465" s="43"/>
      <c r="AT465" s="43"/>
      <c r="AU465" s="43"/>
      <c r="AV465" s="43"/>
      <c r="AW465" s="43"/>
      <c r="AX465" s="43"/>
      <c r="AY465" s="34" t="s">
        <v>239</v>
      </c>
      <c r="AZ465" s="34" t="s">
        <v>1040</v>
      </c>
      <c r="BA465" s="39" t="s">
        <v>291</v>
      </c>
      <c r="BB465" s="40"/>
      <c r="BD465" s="15" t="s">
        <v>18</v>
      </c>
      <c r="BE465" s="41"/>
      <c r="BI465" s="42">
        <v>1</v>
      </c>
    </row>
    <row r="466" spans="1:63" ht="33" customHeight="1">
      <c r="A466" s="138">
        <f t="shared" si="52"/>
        <v>438</v>
      </c>
      <c r="B466" s="56" t="s">
        <v>1039</v>
      </c>
      <c r="C466" s="78" t="s">
        <v>40</v>
      </c>
      <c r="D466" s="35">
        <f t="shared" si="46"/>
        <v>1.31</v>
      </c>
      <c r="E466" s="36"/>
      <c r="F466" s="35">
        <f t="shared" si="51"/>
        <v>1.31</v>
      </c>
      <c r="G466" s="43"/>
      <c r="H466" s="43"/>
      <c r="I466" s="43"/>
      <c r="J466" s="43">
        <v>1.31</v>
      </c>
      <c r="K466" s="43"/>
      <c r="L466" s="43"/>
      <c r="M466" s="43"/>
      <c r="N466" s="43"/>
      <c r="O466" s="43"/>
      <c r="P466" s="43"/>
      <c r="Q466" s="43"/>
      <c r="R466" s="43"/>
      <c r="S466" s="43"/>
      <c r="T466" s="43"/>
      <c r="U466" s="43"/>
      <c r="V466" s="43"/>
      <c r="W466" s="43"/>
      <c r="X466" s="43"/>
      <c r="Y466" s="43"/>
      <c r="Z466" s="43"/>
      <c r="AA466" s="43"/>
      <c r="AB466" s="43"/>
      <c r="AC466" s="43"/>
      <c r="AD466" s="43"/>
      <c r="AE466" s="43"/>
      <c r="AF466" s="43"/>
      <c r="AG466" s="43"/>
      <c r="AH466" s="43"/>
      <c r="AI466" s="43"/>
      <c r="AJ466" s="43"/>
      <c r="AK466" s="43"/>
      <c r="AL466" s="43"/>
      <c r="AM466" s="43"/>
      <c r="AN466" s="43"/>
      <c r="AO466" s="43"/>
      <c r="AP466" s="43"/>
      <c r="AQ466" s="43"/>
      <c r="AR466" s="43"/>
      <c r="AS466" s="43"/>
      <c r="AT466" s="43"/>
      <c r="AU466" s="43"/>
      <c r="AV466" s="43"/>
      <c r="AW466" s="43"/>
      <c r="AX466" s="43"/>
      <c r="AY466" s="34" t="s">
        <v>239</v>
      </c>
      <c r="AZ466" s="34" t="s">
        <v>451</v>
      </c>
      <c r="BA466" s="47" t="s">
        <v>298</v>
      </c>
      <c r="BB466" s="48"/>
      <c r="BE466" s="41"/>
      <c r="BI466" s="42">
        <v>1</v>
      </c>
    </row>
    <row r="467" spans="1:63" ht="19.350000000000001" customHeight="1">
      <c r="A467" s="138">
        <f t="shared" si="52"/>
        <v>439</v>
      </c>
      <c r="B467" s="56" t="s">
        <v>974</v>
      </c>
      <c r="C467" s="78" t="s">
        <v>40</v>
      </c>
      <c r="D467" s="35">
        <f t="shared" si="46"/>
        <v>1.37</v>
      </c>
      <c r="E467" s="36">
        <v>1.07</v>
      </c>
      <c r="F467" s="35">
        <f t="shared" si="51"/>
        <v>0.3</v>
      </c>
      <c r="G467" s="43"/>
      <c r="H467" s="43"/>
      <c r="I467" s="43">
        <v>0.3</v>
      </c>
      <c r="J467" s="43"/>
      <c r="K467" s="43"/>
      <c r="L467" s="43"/>
      <c r="M467" s="43"/>
      <c r="N467" s="43"/>
      <c r="O467" s="43"/>
      <c r="P467" s="43"/>
      <c r="Q467" s="43"/>
      <c r="R467" s="43"/>
      <c r="S467" s="43"/>
      <c r="T467" s="43"/>
      <c r="U467" s="43"/>
      <c r="V467" s="43"/>
      <c r="W467" s="43"/>
      <c r="X467" s="43"/>
      <c r="Y467" s="43"/>
      <c r="Z467" s="43"/>
      <c r="AA467" s="43"/>
      <c r="AB467" s="43"/>
      <c r="AC467" s="43"/>
      <c r="AD467" s="43"/>
      <c r="AE467" s="43"/>
      <c r="AF467" s="43"/>
      <c r="AG467" s="43"/>
      <c r="AH467" s="43"/>
      <c r="AI467" s="43"/>
      <c r="AJ467" s="43"/>
      <c r="AK467" s="43"/>
      <c r="AL467" s="43"/>
      <c r="AM467" s="43"/>
      <c r="AN467" s="43"/>
      <c r="AO467" s="43"/>
      <c r="AP467" s="43"/>
      <c r="AQ467" s="43"/>
      <c r="AR467" s="43"/>
      <c r="AS467" s="43"/>
      <c r="AT467" s="43"/>
      <c r="AU467" s="43"/>
      <c r="AV467" s="43"/>
      <c r="AW467" s="43"/>
      <c r="AX467" s="43"/>
      <c r="AY467" s="47" t="s">
        <v>240</v>
      </c>
      <c r="AZ467" s="34" t="s">
        <v>305</v>
      </c>
      <c r="BA467" s="39" t="s">
        <v>291</v>
      </c>
      <c r="BB467" s="40"/>
      <c r="BE467" s="41"/>
      <c r="BI467" s="42">
        <v>1</v>
      </c>
      <c r="BJ467" s="15" t="s">
        <v>1041</v>
      </c>
      <c r="BK467" s="15" t="s">
        <v>546</v>
      </c>
    </row>
    <row r="468" spans="1:63" ht="19.350000000000001" customHeight="1">
      <c r="A468" s="138">
        <f t="shared" si="52"/>
        <v>440</v>
      </c>
      <c r="B468" s="56" t="s">
        <v>1042</v>
      </c>
      <c r="C468" s="78" t="s">
        <v>40</v>
      </c>
      <c r="D468" s="35">
        <f t="shared" si="46"/>
        <v>0.77</v>
      </c>
      <c r="E468" s="36">
        <v>0.52</v>
      </c>
      <c r="F468" s="35">
        <f t="shared" si="51"/>
        <v>0.25</v>
      </c>
      <c r="G468" s="43"/>
      <c r="H468" s="43"/>
      <c r="I468" s="43"/>
      <c r="J468" s="43"/>
      <c r="K468" s="43"/>
      <c r="L468" s="43"/>
      <c r="M468" s="43">
        <v>0.25</v>
      </c>
      <c r="N468" s="43"/>
      <c r="O468" s="43"/>
      <c r="P468" s="43"/>
      <c r="Q468" s="43"/>
      <c r="R468" s="43"/>
      <c r="S468" s="43"/>
      <c r="T468" s="43"/>
      <c r="U468" s="43"/>
      <c r="V468" s="43"/>
      <c r="W468" s="43"/>
      <c r="X468" s="43"/>
      <c r="Y468" s="43"/>
      <c r="Z468" s="43"/>
      <c r="AA468" s="43"/>
      <c r="AB468" s="43"/>
      <c r="AC468" s="43"/>
      <c r="AD468" s="43"/>
      <c r="AE468" s="43"/>
      <c r="AF468" s="43"/>
      <c r="AG468" s="43"/>
      <c r="AH468" s="43"/>
      <c r="AI468" s="43"/>
      <c r="AJ468" s="43"/>
      <c r="AK468" s="43"/>
      <c r="AL468" s="43"/>
      <c r="AM468" s="43"/>
      <c r="AN468" s="43"/>
      <c r="AO468" s="43"/>
      <c r="AP468" s="43"/>
      <c r="AQ468" s="43"/>
      <c r="AR468" s="43"/>
      <c r="AS468" s="43"/>
      <c r="AT468" s="43"/>
      <c r="AU468" s="43"/>
      <c r="AV468" s="43"/>
      <c r="AW468" s="43"/>
      <c r="AX468" s="43"/>
      <c r="AY468" s="47" t="s">
        <v>240</v>
      </c>
      <c r="AZ468" s="34" t="s">
        <v>387</v>
      </c>
      <c r="BA468" s="39" t="s">
        <v>291</v>
      </c>
      <c r="BB468" s="40"/>
      <c r="BC468" s="15" t="s">
        <v>1043</v>
      </c>
      <c r="BE468" s="41"/>
      <c r="BI468" s="42">
        <v>1</v>
      </c>
      <c r="BJ468" s="15" t="s">
        <v>1044</v>
      </c>
      <c r="BK468" s="15" t="s">
        <v>546</v>
      </c>
    </row>
    <row r="469" spans="1:63" ht="20.100000000000001" customHeight="1">
      <c r="A469" s="138">
        <f t="shared" si="52"/>
        <v>441</v>
      </c>
      <c r="B469" s="56" t="s">
        <v>1045</v>
      </c>
      <c r="C469" s="78" t="s">
        <v>40</v>
      </c>
      <c r="D469" s="35">
        <f t="shared" ref="D469:D532" si="53">E469+F469</f>
        <v>0.5</v>
      </c>
      <c r="E469" s="36"/>
      <c r="F469" s="35">
        <f t="shared" si="51"/>
        <v>0.5</v>
      </c>
      <c r="G469" s="43"/>
      <c r="H469" s="43"/>
      <c r="I469" s="43"/>
      <c r="J469" s="43"/>
      <c r="K469" s="43"/>
      <c r="L469" s="43"/>
      <c r="M469" s="43">
        <v>0.5</v>
      </c>
      <c r="N469" s="43"/>
      <c r="O469" s="43"/>
      <c r="P469" s="43"/>
      <c r="Q469" s="43"/>
      <c r="R469" s="43"/>
      <c r="S469" s="43"/>
      <c r="T469" s="43"/>
      <c r="U469" s="43"/>
      <c r="V469" s="43"/>
      <c r="W469" s="43"/>
      <c r="X469" s="43"/>
      <c r="Y469" s="43"/>
      <c r="Z469" s="43"/>
      <c r="AA469" s="43"/>
      <c r="AB469" s="43"/>
      <c r="AC469" s="43"/>
      <c r="AD469" s="43"/>
      <c r="AE469" s="43"/>
      <c r="AF469" s="43"/>
      <c r="AG469" s="43"/>
      <c r="AH469" s="43"/>
      <c r="AI469" s="43"/>
      <c r="AJ469" s="43"/>
      <c r="AK469" s="43"/>
      <c r="AL469" s="43"/>
      <c r="AM469" s="43"/>
      <c r="AN469" s="43"/>
      <c r="AO469" s="43"/>
      <c r="AP469" s="43"/>
      <c r="AQ469" s="43"/>
      <c r="AR469" s="43"/>
      <c r="AS469" s="43"/>
      <c r="AT469" s="43"/>
      <c r="AU469" s="43"/>
      <c r="AV469" s="43"/>
      <c r="AW469" s="43"/>
      <c r="AX469" s="43"/>
      <c r="AY469" s="47" t="s">
        <v>240</v>
      </c>
      <c r="AZ469" s="34" t="s">
        <v>389</v>
      </c>
      <c r="BA469" s="39" t="s">
        <v>291</v>
      </c>
      <c r="BB469" s="40"/>
      <c r="BD469" s="15" t="s">
        <v>188</v>
      </c>
      <c r="BE469" s="41"/>
      <c r="BI469" s="42">
        <v>1</v>
      </c>
      <c r="BJ469" s="15" t="s">
        <v>976</v>
      </c>
      <c r="BK469" s="15" t="s">
        <v>546</v>
      </c>
    </row>
    <row r="470" spans="1:63" ht="19.350000000000001" customHeight="1">
      <c r="A470" s="138">
        <f t="shared" si="52"/>
        <v>442</v>
      </c>
      <c r="B470" s="56" t="s">
        <v>972</v>
      </c>
      <c r="C470" s="78" t="s">
        <v>40</v>
      </c>
      <c r="D470" s="35">
        <f t="shared" si="53"/>
        <v>1.8</v>
      </c>
      <c r="E470" s="36">
        <v>1.55</v>
      </c>
      <c r="F470" s="35">
        <f>SUM(G470:AX470)</f>
        <v>0.25</v>
      </c>
      <c r="G470" s="43"/>
      <c r="H470" s="43"/>
      <c r="I470" s="43"/>
      <c r="J470" s="43">
        <v>0.25</v>
      </c>
      <c r="K470" s="43"/>
      <c r="L470" s="43"/>
      <c r="M470" s="43"/>
      <c r="N470" s="43"/>
      <c r="O470" s="43"/>
      <c r="P470" s="43"/>
      <c r="Q470" s="43"/>
      <c r="R470" s="43"/>
      <c r="S470" s="43"/>
      <c r="T470" s="43"/>
      <c r="U470" s="43"/>
      <c r="V470" s="43"/>
      <c r="W470" s="43"/>
      <c r="X470" s="43"/>
      <c r="Y470" s="43"/>
      <c r="Z470" s="43"/>
      <c r="AA470" s="43"/>
      <c r="AB470" s="43"/>
      <c r="AC470" s="43"/>
      <c r="AD470" s="43"/>
      <c r="AE470" s="43"/>
      <c r="AF470" s="43"/>
      <c r="AG470" s="43"/>
      <c r="AH470" s="43"/>
      <c r="AI470" s="43"/>
      <c r="AJ470" s="43"/>
      <c r="AK470" s="43"/>
      <c r="AL470" s="43"/>
      <c r="AM470" s="43"/>
      <c r="AN470" s="43"/>
      <c r="AO470" s="43"/>
      <c r="AP470" s="43"/>
      <c r="AQ470" s="43"/>
      <c r="AR470" s="43"/>
      <c r="AS470" s="43"/>
      <c r="AT470" s="43"/>
      <c r="AU470" s="43"/>
      <c r="AV470" s="43"/>
      <c r="AW470" s="43"/>
      <c r="AX470" s="43"/>
      <c r="AY470" s="47" t="s">
        <v>240</v>
      </c>
      <c r="AZ470" s="34" t="s">
        <v>417</v>
      </c>
      <c r="BA470" s="39" t="s">
        <v>291</v>
      </c>
      <c r="BB470" s="40"/>
      <c r="BE470" s="41"/>
      <c r="BI470" s="42">
        <v>1</v>
      </c>
      <c r="BJ470" s="15" t="s">
        <v>1044</v>
      </c>
      <c r="BK470" s="15" t="s">
        <v>546</v>
      </c>
    </row>
    <row r="471" spans="1:63" s="24" customFormat="1" ht="21" customHeight="1">
      <c r="A471" s="20" t="s">
        <v>1046</v>
      </c>
      <c r="B471" s="25" t="s">
        <v>124</v>
      </c>
      <c r="C471" s="26"/>
      <c r="D471" s="27">
        <f t="shared" si="53"/>
        <v>3.55</v>
      </c>
      <c r="E471" s="27">
        <f>SUM(E472:E480)</f>
        <v>1</v>
      </c>
      <c r="F471" s="27">
        <f>SUM(G471:AX471)</f>
        <v>2.5499999999999998</v>
      </c>
      <c r="G471" s="28">
        <f t="shared" ref="G471:AX471" si="54">SUM(G472:G480)</f>
        <v>1.4</v>
      </c>
      <c r="H471" s="28">
        <f t="shared" si="54"/>
        <v>0</v>
      </c>
      <c r="I471" s="28">
        <f t="shared" si="54"/>
        <v>0.38</v>
      </c>
      <c r="J471" s="28">
        <f t="shared" si="54"/>
        <v>0.5</v>
      </c>
      <c r="K471" s="28">
        <f t="shared" si="54"/>
        <v>0</v>
      </c>
      <c r="L471" s="28">
        <f t="shared" si="54"/>
        <v>0</v>
      </c>
      <c r="M471" s="28">
        <f t="shared" si="54"/>
        <v>0.15</v>
      </c>
      <c r="N471" s="28">
        <f t="shared" si="54"/>
        <v>0</v>
      </c>
      <c r="O471" s="28">
        <f t="shared" si="54"/>
        <v>0</v>
      </c>
      <c r="P471" s="28">
        <f t="shared" si="54"/>
        <v>0.1</v>
      </c>
      <c r="Q471" s="28">
        <f t="shared" si="54"/>
        <v>0</v>
      </c>
      <c r="R471" s="28">
        <f t="shared" si="54"/>
        <v>0</v>
      </c>
      <c r="S471" s="28">
        <f t="shared" si="54"/>
        <v>0</v>
      </c>
      <c r="T471" s="28">
        <f t="shared" si="54"/>
        <v>0</v>
      </c>
      <c r="U471" s="28">
        <f t="shared" si="54"/>
        <v>0</v>
      </c>
      <c r="V471" s="28">
        <f t="shared" si="54"/>
        <v>0</v>
      </c>
      <c r="W471" s="28">
        <f t="shared" si="54"/>
        <v>0</v>
      </c>
      <c r="X471" s="28">
        <f t="shared" si="54"/>
        <v>0</v>
      </c>
      <c r="Y471" s="28">
        <f t="shared" si="54"/>
        <v>0</v>
      </c>
      <c r="Z471" s="28">
        <f t="shared" si="54"/>
        <v>0</v>
      </c>
      <c r="AA471" s="28">
        <f t="shared" si="54"/>
        <v>0.02</v>
      </c>
      <c r="AB471" s="28">
        <f t="shared" si="54"/>
        <v>0</v>
      </c>
      <c r="AC471" s="28">
        <f t="shared" si="54"/>
        <v>0</v>
      </c>
      <c r="AD471" s="28">
        <f t="shared" si="54"/>
        <v>0</v>
      </c>
      <c r="AE471" s="28">
        <f t="shared" si="54"/>
        <v>0</v>
      </c>
      <c r="AF471" s="28">
        <f t="shared" si="54"/>
        <v>0</v>
      </c>
      <c r="AG471" s="28">
        <f t="shared" si="54"/>
        <v>0</v>
      </c>
      <c r="AH471" s="28">
        <f t="shared" si="54"/>
        <v>0</v>
      </c>
      <c r="AI471" s="28">
        <f t="shared" si="54"/>
        <v>0</v>
      </c>
      <c r="AJ471" s="28">
        <f t="shared" si="54"/>
        <v>0</v>
      </c>
      <c r="AK471" s="28">
        <f t="shared" si="54"/>
        <v>0</v>
      </c>
      <c r="AL471" s="28">
        <f t="shared" si="54"/>
        <v>0</v>
      </c>
      <c r="AM471" s="28">
        <f t="shared" si="54"/>
        <v>0</v>
      </c>
      <c r="AN471" s="28">
        <f t="shared" si="54"/>
        <v>0</v>
      </c>
      <c r="AO471" s="28">
        <f t="shared" si="54"/>
        <v>0</v>
      </c>
      <c r="AP471" s="28">
        <f t="shared" si="54"/>
        <v>0</v>
      </c>
      <c r="AQ471" s="28">
        <f t="shared" si="54"/>
        <v>0</v>
      </c>
      <c r="AR471" s="28">
        <f t="shared" si="54"/>
        <v>0</v>
      </c>
      <c r="AS471" s="28">
        <f t="shared" si="54"/>
        <v>0</v>
      </c>
      <c r="AT471" s="28">
        <f t="shared" si="54"/>
        <v>0</v>
      </c>
      <c r="AU471" s="28">
        <f t="shared" si="54"/>
        <v>0</v>
      </c>
      <c r="AV471" s="28">
        <f t="shared" si="54"/>
        <v>0</v>
      </c>
      <c r="AW471" s="28">
        <f t="shared" si="54"/>
        <v>0</v>
      </c>
      <c r="AX471" s="28">
        <f t="shared" si="54"/>
        <v>0</v>
      </c>
      <c r="AY471" s="29"/>
      <c r="AZ471" s="29"/>
      <c r="BA471" s="30"/>
      <c r="BB471" s="31"/>
      <c r="BI471" s="42"/>
    </row>
    <row r="472" spans="1:63" ht="20.85" customHeight="1">
      <c r="A472" s="32">
        <f>A470+1</f>
        <v>443</v>
      </c>
      <c r="B472" s="56" t="s">
        <v>1047</v>
      </c>
      <c r="C472" s="118" t="s">
        <v>54</v>
      </c>
      <c r="D472" s="35">
        <f t="shared" si="53"/>
        <v>0.4</v>
      </c>
      <c r="E472" s="108">
        <v>0.25</v>
      </c>
      <c r="F472" s="35">
        <f>SUM(G472:AX472)</f>
        <v>0.15</v>
      </c>
      <c r="G472" s="43">
        <v>0.15</v>
      </c>
      <c r="H472" s="43"/>
      <c r="I472" s="43"/>
      <c r="J472" s="43"/>
      <c r="K472" s="43"/>
      <c r="L472" s="43"/>
      <c r="M472" s="43"/>
      <c r="N472" s="43"/>
      <c r="O472" s="43"/>
      <c r="P472" s="43"/>
      <c r="Q472" s="43"/>
      <c r="R472" s="43"/>
      <c r="S472" s="43"/>
      <c r="T472" s="43"/>
      <c r="U472" s="43"/>
      <c r="V472" s="43"/>
      <c r="W472" s="43"/>
      <c r="X472" s="43"/>
      <c r="Y472" s="43"/>
      <c r="Z472" s="43"/>
      <c r="AA472" s="43"/>
      <c r="AB472" s="43"/>
      <c r="AC472" s="43"/>
      <c r="AD472" s="43"/>
      <c r="AE472" s="43"/>
      <c r="AF472" s="43"/>
      <c r="AG472" s="43"/>
      <c r="AH472" s="43"/>
      <c r="AI472" s="43"/>
      <c r="AJ472" s="43"/>
      <c r="AK472" s="43"/>
      <c r="AL472" s="43"/>
      <c r="AM472" s="43"/>
      <c r="AN472" s="43"/>
      <c r="AO472" s="43"/>
      <c r="AP472" s="43"/>
      <c r="AQ472" s="43"/>
      <c r="AR472" s="43"/>
      <c r="AS472" s="43"/>
      <c r="AT472" s="43"/>
      <c r="AU472" s="43"/>
      <c r="AV472" s="43"/>
      <c r="AW472" s="43"/>
      <c r="AX472" s="43"/>
      <c r="AY472" s="34" t="s">
        <v>221</v>
      </c>
      <c r="AZ472" s="34" t="s">
        <v>308</v>
      </c>
      <c r="BA472" s="63" t="s">
        <v>291</v>
      </c>
      <c r="BB472" s="64"/>
      <c r="BG472" s="58" t="s">
        <v>1048</v>
      </c>
      <c r="BI472" s="42">
        <v>1</v>
      </c>
      <c r="BJ472" s="15" t="s">
        <v>1049</v>
      </c>
      <c r="BK472" s="15" t="s">
        <v>546</v>
      </c>
    </row>
    <row r="473" spans="1:63" s="49" customFormat="1" ht="31.5">
      <c r="A473" s="127">
        <f>A472+1</f>
        <v>444</v>
      </c>
      <c r="B473" s="60" t="s">
        <v>1050</v>
      </c>
      <c r="C473" s="78" t="s">
        <v>54</v>
      </c>
      <c r="D473" s="35">
        <f t="shared" si="53"/>
        <v>0.38</v>
      </c>
      <c r="E473" s="108">
        <v>0.23</v>
      </c>
      <c r="F473" s="35">
        <f t="shared" ref="F473:F480" si="55">SUM(G473:AX473)</f>
        <v>0.15</v>
      </c>
      <c r="G473" s="43">
        <v>0.15</v>
      </c>
      <c r="H473" s="46"/>
      <c r="I473" s="46"/>
      <c r="J473" s="46"/>
      <c r="K473" s="46"/>
      <c r="L473" s="46"/>
      <c r="M473" s="46"/>
      <c r="N473" s="46"/>
      <c r="O473" s="46"/>
      <c r="P473" s="46"/>
      <c r="Q473" s="46"/>
      <c r="R473" s="46"/>
      <c r="S473" s="46"/>
      <c r="T473" s="46"/>
      <c r="U473" s="46"/>
      <c r="V473" s="46"/>
      <c r="W473" s="46"/>
      <c r="X473" s="46"/>
      <c r="Y473" s="46"/>
      <c r="Z473" s="46"/>
      <c r="AA473" s="46"/>
      <c r="AB473" s="46"/>
      <c r="AC473" s="46"/>
      <c r="AD473" s="46"/>
      <c r="AE473" s="46"/>
      <c r="AF473" s="46"/>
      <c r="AG473" s="46"/>
      <c r="AH473" s="46"/>
      <c r="AI473" s="46"/>
      <c r="AJ473" s="46"/>
      <c r="AK473" s="46"/>
      <c r="AL473" s="46"/>
      <c r="AM473" s="46"/>
      <c r="AN473" s="46"/>
      <c r="AO473" s="46"/>
      <c r="AP473" s="46"/>
      <c r="AQ473" s="46"/>
      <c r="AR473" s="46"/>
      <c r="AS473" s="46"/>
      <c r="AT473" s="46"/>
      <c r="AU473" s="46"/>
      <c r="AV473" s="46"/>
      <c r="AW473" s="46"/>
      <c r="AX473" s="46"/>
      <c r="AY473" s="34" t="s">
        <v>229</v>
      </c>
      <c r="AZ473" s="34" t="s">
        <v>1051</v>
      </c>
      <c r="BA473" s="47" t="s">
        <v>298</v>
      </c>
      <c r="BB473" s="50"/>
      <c r="BC473" s="49" t="s">
        <v>1052</v>
      </c>
      <c r="BI473" s="42">
        <v>1</v>
      </c>
      <c r="BJ473" s="15" t="s">
        <v>1053</v>
      </c>
      <c r="BK473" s="50" t="s">
        <v>546</v>
      </c>
    </row>
    <row r="474" spans="1:63" ht="31.5">
      <c r="A474" s="127">
        <f>A473+1</f>
        <v>445</v>
      </c>
      <c r="B474" s="56" t="s">
        <v>1054</v>
      </c>
      <c r="C474" s="118" t="s">
        <v>54</v>
      </c>
      <c r="D474" s="35">
        <f t="shared" si="53"/>
        <v>0.35</v>
      </c>
      <c r="E474" s="108"/>
      <c r="F474" s="35">
        <f t="shared" si="55"/>
        <v>0.35</v>
      </c>
      <c r="G474" s="43">
        <v>0.35</v>
      </c>
      <c r="H474" s="43"/>
      <c r="I474" s="43"/>
      <c r="J474" s="43"/>
      <c r="K474" s="43"/>
      <c r="L474" s="43"/>
      <c r="M474" s="43"/>
      <c r="N474" s="43"/>
      <c r="O474" s="43"/>
      <c r="P474" s="43"/>
      <c r="Q474" s="43"/>
      <c r="R474" s="43"/>
      <c r="S474" s="43"/>
      <c r="T474" s="43"/>
      <c r="U474" s="43"/>
      <c r="V474" s="43"/>
      <c r="W474" s="43"/>
      <c r="X474" s="43"/>
      <c r="Y474" s="43"/>
      <c r="Z474" s="43"/>
      <c r="AA474" s="43"/>
      <c r="AB474" s="43"/>
      <c r="AC474" s="43"/>
      <c r="AD474" s="43"/>
      <c r="AE474" s="43"/>
      <c r="AF474" s="43"/>
      <c r="AG474" s="43"/>
      <c r="AH474" s="43"/>
      <c r="AI474" s="43"/>
      <c r="AJ474" s="43"/>
      <c r="AK474" s="43"/>
      <c r="AL474" s="43"/>
      <c r="AM474" s="43"/>
      <c r="AN474" s="43"/>
      <c r="AO474" s="43"/>
      <c r="AP474" s="43"/>
      <c r="AQ474" s="43"/>
      <c r="AR474" s="43"/>
      <c r="AS474" s="43"/>
      <c r="AT474" s="43"/>
      <c r="AU474" s="43"/>
      <c r="AV474" s="43"/>
      <c r="AW474" s="43"/>
      <c r="AX474" s="43"/>
      <c r="AY474" s="34" t="s">
        <v>230</v>
      </c>
      <c r="AZ474" s="34" t="s">
        <v>1055</v>
      </c>
      <c r="BA474" s="47" t="s">
        <v>298</v>
      </c>
      <c r="BB474" s="48"/>
      <c r="BI474" s="42">
        <v>1</v>
      </c>
      <c r="BJ474" s="49" t="s">
        <v>1056</v>
      </c>
      <c r="BK474" s="15" t="s">
        <v>546</v>
      </c>
    </row>
    <row r="475" spans="1:63" s="49" customFormat="1" ht="47.25">
      <c r="A475" s="127">
        <f t="shared" ref="A475:A480" si="56">A474+1</f>
        <v>446</v>
      </c>
      <c r="B475" s="60" t="s">
        <v>1057</v>
      </c>
      <c r="C475" s="118" t="s">
        <v>54</v>
      </c>
      <c r="D475" s="35">
        <f t="shared" si="53"/>
        <v>0.35</v>
      </c>
      <c r="E475" s="45"/>
      <c r="F475" s="35">
        <f t="shared" si="55"/>
        <v>0.35</v>
      </c>
      <c r="G475" s="46">
        <v>0.35</v>
      </c>
      <c r="H475" s="46"/>
      <c r="I475" s="46"/>
      <c r="J475" s="46"/>
      <c r="K475" s="46"/>
      <c r="L475" s="46"/>
      <c r="M475" s="46"/>
      <c r="N475" s="46"/>
      <c r="O475" s="46"/>
      <c r="P475" s="46"/>
      <c r="Q475" s="46"/>
      <c r="R475" s="46"/>
      <c r="S475" s="46"/>
      <c r="T475" s="46"/>
      <c r="U475" s="46"/>
      <c r="V475" s="46"/>
      <c r="W475" s="46"/>
      <c r="X475" s="46"/>
      <c r="Y475" s="46"/>
      <c r="Z475" s="46"/>
      <c r="AA475" s="46"/>
      <c r="AB475" s="46"/>
      <c r="AC475" s="46"/>
      <c r="AD475" s="46"/>
      <c r="AE475" s="46"/>
      <c r="AF475" s="46"/>
      <c r="AG475" s="46"/>
      <c r="AH475" s="46"/>
      <c r="AI475" s="46"/>
      <c r="AJ475" s="46"/>
      <c r="AK475" s="46"/>
      <c r="AL475" s="46"/>
      <c r="AM475" s="46"/>
      <c r="AN475" s="46"/>
      <c r="AO475" s="46"/>
      <c r="AP475" s="46"/>
      <c r="AQ475" s="46"/>
      <c r="AR475" s="46"/>
      <c r="AS475" s="46"/>
      <c r="AT475" s="46"/>
      <c r="AU475" s="46"/>
      <c r="AV475" s="46"/>
      <c r="AW475" s="46"/>
      <c r="AX475" s="46"/>
      <c r="AY475" s="47" t="s">
        <v>234</v>
      </c>
      <c r="AZ475" s="47" t="s">
        <v>1058</v>
      </c>
      <c r="BA475" s="47" t="s">
        <v>322</v>
      </c>
      <c r="BB475" s="48"/>
      <c r="BC475" s="49" t="s">
        <v>1059</v>
      </c>
      <c r="BI475" s="42">
        <v>1</v>
      </c>
      <c r="BJ475" s="49" t="s">
        <v>1056</v>
      </c>
      <c r="BK475" s="50" t="s">
        <v>546</v>
      </c>
    </row>
    <row r="476" spans="1:63" s="71" customFormat="1" ht="20.85" customHeight="1">
      <c r="A476" s="127">
        <f t="shared" si="56"/>
        <v>447</v>
      </c>
      <c r="B476" s="88" t="s">
        <v>1060</v>
      </c>
      <c r="C476" s="118" t="s">
        <v>54</v>
      </c>
      <c r="D476" s="35">
        <f t="shared" si="53"/>
        <v>0.4</v>
      </c>
      <c r="E476" s="76"/>
      <c r="F476" s="35">
        <f t="shared" si="55"/>
        <v>0.4</v>
      </c>
      <c r="G476" s="77"/>
      <c r="H476" s="77"/>
      <c r="I476" s="77">
        <v>0.38</v>
      </c>
      <c r="J476" s="77"/>
      <c r="K476" s="77"/>
      <c r="L476" s="77"/>
      <c r="M476" s="77"/>
      <c r="N476" s="77"/>
      <c r="O476" s="77"/>
      <c r="P476" s="77"/>
      <c r="Q476" s="77"/>
      <c r="R476" s="77"/>
      <c r="S476" s="77"/>
      <c r="T476" s="77"/>
      <c r="U476" s="77"/>
      <c r="V476" s="77"/>
      <c r="W476" s="77"/>
      <c r="X476" s="77"/>
      <c r="Y476" s="77"/>
      <c r="Z476" s="77"/>
      <c r="AA476" s="77">
        <v>0.02</v>
      </c>
      <c r="AB476" s="77"/>
      <c r="AC476" s="77"/>
      <c r="AD476" s="77"/>
      <c r="AE476" s="77"/>
      <c r="AF476" s="77"/>
      <c r="AG476" s="77"/>
      <c r="AH476" s="77"/>
      <c r="AI476" s="77"/>
      <c r="AJ476" s="77"/>
      <c r="AK476" s="77"/>
      <c r="AL476" s="77"/>
      <c r="AM476" s="77"/>
      <c r="AN476" s="77"/>
      <c r="AO476" s="77"/>
      <c r="AP476" s="77"/>
      <c r="AQ476" s="77"/>
      <c r="AR476" s="77"/>
      <c r="AS476" s="77"/>
      <c r="AT476" s="77"/>
      <c r="AU476" s="77"/>
      <c r="AV476" s="77"/>
      <c r="AW476" s="77"/>
      <c r="AX476" s="77"/>
      <c r="AY476" s="70" t="s">
        <v>235</v>
      </c>
      <c r="AZ476" s="70" t="s">
        <v>305</v>
      </c>
      <c r="BA476" s="47" t="s">
        <v>298</v>
      </c>
      <c r="BB476" s="48" t="s">
        <v>506</v>
      </c>
      <c r="BI476" s="42">
        <v>1</v>
      </c>
      <c r="BK476" s="72"/>
    </row>
    <row r="477" spans="1:63" ht="31.5">
      <c r="A477" s="127">
        <f t="shared" si="56"/>
        <v>448</v>
      </c>
      <c r="B477" s="56" t="s">
        <v>1061</v>
      </c>
      <c r="C477" s="118" t="s">
        <v>54</v>
      </c>
      <c r="D477" s="35">
        <f t="shared" si="53"/>
        <v>0.5</v>
      </c>
      <c r="E477" s="108"/>
      <c r="F477" s="35">
        <f t="shared" si="55"/>
        <v>0.5</v>
      </c>
      <c r="G477" s="43"/>
      <c r="H477" s="43"/>
      <c r="I477" s="43"/>
      <c r="J477" s="43">
        <v>0.5</v>
      </c>
      <c r="K477" s="43"/>
      <c r="L477" s="43"/>
      <c r="M477" s="43"/>
      <c r="N477" s="43"/>
      <c r="O477" s="43"/>
      <c r="P477" s="43"/>
      <c r="Q477" s="43"/>
      <c r="R477" s="43"/>
      <c r="S477" s="43"/>
      <c r="T477" s="43"/>
      <c r="U477" s="43"/>
      <c r="V477" s="43"/>
      <c r="W477" s="43"/>
      <c r="X477" s="43"/>
      <c r="Y477" s="43"/>
      <c r="Z477" s="43"/>
      <c r="AA477" s="43"/>
      <c r="AB477" s="43"/>
      <c r="AC477" s="43"/>
      <c r="AD477" s="43"/>
      <c r="AE477" s="43"/>
      <c r="AF477" s="43"/>
      <c r="AG477" s="43"/>
      <c r="AH477" s="43"/>
      <c r="AI477" s="43"/>
      <c r="AJ477" s="43"/>
      <c r="AK477" s="43"/>
      <c r="AL477" s="43"/>
      <c r="AM477" s="43"/>
      <c r="AN477" s="43"/>
      <c r="AO477" s="43"/>
      <c r="AP477" s="43"/>
      <c r="AQ477" s="43"/>
      <c r="AR477" s="43"/>
      <c r="AS477" s="43"/>
      <c r="AT477" s="43"/>
      <c r="AU477" s="43"/>
      <c r="AV477" s="43"/>
      <c r="AW477" s="43"/>
      <c r="AX477" s="43"/>
      <c r="AY477" s="34" t="s">
        <v>429</v>
      </c>
      <c r="AZ477" s="34" t="s">
        <v>1062</v>
      </c>
      <c r="BA477" s="63" t="s">
        <v>291</v>
      </c>
      <c r="BB477" s="64"/>
      <c r="BD477" s="15" t="s">
        <v>1063</v>
      </c>
      <c r="BG477" s="58"/>
      <c r="BI477" s="42">
        <v>1</v>
      </c>
      <c r="BJ477" s="15" t="s">
        <v>1064</v>
      </c>
      <c r="BK477" s="15" t="s">
        <v>546</v>
      </c>
    </row>
    <row r="478" spans="1:63" ht="19.350000000000001" customHeight="1">
      <c r="A478" s="127">
        <f t="shared" si="56"/>
        <v>449</v>
      </c>
      <c r="B478" s="56" t="s">
        <v>1065</v>
      </c>
      <c r="C478" s="118" t="s">
        <v>54</v>
      </c>
      <c r="D478" s="35">
        <f t="shared" si="53"/>
        <v>0.48</v>
      </c>
      <c r="E478" s="108">
        <v>0.33</v>
      </c>
      <c r="F478" s="35">
        <f t="shared" si="55"/>
        <v>0.15</v>
      </c>
      <c r="G478" s="43"/>
      <c r="H478" s="43"/>
      <c r="I478" s="43"/>
      <c r="J478" s="43"/>
      <c r="K478" s="43"/>
      <c r="L478" s="43"/>
      <c r="M478" s="43">
        <v>0.15</v>
      </c>
      <c r="N478" s="43"/>
      <c r="O478" s="43"/>
      <c r="P478" s="43"/>
      <c r="Q478" s="43"/>
      <c r="R478" s="43"/>
      <c r="S478" s="43"/>
      <c r="T478" s="43"/>
      <c r="U478" s="43"/>
      <c r="V478" s="43"/>
      <c r="W478" s="43"/>
      <c r="X478" s="43"/>
      <c r="Y478" s="43"/>
      <c r="Z478" s="43"/>
      <c r="AA478" s="43"/>
      <c r="AB478" s="43"/>
      <c r="AC478" s="43"/>
      <c r="AD478" s="43"/>
      <c r="AE478" s="43"/>
      <c r="AF478" s="43"/>
      <c r="AG478" s="43"/>
      <c r="AH478" s="43"/>
      <c r="AI478" s="43"/>
      <c r="AJ478" s="43"/>
      <c r="AK478" s="43"/>
      <c r="AL478" s="43"/>
      <c r="AM478" s="43"/>
      <c r="AN478" s="43"/>
      <c r="AO478" s="43"/>
      <c r="AP478" s="43"/>
      <c r="AQ478" s="43"/>
      <c r="AR478" s="43"/>
      <c r="AS478" s="43"/>
      <c r="AT478" s="43"/>
      <c r="AU478" s="43"/>
      <c r="AV478" s="43"/>
      <c r="AW478" s="43"/>
      <c r="AX478" s="43"/>
      <c r="AY478" s="34" t="s">
        <v>237</v>
      </c>
      <c r="AZ478" s="34" t="s">
        <v>308</v>
      </c>
      <c r="BA478" s="63" t="s">
        <v>291</v>
      </c>
      <c r="BB478" s="64"/>
      <c r="BC478" s="64"/>
      <c r="BD478" s="64" t="s">
        <v>308</v>
      </c>
      <c r="BE478" s="64"/>
      <c r="BI478" s="42">
        <v>1</v>
      </c>
      <c r="BJ478" s="15" t="s">
        <v>1066</v>
      </c>
      <c r="BK478" s="15" t="s">
        <v>546</v>
      </c>
    </row>
    <row r="479" spans="1:63" ht="19.350000000000001" customHeight="1">
      <c r="A479" s="127">
        <f t="shared" si="56"/>
        <v>450</v>
      </c>
      <c r="B479" s="56" t="s">
        <v>1067</v>
      </c>
      <c r="C479" s="118" t="s">
        <v>54</v>
      </c>
      <c r="D479" s="35">
        <f t="shared" si="53"/>
        <v>0.4</v>
      </c>
      <c r="E479" s="35"/>
      <c r="F479" s="35">
        <f t="shared" si="55"/>
        <v>0.4</v>
      </c>
      <c r="G479" s="43">
        <v>0.4</v>
      </c>
      <c r="H479" s="43"/>
      <c r="I479" s="43"/>
      <c r="J479" s="43"/>
      <c r="K479" s="43"/>
      <c r="L479" s="43"/>
      <c r="M479" s="43"/>
      <c r="N479" s="43"/>
      <c r="O479" s="43"/>
      <c r="P479" s="43"/>
      <c r="Q479" s="43"/>
      <c r="R479" s="43"/>
      <c r="S479" s="43"/>
      <c r="T479" s="43"/>
      <c r="U479" s="43"/>
      <c r="V479" s="43"/>
      <c r="W479" s="43"/>
      <c r="X479" s="43"/>
      <c r="Y479" s="43"/>
      <c r="Z479" s="43"/>
      <c r="AA479" s="43"/>
      <c r="AB479" s="43"/>
      <c r="AC479" s="43"/>
      <c r="AD479" s="43"/>
      <c r="AE479" s="43"/>
      <c r="AF479" s="43"/>
      <c r="AG479" s="43"/>
      <c r="AH479" s="43"/>
      <c r="AI479" s="43"/>
      <c r="AJ479" s="43"/>
      <c r="AK479" s="43"/>
      <c r="AL479" s="43"/>
      <c r="AM479" s="43"/>
      <c r="AN479" s="43"/>
      <c r="AO479" s="43"/>
      <c r="AP479" s="43"/>
      <c r="AQ479" s="43"/>
      <c r="AR479" s="43"/>
      <c r="AS479" s="43"/>
      <c r="AT479" s="43"/>
      <c r="AU479" s="43"/>
      <c r="AV479" s="43"/>
      <c r="AW479" s="43"/>
      <c r="AX479" s="43"/>
      <c r="AY479" s="34" t="s">
        <v>239</v>
      </c>
      <c r="AZ479" s="34" t="s">
        <v>1068</v>
      </c>
      <c r="BA479" s="47" t="s">
        <v>322</v>
      </c>
      <c r="BB479" s="48"/>
      <c r="BC479" s="15" t="s">
        <v>1069</v>
      </c>
      <c r="BD479" s="15" t="s">
        <v>1070</v>
      </c>
      <c r="BI479" s="42">
        <v>1</v>
      </c>
      <c r="BJ479" s="15" t="s">
        <v>1071</v>
      </c>
      <c r="BK479" s="15" t="s">
        <v>546</v>
      </c>
    </row>
    <row r="480" spans="1:63" ht="19.350000000000001" customHeight="1">
      <c r="A480" s="127">
        <f t="shared" si="56"/>
        <v>451</v>
      </c>
      <c r="B480" s="56" t="s">
        <v>1072</v>
      </c>
      <c r="C480" s="118" t="s">
        <v>54</v>
      </c>
      <c r="D480" s="35">
        <f t="shared" si="53"/>
        <v>0.29000000000000004</v>
      </c>
      <c r="E480" s="108">
        <v>0.19</v>
      </c>
      <c r="F480" s="35">
        <f t="shared" si="55"/>
        <v>0.1</v>
      </c>
      <c r="G480" s="43"/>
      <c r="H480" s="43"/>
      <c r="I480" s="43"/>
      <c r="J480" s="43"/>
      <c r="K480" s="43"/>
      <c r="L480" s="43"/>
      <c r="M480" s="43"/>
      <c r="N480" s="43"/>
      <c r="O480" s="43"/>
      <c r="P480" s="43">
        <v>0.1</v>
      </c>
      <c r="Q480" s="43"/>
      <c r="R480" s="43"/>
      <c r="S480" s="43"/>
      <c r="T480" s="43"/>
      <c r="U480" s="43"/>
      <c r="V480" s="43"/>
      <c r="W480" s="43"/>
      <c r="X480" s="43"/>
      <c r="Y480" s="43"/>
      <c r="Z480" s="43"/>
      <c r="AA480" s="43"/>
      <c r="AB480" s="43"/>
      <c r="AC480" s="43"/>
      <c r="AD480" s="43"/>
      <c r="AE480" s="43"/>
      <c r="AF480" s="43"/>
      <c r="AG480" s="43"/>
      <c r="AH480" s="43"/>
      <c r="AI480" s="43"/>
      <c r="AJ480" s="43"/>
      <c r="AK480" s="43"/>
      <c r="AL480" s="43"/>
      <c r="AM480" s="43"/>
      <c r="AN480" s="43"/>
      <c r="AO480" s="43"/>
      <c r="AP480" s="43"/>
      <c r="AQ480" s="43"/>
      <c r="AR480" s="43"/>
      <c r="AS480" s="43"/>
      <c r="AT480" s="43"/>
      <c r="AU480" s="43"/>
      <c r="AV480" s="43"/>
      <c r="AW480" s="43"/>
      <c r="AX480" s="43"/>
      <c r="AY480" s="34" t="s">
        <v>241</v>
      </c>
      <c r="AZ480" s="34" t="s">
        <v>328</v>
      </c>
      <c r="BA480" s="39" t="s">
        <v>291</v>
      </c>
      <c r="BB480" s="40" t="s">
        <v>1073</v>
      </c>
      <c r="BI480" s="42">
        <v>1</v>
      </c>
      <c r="BJ480" s="15" t="s">
        <v>1074</v>
      </c>
      <c r="BK480" s="15" t="s">
        <v>546</v>
      </c>
    </row>
    <row r="481" spans="1:64" s="24" customFormat="1" ht="23.85" customHeight="1">
      <c r="A481" s="20" t="s">
        <v>1075</v>
      </c>
      <c r="B481" s="25" t="s">
        <v>99</v>
      </c>
      <c r="C481" s="26"/>
      <c r="D481" s="27">
        <f t="shared" si="53"/>
        <v>16.16</v>
      </c>
      <c r="E481" s="27">
        <f>SUM(E482:E587)</f>
        <v>4.3199999999999994</v>
      </c>
      <c r="F481" s="27">
        <f>SUM(G481:AX481)</f>
        <v>11.84</v>
      </c>
      <c r="G481" s="28">
        <f t="shared" ref="G481:AX481" si="57">SUM(G482:G587)</f>
        <v>3.8499999999999983</v>
      </c>
      <c r="H481" s="28">
        <f t="shared" si="57"/>
        <v>0.87000000000000011</v>
      </c>
      <c r="I481" s="28">
        <f t="shared" si="57"/>
        <v>1.1700000000000002</v>
      </c>
      <c r="J481" s="28">
        <f t="shared" si="57"/>
        <v>1.4600000000000004</v>
      </c>
      <c r="K481" s="28">
        <f t="shared" si="57"/>
        <v>0</v>
      </c>
      <c r="L481" s="28">
        <f t="shared" si="57"/>
        <v>0</v>
      </c>
      <c r="M481" s="28">
        <f t="shared" si="57"/>
        <v>1.19</v>
      </c>
      <c r="N481" s="28">
        <f t="shared" si="57"/>
        <v>0</v>
      </c>
      <c r="O481" s="28">
        <f t="shared" si="57"/>
        <v>0</v>
      </c>
      <c r="P481" s="28">
        <f t="shared" si="57"/>
        <v>0.62999999999999989</v>
      </c>
      <c r="Q481" s="28">
        <f t="shared" si="57"/>
        <v>0</v>
      </c>
      <c r="R481" s="28">
        <f t="shared" si="57"/>
        <v>0</v>
      </c>
      <c r="S481" s="28">
        <f t="shared" si="57"/>
        <v>0</v>
      </c>
      <c r="T481" s="28">
        <f t="shared" si="57"/>
        <v>0</v>
      </c>
      <c r="U481" s="28">
        <f t="shared" si="57"/>
        <v>0</v>
      </c>
      <c r="V481" s="28">
        <f t="shared" si="57"/>
        <v>0</v>
      </c>
      <c r="W481" s="28">
        <f t="shared" si="57"/>
        <v>0.05</v>
      </c>
      <c r="X481" s="28">
        <f t="shared" si="57"/>
        <v>0</v>
      </c>
      <c r="Y481" s="28">
        <f t="shared" si="57"/>
        <v>0</v>
      </c>
      <c r="Z481" s="28">
        <f t="shared" si="57"/>
        <v>0.01</v>
      </c>
      <c r="AA481" s="28">
        <f t="shared" si="57"/>
        <v>0</v>
      </c>
      <c r="AB481" s="28">
        <f t="shared" si="57"/>
        <v>0</v>
      </c>
      <c r="AC481" s="28">
        <f t="shared" si="57"/>
        <v>0.15</v>
      </c>
      <c r="AD481" s="28">
        <f t="shared" si="57"/>
        <v>1.18</v>
      </c>
      <c r="AE481" s="28">
        <f t="shared" si="57"/>
        <v>0.48</v>
      </c>
      <c r="AF481" s="28">
        <f t="shared" si="57"/>
        <v>0.25</v>
      </c>
      <c r="AG481" s="28">
        <f t="shared" si="57"/>
        <v>0.05</v>
      </c>
      <c r="AH481" s="28">
        <f t="shared" si="57"/>
        <v>0</v>
      </c>
      <c r="AI481" s="28">
        <f t="shared" si="57"/>
        <v>0</v>
      </c>
      <c r="AJ481" s="28">
        <f t="shared" si="57"/>
        <v>0</v>
      </c>
      <c r="AK481" s="28">
        <f t="shared" si="57"/>
        <v>0</v>
      </c>
      <c r="AL481" s="28">
        <f t="shared" si="57"/>
        <v>0</v>
      </c>
      <c r="AM481" s="28">
        <f t="shared" si="57"/>
        <v>0</v>
      </c>
      <c r="AN481" s="28">
        <f t="shared" si="57"/>
        <v>0</v>
      </c>
      <c r="AO481" s="28">
        <f t="shared" si="57"/>
        <v>0</v>
      </c>
      <c r="AP481" s="28">
        <f t="shared" si="57"/>
        <v>0</v>
      </c>
      <c r="AQ481" s="28">
        <f t="shared" si="57"/>
        <v>0</v>
      </c>
      <c r="AR481" s="28">
        <f t="shared" si="57"/>
        <v>0.5</v>
      </c>
      <c r="AS481" s="28">
        <f t="shared" si="57"/>
        <v>0</v>
      </c>
      <c r="AT481" s="28">
        <f t="shared" si="57"/>
        <v>0</v>
      </c>
      <c r="AU481" s="28">
        <f t="shared" si="57"/>
        <v>0</v>
      </c>
      <c r="AV481" s="28">
        <f t="shared" si="57"/>
        <v>0</v>
      </c>
      <c r="AW481" s="28">
        <f t="shared" si="57"/>
        <v>0</v>
      </c>
      <c r="AX481" s="28">
        <f t="shared" si="57"/>
        <v>0</v>
      </c>
      <c r="AY481" s="29"/>
      <c r="AZ481" s="29"/>
      <c r="BA481" s="30"/>
      <c r="BB481" s="31"/>
      <c r="BC481" s="24" t="s">
        <v>1076</v>
      </c>
      <c r="BI481" s="42"/>
    </row>
    <row r="482" spans="1:64">
      <c r="A482" s="32">
        <f>A480+1</f>
        <v>452</v>
      </c>
      <c r="B482" s="56" t="s">
        <v>1077</v>
      </c>
      <c r="C482" s="78" t="s">
        <v>112</v>
      </c>
      <c r="D482" s="35">
        <f t="shared" si="53"/>
        <v>0.15</v>
      </c>
      <c r="E482" s="35"/>
      <c r="F482" s="35">
        <f>SUM(G482:AX482)</f>
        <v>0.15</v>
      </c>
      <c r="G482" s="43">
        <v>0.15</v>
      </c>
      <c r="H482" s="43"/>
      <c r="I482" s="43"/>
      <c r="J482" s="43"/>
      <c r="K482" s="43"/>
      <c r="L482" s="43"/>
      <c r="M482" s="43"/>
      <c r="N482" s="43"/>
      <c r="O482" s="43"/>
      <c r="P482" s="43"/>
      <c r="Q482" s="43"/>
      <c r="R482" s="43"/>
      <c r="S482" s="43"/>
      <c r="T482" s="43"/>
      <c r="U482" s="43"/>
      <c r="V482" s="43"/>
      <c r="W482" s="43"/>
      <c r="X482" s="43"/>
      <c r="Y482" s="43"/>
      <c r="Z482" s="43"/>
      <c r="AA482" s="43"/>
      <c r="AB482" s="43"/>
      <c r="AC482" s="43"/>
      <c r="AD482" s="43"/>
      <c r="AE482" s="43"/>
      <c r="AF482" s="43"/>
      <c r="AG482" s="43"/>
      <c r="AH482" s="43"/>
      <c r="AI482" s="43"/>
      <c r="AJ482" s="43"/>
      <c r="AK482" s="43"/>
      <c r="AL482" s="43"/>
      <c r="AM482" s="43"/>
      <c r="AN482" s="43"/>
      <c r="AO482" s="43"/>
      <c r="AP482" s="43"/>
      <c r="AQ482" s="43"/>
      <c r="AR482" s="43"/>
      <c r="AS482" s="43"/>
      <c r="AT482" s="43"/>
      <c r="AU482" s="43"/>
      <c r="AV482" s="43"/>
      <c r="AW482" s="43"/>
      <c r="AX482" s="43"/>
      <c r="AY482" s="34" t="s">
        <v>289</v>
      </c>
      <c r="AZ482" s="34" t="s">
        <v>467</v>
      </c>
      <c r="BA482" s="47" t="s">
        <v>298</v>
      </c>
      <c r="BB482" s="48"/>
      <c r="BD482" s="15" t="s">
        <v>8</v>
      </c>
      <c r="BE482" s="41"/>
      <c r="BI482" s="42">
        <v>1</v>
      </c>
    </row>
    <row r="483" spans="1:64">
      <c r="A483" s="32">
        <f>A482+1</f>
        <v>453</v>
      </c>
      <c r="B483" s="60" t="s">
        <v>1078</v>
      </c>
      <c r="C483" s="78" t="s">
        <v>112</v>
      </c>
      <c r="D483" s="35">
        <f t="shared" si="53"/>
        <v>0.15</v>
      </c>
      <c r="E483" s="108"/>
      <c r="F483" s="35">
        <f t="shared" ref="F483:F555" si="58">SUM(G483:AX483)</f>
        <v>0.15</v>
      </c>
      <c r="G483" s="109"/>
      <c r="H483" s="109"/>
      <c r="I483" s="109"/>
      <c r="J483" s="109"/>
      <c r="K483" s="109"/>
      <c r="L483" s="109"/>
      <c r="M483" s="109">
        <v>0.15</v>
      </c>
      <c r="N483" s="109"/>
      <c r="O483" s="109"/>
      <c r="P483" s="109"/>
      <c r="Q483" s="109"/>
      <c r="R483" s="109"/>
      <c r="S483" s="109"/>
      <c r="T483" s="109"/>
      <c r="U483" s="109"/>
      <c r="V483" s="109"/>
      <c r="W483" s="109"/>
      <c r="X483" s="109"/>
      <c r="Y483" s="109"/>
      <c r="Z483" s="109"/>
      <c r="AA483" s="109"/>
      <c r="AB483" s="109"/>
      <c r="AC483" s="109"/>
      <c r="AD483" s="109"/>
      <c r="AE483" s="109"/>
      <c r="AF483" s="109"/>
      <c r="AG483" s="109"/>
      <c r="AH483" s="109"/>
      <c r="AI483" s="109"/>
      <c r="AJ483" s="109"/>
      <c r="AK483" s="109"/>
      <c r="AL483" s="109"/>
      <c r="AM483" s="109"/>
      <c r="AN483" s="109"/>
      <c r="AO483" s="109"/>
      <c r="AP483" s="109"/>
      <c r="AQ483" s="109"/>
      <c r="AR483" s="109"/>
      <c r="AS483" s="109"/>
      <c r="AT483" s="109"/>
      <c r="AU483" s="109"/>
      <c r="AV483" s="109"/>
      <c r="AW483" s="109"/>
      <c r="AX483" s="109"/>
      <c r="AY483" s="34" t="s">
        <v>289</v>
      </c>
      <c r="AZ483" s="34" t="s">
        <v>295</v>
      </c>
      <c r="BA483" s="63" t="s">
        <v>291</v>
      </c>
      <c r="BB483" s="64"/>
      <c r="BD483" s="15" t="s">
        <v>14</v>
      </c>
      <c r="BE483" s="41"/>
      <c r="BI483" s="42">
        <v>1</v>
      </c>
    </row>
    <row r="484" spans="1:64">
      <c r="A484" s="32">
        <f>A483+1</f>
        <v>454</v>
      </c>
      <c r="B484" s="60" t="s">
        <v>1079</v>
      </c>
      <c r="C484" s="78" t="s">
        <v>112</v>
      </c>
      <c r="D484" s="35">
        <f t="shared" si="53"/>
        <v>0.13</v>
      </c>
      <c r="E484" s="108"/>
      <c r="F484" s="35">
        <f t="shared" si="58"/>
        <v>0.13</v>
      </c>
      <c r="G484" s="109">
        <v>0.13</v>
      </c>
      <c r="H484" s="109"/>
      <c r="I484" s="109"/>
      <c r="J484" s="109"/>
      <c r="K484" s="109"/>
      <c r="L484" s="109"/>
      <c r="M484" s="109"/>
      <c r="N484" s="109"/>
      <c r="O484" s="109"/>
      <c r="P484" s="109"/>
      <c r="Q484" s="109"/>
      <c r="R484" s="109"/>
      <c r="S484" s="109"/>
      <c r="T484" s="109"/>
      <c r="U484" s="109"/>
      <c r="V484" s="109"/>
      <c r="W484" s="109"/>
      <c r="X484" s="109"/>
      <c r="Y484" s="109"/>
      <c r="Z484" s="109"/>
      <c r="AA484" s="109"/>
      <c r="AB484" s="109"/>
      <c r="AC484" s="109"/>
      <c r="AD484" s="109"/>
      <c r="AE484" s="109"/>
      <c r="AF484" s="109"/>
      <c r="AG484" s="109"/>
      <c r="AH484" s="109"/>
      <c r="AI484" s="109"/>
      <c r="AJ484" s="109"/>
      <c r="AK484" s="109"/>
      <c r="AL484" s="109"/>
      <c r="AM484" s="109"/>
      <c r="AN484" s="109"/>
      <c r="AO484" s="109"/>
      <c r="AP484" s="109"/>
      <c r="AQ484" s="109"/>
      <c r="AR484" s="109"/>
      <c r="AS484" s="109"/>
      <c r="AT484" s="109"/>
      <c r="AU484" s="109"/>
      <c r="AV484" s="109"/>
      <c r="AW484" s="109"/>
      <c r="AX484" s="109"/>
      <c r="AY484" s="34" t="s">
        <v>289</v>
      </c>
      <c r="AZ484" s="34" t="s">
        <v>290</v>
      </c>
      <c r="BA484" s="63" t="s">
        <v>291</v>
      </c>
      <c r="BB484" s="64"/>
      <c r="BD484" s="15" t="s">
        <v>12</v>
      </c>
      <c r="BE484" s="41"/>
      <c r="BI484" s="42">
        <v>1</v>
      </c>
    </row>
    <row r="485" spans="1:64">
      <c r="A485" s="32">
        <f t="shared" ref="A485:A548" si="59">A484+1</f>
        <v>455</v>
      </c>
      <c r="B485" s="60" t="s">
        <v>1080</v>
      </c>
      <c r="C485" s="78" t="s">
        <v>112</v>
      </c>
      <c r="D485" s="35">
        <f t="shared" si="53"/>
        <v>0.12</v>
      </c>
      <c r="E485" s="108"/>
      <c r="F485" s="35">
        <f t="shared" si="58"/>
        <v>0.12</v>
      </c>
      <c r="G485" s="109"/>
      <c r="H485" s="109"/>
      <c r="I485" s="109"/>
      <c r="J485" s="109"/>
      <c r="K485" s="109"/>
      <c r="L485" s="109"/>
      <c r="M485" s="109"/>
      <c r="N485" s="109"/>
      <c r="O485" s="109"/>
      <c r="P485" s="109">
        <v>0.12</v>
      </c>
      <c r="Q485" s="109"/>
      <c r="R485" s="109"/>
      <c r="S485" s="109"/>
      <c r="T485" s="109"/>
      <c r="U485" s="109"/>
      <c r="V485" s="109"/>
      <c r="W485" s="109"/>
      <c r="X485" s="109"/>
      <c r="Y485" s="109"/>
      <c r="Z485" s="109"/>
      <c r="AA485" s="109"/>
      <c r="AB485" s="109"/>
      <c r="AC485" s="109"/>
      <c r="AD485" s="109"/>
      <c r="AE485" s="109"/>
      <c r="AF485" s="109"/>
      <c r="AG485" s="109"/>
      <c r="AH485" s="109"/>
      <c r="AI485" s="109"/>
      <c r="AJ485" s="109"/>
      <c r="AK485" s="109"/>
      <c r="AL485" s="109"/>
      <c r="AM485" s="109"/>
      <c r="AN485" s="109"/>
      <c r="AO485" s="109"/>
      <c r="AP485" s="109"/>
      <c r="AQ485" s="109"/>
      <c r="AR485" s="109"/>
      <c r="AS485" s="109"/>
      <c r="AT485" s="109"/>
      <c r="AU485" s="109"/>
      <c r="AV485" s="109"/>
      <c r="AW485" s="109"/>
      <c r="AX485" s="109"/>
      <c r="AY485" s="34" t="s">
        <v>289</v>
      </c>
      <c r="AZ485" s="34" t="s">
        <v>735</v>
      </c>
      <c r="BA485" s="63" t="s">
        <v>291</v>
      </c>
      <c r="BB485" s="64"/>
      <c r="BD485" s="15" t="s">
        <v>7</v>
      </c>
      <c r="BE485" s="41"/>
      <c r="BI485" s="42">
        <v>1</v>
      </c>
      <c r="BL485" s="15" t="s">
        <v>1081</v>
      </c>
    </row>
    <row r="486" spans="1:64" ht="18" customHeight="1">
      <c r="A486" s="32">
        <f t="shared" si="59"/>
        <v>456</v>
      </c>
      <c r="B486" s="60" t="s">
        <v>1082</v>
      </c>
      <c r="C486" s="78" t="s">
        <v>112</v>
      </c>
      <c r="D486" s="35">
        <f t="shared" si="53"/>
        <v>0.15</v>
      </c>
      <c r="E486" s="35"/>
      <c r="F486" s="35">
        <f t="shared" si="58"/>
        <v>0.15</v>
      </c>
      <c r="G486" s="43">
        <v>0.15</v>
      </c>
      <c r="H486" s="43"/>
      <c r="I486" s="43"/>
      <c r="J486" s="43"/>
      <c r="K486" s="43"/>
      <c r="L486" s="43"/>
      <c r="M486" s="43"/>
      <c r="N486" s="43"/>
      <c r="O486" s="43"/>
      <c r="P486" s="43"/>
      <c r="Q486" s="43"/>
      <c r="R486" s="43"/>
      <c r="S486" s="43"/>
      <c r="T486" s="43"/>
      <c r="U486" s="43"/>
      <c r="V486" s="43"/>
      <c r="W486" s="43"/>
      <c r="X486" s="43"/>
      <c r="Y486" s="43"/>
      <c r="Z486" s="43"/>
      <c r="AA486" s="43"/>
      <c r="AB486" s="43"/>
      <c r="AC486" s="43"/>
      <c r="AD486" s="43"/>
      <c r="AE486" s="43"/>
      <c r="AF486" s="43"/>
      <c r="AG486" s="43"/>
      <c r="AH486" s="43"/>
      <c r="AI486" s="43"/>
      <c r="AJ486" s="43"/>
      <c r="AK486" s="43"/>
      <c r="AL486" s="43"/>
      <c r="AM486" s="43"/>
      <c r="AN486" s="43"/>
      <c r="AO486" s="43"/>
      <c r="AP486" s="43"/>
      <c r="AQ486" s="43"/>
      <c r="AR486" s="43"/>
      <c r="AS486" s="43"/>
      <c r="AT486" s="43"/>
      <c r="AU486" s="43"/>
      <c r="AV486" s="43"/>
      <c r="AW486" s="43"/>
      <c r="AX486" s="43"/>
      <c r="AY486" s="34" t="s">
        <v>221</v>
      </c>
      <c r="AZ486" s="34" t="s">
        <v>389</v>
      </c>
      <c r="BA486" s="47" t="s">
        <v>291</v>
      </c>
      <c r="BB486" s="48"/>
      <c r="BC486" s="40"/>
      <c r="BD486" s="40" t="s">
        <v>963</v>
      </c>
      <c r="BI486" s="42">
        <v>1</v>
      </c>
      <c r="BJ486" s="15" t="s">
        <v>1083</v>
      </c>
    </row>
    <row r="487" spans="1:64" ht="18" customHeight="1">
      <c r="A487" s="32">
        <f>A486+1</f>
        <v>457</v>
      </c>
      <c r="B487" s="60" t="s">
        <v>1084</v>
      </c>
      <c r="C487" s="78" t="s">
        <v>112</v>
      </c>
      <c r="D487" s="35">
        <f t="shared" si="53"/>
        <v>0.15</v>
      </c>
      <c r="E487" s="35">
        <v>0.04</v>
      </c>
      <c r="F487" s="35">
        <f t="shared" si="58"/>
        <v>0.11</v>
      </c>
      <c r="G487" s="43">
        <v>0.11</v>
      </c>
      <c r="H487" s="43"/>
      <c r="I487" s="43"/>
      <c r="J487" s="43"/>
      <c r="K487" s="43"/>
      <c r="L487" s="43"/>
      <c r="M487" s="43"/>
      <c r="N487" s="43"/>
      <c r="O487" s="43"/>
      <c r="P487" s="43"/>
      <c r="Q487" s="43"/>
      <c r="R487" s="43"/>
      <c r="S487" s="43"/>
      <c r="T487" s="43"/>
      <c r="U487" s="43"/>
      <c r="V487" s="43"/>
      <c r="W487" s="43"/>
      <c r="X487" s="43"/>
      <c r="Y487" s="43"/>
      <c r="Z487" s="43"/>
      <c r="AA487" s="43"/>
      <c r="AB487" s="43"/>
      <c r="AC487" s="43"/>
      <c r="AD487" s="43"/>
      <c r="AE487" s="43"/>
      <c r="AF487" s="43"/>
      <c r="AG487" s="43"/>
      <c r="AH487" s="43"/>
      <c r="AI487" s="43"/>
      <c r="AJ487" s="43"/>
      <c r="AK487" s="43"/>
      <c r="AL487" s="43"/>
      <c r="AM487" s="43"/>
      <c r="AN487" s="43"/>
      <c r="AO487" s="43"/>
      <c r="AP487" s="43"/>
      <c r="AQ487" s="43"/>
      <c r="AR487" s="43"/>
      <c r="AS487" s="43"/>
      <c r="AT487" s="43"/>
      <c r="AU487" s="43"/>
      <c r="AV487" s="43"/>
      <c r="AW487" s="43"/>
      <c r="AX487" s="43"/>
      <c r="AY487" s="34" t="s">
        <v>221</v>
      </c>
      <c r="AZ487" s="34" t="s">
        <v>451</v>
      </c>
      <c r="BA487" s="47" t="s">
        <v>322</v>
      </c>
      <c r="BB487" s="48"/>
      <c r="BI487" s="42">
        <v>1</v>
      </c>
      <c r="BJ487" s="15" t="s">
        <v>1085</v>
      </c>
    </row>
    <row r="488" spans="1:64" ht="18" customHeight="1">
      <c r="A488" s="32">
        <f t="shared" si="59"/>
        <v>458</v>
      </c>
      <c r="B488" s="60" t="s">
        <v>1086</v>
      </c>
      <c r="C488" s="78" t="s">
        <v>112</v>
      </c>
      <c r="D488" s="35">
        <f t="shared" si="53"/>
        <v>0.15</v>
      </c>
      <c r="E488" s="35">
        <v>0.09</v>
      </c>
      <c r="F488" s="35">
        <f t="shared" si="58"/>
        <v>0.06</v>
      </c>
      <c r="G488" s="43"/>
      <c r="H488" s="43"/>
      <c r="I488" s="43"/>
      <c r="J488" s="43">
        <v>0.06</v>
      </c>
      <c r="K488" s="43"/>
      <c r="L488" s="43"/>
      <c r="M488" s="43"/>
      <c r="N488" s="43"/>
      <c r="O488" s="43"/>
      <c r="P488" s="43"/>
      <c r="Q488" s="43"/>
      <c r="R488" s="43"/>
      <c r="S488" s="43"/>
      <c r="T488" s="43"/>
      <c r="U488" s="43"/>
      <c r="V488" s="43"/>
      <c r="W488" s="43"/>
      <c r="X488" s="43"/>
      <c r="Y488" s="43"/>
      <c r="Z488" s="43"/>
      <c r="AA488" s="43"/>
      <c r="AB488" s="43"/>
      <c r="AC488" s="43"/>
      <c r="AD488" s="43"/>
      <c r="AE488" s="43"/>
      <c r="AF488" s="43"/>
      <c r="AG488" s="43"/>
      <c r="AH488" s="43"/>
      <c r="AI488" s="43"/>
      <c r="AJ488" s="43"/>
      <c r="AK488" s="43"/>
      <c r="AL488" s="43"/>
      <c r="AM488" s="43"/>
      <c r="AN488" s="43"/>
      <c r="AO488" s="43"/>
      <c r="AP488" s="43"/>
      <c r="AQ488" s="43"/>
      <c r="AR488" s="43"/>
      <c r="AS488" s="43"/>
      <c r="AT488" s="43"/>
      <c r="AU488" s="43"/>
      <c r="AV488" s="43"/>
      <c r="AW488" s="43"/>
      <c r="AX488" s="43"/>
      <c r="AY488" s="34" t="s">
        <v>221</v>
      </c>
      <c r="AZ488" s="34" t="s">
        <v>387</v>
      </c>
      <c r="BA488" s="47" t="s">
        <v>291</v>
      </c>
      <c r="BB488" s="48"/>
      <c r="BC488" s="64"/>
      <c r="BD488" s="64" t="s">
        <v>1087</v>
      </c>
      <c r="BI488" s="42">
        <v>1</v>
      </c>
      <c r="BJ488" s="15" t="s">
        <v>1088</v>
      </c>
    </row>
    <row r="489" spans="1:64" ht="18" customHeight="1">
      <c r="A489" s="32">
        <f t="shared" si="59"/>
        <v>459</v>
      </c>
      <c r="B489" s="60" t="s">
        <v>1089</v>
      </c>
      <c r="C489" s="78" t="s">
        <v>112</v>
      </c>
      <c r="D489" s="35">
        <f t="shared" si="53"/>
        <v>0.14000000000000001</v>
      </c>
      <c r="E489" s="35">
        <v>0.04</v>
      </c>
      <c r="F489" s="35">
        <f t="shared" si="58"/>
        <v>0.1</v>
      </c>
      <c r="G489" s="43">
        <v>7.0000000000000007E-2</v>
      </c>
      <c r="H489" s="43"/>
      <c r="I489" s="43"/>
      <c r="J489" s="43">
        <v>0.03</v>
      </c>
      <c r="K489" s="43"/>
      <c r="L489" s="43"/>
      <c r="M489" s="43"/>
      <c r="N489" s="43"/>
      <c r="O489" s="43"/>
      <c r="P489" s="43"/>
      <c r="Q489" s="43"/>
      <c r="R489" s="43"/>
      <c r="S489" s="43"/>
      <c r="T489" s="43"/>
      <c r="U489" s="43"/>
      <c r="V489" s="43"/>
      <c r="W489" s="43"/>
      <c r="X489" s="43"/>
      <c r="Y489" s="43"/>
      <c r="Z489" s="43"/>
      <c r="AA489" s="43"/>
      <c r="AB489" s="43"/>
      <c r="AC489" s="43"/>
      <c r="AD489" s="43"/>
      <c r="AE489" s="43"/>
      <c r="AF489" s="43"/>
      <c r="AG489" s="43"/>
      <c r="AH489" s="43"/>
      <c r="AI489" s="43"/>
      <c r="AJ489" s="43"/>
      <c r="AK489" s="43"/>
      <c r="AL489" s="43"/>
      <c r="AM489" s="43"/>
      <c r="AN489" s="43"/>
      <c r="AO489" s="43"/>
      <c r="AP489" s="43"/>
      <c r="AQ489" s="43"/>
      <c r="AR489" s="43"/>
      <c r="AS489" s="43"/>
      <c r="AT489" s="43"/>
      <c r="AU489" s="43"/>
      <c r="AV489" s="43"/>
      <c r="AW489" s="43"/>
      <c r="AX489" s="43"/>
      <c r="AY489" s="34" t="s">
        <v>221</v>
      </c>
      <c r="AZ489" s="34" t="s">
        <v>305</v>
      </c>
      <c r="BA489" s="63" t="s">
        <v>291</v>
      </c>
      <c r="BB489" s="64"/>
      <c r="BI489" s="42">
        <v>1</v>
      </c>
    </row>
    <row r="490" spans="1:64" ht="18" customHeight="1">
      <c r="A490" s="32">
        <f t="shared" si="59"/>
        <v>460</v>
      </c>
      <c r="B490" s="60" t="s">
        <v>1090</v>
      </c>
      <c r="C490" s="78" t="s">
        <v>112</v>
      </c>
      <c r="D490" s="35">
        <f t="shared" si="53"/>
        <v>0.11</v>
      </c>
      <c r="E490" s="35">
        <v>0.01</v>
      </c>
      <c r="F490" s="35">
        <f t="shared" si="58"/>
        <v>0.1</v>
      </c>
      <c r="G490" s="43"/>
      <c r="H490" s="43"/>
      <c r="I490" s="43"/>
      <c r="J490" s="43"/>
      <c r="K490" s="43"/>
      <c r="L490" s="43"/>
      <c r="M490" s="43">
        <v>0.1</v>
      </c>
      <c r="N490" s="43"/>
      <c r="O490" s="43"/>
      <c r="P490" s="43"/>
      <c r="Q490" s="43"/>
      <c r="R490" s="43"/>
      <c r="S490" s="43"/>
      <c r="T490" s="43"/>
      <c r="U490" s="43"/>
      <c r="V490" s="43"/>
      <c r="W490" s="43"/>
      <c r="X490" s="43"/>
      <c r="Y490" s="43"/>
      <c r="Z490" s="43"/>
      <c r="AA490" s="43"/>
      <c r="AB490" s="43"/>
      <c r="AC490" s="43"/>
      <c r="AD490" s="43"/>
      <c r="AE490" s="43"/>
      <c r="AF490" s="43"/>
      <c r="AG490" s="43"/>
      <c r="AH490" s="43"/>
      <c r="AI490" s="43"/>
      <c r="AJ490" s="43"/>
      <c r="AK490" s="43"/>
      <c r="AL490" s="43"/>
      <c r="AM490" s="43"/>
      <c r="AN490" s="43"/>
      <c r="AO490" s="43"/>
      <c r="AP490" s="43"/>
      <c r="AQ490" s="43"/>
      <c r="AR490" s="43"/>
      <c r="AS490" s="43"/>
      <c r="AT490" s="43"/>
      <c r="AU490" s="43"/>
      <c r="AV490" s="43"/>
      <c r="AW490" s="43"/>
      <c r="AX490" s="43"/>
      <c r="AY490" s="34" t="s">
        <v>221</v>
      </c>
      <c r="AZ490" s="34" t="s">
        <v>308</v>
      </c>
      <c r="BA490" s="47" t="s">
        <v>322</v>
      </c>
      <c r="BB490" s="48"/>
      <c r="BI490" s="42">
        <v>1</v>
      </c>
    </row>
    <row r="491" spans="1:64" s="61" customFormat="1" ht="18" customHeight="1">
      <c r="A491" s="32">
        <f>A490+1</f>
        <v>461</v>
      </c>
      <c r="B491" s="60" t="s">
        <v>1091</v>
      </c>
      <c r="C491" s="78" t="s">
        <v>112</v>
      </c>
      <c r="D491" s="35">
        <f t="shared" si="53"/>
        <v>0.1</v>
      </c>
      <c r="E491" s="36">
        <v>0.02</v>
      </c>
      <c r="F491" s="35">
        <f t="shared" si="58"/>
        <v>0.08</v>
      </c>
      <c r="G491" s="43">
        <v>0.08</v>
      </c>
      <c r="H491" s="43"/>
      <c r="I491" s="43"/>
      <c r="J491" s="43"/>
      <c r="K491" s="43"/>
      <c r="L491" s="43"/>
      <c r="M491" s="43"/>
      <c r="N491" s="43"/>
      <c r="O491" s="43"/>
      <c r="P491" s="43"/>
      <c r="Q491" s="43"/>
      <c r="R491" s="43"/>
      <c r="S491" s="43"/>
      <c r="T491" s="43"/>
      <c r="U491" s="43"/>
      <c r="V491" s="43"/>
      <c r="W491" s="43"/>
      <c r="X491" s="43"/>
      <c r="Y491" s="43"/>
      <c r="Z491" s="43"/>
      <c r="AA491" s="43"/>
      <c r="AB491" s="43"/>
      <c r="AC491" s="43"/>
      <c r="AD491" s="43"/>
      <c r="AE491" s="43"/>
      <c r="AF491" s="43"/>
      <c r="AG491" s="43"/>
      <c r="AH491" s="43"/>
      <c r="AI491" s="43"/>
      <c r="AJ491" s="43"/>
      <c r="AK491" s="43"/>
      <c r="AL491" s="43"/>
      <c r="AM491" s="43"/>
      <c r="AN491" s="43"/>
      <c r="AO491" s="43"/>
      <c r="AP491" s="43"/>
      <c r="AQ491" s="43"/>
      <c r="AR491" s="43"/>
      <c r="AS491" s="43"/>
      <c r="AT491" s="43"/>
      <c r="AU491" s="43"/>
      <c r="AV491" s="43"/>
      <c r="AW491" s="43"/>
      <c r="AX491" s="43"/>
      <c r="AY491" s="34" t="s">
        <v>222</v>
      </c>
      <c r="AZ491" s="34" t="s">
        <v>328</v>
      </c>
      <c r="BA491" s="39" t="s">
        <v>291</v>
      </c>
      <c r="BB491" s="40"/>
      <c r="BC491" s="41"/>
      <c r="BD491" s="41"/>
      <c r="BE491" s="15"/>
      <c r="BF491" s="15"/>
      <c r="BG491" s="61" t="s">
        <v>1092</v>
      </c>
      <c r="BI491" s="42">
        <v>1</v>
      </c>
    </row>
    <row r="492" spans="1:64" s="61" customFormat="1" ht="18" customHeight="1">
      <c r="A492" s="32">
        <f t="shared" si="59"/>
        <v>462</v>
      </c>
      <c r="B492" s="60" t="s">
        <v>1093</v>
      </c>
      <c r="C492" s="78" t="s">
        <v>112</v>
      </c>
      <c r="D492" s="35">
        <f t="shared" si="53"/>
        <v>0.1</v>
      </c>
      <c r="E492" s="36">
        <v>0.03</v>
      </c>
      <c r="F492" s="35">
        <f t="shared" si="58"/>
        <v>7.0000000000000007E-2</v>
      </c>
      <c r="G492" s="43">
        <v>7.0000000000000007E-2</v>
      </c>
      <c r="H492" s="43"/>
      <c r="I492" s="43"/>
      <c r="J492" s="43"/>
      <c r="K492" s="43"/>
      <c r="L492" s="43"/>
      <c r="M492" s="43"/>
      <c r="N492" s="43"/>
      <c r="O492" s="43"/>
      <c r="P492" s="43"/>
      <c r="Q492" s="43"/>
      <c r="R492" s="43"/>
      <c r="S492" s="43"/>
      <c r="T492" s="43"/>
      <c r="U492" s="43"/>
      <c r="V492" s="43"/>
      <c r="W492" s="43"/>
      <c r="X492" s="43"/>
      <c r="Y492" s="43"/>
      <c r="Z492" s="43"/>
      <c r="AA492" s="43"/>
      <c r="AB492" s="43"/>
      <c r="AC492" s="43"/>
      <c r="AD492" s="43"/>
      <c r="AE492" s="43"/>
      <c r="AF492" s="43"/>
      <c r="AG492" s="43"/>
      <c r="AH492" s="43"/>
      <c r="AI492" s="43"/>
      <c r="AJ492" s="43"/>
      <c r="AK492" s="43"/>
      <c r="AL492" s="43"/>
      <c r="AM492" s="43"/>
      <c r="AN492" s="43"/>
      <c r="AO492" s="43"/>
      <c r="AP492" s="43"/>
      <c r="AQ492" s="43"/>
      <c r="AR492" s="43"/>
      <c r="AS492" s="43"/>
      <c r="AT492" s="43"/>
      <c r="AU492" s="43"/>
      <c r="AV492" s="43"/>
      <c r="AW492" s="43"/>
      <c r="AX492" s="43"/>
      <c r="AY492" s="34" t="s">
        <v>222</v>
      </c>
      <c r="AZ492" s="34" t="s">
        <v>425</v>
      </c>
      <c r="BA492" s="39" t="s">
        <v>291</v>
      </c>
      <c r="BB492" s="40"/>
      <c r="BC492" s="41"/>
      <c r="BD492" s="41"/>
      <c r="BE492" s="15"/>
      <c r="BF492" s="15"/>
      <c r="BG492" s="61" t="s">
        <v>1094</v>
      </c>
      <c r="BI492" s="42">
        <v>1</v>
      </c>
    </row>
    <row r="493" spans="1:64" s="61" customFormat="1" ht="18" customHeight="1">
      <c r="A493" s="32">
        <f t="shared" si="59"/>
        <v>463</v>
      </c>
      <c r="B493" s="60" t="s">
        <v>1095</v>
      </c>
      <c r="C493" s="78" t="s">
        <v>112</v>
      </c>
      <c r="D493" s="35">
        <f t="shared" si="53"/>
        <v>0.1</v>
      </c>
      <c r="E493" s="36">
        <v>0.03</v>
      </c>
      <c r="F493" s="35">
        <f t="shared" si="58"/>
        <v>7.0000000000000007E-2</v>
      </c>
      <c r="G493" s="43">
        <v>7.0000000000000007E-2</v>
      </c>
      <c r="H493" s="43"/>
      <c r="I493" s="43"/>
      <c r="J493" s="43"/>
      <c r="K493" s="43"/>
      <c r="L493" s="43"/>
      <c r="M493" s="43"/>
      <c r="N493" s="43"/>
      <c r="O493" s="43"/>
      <c r="P493" s="43"/>
      <c r="Q493" s="43"/>
      <c r="R493" s="43"/>
      <c r="S493" s="43"/>
      <c r="T493" s="43"/>
      <c r="U493" s="43"/>
      <c r="V493" s="43"/>
      <c r="W493" s="43"/>
      <c r="X493" s="43"/>
      <c r="Y493" s="43"/>
      <c r="Z493" s="43"/>
      <c r="AA493" s="43"/>
      <c r="AB493" s="43"/>
      <c r="AC493" s="43"/>
      <c r="AD493" s="43"/>
      <c r="AE493" s="43"/>
      <c r="AF493" s="43"/>
      <c r="AG493" s="43"/>
      <c r="AH493" s="43"/>
      <c r="AI493" s="43"/>
      <c r="AJ493" s="43"/>
      <c r="AK493" s="43"/>
      <c r="AL493" s="43"/>
      <c r="AM493" s="43"/>
      <c r="AN493" s="43"/>
      <c r="AO493" s="43"/>
      <c r="AP493" s="43"/>
      <c r="AQ493" s="43"/>
      <c r="AR493" s="43"/>
      <c r="AS493" s="43"/>
      <c r="AT493" s="43"/>
      <c r="AU493" s="43"/>
      <c r="AV493" s="43"/>
      <c r="AW493" s="43"/>
      <c r="AX493" s="43"/>
      <c r="AY493" s="34" t="s">
        <v>222</v>
      </c>
      <c r="AZ493" s="34" t="s">
        <v>417</v>
      </c>
      <c r="BA493" s="39" t="s">
        <v>291</v>
      </c>
      <c r="BB493" s="40"/>
      <c r="BC493" s="41"/>
      <c r="BD493" s="41"/>
      <c r="BE493" s="15"/>
      <c r="BF493" s="15"/>
      <c r="BG493" s="61" t="s">
        <v>1094</v>
      </c>
      <c r="BI493" s="42">
        <v>1</v>
      </c>
    </row>
    <row r="494" spans="1:64" s="61" customFormat="1" ht="18" customHeight="1">
      <c r="A494" s="32">
        <f t="shared" si="59"/>
        <v>464</v>
      </c>
      <c r="B494" s="60" t="s">
        <v>1096</v>
      </c>
      <c r="C494" s="78" t="s">
        <v>112</v>
      </c>
      <c r="D494" s="35">
        <f t="shared" si="53"/>
        <v>0.15</v>
      </c>
      <c r="E494" s="36"/>
      <c r="F494" s="35">
        <f t="shared" si="58"/>
        <v>0.15</v>
      </c>
      <c r="G494" s="43"/>
      <c r="H494" s="43"/>
      <c r="I494" s="43"/>
      <c r="J494" s="43"/>
      <c r="K494" s="43"/>
      <c r="L494" s="43"/>
      <c r="M494" s="43">
        <v>0.15</v>
      </c>
      <c r="N494" s="43"/>
      <c r="O494" s="43"/>
      <c r="P494" s="43"/>
      <c r="Q494" s="43"/>
      <c r="R494" s="43"/>
      <c r="S494" s="43"/>
      <c r="T494" s="43"/>
      <c r="U494" s="43"/>
      <c r="V494" s="43"/>
      <c r="W494" s="43"/>
      <c r="X494" s="43"/>
      <c r="Y494" s="43"/>
      <c r="Z494" s="43"/>
      <c r="AA494" s="43"/>
      <c r="AB494" s="43"/>
      <c r="AC494" s="43"/>
      <c r="AD494" s="43"/>
      <c r="AE494" s="43"/>
      <c r="AF494" s="43"/>
      <c r="AG494" s="43"/>
      <c r="AH494" s="43"/>
      <c r="AI494" s="43"/>
      <c r="AJ494" s="43"/>
      <c r="AK494" s="43"/>
      <c r="AL494" s="43"/>
      <c r="AM494" s="43"/>
      <c r="AN494" s="43"/>
      <c r="AO494" s="43"/>
      <c r="AP494" s="43"/>
      <c r="AQ494" s="43"/>
      <c r="AR494" s="43"/>
      <c r="AS494" s="43"/>
      <c r="AT494" s="43"/>
      <c r="AU494" s="43"/>
      <c r="AV494" s="43"/>
      <c r="AW494" s="43"/>
      <c r="AX494" s="43"/>
      <c r="AY494" s="34" t="s">
        <v>222</v>
      </c>
      <c r="AZ494" s="34" t="s">
        <v>410</v>
      </c>
      <c r="BA494" s="47" t="s">
        <v>298</v>
      </c>
      <c r="BB494" s="48"/>
      <c r="BC494" s="41"/>
      <c r="BD494" s="41"/>
      <c r="BE494" s="15"/>
      <c r="BF494" s="15"/>
      <c r="BI494" s="42">
        <v>1</v>
      </c>
    </row>
    <row r="495" spans="1:64" s="61" customFormat="1" ht="18" customHeight="1">
      <c r="A495" s="32">
        <f t="shared" si="59"/>
        <v>465</v>
      </c>
      <c r="B495" s="60" t="s">
        <v>1097</v>
      </c>
      <c r="C495" s="78" t="s">
        <v>112</v>
      </c>
      <c r="D495" s="35">
        <f t="shared" si="53"/>
        <v>0.13</v>
      </c>
      <c r="E495" s="36"/>
      <c r="F495" s="35">
        <f t="shared" si="58"/>
        <v>0.13</v>
      </c>
      <c r="G495" s="43">
        <v>0.13</v>
      </c>
      <c r="H495" s="43"/>
      <c r="I495" s="43"/>
      <c r="J495" s="43"/>
      <c r="K495" s="43"/>
      <c r="L495" s="43"/>
      <c r="M495" s="43"/>
      <c r="N495" s="43"/>
      <c r="O495" s="43"/>
      <c r="P495" s="43"/>
      <c r="Q495" s="43"/>
      <c r="R495" s="43"/>
      <c r="S495" s="43"/>
      <c r="T495" s="43"/>
      <c r="U495" s="43"/>
      <c r="V495" s="43"/>
      <c r="W495" s="43"/>
      <c r="X495" s="43"/>
      <c r="Y495" s="43"/>
      <c r="Z495" s="43"/>
      <c r="AA495" s="43"/>
      <c r="AB495" s="43"/>
      <c r="AC495" s="43"/>
      <c r="AD495" s="43"/>
      <c r="AE495" s="43"/>
      <c r="AF495" s="43"/>
      <c r="AG495" s="43"/>
      <c r="AH495" s="43"/>
      <c r="AI495" s="43"/>
      <c r="AJ495" s="43"/>
      <c r="AK495" s="43"/>
      <c r="AL495" s="43"/>
      <c r="AM495" s="43"/>
      <c r="AN495" s="43"/>
      <c r="AO495" s="43"/>
      <c r="AP495" s="43"/>
      <c r="AQ495" s="43"/>
      <c r="AR495" s="43"/>
      <c r="AS495" s="43"/>
      <c r="AT495" s="43"/>
      <c r="AU495" s="43"/>
      <c r="AV495" s="43"/>
      <c r="AW495" s="43"/>
      <c r="AX495" s="43"/>
      <c r="AY495" s="34" t="s">
        <v>222</v>
      </c>
      <c r="AZ495" s="34" t="s">
        <v>1098</v>
      </c>
      <c r="BA495" s="47" t="s">
        <v>298</v>
      </c>
      <c r="BB495" s="48"/>
      <c r="BC495" s="41"/>
      <c r="BD495" s="41"/>
      <c r="BE495" s="15"/>
      <c r="BF495" s="15"/>
      <c r="BI495" s="42">
        <v>1</v>
      </c>
    </row>
    <row r="496" spans="1:64" ht="18" customHeight="1">
      <c r="A496" s="32">
        <f t="shared" si="59"/>
        <v>466</v>
      </c>
      <c r="B496" s="56" t="s">
        <v>1099</v>
      </c>
      <c r="C496" s="78" t="s">
        <v>112</v>
      </c>
      <c r="D496" s="35">
        <f t="shared" si="53"/>
        <v>0.15</v>
      </c>
      <c r="E496" s="35"/>
      <c r="F496" s="35">
        <f t="shared" si="58"/>
        <v>0.15</v>
      </c>
      <c r="G496" s="43"/>
      <c r="H496" s="43"/>
      <c r="I496" s="43"/>
      <c r="J496" s="43">
        <v>0.15</v>
      </c>
      <c r="K496" s="43"/>
      <c r="L496" s="43"/>
      <c r="M496" s="43"/>
      <c r="N496" s="43"/>
      <c r="O496" s="43"/>
      <c r="P496" s="43"/>
      <c r="Q496" s="43"/>
      <c r="R496" s="43"/>
      <c r="S496" s="43"/>
      <c r="T496" s="43"/>
      <c r="U496" s="43"/>
      <c r="V496" s="43"/>
      <c r="W496" s="43"/>
      <c r="X496" s="43"/>
      <c r="Y496" s="43"/>
      <c r="Z496" s="43"/>
      <c r="AA496" s="43"/>
      <c r="AB496" s="43"/>
      <c r="AC496" s="43"/>
      <c r="AD496" s="43"/>
      <c r="AE496" s="43"/>
      <c r="AF496" s="43"/>
      <c r="AG496" s="43"/>
      <c r="AH496" s="43"/>
      <c r="AI496" s="43"/>
      <c r="AJ496" s="43"/>
      <c r="AK496" s="43"/>
      <c r="AL496" s="43"/>
      <c r="AM496" s="43"/>
      <c r="AN496" s="43"/>
      <c r="AO496" s="43"/>
      <c r="AP496" s="43"/>
      <c r="AQ496" s="43"/>
      <c r="AR496" s="43"/>
      <c r="AS496" s="43"/>
      <c r="AT496" s="43"/>
      <c r="AU496" s="43"/>
      <c r="AV496" s="43"/>
      <c r="AW496" s="43"/>
      <c r="AX496" s="43"/>
      <c r="AY496" s="34" t="s">
        <v>223</v>
      </c>
      <c r="AZ496" s="34" t="s">
        <v>451</v>
      </c>
      <c r="BA496" s="47" t="s">
        <v>298</v>
      </c>
      <c r="BB496" s="48"/>
      <c r="BC496" s="139"/>
      <c r="BD496" s="139" t="s">
        <v>14</v>
      </c>
      <c r="BI496" s="42">
        <v>1</v>
      </c>
      <c r="BJ496" s="15" t="s">
        <v>1100</v>
      </c>
    </row>
    <row r="497" spans="1:72" ht="18" customHeight="1">
      <c r="A497" s="32">
        <f>A496+1</f>
        <v>467</v>
      </c>
      <c r="B497" s="56" t="s">
        <v>1101</v>
      </c>
      <c r="C497" s="78" t="s">
        <v>112</v>
      </c>
      <c r="D497" s="35">
        <f>E497+F497</f>
        <v>0.15</v>
      </c>
      <c r="E497" s="35"/>
      <c r="F497" s="35">
        <f>SUM(G497:AX497)</f>
        <v>0.15</v>
      </c>
      <c r="G497" s="43"/>
      <c r="H497" s="43"/>
      <c r="I497" s="43"/>
      <c r="J497" s="43">
        <v>0.15</v>
      </c>
      <c r="K497" s="43"/>
      <c r="L497" s="43"/>
      <c r="M497" s="43"/>
      <c r="N497" s="43"/>
      <c r="O497" s="43"/>
      <c r="P497" s="43"/>
      <c r="Q497" s="43"/>
      <c r="R497" s="43"/>
      <c r="S497" s="43"/>
      <c r="T497" s="43"/>
      <c r="U497" s="43"/>
      <c r="V497" s="43"/>
      <c r="W497" s="43"/>
      <c r="X497" s="43"/>
      <c r="Y497" s="43"/>
      <c r="Z497" s="43"/>
      <c r="AA497" s="43"/>
      <c r="AB497" s="43"/>
      <c r="AC497" s="43"/>
      <c r="AD497" s="43"/>
      <c r="AE497" s="43"/>
      <c r="AF497" s="43"/>
      <c r="AG497" s="43"/>
      <c r="AH497" s="43"/>
      <c r="AI497" s="43"/>
      <c r="AJ497" s="43"/>
      <c r="AK497" s="43"/>
      <c r="AL497" s="43"/>
      <c r="AM497" s="43"/>
      <c r="AN497" s="43"/>
      <c r="AO497" s="43"/>
      <c r="AP497" s="43"/>
      <c r="AQ497" s="43"/>
      <c r="AR497" s="43"/>
      <c r="AS497" s="43"/>
      <c r="AT497" s="43"/>
      <c r="AU497" s="43"/>
      <c r="AV497" s="43"/>
      <c r="AW497" s="43"/>
      <c r="AX497" s="43"/>
      <c r="AY497" s="34" t="s">
        <v>223</v>
      </c>
      <c r="AZ497" s="34" t="s">
        <v>328</v>
      </c>
      <c r="BA497" s="47" t="s">
        <v>298</v>
      </c>
      <c r="BB497" s="48"/>
      <c r="BC497" s="139"/>
      <c r="BD497" s="139"/>
      <c r="BI497" s="42"/>
      <c r="BL497" s="15" t="s">
        <v>311</v>
      </c>
    </row>
    <row r="498" spans="1:72" s="49" customFormat="1" ht="31.5">
      <c r="A498" s="32">
        <f>A497+1</f>
        <v>468</v>
      </c>
      <c r="B498" s="60" t="s">
        <v>1102</v>
      </c>
      <c r="C498" s="78" t="s">
        <v>112</v>
      </c>
      <c r="D498" s="35">
        <f t="shared" si="53"/>
        <v>0.25</v>
      </c>
      <c r="E498" s="45"/>
      <c r="F498" s="35">
        <f t="shared" si="58"/>
        <v>0.25</v>
      </c>
      <c r="G498" s="46"/>
      <c r="H498" s="46"/>
      <c r="I498" s="46"/>
      <c r="J498" s="46"/>
      <c r="K498" s="46"/>
      <c r="L498" s="46"/>
      <c r="M498" s="46"/>
      <c r="N498" s="46"/>
      <c r="O498" s="46"/>
      <c r="P498" s="46"/>
      <c r="Q498" s="46"/>
      <c r="R498" s="46"/>
      <c r="S498" s="46"/>
      <c r="T498" s="46"/>
      <c r="U498" s="46"/>
      <c r="V498" s="46"/>
      <c r="W498" s="46"/>
      <c r="X498" s="46"/>
      <c r="Y498" s="46"/>
      <c r="Z498" s="46"/>
      <c r="AA498" s="46"/>
      <c r="AB498" s="46"/>
      <c r="AC498" s="46"/>
      <c r="AD498" s="46"/>
      <c r="AE498" s="46"/>
      <c r="AF498" s="46">
        <v>0.25</v>
      </c>
      <c r="AG498" s="46"/>
      <c r="AH498" s="46"/>
      <c r="AI498" s="46"/>
      <c r="AJ498" s="46"/>
      <c r="AK498" s="46"/>
      <c r="AL498" s="46"/>
      <c r="AM498" s="46"/>
      <c r="AN498" s="46"/>
      <c r="AO498" s="46"/>
      <c r="AP498" s="46"/>
      <c r="AQ498" s="46"/>
      <c r="AR498" s="46"/>
      <c r="AS498" s="46"/>
      <c r="AT498" s="46"/>
      <c r="AU498" s="46"/>
      <c r="AV498" s="46"/>
      <c r="AW498" s="46"/>
      <c r="AX498" s="46"/>
      <c r="AY498" s="47" t="s">
        <v>224</v>
      </c>
      <c r="AZ498" s="47" t="s">
        <v>1103</v>
      </c>
      <c r="BA498" s="47" t="s">
        <v>322</v>
      </c>
      <c r="BB498" s="48"/>
      <c r="BI498" s="42">
        <v>1</v>
      </c>
      <c r="BJ498" s="15" t="s">
        <v>1104</v>
      </c>
      <c r="BK498" s="50"/>
    </row>
    <row r="499" spans="1:72" s="49" customFormat="1" ht="19.350000000000001" customHeight="1">
      <c r="A499" s="32">
        <f t="shared" si="59"/>
        <v>469</v>
      </c>
      <c r="B499" s="60" t="s">
        <v>1105</v>
      </c>
      <c r="C499" s="78" t="s">
        <v>112</v>
      </c>
      <c r="D499" s="35">
        <f t="shared" si="53"/>
        <v>0.15</v>
      </c>
      <c r="E499" s="45"/>
      <c r="F499" s="35">
        <f t="shared" si="58"/>
        <v>0.15</v>
      </c>
      <c r="G499" s="46"/>
      <c r="H499" s="46"/>
      <c r="I499" s="46"/>
      <c r="J499" s="46"/>
      <c r="K499" s="46"/>
      <c r="L499" s="46"/>
      <c r="M499" s="46"/>
      <c r="N499" s="46"/>
      <c r="O499" s="46"/>
      <c r="P499" s="46">
        <v>0.15</v>
      </c>
      <c r="Q499" s="46"/>
      <c r="R499" s="46"/>
      <c r="S499" s="46"/>
      <c r="T499" s="46"/>
      <c r="U499" s="46"/>
      <c r="V499" s="46"/>
      <c r="W499" s="46"/>
      <c r="X499" s="46"/>
      <c r="Y499" s="46"/>
      <c r="Z499" s="46"/>
      <c r="AA499" s="46"/>
      <c r="AB499" s="46"/>
      <c r="AC499" s="46"/>
      <c r="AD499" s="46"/>
      <c r="AE499" s="46"/>
      <c r="AF499" s="46"/>
      <c r="AG499" s="46"/>
      <c r="AH499" s="46"/>
      <c r="AI499" s="46"/>
      <c r="AJ499" s="46"/>
      <c r="AK499" s="46"/>
      <c r="AL499" s="46"/>
      <c r="AM499" s="46"/>
      <c r="AN499" s="46"/>
      <c r="AO499" s="46"/>
      <c r="AP499" s="46"/>
      <c r="AQ499" s="46"/>
      <c r="AR499" s="46"/>
      <c r="AS499" s="46"/>
      <c r="AT499" s="46"/>
      <c r="AU499" s="46"/>
      <c r="AV499" s="46"/>
      <c r="AW499" s="46"/>
      <c r="AX499" s="46"/>
      <c r="AY499" s="47" t="s">
        <v>224</v>
      </c>
      <c r="AZ499" s="47" t="s">
        <v>1106</v>
      </c>
      <c r="BA499" s="47" t="s">
        <v>322</v>
      </c>
      <c r="BB499" s="48"/>
      <c r="BI499" s="42">
        <v>1</v>
      </c>
      <c r="BK499" s="50"/>
    </row>
    <row r="500" spans="1:72" ht="23.45" customHeight="1">
      <c r="A500" s="32">
        <f t="shared" si="59"/>
        <v>470</v>
      </c>
      <c r="B500" s="56" t="s">
        <v>1107</v>
      </c>
      <c r="C500" s="78" t="s">
        <v>112</v>
      </c>
      <c r="D500" s="35">
        <f t="shared" si="53"/>
        <v>0.15</v>
      </c>
      <c r="E500" s="35">
        <v>0.12</v>
      </c>
      <c r="F500" s="35">
        <f t="shared" si="58"/>
        <v>0.03</v>
      </c>
      <c r="G500" s="43">
        <v>0.03</v>
      </c>
      <c r="H500" s="43"/>
      <c r="I500" s="43"/>
      <c r="J500" s="43"/>
      <c r="K500" s="43"/>
      <c r="L500" s="43"/>
      <c r="M500" s="43"/>
      <c r="N500" s="43"/>
      <c r="O500" s="43"/>
      <c r="P500" s="43"/>
      <c r="Q500" s="43"/>
      <c r="R500" s="43"/>
      <c r="S500" s="43"/>
      <c r="T500" s="43"/>
      <c r="U500" s="43"/>
      <c r="V500" s="43"/>
      <c r="W500" s="43"/>
      <c r="X500" s="43"/>
      <c r="Y500" s="43"/>
      <c r="Z500" s="43"/>
      <c r="AA500" s="43"/>
      <c r="AB500" s="43"/>
      <c r="AC500" s="43"/>
      <c r="AD500" s="43"/>
      <c r="AE500" s="43"/>
      <c r="AF500" s="43"/>
      <c r="AG500" s="43"/>
      <c r="AH500" s="43"/>
      <c r="AI500" s="43"/>
      <c r="AJ500" s="43"/>
      <c r="AK500" s="43"/>
      <c r="AL500" s="43"/>
      <c r="AM500" s="43"/>
      <c r="AN500" s="43"/>
      <c r="AO500" s="43"/>
      <c r="AP500" s="43"/>
      <c r="AQ500" s="43"/>
      <c r="AR500" s="43"/>
      <c r="AS500" s="43"/>
      <c r="AT500" s="43"/>
      <c r="AU500" s="43"/>
      <c r="AV500" s="43"/>
      <c r="AW500" s="43"/>
      <c r="AX500" s="43"/>
      <c r="AY500" s="34" t="s">
        <v>225</v>
      </c>
      <c r="AZ500" s="34" t="s">
        <v>1108</v>
      </c>
      <c r="BA500" s="63" t="s">
        <v>291</v>
      </c>
      <c r="BB500" s="64"/>
      <c r="BI500" s="42">
        <v>1</v>
      </c>
      <c r="BJ500" s="15" t="s">
        <v>1109</v>
      </c>
    </row>
    <row r="501" spans="1:72" ht="19.350000000000001" customHeight="1">
      <c r="A501" s="32">
        <f t="shared" si="59"/>
        <v>471</v>
      </c>
      <c r="B501" s="56" t="s">
        <v>1110</v>
      </c>
      <c r="C501" s="78" t="s">
        <v>112</v>
      </c>
      <c r="D501" s="35">
        <f t="shared" si="53"/>
        <v>0.15</v>
      </c>
      <c r="E501" s="35">
        <v>0.12</v>
      </c>
      <c r="F501" s="35">
        <f t="shared" si="58"/>
        <v>0.03</v>
      </c>
      <c r="G501" s="43"/>
      <c r="H501" s="43">
        <v>0.01</v>
      </c>
      <c r="I501" s="43">
        <v>0.02</v>
      </c>
      <c r="J501" s="43"/>
      <c r="K501" s="43"/>
      <c r="L501" s="43"/>
      <c r="M501" s="43"/>
      <c r="N501" s="43"/>
      <c r="O501" s="43"/>
      <c r="P501" s="43"/>
      <c r="Q501" s="43"/>
      <c r="R501" s="43"/>
      <c r="S501" s="43"/>
      <c r="T501" s="43"/>
      <c r="U501" s="43"/>
      <c r="V501" s="43"/>
      <c r="W501" s="43"/>
      <c r="X501" s="43"/>
      <c r="Y501" s="43"/>
      <c r="Z501" s="43"/>
      <c r="AA501" s="43"/>
      <c r="AB501" s="43"/>
      <c r="AC501" s="43"/>
      <c r="AD501" s="43"/>
      <c r="AE501" s="43"/>
      <c r="AF501" s="43"/>
      <c r="AG501" s="43"/>
      <c r="AH501" s="43"/>
      <c r="AI501" s="43"/>
      <c r="AJ501" s="43"/>
      <c r="AK501" s="43"/>
      <c r="AL501" s="43"/>
      <c r="AM501" s="43"/>
      <c r="AN501" s="43"/>
      <c r="AO501" s="43"/>
      <c r="AP501" s="43"/>
      <c r="AQ501" s="43"/>
      <c r="AR501" s="43"/>
      <c r="AS501" s="43"/>
      <c r="AT501" s="43"/>
      <c r="AU501" s="43"/>
      <c r="AV501" s="43"/>
      <c r="AW501" s="43"/>
      <c r="AX501" s="43"/>
      <c r="AY501" s="34" t="s">
        <v>225</v>
      </c>
      <c r="AZ501" s="34" t="s">
        <v>390</v>
      </c>
      <c r="BA501" s="63" t="s">
        <v>291</v>
      </c>
      <c r="BB501" s="64"/>
      <c r="BI501" s="42">
        <v>1</v>
      </c>
      <c r="BJ501" s="15" t="s">
        <v>1111</v>
      </c>
    </row>
    <row r="502" spans="1:72" ht="31.5">
      <c r="A502" s="32">
        <f t="shared" si="59"/>
        <v>472</v>
      </c>
      <c r="B502" s="56" t="s">
        <v>1112</v>
      </c>
      <c r="C502" s="78" t="s">
        <v>112</v>
      </c>
      <c r="D502" s="35">
        <f t="shared" si="53"/>
        <v>0.15000000000000002</v>
      </c>
      <c r="E502" s="35"/>
      <c r="F502" s="35">
        <f t="shared" si="58"/>
        <v>0.15000000000000002</v>
      </c>
      <c r="G502" s="43">
        <v>0.05</v>
      </c>
      <c r="H502" s="43">
        <v>0.05</v>
      </c>
      <c r="I502" s="43">
        <v>0.05</v>
      </c>
      <c r="J502" s="43"/>
      <c r="K502" s="43"/>
      <c r="L502" s="43"/>
      <c r="M502" s="43"/>
      <c r="N502" s="43"/>
      <c r="O502" s="43"/>
      <c r="P502" s="43"/>
      <c r="Q502" s="43"/>
      <c r="R502" s="43"/>
      <c r="S502" s="43"/>
      <c r="T502" s="43"/>
      <c r="U502" s="43"/>
      <c r="V502" s="43"/>
      <c r="W502" s="43"/>
      <c r="X502" s="43"/>
      <c r="Y502" s="43"/>
      <c r="Z502" s="43"/>
      <c r="AA502" s="43"/>
      <c r="AB502" s="43"/>
      <c r="AC502" s="43"/>
      <c r="AD502" s="43"/>
      <c r="AE502" s="43"/>
      <c r="AF502" s="43"/>
      <c r="AG502" s="43"/>
      <c r="AH502" s="43"/>
      <c r="AI502" s="43"/>
      <c r="AJ502" s="43"/>
      <c r="AK502" s="43"/>
      <c r="AL502" s="43"/>
      <c r="AM502" s="43"/>
      <c r="AN502" s="43"/>
      <c r="AO502" s="43"/>
      <c r="AP502" s="43"/>
      <c r="AQ502" s="43"/>
      <c r="AR502" s="43"/>
      <c r="AS502" s="43"/>
      <c r="AT502" s="43"/>
      <c r="AU502" s="43"/>
      <c r="AV502" s="43"/>
      <c r="AW502" s="43"/>
      <c r="AX502" s="43"/>
      <c r="AY502" s="34" t="s">
        <v>225</v>
      </c>
      <c r="AZ502" s="34" t="s">
        <v>1113</v>
      </c>
      <c r="BA502" s="47" t="s">
        <v>298</v>
      </c>
      <c r="BB502" s="48"/>
      <c r="BI502" s="42">
        <v>1</v>
      </c>
      <c r="BJ502" s="15" t="s">
        <v>1114</v>
      </c>
    </row>
    <row r="503" spans="1:72">
      <c r="A503" s="32">
        <f t="shared" si="59"/>
        <v>473</v>
      </c>
      <c r="B503" s="56" t="s">
        <v>1115</v>
      </c>
      <c r="C503" s="78" t="s">
        <v>112</v>
      </c>
      <c r="D503" s="35">
        <f t="shared" si="53"/>
        <v>0.15</v>
      </c>
      <c r="E503" s="35">
        <v>0.11</v>
      </c>
      <c r="F503" s="35">
        <f>SUM(G503:AX503)</f>
        <v>0.04</v>
      </c>
      <c r="G503" s="43"/>
      <c r="H503" s="43">
        <v>0.01</v>
      </c>
      <c r="I503" s="43"/>
      <c r="J503" s="43">
        <v>0.02</v>
      </c>
      <c r="K503" s="43"/>
      <c r="L503" s="43"/>
      <c r="M503" s="43"/>
      <c r="N503" s="43"/>
      <c r="O503" s="43"/>
      <c r="P503" s="43"/>
      <c r="Q503" s="43"/>
      <c r="R503" s="43"/>
      <c r="S503" s="43"/>
      <c r="T503" s="43"/>
      <c r="U503" s="43"/>
      <c r="V503" s="43"/>
      <c r="W503" s="43"/>
      <c r="X503" s="43"/>
      <c r="Y503" s="43"/>
      <c r="Z503" s="43">
        <v>0.01</v>
      </c>
      <c r="AA503" s="43"/>
      <c r="AB503" s="43"/>
      <c r="AC503" s="43"/>
      <c r="AD503" s="43"/>
      <c r="AE503" s="43"/>
      <c r="AF503" s="43"/>
      <c r="AG503" s="43"/>
      <c r="AH503" s="43"/>
      <c r="AI503" s="43"/>
      <c r="AJ503" s="43"/>
      <c r="AK503" s="43"/>
      <c r="AL503" s="43"/>
      <c r="AM503" s="43"/>
      <c r="AN503" s="43"/>
      <c r="AO503" s="43"/>
      <c r="AP503" s="43"/>
      <c r="AQ503" s="43"/>
      <c r="AR503" s="43"/>
      <c r="AS503" s="43"/>
      <c r="AT503" s="43"/>
      <c r="AU503" s="43"/>
      <c r="AV503" s="43"/>
      <c r="AW503" s="43"/>
      <c r="AX503" s="43"/>
      <c r="AY503" s="34" t="s">
        <v>225</v>
      </c>
      <c r="AZ503" s="34" t="s">
        <v>754</v>
      </c>
      <c r="BA503" s="47" t="s">
        <v>298</v>
      </c>
      <c r="BB503" s="48" t="s">
        <v>506</v>
      </c>
      <c r="BD503" s="15" t="s">
        <v>1116</v>
      </c>
      <c r="BI503" s="42">
        <v>1</v>
      </c>
      <c r="BJ503" s="15" t="s">
        <v>1117</v>
      </c>
    </row>
    <row r="504" spans="1:72" ht="19.350000000000001" customHeight="1">
      <c r="A504" s="32">
        <f t="shared" si="59"/>
        <v>474</v>
      </c>
      <c r="B504" s="56" t="s">
        <v>1118</v>
      </c>
      <c r="C504" s="78" t="s">
        <v>112</v>
      </c>
      <c r="D504" s="35">
        <f t="shared" si="53"/>
        <v>0.03</v>
      </c>
      <c r="E504" s="35"/>
      <c r="F504" s="35">
        <f t="shared" si="58"/>
        <v>0.03</v>
      </c>
      <c r="G504" s="43"/>
      <c r="H504" s="43"/>
      <c r="I504" s="43"/>
      <c r="J504" s="43">
        <v>0.03</v>
      </c>
      <c r="K504" s="43"/>
      <c r="L504" s="43"/>
      <c r="M504" s="43"/>
      <c r="N504" s="43"/>
      <c r="O504" s="43"/>
      <c r="P504" s="43"/>
      <c r="Q504" s="43"/>
      <c r="R504" s="43"/>
      <c r="S504" s="43"/>
      <c r="T504" s="43"/>
      <c r="U504" s="43"/>
      <c r="V504" s="43"/>
      <c r="W504" s="43"/>
      <c r="X504" s="43"/>
      <c r="Y504" s="43"/>
      <c r="Z504" s="43"/>
      <c r="AA504" s="43"/>
      <c r="AB504" s="43"/>
      <c r="AC504" s="43"/>
      <c r="AD504" s="43"/>
      <c r="AE504" s="43"/>
      <c r="AF504" s="43"/>
      <c r="AG504" s="43"/>
      <c r="AH504" s="43"/>
      <c r="AI504" s="43"/>
      <c r="AJ504" s="43"/>
      <c r="AK504" s="43"/>
      <c r="AL504" s="43"/>
      <c r="AM504" s="43"/>
      <c r="AN504" s="43"/>
      <c r="AO504" s="43"/>
      <c r="AP504" s="43"/>
      <c r="AQ504" s="43"/>
      <c r="AR504" s="43"/>
      <c r="AS504" s="43"/>
      <c r="AT504" s="43"/>
      <c r="AU504" s="43"/>
      <c r="AV504" s="43"/>
      <c r="AW504" s="43"/>
      <c r="AX504" s="43"/>
      <c r="AY504" s="34" t="s">
        <v>225</v>
      </c>
      <c r="AZ504" s="34" t="s">
        <v>939</v>
      </c>
      <c r="BA504" s="47" t="s">
        <v>298</v>
      </c>
      <c r="BB504" s="48"/>
      <c r="BD504" s="15" t="s">
        <v>813</v>
      </c>
      <c r="BI504" s="42">
        <v>1</v>
      </c>
    </row>
    <row r="505" spans="1:72" ht="19.350000000000001" customHeight="1">
      <c r="A505" s="32">
        <f t="shared" si="59"/>
        <v>475</v>
      </c>
      <c r="B505" s="56" t="s">
        <v>1119</v>
      </c>
      <c r="C505" s="78" t="s">
        <v>112</v>
      </c>
      <c r="D505" s="35">
        <f t="shared" si="53"/>
        <v>0.1</v>
      </c>
      <c r="E505" s="35"/>
      <c r="F505" s="35">
        <f t="shared" si="58"/>
        <v>0.1</v>
      </c>
      <c r="G505" s="43"/>
      <c r="H505" s="43"/>
      <c r="I505" s="43"/>
      <c r="J505" s="43"/>
      <c r="K505" s="43"/>
      <c r="L505" s="43"/>
      <c r="M505" s="43"/>
      <c r="N505" s="43"/>
      <c r="O505" s="43"/>
      <c r="P505" s="43">
        <v>0.1</v>
      </c>
      <c r="Q505" s="43"/>
      <c r="R505" s="43"/>
      <c r="S505" s="43"/>
      <c r="T505" s="43"/>
      <c r="U505" s="43"/>
      <c r="V505" s="43"/>
      <c r="W505" s="43"/>
      <c r="X505" s="43"/>
      <c r="Y505" s="43"/>
      <c r="Z505" s="43"/>
      <c r="AA505" s="43"/>
      <c r="AB505" s="43"/>
      <c r="AC505" s="43"/>
      <c r="AD505" s="43"/>
      <c r="AE505" s="43"/>
      <c r="AF505" s="43"/>
      <c r="AG505" s="43"/>
      <c r="AH505" s="43"/>
      <c r="AI505" s="43"/>
      <c r="AJ505" s="43"/>
      <c r="AK505" s="43"/>
      <c r="AL505" s="43"/>
      <c r="AM505" s="43"/>
      <c r="AN505" s="43"/>
      <c r="AO505" s="43"/>
      <c r="AP505" s="43"/>
      <c r="AQ505" s="43"/>
      <c r="AR505" s="43"/>
      <c r="AS505" s="43"/>
      <c r="AT505" s="43"/>
      <c r="AU505" s="43"/>
      <c r="AV505" s="43"/>
      <c r="AW505" s="43"/>
      <c r="AX505" s="43"/>
      <c r="AY505" s="34" t="s">
        <v>225</v>
      </c>
      <c r="AZ505" s="34" t="s">
        <v>757</v>
      </c>
      <c r="BA505" s="63" t="s">
        <v>291</v>
      </c>
      <c r="BB505" s="64"/>
      <c r="BI505" s="42">
        <v>1</v>
      </c>
    </row>
    <row r="506" spans="1:72" ht="19.350000000000001" customHeight="1">
      <c r="A506" s="32">
        <f t="shared" si="59"/>
        <v>476</v>
      </c>
      <c r="B506" s="56" t="s">
        <v>1120</v>
      </c>
      <c r="C506" s="78" t="s">
        <v>112</v>
      </c>
      <c r="D506" s="35">
        <f t="shared" si="53"/>
        <v>0.15</v>
      </c>
      <c r="E506" s="35">
        <v>0.06</v>
      </c>
      <c r="F506" s="35">
        <f t="shared" si="58"/>
        <v>0.09</v>
      </c>
      <c r="G506" s="43"/>
      <c r="H506" s="43"/>
      <c r="I506" s="43"/>
      <c r="J506" s="43">
        <v>0.09</v>
      </c>
      <c r="K506" s="43"/>
      <c r="L506" s="43"/>
      <c r="M506" s="43"/>
      <c r="N506" s="43"/>
      <c r="O506" s="43"/>
      <c r="P506" s="43"/>
      <c r="Q506" s="43"/>
      <c r="R506" s="43"/>
      <c r="S506" s="43"/>
      <c r="T506" s="43"/>
      <c r="U506" s="43"/>
      <c r="V506" s="43"/>
      <c r="W506" s="43"/>
      <c r="X506" s="43"/>
      <c r="Y506" s="43"/>
      <c r="Z506" s="43"/>
      <c r="AA506" s="43"/>
      <c r="AB506" s="43"/>
      <c r="AC506" s="43"/>
      <c r="AD506" s="43"/>
      <c r="AE506" s="43"/>
      <c r="AF506" s="43"/>
      <c r="AG506" s="43"/>
      <c r="AH506" s="43"/>
      <c r="AI506" s="43"/>
      <c r="AJ506" s="43"/>
      <c r="AK506" s="43"/>
      <c r="AL506" s="43"/>
      <c r="AM506" s="43"/>
      <c r="AN506" s="43"/>
      <c r="AO506" s="43"/>
      <c r="AP506" s="43"/>
      <c r="AQ506" s="43"/>
      <c r="AR506" s="43"/>
      <c r="AS506" s="43"/>
      <c r="AT506" s="43"/>
      <c r="AU506" s="43"/>
      <c r="AV506" s="43"/>
      <c r="AW506" s="43"/>
      <c r="AX506" s="43"/>
      <c r="AY506" s="34" t="s">
        <v>225</v>
      </c>
      <c r="AZ506" s="34" t="s">
        <v>1121</v>
      </c>
      <c r="BA506" s="47" t="s">
        <v>298</v>
      </c>
      <c r="BB506" s="48"/>
      <c r="BI506" s="42">
        <v>1</v>
      </c>
      <c r="BJ506" s="15" t="s">
        <v>1122</v>
      </c>
    </row>
    <row r="507" spans="1:72" s="71" customFormat="1" ht="37.35" customHeight="1">
      <c r="A507" s="32">
        <f t="shared" si="59"/>
        <v>477</v>
      </c>
      <c r="B507" s="66" t="s">
        <v>1123</v>
      </c>
      <c r="C507" s="78" t="s">
        <v>112</v>
      </c>
      <c r="D507" s="35">
        <f t="shared" si="53"/>
        <v>0.15</v>
      </c>
      <c r="E507" s="67"/>
      <c r="F507" s="35">
        <f>SUM(G507:AX507)</f>
        <v>0.15</v>
      </c>
      <c r="G507" s="68"/>
      <c r="H507" s="68"/>
      <c r="I507" s="68">
        <v>0.15</v>
      </c>
      <c r="J507" s="68"/>
      <c r="K507" s="68"/>
      <c r="L507" s="68"/>
      <c r="M507" s="68"/>
      <c r="N507" s="68"/>
      <c r="O507" s="68"/>
      <c r="P507" s="68"/>
      <c r="Q507" s="68"/>
      <c r="R507" s="68"/>
      <c r="S507" s="68"/>
      <c r="T507" s="68"/>
      <c r="U507" s="68"/>
      <c r="V507" s="68"/>
      <c r="W507" s="68"/>
      <c r="X507" s="68"/>
      <c r="Y507" s="68"/>
      <c r="Z507" s="68"/>
      <c r="AA507" s="68"/>
      <c r="AB507" s="68"/>
      <c r="AC507" s="68"/>
      <c r="AD507" s="68"/>
      <c r="AE507" s="68"/>
      <c r="AF507" s="68"/>
      <c r="AG507" s="68"/>
      <c r="AH507" s="68"/>
      <c r="AI507" s="68"/>
      <c r="AJ507" s="68"/>
      <c r="AK507" s="68"/>
      <c r="AL507" s="68"/>
      <c r="AM507" s="68"/>
      <c r="AN507" s="68"/>
      <c r="AO507" s="68"/>
      <c r="AP507" s="68"/>
      <c r="AQ507" s="68"/>
      <c r="AR507" s="68"/>
      <c r="AS507" s="68"/>
      <c r="AT507" s="68"/>
      <c r="AU507" s="68"/>
      <c r="AV507" s="68"/>
      <c r="AW507" s="68"/>
      <c r="AX507" s="68"/>
      <c r="AY507" s="70" t="s">
        <v>226</v>
      </c>
      <c r="AZ507" s="70" t="s">
        <v>396</v>
      </c>
      <c r="BA507" s="47" t="s">
        <v>298</v>
      </c>
      <c r="BB507" s="48"/>
      <c r="BC507" s="71" t="s">
        <v>1124</v>
      </c>
      <c r="BI507" s="42">
        <v>1</v>
      </c>
      <c r="BJ507" s="15" t="s">
        <v>1083</v>
      </c>
      <c r="BK507" s="72"/>
    </row>
    <row r="508" spans="1:72" s="71" customFormat="1" ht="34.35" customHeight="1">
      <c r="A508" s="32">
        <f>A507+1</f>
        <v>478</v>
      </c>
      <c r="B508" s="66" t="s">
        <v>1125</v>
      </c>
      <c r="C508" s="78" t="s">
        <v>112</v>
      </c>
      <c r="D508" s="35">
        <f t="shared" si="53"/>
        <v>0.2</v>
      </c>
      <c r="E508" s="67"/>
      <c r="F508" s="35">
        <f>SUM(G508:AX508)</f>
        <v>0.2</v>
      </c>
      <c r="G508" s="68"/>
      <c r="H508" s="68"/>
      <c r="I508" s="68"/>
      <c r="J508" s="68"/>
      <c r="K508" s="68"/>
      <c r="L508" s="68"/>
      <c r="M508" s="68"/>
      <c r="N508" s="68"/>
      <c r="O508" s="68"/>
      <c r="P508" s="68"/>
      <c r="Q508" s="68"/>
      <c r="R508" s="68"/>
      <c r="S508" s="68"/>
      <c r="T508" s="68"/>
      <c r="U508" s="68"/>
      <c r="V508" s="68"/>
      <c r="W508" s="68"/>
      <c r="X508" s="68"/>
      <c r="Y508" s="68"/>
      <c r="Z508" s="68"/>
      <c r="AA508" s="68"/>
      <c r="AB508" s="68"/>
      <c r="AC508" s="68"/>
      <c r="AD508" s="68"/>
      <c r="AE508" s="68"/>
      <c r="AF508" s="68"/>
      <c r="AG508" s="68"/>
      <c r="AH508" s="68"/>
      <c r="AI508" s="68"/>
      <c r="AJ508" s="68"/>
      <c r="AK508" s="68"/>
      <c r="AL508" s="68"/>
      <c r="AM508" s="68"/>
      <c r="AN508" s="68"/>
      <c r="AO508" s="68"/>
      <c r="AP508" s="68"/>
      <c r="AQ508" s="68"/>
      <c r="AR508" s="68">
        <v>0.2</v>
      </c>
      <c r="AS508" s="68"/>
      <c r="AT508" s="68"/>
      <c r="AU508" s="68"/>
      <c r="AV508" s="68"/>
      <c r="AW508" s="68"/>
      <c r="AX508" s="68"/>
      <c r="AY508" s="70" t="s">
        <v>226</v>
      </c>
      <c r="AZ508" s="70" t="s">
        <v>1126</v>
      </c>
      <c r="BA508" s="47" t="s">
        <v>322</v>
      </c>
      <c r="BB508" s="48"/>
      <c r="BG508" s="71" t="s">
        <v>311</v>
      </c>
      <c r="BI508" s="42"/>
      <c r="BJ508" s="15" t="s">
        <v>1083</v>
      </c>
      <c r="BK508" s="72"/>
      <c r="BT508" s="71" t="s">
        <v>311</v>
      </c>
    </row>
    <row r="509" spans="1:72" s="71" customFormat="1" ht="19.350000000000001" customHeight="1">
      <c r="A509" s="32">
        <f>A508+1</f>
        <v>479</v>
      </c>
      <c r="B509" s="66" t="s">
        <v>1127</v>
      </c>
      <c r="C509" s="78" t="s">
        <v>112</v>
      </c>
      <c r="D509" s="35">
        <f t="shared" si="53"/>
        <v>0.13</v>
      </c>
      <c r="E509" s="67">
        <v>0.03</v>
      </c>
      <c r="F509" s="35">
        <f t="shared" si="58"/>
        <v>0.1</v>
      </c>
      <c r="G509" s="68"/>
      <c r="H509" s="68"/>
      <c r="I509" s="68">
        <v>0.1</v>
      </c>
      <c r="J509" s="68"/>
      <c r="K509" s="68"/>
      <c r="L509" s="68"/>
      <c r="M509" s="68"/>
      <c r="N509" s="68"/>
      <c r="O509" s="68"/>
      <c r="P509" s="68"/>
      <c r="Q509" s="68"/>
      <c r="R509" s="68"/>
      <c r="S509" s="68"/>
      <c r="T509" s="68"/>
      <c r="U509" s="68"/>
      <c r="V509" s="68"/>
      <c r="W509" s="68"/>
      <c r="X509" s="68"/>
      <c r="Y509" s="68"/>
      <c r="Z509" s="68"/>
      <c r="AA509" s="68"/>
      <c r="AB509" s="68"/>
      <c r="AC509" s="68"/>
      <c r="AD509" s="68"/>
      <c r="AE509" s="68"/>
      <c r="AF509" s="68"/>
      <c r="AG509" s="68"/>
      <c r="AH509" s="68"/>
      <c r="AI509" s="68"/>
      <c r="AJ509" s="68"/>
      <c r="AK509" s="68"/>
      <c r="AL509" s="68"/>
      <c r="AM509" s="68"/>
      <c r="AN509" s="68"/>
      <c r="AO509" s="68"/>
      <c r="AP509" s="68"/>
      <c r="AQ509" s="68"/>
      <c r="AR509" s="68"/>
      <c r="AS509" s="68"/>
      <c r="AT509" s="68"/>
      <c r="AU509" s="68"/>
      <c r="AV509" s="68"/>
      <c r="AW509" s="68"/>
      <c r="AX509" s="68"/>
      <c r="AY509" s="70" t="s">
        <v>226</v>
      </c>
      <c r="AZ509" s="70" t="s">
        <v>1128</v>
      </c>
      <c r="BA509" s="70" t="s">
        <v>291</v>
      </c>
      <c r="BB509" s="81"/>
      <c r="BI509" s="42">
        <v>1</v>
      </c>
      <c r="BK509" s="72"/>
    </row>
    <row r="510" spans="1:72" s="71" customFormat="1" ht="19.350000000000001" customHeight="1">
      <c r="A510" s="32">
        <f t="shared" si="59"/>
        <v>480</v>
      </c>
      <c r="B510" s="66" t="s">
        <v>1129</v>
      </c>
      <c r="C510" s="78" t="s">
        <v>112</v>
      </c>
      <c r="D510" s="35">
        <f t="shared" si="53"/>
        <v>0.18</v>
      </c>
      <c r="E510" s="67"/>
      <c r="F510" s="35">
        <f t="shared" si="58"/>
        <v>0.18</v>
      </c>
      <c r="G510" s="68"/>
      <c r="H510" s="68"/>
      <c r="I510" s="68"/>
      <c r="J510" s="68"/>
      <c r="K510" s="68"/>
      <c r="L510" s="68"/>
      <c r="M510" s="68"/>
      <c r="N510" s="68"/>
      <c r="O510" s="68"/>
      <c r="P510" s="68"/>
      <c r="Q510" s="68"/>
      <c r="R510" s="68"/>
      <c r="S510" s="68"/>
      <c r="T510" s="68"/>
      <c r="U510" s="68"/>
      <c r="V510" s="68"/>
      <c r="W510" s="68"/>
      <c r="X510" s="68"/>
      <c r="Y510" s="68"/>
      <c r="Z510" s="68"/>
      <c r="AA510" s="68"/>
      <c r="AB510" s="68"/>
      <c r="AC510" s="68"/>
      <c r="AD510" s="68"/>
      <c r="AE510" s="68"/>
      <c r="AF510" s="68"/>
      <c r="AG510" s="68"/>
      <c r="AH510" s="68"/>
      <c r="AI510" s="68"/>
      <c r="AJ510" s="68"/>
      <c r="AK510" s="68"/>
      <c r="AL510" s="68"/>
      <c r="AM510" s="68"/>
      <c r="AN510" s="68"/>
      <c r="AO510" s="68"/>
      <c r="AP510" s="68"/>
      <c r="AQ510" s="68"/>
      <c r="AR510" s="68">
        <v>0.18</v>
      </c>
      <c r="AS510" s="68"/>
      <c r="AT510" s="68"/>
      <c r="AU510" s="68"/>
      <c r="AV510" s="68"/>
      <c r="AW510" s="68"/>
      <c r="AX510" s="68"/>
      <c r="AY510" s="70" t="s">
        <v>226</v>
      </c>
      <c r="AZ510" s="70" t="s">
        <v>762</v>
      </c>
      <c r="BA510" s="47" t="s">
        <v>298</v>
      </c>
      <c r="BB510" s="48"/>
      <c r="BG510" s="71" t="s">
        <v>407</v>
      </c>
      <c r="BI510" s="42">
        <v>1</v>
      </c>
      <c r="BJ510" s="15" t="s">
        <v>1130</v>
      </c>
      <c r="BK510" s="72"/>
      <c r="BT510" s="71" t="s">
        <v>299</v>
      </c>
    </row>
    <row r="511" spans="1:72" s="49" customFormat="1" ht="33.6" customHeight="1">
      <c r="A511" s="32">
        <f t="shared" si="59"/>
        <v>481</v>
      </c>
      <c r="B511" s="56" t="s">
        <v>1131</v>
      </c>
      <c r="C511" s="78" t="s">
        <v>112</v>
      </c>
      <c r="D511" s="35">
        <f>E511+F511</f>
        <v>0.15</v>
      </c>
      <c r="E511" s="45"/>
      <c r="F511" s="35">
        <f>SUM(G511:AX511)</f>
        <v>0.15</v>
      </c>
      <c r="G511" s="46"/>
      <c r="H511" s="46">
        <v>0.15</v>
      </c>
      <c r="I511" s="46"/>
      <c r="J511" s="46"/>
      <c r="K511" s="46"/>
      <c r="L511" s="46"/>
      <c r="M511" s="46"/>
      <c r="N511" s="46"/>
      <c r="O511" s="46"/>
      <c r="P511" s="46"/>
      <c r="Q511" s="46"/>
      <c r="R511" s="46"/>
      <c r="S511" s="46"/>
      <c r="T511" s="46"/>
      <c r="U511" s="46"/>
      <c r="V511" s="46"/>
      <c r="W511" s="46"/>
      <c r="X511" s="46"/>
      <c r="Y511" s="46"/>
      <c r="Z511" s="46"/>
      <c r="AA511" s="46"/>
      <c r="AB511" s="46"/>
      <c r="AC511" s="46"/>
      <c r="AD511" s="46"/>
      <c r="AE511" s="46"/>
      <c r="AF511" s="46"/>
      <c r="AG511" s="46"/>
      <c r="AH511" s="46"/>
      <c r="AI511" s="46"/>
      <c r="AJ511" s="46"/>
      <c r="AK511" s="46"/>
      <c r="AL511" s="46"/>
      <c r="AM511" s="46"/>
      <c r="AN511" s="46"/>
      <c r="AO511" s="46"/>
      <c r="AP511" s="46"/>
      <c r="AQ511" s="46"/>
      <c r="AR511" s="46"/>
      <c r="AS511" s="46"/>
      <c r="AT511" s="46"/>
      <c r="AU511" s="46"/>
      <c r="AV511" s="46"/>
      <c r="AW511" s="46"/>
      <c r="AX511" s="46"/>
      <c r="AY511" s="47" t="s">
        <v>227</v>
      </c>
      <c r="AZ511" s="47" t="s">
        <v>1132</v>
      </c>
      <c r="BA511" s="47" t="s">
        <v>291</v>
      </c>
      <c r="BB511" s="48"/>
      <c r="BI511" s="42">
        <v>1</v>
      </c>
      <c r="BJ511" s="15" t="s">
        <v>1104</v>
      </c>
      <c r="BK511" s="50"/>
    </row>
    <row r="512" spans="1:72" ht="24" customHeight="1">
      <c r="A512" s="32">
        <f t="shared" si="59"/>
        <v>482</v>
      </c>
      <c r="B512" s="60" t="s">
        <v>1133</v>
      </c>
      <c r="C512" s="78" t="s">
        <v>112</v>
      </c>
      <c r="D512" s="35">
        <f t="shared" si="53"/>
        <v>0.15000000000000002</v>
      </c>
      <c r="E512" s="35">
        <v>0.05</v>
      </c>
      <c r="F512" s="35">
        <f t="shared" si="58"/>
        <v>0.1</v>
      </c>
      <c r="G512" s="43">
        <v>0.05</v>
      </c>
      <c r="H512" s="43"/>
      <c r="I512" s="43"/>
      <c r="J512" s="43"/>
      <c r="K512" s="43"/>
      <c r="L512" s="43"/>
      <c r="M512" s="43"/>
      <c r="N512" s="43"/>
      <c r="O512" s="43"/>
      <c r="P512" s="43"/>
      <c r="Q512" s="43"/>
      <c r="R512" s="43"/>
      <c r="S512" s="43"/>
      <c r="T512" s="43"/>
      <c r="U512" s="43"/>
      <c r="V512" s="43"/>
      <c r="W512" s="43"/>
      <c r="X512" s="43"/>
      <c r="Y512" s="43"/>
      <c r="Z512" s="43"/>
      <c r="AA512" s="43"/>
      <c r="AB512" s="43"/>
      <c r="AC512" s="43"/>
      <c r="AD512" s="43"/>
      <c r="AE512" s="43"/>
      <c r="AF512" s="43"/>
      <c r="AG512" s="43">
        <v>0.05</v>
      </c>
      <c r="AH512" s="43"/>
      <c r="AI512" s="43"/>
      <c r="AJ512" s="43"/>
      <c r="AK512" s="43"/>
      <c r="AL512" s="43"/>
      <c r="AM512" s="43"/>
      <c r="AN512" s="43"/>
      <c r="AO512" s="43"/>
      <c r="AP512" s="43"/>
      <c r="AQ512" s="43"/>
      <c r="AR512" s="43"/>
      <c r="AS512" s="43"/>
      <c r="AT512" s="43"/>
      <c r="AU512" s="43"/>
      <c r="AV512" s="43"/>
      <c r="AW512" s="43"/>
      <c r="AX512" s="43"/>
      <c r="AY512" s="34" t="s">
        <v>228</v>
      </c>
      <c r="AZ512" s="34" t="s">
        <v>1134</v>
      </c>
      <c r="BA512" s="47" t="s">
        <v>322</v>
      </c>
      <c r="BB512" s="48"/>
      <c r="BI512" s="42">
        <v>1</v>
      </c>
      <c r="BJ512" s="15" t="s">
        <v>1135</v>
      </c>
    </row>
    <row r="513" spans="1:63" ht="22.35" customHeight="1">
      <c r="A513" s="32">
        <f t="shared" si="59"/>
        <v>483</v>
      </c>
      <c r="B513" s="60" t="s">
        <v>1136</v>
      </c>
      <c r="C513" s="78" t="s">
        <v>112</v>
      </c>
      <c r="D513" s="35">
        <f t="shared" si="53"/>
        <v>0.14000000000000001</v>
      </c>
      <c r="E513" s="35">
        <v>7.0000000000000007E-2</v>
      </c>
      <c r="F513" s="35">
        <f t="shared" si="58"/>
        <v>7.0000000000000007E-2</v>
      </c>
      <c r="G513" s="43"/>
      <c r="H513" s="43"/>
      <c r="I513" s="43"/>
      <c r="J513" s="43"/>
      <c r="K513" s="43"/>
      <c r="L513" s="43"/>
      <c r="M513" s="43"/>
      <c r="N513" s="43"/>
      <c r="O513" s="43"/>
      <c r="P513" s="43">
        <v>7.0000000000000007E-2</v>
      </c>
      <c r="Q513" s="43"/>
      <c r="R513" s="43"/>
      <c r="S513" s="43"/>
      <c r="T513" s="43"/>
      <c r="U513" s="43"/>
      <c r="V513" s="43"/>
      <c r="W513" s="43"/>
      <c r="X513" s="43"/>
      <c r="Y513" s="43"/>
      <c r="Z513" s="43"/>
      <c r="AA513" s="43"/>
      <c r="AB513" s="43"/>
      <c r="AC513" s="43"/>
      <c r="AD513" s="43"/>
      <c r="AE513" s="43"/>
      <c r="AF513" s="43"/>
      <c r="AG513" s="43"/>
      <c r="AH513" s="43"/>
      <c r="AI513" s="43"/>
      <c r="AJ513" s="43"/>
      <c r="AK513" s="43"/>
      <c r="AL513" s="43"/>
      <c r="AM513" s="43"/>
      <c r="AN513" s="43"/>
      <c r="AO513" s="43"/>
      <c r="AP513" s="43"/>
      <c r="AQ513" s="43"/>
      <c r="AR513" s="43"/>
      <c r="AS513" s="43"/>
      <c r="AT513" s="43"/>
      <c r="AU513" s="43"/>
      <c r="AV513" s="43"/>
      <c r="AW513" s="43"/>
      <c r="AX513" s="43"/>
      <c r="AY513" s="34" t="s">
        <v>228</v>
      </c>
      <c r="AZ513" s="34" t="s">
        <v>1137</v>
      </c>
      <c r="BA513" s="63" t="s">
        <v>291</v>
      </c>
      <c r="BB513" s="64" t="s">
        <v>506</v>
      </c>
      <c r="BI513" s="42">
        <v>1</v>
      </c>
    </row>
    <row r="514" spans="1:63" ht="19.350000000000001" customHeight="1">
      <c r="A514" s="32">
        <f t="shared" si="59"/>
        <v>484</v>
      </c>
      <c r="B514" s="60" t="s">
        <v>1138</v>
      </c>
      <c r="C514" s="78" t="s">
        <v>112</v>
      </c>
      <c r="D514" s="35">
        <f t="shared" si="53"/>
        <v>0.15</v>
      </c>
      <c r="E514" s="35"/>
      <c r="F514" s="35">
        <f t="shared" si="58"/>
        <v>0.15</v>
      </c>
      <c r="G514" s="43"/>
      <c r="H514" s="43"/>
      <c r="I514" s="43"/>
      <c r="J514" s="43"/>
      <c r="K514" s="43"/>
      <c r="L514" s="43"/>
      <c r="M514" s="43">
        <v>0.15</v>
      </c>
      <c r="N514" s="43"/>
      <c r="O514" s="43"/>
      <c r="P514" s="43"/>
      <c r="Q514" s="43"/>
      <c r="R514" s="43"/>
      <c r="S514" s="43"/>
      <c r="T514" s="43"/>
      <c r="U514" s="43"/>
      <c r="V514" s="43"/>
      <c r="W514" s="43"/>
      <c r="X514" s="43"/>
      <c r="Y514" s="43"/>
      <c r="Z514" s="43"/>
      <c r="AA514" s="43"/>
      <c r="AB514" s="43"/>
      <c r="AC514" s="43"/>
      <c r="AD514" s="43"/>
      <c r="AE514" s="43"/>
      <c r="AF514" s="43"/>
      <c r="AG514" s="43"/>
      <c r="AH514" s="43"/>
      <c r="AI514" s="43"/>
      <c r="AJ514" s="43"/>
      <c r="AK514" s="43"/>
      <c r="AL514" s="43"/>
      <c r="AM514" s="43"/>
      <c r="AN514" s="43"/>
      <c r="AO514" s="43"/>
      <c r="AP514" s="43"/>
      <c r="AQ514" s="43"/>
      <c r="AR514" s="43"/>
      <c r="AS514" s="43"/>
      <c r="AT514" s="43"/>
      <c r="AU514" s="43"/>
      <c r="AV514" s="43"/>
      <c r="AW514" s="43"/>
      <c r="AX514" s="43"/>
      <c r="AY514" s="34" t="s">
        <v>228</v>
      </c>
      <c r="AZ514" s="34" t="s">
        <v>1139</v>
      </c>
      <c r="BA514" s="63" t="s">
        <v>291</v>
      </c>
      <c r="BB514" s="64"/>
      <c r="BI514" s="42">
        <v>1</v>
      </c>
    </row>
    <row r="515" spans="1:63" ht="24" customHeight="1">
      <c r="A515" s="32">
        <f t="shared" si="59"/>
        <v>485</v>
      </c>
      <c r="B515" s="60" t="s">
        <v>1140</v>
      </c>
      <c r="C515" s="78" t="s">
        <v>112</v>
      </c>
      <c r="D515" s="35">
        <f t="shared" si="53"/>
        <v>0.15000000000000002</v>
      </c>
      <c r="E515" s="35">
        <v>0.08</v>
      </c>
      <c r="F515" s="35">
        <f t="shared" si="58"/>
        <v>7.0000000000000007E-2</v>
      </c>
      <c r="G515" s="43"/>
      <c r="H515" s="43"/>
      <c r="I515" s="43">
        <v>7.0000000000000007E-2</v>
      </c>
      <c r="J515" s="43"/>
      <c r="K515" s="43"/>
      <c r="L515" s="43"/>
      <c r="M515" s="43"/>
      <c r="N515" s="43"/>
      <c r="O515" s="43"/>
      <c r="P515" s="43"/>
      <c r="Q515" s="43"/>
      <c r="R515" s="43"/>
      <c r="S515" s="43"/>
      <c r="T515" s="43"/>
      <c r="U515" s="43"/>
      <c r="V515" s="43"/>
      <c r="W515" s="43"/>
      <c r="X515" s="43"/>
      <c r="Y515" s="43"/>
      <c r="Z515" s="43"/>
      <c r="AA515" s="43"/>
      <c r="AB515" s="43"/>
      <c r="AC515" s="43"/>
      <c r="AD515" s="43"/>
      <c r="AE515" s="43"/>
      <c r="AF515" s="43"/>
      <c r="AG515" s="43"/>
      <c r="AH515" s="43"/>
      <c r="AI515" s="43"/>
      <c r="AJ515" s="43"/>
      <c r="AK515" s="43"/>
      <c r="AL515" s="43"/>
      <c r="AM515" s="43"/>
      <c r="AN515" s="43"/>
      <c r="AO515" s="43"/>
      <c r="AP515" s="43"/>
      <c r="AQ515" s="43"/>
      <c r="AR515" s="43"/>
      <c r="AS515" s="43"/>
      <c r="AT515" s="43"/>
      <c r="AU515" s="43"/>
      <c r="AV515" s="43"/>
      <c r="AW515" s="43"/>
      <c r="AX515" s="43"/>
      <c r="AY515" s="34" t="s">
        <v>228</v>
      </c>
      <c r="AZ515" s="34" t="s">
        <v>731</v>
      </c>
      <c r="BA515" s="63" t="s">
        <v>291</v>
      </c>
      <c r="BB515" s="64"/>
      <c r="BI515" s="42">
        <v>1</v>
      </c>
      <c r="BJ515" s="15" t="s">
        <v>1141</v>
      </c>
    </row>
    <row r="516" spans="1:63" ht="19.350000000000001" customHeight="1">
      <c r="A516" s="32">
        <f t="shared" si="59"/>
        <v>486</v>
      </c>
      <c r="B516" s="60" t="s">
        <v>1142</v>
      </c>
      <c r="C516" s="78" t="s">
        <v>112</v>
      </c>
      <c r="D516" s="35">
        <f t="shared" si="53"/>
        <v>0.09</v>
      </c>
      <c r="E516" s="35"/>
      <c r="F516" s="35">
        <f t="shared" si="58"/>
        <v>0.09</v>
      </c>
      <c r="G516" s="43"/>
      <c r="H516" s="43"/>
      <c r="I516" s="43"/>
      <c r="J516" s="43"/>
      <c r="K516" s="43"/>
      <c r="L516" s="43"/>
      <c r="M516" s="43"/>
      <c r="N516" s="43"/>
      <c r="O516" s="43"/>
      <c r="P516" s="43"/>
      <c r="Q516" s="43"/>
      <c r="R516" s="43"/>
      <c r="S516" s="43"/>
      <c r="T516" s="43"/>
      <c r="U516" s="43"/>
      <c r="V516" s="43"/>
      <c r="W516" s="43"/>
      <c r="X516" s="43"/>
      <c r="Y516" s="43"/>
      <c r="Z516" s="43"/>
      <c r="AA516" s="43"/>
      <c r="AB516" s="43"/>
      <c r="AC516" s="43"/>
      <c r="AD516" s="43">
        <v>0.09</v>
      </c>
      <c r="AE516" s="43"/>
      <c r="AF516" s="43"/>
      <c r="AG516" s="43"/>
      <c r="AH516" s="43"/>
      <c r="AI516" s="43"/>
      <c r="AJ516" s="43"/>
      <c r="AK516" s="43"/>
      <c r="AL516" s="43"/>
      <c r="AM516" s="43"/>
      <c r="AN516" s="43"/>
      <c r="AO516" s="43"/>
      <c r="AP516" s="43"/>
      <c r="AQ516" s="43"/>
      <c r="AR516" s="43"/>
      <c r="AS516" s="43"/>
      <c r="AT516" s="43"/>
      <c r="AU516" s="43"/>
      <c r="AV516" s="43"/>
      <c r="AW516" s="43"/>
      <c r="AX516" s="43"/>
      <c r="AY516" s="34" t="s">
        <v>228</v>
      </c>
      <c r="AZ516" s="34" t="s">
        <v>1143</v>
      </c>
      <c r="BA516" s="63" t="s">
        <v>291</v>
      </c>
      <c r="BB516" s="64"/>
      <c r="BI516" s="42">
        <v>1</v>
      </c>
    </row>
    <row r="517" spans="1:63" ht="23.1" customHeight="1">
      <c r="A517" s="32">
        <f t="shared" si="59"/>
        <v>487</v>
      </c>
      <c r="B517" s="60" t="s">
        <v>1144</v>
      </c>
      <c r="C517" s="78" t="s">
        <v>112</v>
      </c>
      <c r="D517" s="35">
        <f>E517+F517</f>
        <v>0.1</v>
      </c>
      <c r="E517" s="35"/>
      <c r="F517" s="35">
        <f>SUM(G517:AX517)</f>
        <v>0.1</v>
      </c>
      <c r="G517" s="43"/>
      <c r="H517" s="43"/>
      <c r="I517" s="43"/>
      <c r="J517" s="43"/>
      <c r="K517" s="43"/>
      <c r="L517" s="43"/>
      <c r="M517" s="43">
        <v>0.1</v>
      </c>
      <c r="N517" s="43"/>
      <c r="O517" s="43"/>
      <c r="P517" s="43"/>
      <c r="Q517" s="43"/>
      <c r="R517" s="43"/>
      <c r="S517" s="43"/>
      <c r="T517" s="43"/>
      <c r="U517" s="43"/>
      <c r="V517" s="43"/>
      <c r="W517" s="43"/>
      <c r="X517" s="43"/>
      <c r="Y517" s="43"/>
      <c r="Z517" s="43"/>
      <c r="AA517" s="43"/>
      <c r="AB517" s="43"/>
      <c r="AC517" s="43"/>
      <c r="AD517" s="43"/>
      <c r="AE517" s="43"/>
      <c r="AF517" s="43"/>
      <c r="AG517" s="43"/>
      <c r="AH517" s="43"/>
      <c r="AI517" s="43"/>
      <c r="AJ517" s="43"/>
      <c r="AK517" s="43"/>
      <c r="AL517" s="43"/>
      <c r="AM517" s="43"/>
      <c r="AN517" s="43"/>
      <c r="AO517" s="43"/>
      <c r="AP517" s="43"/>
      <c r="AQ517" s="43"/>
      <c r="AR517" s="43"/>
      <c r="AS517" s="43"/>
      <c r="AT517" s="43"/>
      <c r="AU517" s="43"/>
      <c r="AV517" s="43"/>
      <c r="AW517" s="43"/>
      <c r="AX517" s="43"/>
      <c r="AY517" s="34" t="s">
        <v>228</v>
      </c>
      <c r="AZ517" s="34" t="s">
        <v>1145</v>
      </c>
      <c r="BA517" s="63" t="s">
        <v>291</v>
      </c>
      <c r="BB517" s="64"/>
      <c r="BI517" s="42">
        <v>1</v>
      </c>
    </row>
    <row r="518" spans="1:63" ht="22.35" customHeight="1">
      <c r="A518" s="32">
        <f t="shared" si="59"/>
        <v>488</v>
      </c>
      <c r="B518" s="60" t="s">
        <v>1146</v>
      </c>
      <c r="C518" s="78" t="s">
        <v>112</v>
      </c>
      <c r="D518" s="35">
        <f>E518+F518</f>
        <v>0.1</v>
      </c>
      <c r="E518" s="35"/>
      <c r="F518" s="35">
        <f>SUM(G518:AX518)</f>
        <v>0.1</v>
      </c>
      <c r="G518" s="43"/>
      <c r="H518" s="43"/>
      <c r="I518" s="43"/>
      <c r="J518" s="43">
        <v>0.02</v>
      </c>
      <c r="K518" s="43"/>
      <c r="L518" s="43"/>
      <c r="M518" s="43">
        <v>0.08</v>
      </c>
      <c r="N518" s="43"/>
      <c r="O518" s="43"/>
      <c r="P518" s="43"/>
      <c r="Q518" s="43"/>
      <c r="R518" s="43"/>
      <c r="S518" s="43"/>
      <c r="T518" s="43"/>
      <c r="U518" s="43"/>
      <c r="V518" s="43"/>
      <c r="W518" s="43"/>
      <c r="X518" s="43"/>
      <c r="Y518" s="43"/>
      <c r="Z518" s="43"/>
      <c r="AA518" s="43"/>
      <c r="AB518" s="43"/>
      <c r="AC518" s="43"/>
      <c r="AD518" s="43"/>
      <c r="AE518" s="43"/>
      <c r="AF518" s="43"/>
      <c r="AG518" s="43"/>
      <c r="AH518" s="43"/>
      <c r="AI518" s="43"/>
      <c r="AJ518" s="43"/>
      <c r="AK518" s="43"/>
      <c r="AL518" s="43"/>
      <c r="AM518" s="43"/>
      <c r="AN518" s="43"/>
      <c r="AO518" s="43"/>
      <c r="AP518" s="43"/>
      <c r="AQ518" s="43"/>
      <c r="AR518" s="43"/>
      <c r="AS518" s="43"/>
      <c r="AT518" s="43"/>
      <c r="AU518" s="43"/>
      <c r="AV518" s="43"/>
      <c r="AW518" s="43"/>
      <c r="AX518" s="43"/>
      <c r="AY518" s="34" t="s">
        <v>228</v>
      </c>
      <c r="AZ518" s="34" t="s">
        <v>1147</v>
      </c>
      <c r="BA518" s="63" t="s">
        <v>291</v>
      </c>
      <c r="BB518" s="64" t="s">
        <v>506</v>
      </c>
      <c r="BI518" s="42">
        <v>1</v>
      </c>
    </row>
    <row r="519" spans="1:63" ht="34.35" customHeight="1">
      <c r="A519" s="32">
        <f t="shared" si="59"/>
        <v>489</v>
      </c>
      <c r="B519" s="60" t="s">
        <v>1148</v>
      </c>
      <c r="C519" s="78" t="s">
        <v>112</v>
      </c>
      <c r="D519" s="35">
        <f>E519+F519</f>
        <v>0.15</v>
      </c>
      <c r="E519" s="35"/>
      <c r="F519" s="35">
        <f>SUM(G519:AX519)</f>
        <v>0.15</v>
      </c>
      <c r="G519" s="43"/>
      <c r="H519" s="43"/>
      <c r="I519" s="43"/>
      <c r="J519" s="43">
        <v>0.15</v>
      </c>
      <c r="K519" s="43"/>
      <c r="L519" s="43"/>
      <c r="M519" s="43"/>
      <c r="N519" s="43"/>
      <c r="O519" s="43"/>
      <c r="P519" s="43"/>
      <c r="Q519" s="43"/>
      <c r="R519" s="43"/>
      <c r="S519" s="43"/>
      <c r="T519" s="43"/>
      <c r="U519" s="43"/>
      <c r="V519" s="43"/>
      <c r="W519" s="43"/>
      <c r="X519" s="43"/>
      <c r="Y519" s="43"/>
      <c r="Z519" s="43"/>
      <c r="AA519" s="43"/>
      <c r="AB519" s="43"/>
      <c r="AC519" s="43"/>
      <c r="AD519" s="43"/>
      <c r="AE519" s="43"/>
      <c r="AF519" s="43"/>
      <c r="AG519" s="43"/>
      <c r="AH519" s="43"/>
      <c r="AI519" s="43"/>
      <c r="AJ519" s="43"/>
      <c r="AK519" s="43"/>
      <c r="AL519" s="43"/>
      <c r="AM519" s="43"/>
      <c r="AN519" s="43"/>
      <c r="AO519" s="43"/>
      <c r="AP519" s="43"/>
      <c r="AQ519" s="43"/>
      <c r="AR519" s="43"/>
      <c r="AS519" s="43"/>
      <c r="AT519" s="43"/>
      <c r="AU519" s="43"/>
      <c r="AV519" s="43"/>
      <c r="AW519" s="43"/>
      <c r="AX519" s="43"/>
      <c r="AY519" s="34" t="s">
        <v>228</v>
      </c>
      <c r="AZ519" s="34" t="s">
        <v>1149</v>
      </c>
      <c r="BA519" s="63" t="s">
        <v>291</v>
      </c>
      <c r="BB519" s="64"/>
      <c r="BI519" s="42">
        <v>1</v>
      </c>
      <c r="BJ519" s="15" t="s">
        <v>1150</v>
      </c>
    </row>
    <row r="520" spans="1:63" s="49" customFormat="1" ht="31.35" customHeight="1">
      <c r="A520" s="32">
        <f t="shared" si="59"/>
        <v>490</v>
      </c>
      <c r="B520" s="60" t="s">
        <v>1151</v>
      </c>
      <c r="C520" s="78" t="s">
        <v>112</v>
      </c>
      <c r="D520" s="35">
        <f t="shared" si="53"/>
        <v>0.15</v>
      </c>
      <c r="E520" s="35"/>
      <c r="F520" s="35">
        <f t="shared" si="58"/>
        <v>0.15</v>
      </c>
      <c r="G520" s="43">
        <v>0.15</v>
      </c>
      <c r="H520" s="43"/>
      <c r="I520" s="43"/>
      <c r="J520" s="43"/>
      <c r="K520" s="46"/>
      <c r="L520" s="46"/>
      <c r="M520" s="46"/>
      <c r="N520" s="46"/>
      <c r="O520" s="46"/>
      <c r="P520" s="46"/>
      <c r="Q520" s="46"/>
      <c r="R520" s="46"/>
      <c r="S520" s="46"/>
      <c r="T520" s="46"/>
      <c r="U520" s="46"/>
      <c r="V520" s="46"/>
      <c r="W520" s="46"/>
      <c r="X520" s="46"/>
      <c r="Y520" s="46"/>
      <c r="Z520" s="46"/>
      <c r="AA520" s="46"/>
      <c r="AB520" s="46"/>
      <c r="AC520" s="46"/>
      <c r="AD520" s="46"/>
      <c r="AE520" s="46"/>
      <c r="AF520" s="46"/>
      <c r="AG520" s="46"/>
      <c r="AH520" s="46"/>
      <c r="AI520" s="46"/>
      <c r="AJ520" s="46"/>
      <c r="AK520" s="46"/>
      <c r="AL520" s="46"/>
      <c r="AM520" s="46"/>
      <c r="AN520" s="46"/>
      <c r="AO520" s="46"/>
      <c r="AP520" s="46"/>
      <c r="AQ520" s="46"/>
      <c r="AR520" s="46"/>
      <c r="AS520" s="46"/>
      <c r="AT520" s="46"/>
      <c r="AU520" s="46"/>
      <c r="AV520" s="46"/>
      <c r="AW520" s="46"/>
      <c r="AX520" s="46"/>
      <c r="AY520" s="34" t="s">
        <v>229</v>
      </c>
      <c r="AZ520" s="34" t="s">
        <v>387</v>
      </c>
      <c r="BA520" s="34" t="s">
        <v>291</v>
      </c>
      <c r="BB520" s="58"/>
      <c r="BI520" s="42">
        <v>1</v>
      </c>
      <c r="BJ520" s="15" t="s">
        <v>1152</v>
      </c>
      <c r="BK520" s="50"/>
    </row>
    <row r="521" spans="1:63" s="49" customFormat="1" ht="19.350000000000001" customHeight="1">
      <c r="A521" s="32">
        <f t="shared" si="59"/>
        <v>491</v>
      </c>
      <c r="B521" s="60" t="s">
        <v>1153</v>
      </c>
      <c r="C521" s="78" t="s">
        <v>112</v>
      </c>
      <c r="D521" s="35">
        <f t="shared" si="53"/>
        <v>0.15</v>
      </c>
      <c r="E521" s="35">
        <v>0.11</v>
      </c>
      <c r="F521" s="35">
        <f t="shared" si="58"/>
        <v>0.04</v>
      </c>
      <c r="G521" s="43"/>
      <c r="H521" s="43">
        <v>0.04</v>
      </c>
      <c r="I521" s="43"/>
      <c r="J521" s="43"/>
      <c r="K521" s="46"/>
      <c r="L521" s="46"/>
      <c r="M521" s="46"/>
      <c r="N521" s="46"/>
      <c r="O521" s="46"/>
      <c r="P521" s="46"/>
      <c r="Q521" s="46"/>
      <c r="R521" s="46"/>
      <c r="S521" s="46"/>
      <c r="T521" s="46"/>
      <c r="U521" s="46"/>
      <c r="V521" s="46"/>
      <c r="W521" s="46"/>
      <c r="X521" s="46"/>
      <c r="Y521" s="46"/>
      <c r="Z521" s="46"/>
      <c r="AA521" s="46"/>
      <c r="AB521" s="46"/>
      <c r="AC521" s="46"/>
      <c r="AD521" s="46"/>
      <c r="AE521" s="46"/>
      <c r="AF521" s="46"/>
      <c r="AG521" s="46"/>
      <c r="AH521" s="46"/>
      <c r="AI521" s="46"/>
      <c r="AJ521" s="46"/>
      <c r="AK521" s="46"/>
      <c r="AL521" s="46"/>
      <c r="AM521" s="46"/>
      <c r="AN521" s="46"/>
      <c r="AO521" s="46"/>
      <c r="AP521" s="46"/>
      <c r="AQ521" s="46"/>
      <c r="AR521" s="46"/>
      <c r="AS521" s="46"/>
      <c r="AT521" s="46"/>
      <c r="AU521" s="46"/>
      <c r="AV521" s="46"/>
      <c r="AW521" s="46"/>
      <c r="AX521" s="46"/>
      <c r="AY521" s="34" t="s">
        <v>229</v>
      </c>
      <c r="AZ521" s="34" t="s">
        <v>389</v>
      </c>
      <c r="BA521" s="34" t="s">
        <v>291</v>
      </c>
      <c r="BB521" s="58"/>
      <c r="BI521" s="42">
        <v>1</v>
      </c>
      <c r="BJ521" s="15" t="s">
        <v>1154</v>
      </c>
      <c r="BK521" s="50"/>
    </row>
    <row r="522" spans="1:63" s="49" customFormat="1" ht="19.350000000000001" customHeight="1">
      <c r="A522" s="32">
        <f t="shared" si="59"/>
        <v>492</v>
      </c>
      <c r="B522" s="60" t="s">
        <v>1084</v>
      </c>
      <c r="C522" s="78" t="s">
        <v>112</v>
      </c>
      <c r="D522" s="35">
        <f t="shared" si="53"/>
        <v>0.27</v>
      </c>
      <c r="E522" s="35">
        <v>0.15</v>
      </c>
      <c r="F522" s="35">
        <f t="shared" si="58"/>
        <v>0.12</v>
      </c>
      <c r="G522" s="43"/>
      <c r="H522" s="43"/>
      <c r="I522" s="43"/>
      <c r="J522" s="43"/>
      <c r="K522" s="46"/>
      <c r="L522" s="46"/>
      <c r="M522" s="43">
        <v>0.12</v>
      </c>
      <c r="N522" s="46"/>
      <c r="O522" s="46"/>
      <c r="P522" s="46"/>
      <c r="Q522" s="46"/>
      <c r="R522" s="46"/>
      <c r="S522" s="46"/>
      <c r="T522" s="46"/>
      <c r="U522" s="46"/>
      <c r="V522" s="46"/>
      <c r="W522" s="46"/>
      <c r="X522" s="46"/>
      <c r="Y522" s="46"/>
      <c r="Z522" s="46"/>
      <c r="AA522" s="46"/>
      <c r="AB522" s="46"/>
      <c r="AC522" s="46"/>
      <c r="AD522" s="46"/>
      <c r="AE522" s="46"/>
      <c r="AF522" s="46"/>
      <c r="AG522" s="46"/>
      <c r="AH522" s="46"/>
      <c r="AI522" s="46"/>
      <c r="AJ522" s="46"/>
      <c r="AK522" s="46"/>
      <c r="AL522" s="46"/>
      <c r="AM522" s="46"/>
      <c r="AN522" s="46"/>
      <c r="AO522" s="46"/>
      <c r="AP522" s="46"/>
      <c r="AQ522" s="46"/>
      <c r="AR522" s="46"/>
      <c r="AS522" s="46"/>
      <c r="AT522" s="46"/>
      <c r="AU522" s="46"/>
      <c r="AV522" s="46"/>
      <c r="AW522" s="46"/>
      <c r="AX522" s="46"/>
      <c r="AY522" s="34" t="s">
        <v>229</v>
      </c>
      <c r="AZ522" s="34" t="s">
        <v>451</v>
      </c>
      <c r="BA522" s="34" t="s">
        <v>291</v>
      </c>
      <c r="BB522" s="58"/>
      <c r="BG522" s="49" t="s">
        <v>1048</v>
      </c>
      <c r="BI522" s="42">
        <v>1</v>
      </c>
      <c r="BJ522" s="15"/>
      <c r="BK522" s="50"/>
    </row>
    <row r="523" spans="1:63" s="49" customFormat="1" ht="19.350000000000001" customHeight="1">
      <c r="A523" s="32">
        <f t="shared" si="59"/>
        <v>493</v>
      </c>
      <c r="B523" s="60" t="s">
        <v>1089</v>
      </c>
      <c r="C523" s="78" t="s">
        <v>112</v>
      </c>
      <c r="D523" s="35">
        <f t="shared" si="53"/>
        <v>0.13</v>
      </c>
      <c r="E523" s="35">
        <v>0.08</v>
      </c>
      <c r="F523" s="35">
        <f t="shared" si="58"/>
        <v>0.05</v>
      </c>
      <c r="G523" s="43">
        <v>0.05</v>
      </c>
      <c r="H523" s="43"/>
      <c r="I523" s="43"/>
      <c r="J523" s="43"/>
      <c r="K523" s="46"/>
      <c r="L523" s="46"/>
      <c r="M523" s="46"/>
      <c r="N523" s="46"/>
      <c r="O523" s="46"/>
      <c r="P523" s="46"/>
      <c r="Q523" s="46"/>
      <c r="R523" s="46"/>
      <c r="S523" s="46"/>
      <c r="T523" s="46"/>
      <c r="U523" s="46"/>
      <c r="V523" s="46"/>
      <c r="W523" s="46"/>
      <c r="X523" s="46"/>
      <c r="Y523" s="46"/>
      <c r="Z523" s="46"/>
      <c r="AA523" s="46"/>
      <c r="AB523" s="46"/>
      <c r="AC523" s="46"/>
      <c r="AD523" s="46"/>
      <c r="AE523" s="46"/>
      <c r="AF523" s="46"/>
      <c r="AG523" s="46"/>
      <c r="AH523" s="46"/>
      <c r="AI523" s="46"/>
      <c r="AJ523" s="46"/>
      <c r="AK523" s="46"/>
      <c r="AL523" s="46"/>
      <c r="AM523" s="46"/>
      <c r="AN523" s="46"/>
      <c r="AO523" s="46"/>
      <c r="AP523" s="46"/>
      <c r="AQ523" s="46"/>
      <c r="AR523" s="46"/>
      <c r="AS523" s="46"/>
      <c r="AT523" s="46"/>
      <c r="AU523" s="46"/>
      <c r="AV523" s="46"/>
      <c r="AW523" s="46"/>
      <c r="AX523" s="46"/>
      <c r="AY523" s="34" t="s">
        <v>229</v>
      </c>
      <c r="AZ523" s="34" t="s">
        <v>305</v>
      </c>
      <c r="BA523" s="34" t="s">
        <v>291</v>
      </c>
      <c r="BB523" s="58"/>
      <c r="BI523" s="42">
        <v>1</v>
      </c>
      <c r="BK523" s="50"/>
    </row>
    <row r="524" spans="1:63" s="91" customFormat="1" ht="20.100000000000001" customHeight="1">
      <c r="A524" s="32">
        <f t="shared" si="59"/>
        <v>494</v>
      </c>
      <c r="B524" s="60" t="s">
        <v>1155</v>
      </c>
      <c r="C524" s="78" t="s">
        <v>112</v>
      </c>
      <c r="D524" s="35">
        <f>E524+F524</f>
        <v>0.14000000000000001</v>
      </c>
      <c r="E524" s="35"/>
      <c r="F524" s="35">
        <f>SUM(G524:AX524)</f>
        <v>0.14000000000000001</v>
      </c>
      <c r="G524" s="90"/>
      <c r="H524" s="90"/>
      <c r="I524" s="90"/>
      <c r="J524" s="90"/>
      <c r="K524" s="90"/>
      <c r="L524" s="90"/>
      <c r="M524" s="43">
        <v>0.14000000000000001</v>
      </c>
      <c r="N524" s="90"/>
      <c r="O524" s="90"/>
      <c r="P524" s="90"/>
      <c r="Q524" s="90"/>
      <c r="R524" s="90"/>
      <c r="S524" s="90"/>
      <c r="T524" s="90"/>
      <c r="U524" s="90"/>
      <c r="V524" s="90"/>
      <c r="W524" s="90"/>
      <c r="X524" s="90"/>
      <c r="Y524" s="90"/>
      <c r="Z524" s="90"/>
      <c r="AA524" s="90"/>
      <c r="AB524" s="90"/>
      <c r="AC524" s="90"/>
      <c r="AD524" s="90"/>
      <c r="AE524" s="90"/>
      <c r="AF524" s="90"/>
      <c r="AG524" s="90"/>
      <c r="AH524" s="90"/>
      <c r="AI524" s="90"/>
      <c r="AJ524" s="90"/>
      <c r="AK524" s="90"/>
      <c r="AL524" s="90"/>
      <c r="AM524" s="90"/>
      <c r="AN524" s="90"/>
      <c r="AO524" s="90"/>
      <c r="AP524" s="90"/>
      <c r="AQ524" s="90"/>
      <c r="AR524" s="90"/>
      <c r="AS524" s="90"/>
      <c r="AT524" s="90"/>
      <c r="AU524" s="90"/>
      <c r="AV524" s="90"/>
      <c r="AW524" s="90"/>
      <c r="AX524" s="90"/>
      <c r="AY524" s="34" t="s">
        <v>229</v>
      </c>
      <c r="AZ524" s="34" t="s">
        <v>417</v>
      </c>
      <c r="BA524" s="140" t="s">
        <v>322</v>
      </c>
      <c r="BB524" s="126"/>
      <c r="BC524" s="49"/>
      <c r="BD524" s="49"/>
      <c r="BE524" s="49"/>
      <c r="BI524" s="42">
        <v>1</v>
      </c>
      <c r="BK524" s="92"/>
    </row>
    <row r="525" spans="1:63" s="49" customFormat="1" ht="20.100000000000001" customHeight="1">
      <c r="A525" s="32">
        <f t="shared" si="59"/>
        <v>495</v>
      </c>
      <c r="B525" s="60" t="s">
        <v>1156</v>
      </c>
      <c r="C525" s="78" t="s">
        <v>112</v>
      </c>
      <c r="D525" s="35">
        <f>E525+F525</f>
        <v>0.06</v>
      </c>
      <c r="E525" s="35"/>
      <c r="F525" s="35">
        <f>SUM(G525:AX525)</f>
        <v>0.06</v>
      </c>
      <c r="G525" s="43">
        <v>0.06</v>
      </c>
      <c r="H525" s="46"/>
      <c r="I525" s="46"/>
      <c r="J525" s="46"/>
      <c r="K525" s="46"/>
      <c r="L525" s="46"/>
      <c r="M525" s="46"/>
      <c r="N525" s="46"/>
      <c r="O525" s="46"/>
      <c r="P525" s="46"/>
      <c r="Q525" s="46"/>
      <c r="R525" s="46"/>
      <c r="S525" s="46"/>
      <c r="T525" s="46"/>
      <c r="U525" s="46"/>
      <c r="V525" s="46"/>
      <c r="W525" s="46"/>
      <c r="X525" s="46"/>
      <c r="Y525" s="46"/>
      <c r="Z525" s="46"/>
      <c r="AA525" s="46"/>
      <c r="AB525" s="46"/>
      <c r="AC525" s="46"/>
      <c r="AD525" s="46"/>
      <c r="AE525" s="46"/>
      <c r="AF525" s="46"/>
      <c r="AG525" s="46"/>
      <c r="AH525" s="46"/>
      <c r="AI525" s="46"/>
      <c r="AJ525" s="46"/>
      <c r="AK525" s="46"/>
      <c r="AL525" s="46"/>
      <c r="AM525" s="46"/>
      <c r="AN525" s="46"/>
      <c r="AO525" s="46"/>
      <c r="AP525" s="46"/>
      <c r="AQ525" s="46"/>
      <c r="AR525" s="46"/>
      <c r="AS525" s="46"/>
      <c r="AT525" s="46"/>
      <c r="AU525" s="46"/>
      <c r="AV525" s="46"/>
      <c r="AW525" s="46"/>
      <c r="AX525" s="46"/>
      <c r="AY525" s="34" t="s">
        <v>229</v>
      </c>
      <c r="AZ525" s="34" t="s">
        <v>425</v>
      </c>
      <c r="BA525" s="34" t="s">
        <v>291</v>
      </c>
      <c r="BB525" s="126"/>
      <c r="BG525" s="49" t="s">
        <v>1157</v>
      </c>
      <c r="BI525" s="42">
        <v>1</v>
      </c>
      <c r="BK525" s="50"/>
    </row>
    <row r="526" spans="1:63" s="49" customFormat="1" ht="20.100000000000001" customHeight="1">
      <c r="A526" s="32">
        <f t="shared" si="59"/>
        <v>496</v>
      </c>
      <c r="B526" s="60" t="s">
        <v>1158</v>
      </c>
      <c r="C526" s="78" t="s">
        <v>112</v>
      </c>
      <c r="D526" s="35">
        <f>E526+F526</f>
        <v>0.12</v>
      </c>
      <c r="E526" s="35"/>
      <c r="F526" s="35">
        <f>SUM(G526:AX526)</f>
        <v>0.12</v>
      </c>
      <c r="G526" s="43">
        <v>0.12</v>
      </c>
      <c r="H526" s="43"/>
      <c r="I526" s="43"/>
      <c r="J526" s="46"/>
      <c r="K526" s="46"/>
      <c r="L526" s="46"/>
      <c r="M526" s="46"/>
      <c r="N526" s="46"/>
      <c r="O526" s="46"/>
      <c r="P526" s="46"/>
      <c r="Q526" s="46"/>
      <c r="R526" s="46"/>
      <c r="S526" s="46"/>
      <c r="T526" s="46"/>
      <c r="U526" s="46"/>
      <c r="V526" s="46"/>
      <c r="W526" s="46"/>
      <c r="X526" s="46"/>
      <c r="Y526" s="46"/>
      <c r="Z526" s="46"/>
      <c r="AA526" s="46"/>
      <c r="AB526" s="46"/>
      <c r="AC526" s="46"/>
      <c r="AD526" s="46"/>
      <c r="AE526" s="46"/>
      <c r="AF526" s="46"/>
      <c r="AG526" s="46"/>
      <c r="AH526" s="46"/>
      <c r="AI526" s="46"/>
      <c r="AJ526" s="46"/>
      <c r="AK526" s="46"/>
      <c r="AL526" s="46"/>
      <c r="AM526" s="46"/>
      <c r="AN526" s="46"/>
      <c r="AO526" s="46"/>
      <c r="AP526" s="46"/>
      <c r="AQ526" s="46"/>
      <c r="AR526" s="46"/>
      <c r="AS526" s="46"/>
      <c r="AT526" s="46"/>
      <c r="AU526" s="46"/>
      <c r="AV526" s="46"/>
      <c r="AW526" s="46"/>
      <c r="AX526" s="46"/>
      <c r="AY526" s="34" t="s">
        <v>229</v>
      </c>
      <c r="AZ526" s="34" t="s">
        <v>308</v>
      </c>
      <c r="BA526" s="47" t="s">
        <v>298</v>
      </c>
      <c r="BB526" s="126" t="s">
        <v>506</v>
      </c>
      <c r="BC526" s="91"/>
      <c r="BD526" s="91"/>
      <c r="BE526" s="91"/>
      <c r="BI526" s="42">
        <v>1</v>
      </c>
      <c r="BK526" s="50"/>
    </row>
    <row r="527" spans="1:63" ht="19.350000000000001" customHeight="1">
      <c r="A527" s="32">
        <f t="shared" si="59"/>
        <v>497</v>
      </c>
      <c r="B527" s="56" t="s">
        <v>1159</v>
      </c>
      <c r="C527" s="78" t="s">
        <v>112</v>
      </c>
      <c r="D527" s="35">
        <f t="shared" si="53"/>
        <v>0.14000000000000001</v>
      </c>
      <c r="E527" s="35">
        <v>0.06</v>
      </c>
      <c r="F527" s="35">
        <f t="shared" si="58"/>
        <v>0.08</v>
      </c>
      <c r="G527" s="43">
        <v>0.04</v>
      </c>
      <c r="H527" s="43"/>
      <c r="I527" s="43">
        <v>0.04</v>
      </c>
      <c r="J527" s="43"/>
      <c r="K527" s="43"/>
      <c r="L527" s="43"/>
      <c r="M527" s="43"/>
      <c r="N527" s="43"/>
      <c r="O527" s="43"/>
      <c r="P527" s="43"/>
      <c r="Q527" s="43"/>
      <c r="R527" s="43"/>
      <c r="S527" s="43"/>
      <c r="T527" s="43"/>
      <c r="U527" s="43"/>
      <c r="V527" s="43"/>
      <c r="W527" s="43"/>
      <c r="X527" s="43"/>
      <c r="Y527" s="43"/>
      <c r="Z527" s="43"/>
      <c r="AA527" s="43"/>
      <c r="AB527" s="43"/>
      <c r="AC527" s="43"/>
      <c r="AD527" s="43"/>
      <c r="AE527" s="43"/>
      <c r="AF527" s="43"/>
      <c r="AG527" s="43"/>
      <c r="AH527" s="43"/>
      <c r="AI527" s="43"/>
      <c r="AJ527" s="43"/>
      <c r="AK527" s="43"/>
      <c r="AL527" s="43"/>
      <c r="AM527" s="43"/>
      <c r="AN527" s="43"/>
      <c r="AO527" s="43"/>
      <c r="AP527" s="43"/>
      <c r="AQ527" s="43"/>
      <c r="AR527" s="43"/>
      <c r="AS527" s="43"/>
      <c r="AT527" s="43"/>
      <c r="AU527" s="43"/>
      <c r="AV527" s="43"/>
      <c r="AW527" s="43"/>
      <c r="AX527" s="43"/>
      <c r="AY527" s="34" t="s">
        <v>230</v>
      </c>
      <c r="AZ527" s="34" t="s">
        <v>1160</v>
      </c>
      <c r="BA527" s="47" t="s">
        <v>298</v>
      </c>
      <c r="BB527" s="48"/>
      <c r="BI527" s="42">
        <v>1</v>
      </c>
    </row>
    <row r="528" spans="1:63" ht="19.350000000000001" customHeight="1">
      <c r="A528" s="32">
        <f t="shared" si="59"/>
        <v>498</v>
      </c>
      <c r="B528" s="60" t="s">
        <v>1158</v>
      </c>
      <c r="C528" s="78" t="s">
        <v>112</v>
      </c>
      <c r="D528" s="35">
        <f t="shared" si="53"/>
        <v>0.15</v>
      </c>
      <c r="E528" s="35"/>
      <c r="F528" s="35">
        <f t="shared" si="58"/>
        <v>0.15</v>
      </c>
      <c r="G528" s="43">
        <v>0.15</v>
      </c>
      <c r="H528" s="43"/>
      <c r="I528" s="43"/>
      <c r="J528" s="43"/>
      <c r="K528" s="43"/>
      <c r="L528" s="43"/>
      <c r="M528" s="43"/>
      <c r="N528" s="43"/>
      <c r="O528" s="43"/>
      <c r="P528" s="43"/>
      <c r="Q528" s="43"/>
      <c r="R528" s="43"/>
      <c r="S528" s="43"/>
      <c r="T528" s="43"/>
      <c r="U528" s="43"/>
      <c r="V528" s="43"/>
      <c r="W528" s="43"/>
      <c r="X528" s="43"/>
      <c r="Y528" s="43"/>
      <c r="Z528" s="43"/>
      <c r="AA528" s="43"/>
      <c r="AB528" s="43"/>
      <c r="AC528" s="43"/>
      <c r="AD528" s="43"/>
      <c r="AE528" s="43"/>
      <c r="AF528" s="43"/>
      <c r="AG528" s="43"/>
      <c r="AH528" s="43"/>
      <c r="AI528" s="43"/>
      <c r="AJ528" s="43"/>
      <c r="AK528" s="43"/>
      <c r="AL528" s="43"/>
      <c r="AM528" s="43"/>
      <c r="AN528" s="43"/>
      <c r="AO528" s="43"/>
      <c r="AP528" s="43"/>
      <c r="AQ528" s="43"/>
      <c r="AR528" s="43"/>
      <c r="AS528" s="43"/>
      <c r="AT528" s="43"/>
      <c r="AU528" s="43"/>
      <c r="AV528" s="43"/>
      <c r="AW528" s="43"/>
      <c r="AX528" s="43"/>
      <c r="AY528" s="34" t="s">
        <v>230</v>
      </c>
      <c r="AZ528" s="34" t="s">
        <v>308</v>
      </c>
      <c r="BA528" s="47" t="s">
        <v>298</v>
      </c>
      <c r="BB528" s="48"/>
      <c r="BI528" s="42">
        <v>1</v>
      </c>
      <c r="BJ528" s="15" t="s">
        <v>1104</v>
      </c>
    </row>
    <row r="529" spans="1:63" ht="20.100000000000001" customHeight="1">
      <c r="A529" s="32">
        <f t="shared" si="59"/>
        <v>499</v>
      </c>
      <c r="B529" s="56" t="s">
        <v>1161</v>
      </c>
      <c r="C529" s="78" t="s">
        <v>112</v>
      </c>
      <c r="D529" s="35">
        <f>E529+F529</f>
        <v>0.1</v>
      </c>
      <c r="E529" s="35"/>
      <c r="F529" s="35">
        <f>SUM(G529:AX529)</f>
        <v>0.1</v>
      </c>
      <c r="G529" s="43"/>
      <c r="H529" s="43">
        <v>0.1</v>
      </c>
      <c r="I529" s="43"/>
      <c r="J529" s="43"/>
      <c r="K529" s="43"/>
      <c r="L529" s="43"/>
      <c r="M529" s="43"/>
      <c r="N529" s="43"/>
      <c r="O529" s="43"/>
      <c r="P529" s="43"/>
      <c r="Q529" s="43"/>
      <c r="R529" s="43"/>
      <c r="S529" s="43"/>
      <c r="T529" s="43"/>
      <c r="U529" s="43"/>
      <c r="V529" s="43"/>
      <c r="W529" s="43"/>
      <c r="X529" s="43"/>
      <c r="Y529" s="43"/>
      <c r="Z529" s="43"/>
      <c r="AA529" s="43"/>
      <c r="AB529" s="43"/>
      <c r="AC529" s="43"/>
      <c r="AD529" s="43"/>
      <c r="AE529" s="43"/>
      <c r="AF529" s="43"/>
      <c r="AG529" s="43"/>
      <c r="AH529" s="43"/>
      <c r="AI529" s="43"/>
      <c r="AJ529" s="43"/>
      <c r="AK529" s="43"/>
      <c r="AL529" s="43"/>
      <c r="AM529" s="43"/>
      <c r="AN529" s="43"/>
      <c r="AO529" s="43"/>
      <c r="AP529" s="43"/>
      <c r="AQ529" s="43"/>
      <c r="AR529" s="43"/>
      <c r="AS529" s="43"/>
      <c r="AT529" s="43"/>
      <c r="AU529" s="43"/>
      <c r="AV529" s="43"/>
      <c r="AW529" s="43"/>
      <c r="AX529" s="43"/>
      <c r="AY529" s="34" t="s">
        <v>230</v>
      </c>
      <c r="AZ529" s="34" t="s">
        <v>471</v>
      </c>
      <c r="BA529" s="47" t="s">
        <v>298</v>
      </c>
      <c r="BB529" s="48"/>
      <c r="BC529" s="65"/>
      <c r="BD529" s="65"/>
      <c r="BI529" s="42">
        <v>1</v>
      </c>
    </row>
    <row r="530" spans="1:63" ht="20.100000000000001" customHeight="1">
      <c r="A530" s="32">
        <f t="shared" si="59"/>
        <v>500</v>
      </c>
      <c r="B530" s="56" t="s">
        <v>1162</v>
      </c>
      <c r="C530" s="78" t="s">
        <v>112</v>
      </c>
      <c r="D530" s="35">
        <f>E530+F530</f>
        <v>0.15</v>
      </c>
      <c r="E530" s="35"/>
      <c r="F530" s="35">
        <f>SUM(G530:AX530)</f>
        <v>0.15</v>
      </c>
      <c r="G530" s="43">
        <v>0.15</v>
      </c>
      <c r="H530" s="43"/>
      <c r="I530" s="43"/>
      <c r="J530" s="43"/>
      <c r="K530" s="43"/>
      <c r="L530" s="43"/>
      <c r="M530" s="43"/>
      <c r="N530" s="43"/>
      <c r="O530" s="43"/>
      <c r="P530" s="43"/>
      <c r="Q530" s="43"/>
      <c r="R530" s="43"/>
      <c r="S530" s="43"/>
      <c r="T530" s="43"/>
      <c r="U530" s="43"/>
      <c r="V530" s="43"/>
      <c r="W530" s="43"/>
      <c r="X530" s="43"/>
      <c r="Y530" s="43"/>
      <c r="Z530" s="43"/>
      <c r="AA530" s="43"/>
      <c r="AB530" s="43"/>
      <c r="AC530" s="43"/>
      <c r="AD530" s="43"/>
      <c r="AE530" s="43"/>
      <c r="AF530" s="43"/>
      <c r="AG530" s="43"/>
      <c r="AH530" s="43"/>
      <c r="AI530" s="43"/>
      <c r="AJ530" s="43"/>
      <c r="AK530" s="43"/>
      <c r="AL530" s="43"/>
      <c r="AM530" s="43"/>
      <c r="AN530" s="43"/>
      <c r="AO530" s="43"/>
      <c r="AP530" s="43"/>
      <c r="AQ530" s="43"/>
      <c r="AR530" s="43"/>
      <c r="AS530" s="43"/>
      <c r="AT530" s="43"/>
      <c r="AU530" s="43"/>
      <c r="AV530" s="43"/>
      <c r="AW530" s="43"/>
      <c r="AX530" s="43"/>
      <c r="AY530" s="34" t="s">
        <v>230</v>
      </c>
      <c r="AZ530" s="34" t="s">
        <v>387</v>
      </c>
      <c r="BA530" s="47" t="s">
        <v>298</v>
      </c>
      <c r="BB530" s="48"/>
      <c r="BC530" s="65"/>
      <c r="BD530" s="65"/>
      <c r="BI530" s="42">
        <v>1</v>
      </c>
      <c r="BJ530" s="15" t="s">
        <v>1104</v>
      </c>
    </row>
    <row r="531" spans="1:63" ht="20.100000000000001" customHeight="1">
      <c r="A531" s="32">
        <f t="shared" si="59"/>
        <v>501</v>
      </c>
      <c r="B531" s="60" t="s">
        <v>1163</v>
      </c>
      <c r="C531" s="78" t="s">
        <v>112</v>
      </c>
      <c r="D531" s="35">
        <f>E531+F531</f>
        <v>0.3</v>
      </c>
      <c r="E531" s="35">
        <v>0.06</v>
      </c>
      <c r="F531" s="35">
        <f>SUM(G531:AX531)</f>
        <v>0.24</v>
      </c>
      <c r="G531" s="46"/>
      <c r="H531" s="46"/>
      <c r="I531" s="46"/>
      <c r="J531" s="46"/>
      <c r="K531" s="46"/>
      <c r="L531" s="46"/>
      <c r="M531" s="46"/>
      <c r="N531" s="46"/>
      <c r="O531" s="46"/>
      <c r="P531" s="46"/>
      <c r="Q531" s="46"/>
      <c r="R531" s="46"/>
      <c r="S531" s="46"/>
      <c r="T531" s="46"/>
      <c r="U531" s="46"/>
      <c r="V531" s="46"/>
      <c r="W531" s="46"/>
      <c r="X531" s="46"/>
      <c r="Y531" s="46"/>
      <c r="Z531" s="46"/>
      <c r="AA531" s="46"/>
      <c r="AB531" s="46"/>
      <c r="AC531" s="46"/>
      <c r="AD531" s="46">
        <v>0.24</v>
      </c>
      <c r="AE531" s="46"/>
      <c r="AF531" s="46"/>
      <c r="AG531" s="46"/>
      <c r="AH531" s="46"/>
      <c r="AI531" s="46"/>
      <c r="AJ531" s="46"/>
      <c r="AK531" s="46"/>
      <c r="AL531" s="46"/>
      <c r="AM531" s="46"/>
      <c r="AN531" s="46"/>
      <c r="AO531" s="46"/>
      <c r="AP531" s="46"/>
      <c r="AQ531" s="46"/>
      <c r="AR531" s="46"/>
      <c r="AS531" s="46"/>
      <c r="AT531" s="46"/>
      <c r="AU531" s="46"/>
      <c r="AV531" s="46"/>
      <c r="AW531" s="46"/>
      <c r="AX531" s="46"/>
      <c r="AY531" s="34" t="s">
        <v>230</v>
      </c>
      <c r="AZ531" s="34" t="s">
        <v>1164</v>
      </c>
      <c r="BA531" s="47" t="s">
        <v>298</v>
      </c>
      <c r="BB531" s="48" t="s">
        <v>1165</v>
      </c>
      <c r="BC531" s="65"/>
      <c r="BD531" s="65"/>
      <c r="BG531" s="15" t="s">
        <v>1048</v>
      </c>
      <c r="BI531" s="42">
        <v>1</v>
      </c>
      <c r="BJ531" s="15" t="s">
        <v>1166</v>
      </c>
    </row>
    <row r="532" spans="1:63" ht="47.25">
      <c r="A532" s="32">
        <f t="shared" si="59"/>
        <v>502</v>
      </c>
      <c r="B532" s="56" t="s">
        <v>1167</v>
      </c>
      <c r="C532" s="78" t="s">
        <v>112</v>
      </c>
      <c r="D532" s="35">
        <f t="shared" si="53"/>
        <v>0.15</v>
      </c>
      <c r="E532" s="35"/>
      <c r="F532" s="35">
        <f t="shared" si="58"/>
        <v>0.15</v>
      </c>
      <c r="G532" s="43">
        <v>0.15</v>
      </c>
      <c r="H532" s="43"/>
      <c r="I532" s="43"/>
      <c r="J532" s="43"/>
      <c r="K532" s="43"/>
      <c r="L532" s="43"/>
      <c r="M532" s="43"/>
      <c r="N532" s="43"/>
      <c r="O532" s="43"/>
      <c r="P532" s="43"/>
      <c r="Q532" s="43"/>
      <c r="R532" s="43"/>
      <c r="S532" s="43"/>
      <c r="T532" s="43"/>
      <c r="U532" s="43"/>
      <c r="V532" s="43"/>
      <c r="W532" s="43"/>
      <c r="X532" s="43"/>
      <c r="Y532" s="43"/>
      <c r="Z532" s="43"/>
      <c r="AA532" s="43"/>
      <c r="AB532" s="43"/>
      <c r="AC532" s="43"/>
      <c r="AD532" s="43"/>
      <c r="AE532" s="43"/>
      <c r="AF532" s="43"/>
      <c r="AG532" s="43"/>
      <c r="AH532" s="43"/>
      <c r="AI532" s="43"/>
      <c r="AJ532" s="43"/>
      <c r="AK532" s="43"/>
      <c r="AL532" s="43"/>
      <c r="AM532" s="43"/>
      <c r="AN532" s="43"/>
      <c r="AO532" s="43"/>
      <c r="AP532" s="43"/>
      <c r="AQ532" s="43"/>
      <c r="AR532" s="43"/>
      <c r="AS532" s="43"/>
      <c r="AT532" s="43"/>
      <c r="AU532" s="43"/>
      <c r="AV532" s="43"/>
      <c r="AW532" s="43"/>
      <c r="AX532" s="43"/>
      <c r="AY532" s="34" t="s">
        <v>231</v>
      </c>
      <c r="AZ532" s="34" t="s">
        <v>451</v>
      </c>
      <c r="BA532" s="39" t="s">
        <v>291</v>
      </c>
      <c r="BB532" s="40"/>
      <c r="BI532" s="42">
        <v>1</v>
      </c>
    </row>
    <row r="533" spans="1:63">
      <c r="A533" s="32">
        <f t="shared" si="59"/>
        <v>503</v>
      </c>
      <c r="B533" s="56" t="s">
        <v>1091</v>
      </c>
      <c r="C533" s="78" t="s">
        <v>112</v>
      </c>
      <c r="D533" s="35">
        <f t="shared" ref="D533:D577" si="60">E533+F533</f>
        <v>0.15</v>
      </c>
      <c r="E533" s="35">
        <v>0.06</v>
      </c>
      <c r="F533" s="35">
        <f t="shared" si="58"/>
        <v>0.09</v>
      </c>
      <c r="G533" s="43"/>
      <c r="H533" s="43"/>
      <c r="I533" s="43"/>
      <c r="J533" s="43">
        <v>0.09</v>
      </c>
      <c r="K533" s="43"/>
      <c r="L533" s="43"/>
      <c r="M533" s="43"/>
      <c r="N533" s="43"/>
      <c r="O533" s="43"/>
      <c r="P533" s="43"/>
      <c r="Q533" s="43"/>
      <c r="R533" s="43"/>
      <c r="S533" s="43"/>
      <c r="T533" s="43"/>
      <c r="U533" s="43"/>
      <c r="V533" s="43"/>
      <c r="W533" s="43"/>
      <c r="X533" s="43"/>
      <c r="Y533" s="43"/>
      <c r="Z533" s="43"/>
      <c r="AA533" s="43"/>
      <c r="AB533" s="43"/>
      <c r="AC533" s="43"/>
      <c r="AD533" s="43"/>
      <c r="AE533" s="43"/>
      <c r="AF533" s="43"/>
      <c r="AG533" s="43"/>
      <c r="AH533" s="43"/>
      <c r="AI533" s="43"/>
      <c r="AJ533" s="43"/>
      <c r="AK533" s="43"/>
      <c r="AL533" s="43"/>
      <c r="AM533" s="43"/>
      <c r="AN533" s="43"/>
      <c r="AO533" s="43"/>
      <c r="AP533" s="43"/>
      <c r="AQ533" s="43"/>
      <c r="AR533" s="43"/>
      <c r="AS533" s="43"/>
      <c r="AT533" s="43"/>
      <c r="AU533" s="43"/>
      <c r="AV533" s="43"/>
      <c r="AW533" s="43"/>
      <c r="AX533" s="43"/>
      <c r="AY533" s="34" t="s">
        <v>231</v>
      </c>
      <c r="AZ533" s="34" t="s">
        <v>328</v>
      </c>
      <c r="BA533" s="39" t="s">
        <v>291</v>
      </c>
      <c r="BB533" s="40"/>
      <c r="BI533" s="42">
        <v>1</v>
      </c>
      <c r="BJ533" s="15" t="s">
        <v>1168</v>
      </c>
    </row>
    <row r="534" spans="1:63">
      <c r="A534" s="32">
        <f t="shared" si="59"/>
        <v>504</v>
      </c>
      <c r="B534" s="60" t="s">
        <v>1093</v>
      </c>
      <c r="C534" s="78" t="s">
        <v>112</v>
      </c>
      <c r="D534" s="35">
        <f t="shared" si="60"/>
        <v>0.14000000000000001</v>
      </c>
      <c r="E534" s="35">
        <v>0.06</v>
      </c>
      <c r="F534" s="35">
        <f t="shared" si="58"/>
        <v>0.08</v>
      </c>
      <c r="G534" s="107">
        <v>0.05</v>
      </c>
      <c r="H534" s="107">
        <v>0.03</v>
      </c>
      <c r="I534" s="107"/>
      <c r="J534" s="107"/>
      <c r="K534" s="107"/>
      <c r="L534" s="107"/>
      <c r="M534" s="107"/>
      <c r="N534" s="107"/>
      <c r="O534" s="107"/>
      <c r="P534" s="107"/>
      <c r="Q534" s="107"/>
      <c r="R534" s="107"/>
      <c r="S534" s="107"/>
      <c r="T534" s="107"/>
      <c r="U534" s="107"/>
      <c r="V534" s="107"/>
      <c r="W534" s="107"/>
      <c r="X534" s="107"/>
      <c r="Y534" s="107"/>
      <c r="Z534" s="107"/>
      <c r="AA534" s="107"/>
      <c r="AB534" s="107"/>
      <c r="AC534" s="107"/>
      <c r="AD534" s="107"/>
      <c r="AE534" s="107"/>
      <c r="AF534" s="107"/>
      <c r="AG534" s="107"/>
      <c r="AH534" s="107"/>
      <c r="AI534" s="107"/>
      <c r="AJ534" s="107"/>
      <c r="AK534" s="107"/>
      <c r="AL534" s="107"/>
      <c r="AM534" s="107"/>
      <c r="AN534" s="107"/>
      <c r="AO534" s="107"/>
      <c r="AP534" s="107"/>
      <c r="AQ534" s="107"/>
      <c r="AR534" s="107"/>
      <c r="AS534" s="107"/>
      <c r="AT534" s="107"/>
      <c r="AU534" s="107"/>
      <c r="AV534" s="107"/>
      <c r="AW534" s="107"/>
      <c r="AX534" s="107"/>
      <c r="AY534" s="34" t="s">
        <v>232</v>
      </c>
      <c r="AZ534" s="34" t="s">
        <v>425</v>
      </c>
      <c r="BA534" s="47" t="s">
        <v>298</v>
      </c>
      <c r="BB534" s="48"/>
      <c r="BD534" s="15" t="s">
        <v>1169</v>
      </c>
      <c r="BE534" s="41"/>
      <c r="BI534" s="42">
        <v>1</v>
      </c>
    </row>
    <row r="535" spans="1:63">
      <c r="A535" s="32">
        <f t="shared" si="59"/>
        <v>505</v>
      </c>
      <c r="B535" s="60" t="s">
        <v>1170</v>
      </c>
      <c r="C535" s="78" t="s">
        <v>112</v>
      </c>
      <c r="D535" s="35">
        <f t="shared" si="60"/>
        <v>0.3</v>
      </c>
      <c r="E535" s="35">
        <v>0.22</v>
      </c>
      <c r="F535" s="35">
        <f t="shared" si="58"/>
        <v>0.08</v>
      </c>
      <c r="G535" s="107">
        <v>0.08</v>
      </c>
      <c r="H535" s="107"/>
      <c r="I535" s="107"/>
      <c r="J535" s="107"/>
      <c r="K535" s="107"/>
      <c r="L535" s="107"/>
      <c r="M535" s="107"/>
      <c r="N535" s="107"/>
      <c r="O535" s="107"/>
      <c r="P535" s="107"/>
      <c r="Q535" s="107"/>
      <c r="R535" s="107"/>
      <c r="S535" s="107"/>
      <c r="T535" s="107"/>
      <c r="U535" s="107"/>
      <c r="V535" s="107"/>
      <c r="W535" s="107"/>
      <c r="X535" s="107"/>
      <c r="Y535" s="107"/>
      <c r="Z535" s="107"/>
      <c r="AA535" s="107"/>
      <c r="AB535" s="107"/>
      <c r="AC535" s="107"/>
      <c r="AD535" s="107"/>
      <c r="AE535" s="107"/>
      <c r="AF535" s="107"/>
      <c r="AG535" s="107"/>
      <c r="AH535" s="107"/>
      <c r="AI535" s="107"/>
      <c r="AJ535" s="107"/>
      <c r="AK535" s="107"/>
      <c r="AL535" s="107"/>
      <c r="AM535" s="107"/>
      <c r="AN535" s="107"/>
      <c r="AO535" s="107"/>
      <c r="AP535" s="107"/>
      <c r="AQ535" s="107"/>
      <c r="AR535" s="107"/>
      <c r="AS535" s="107"/>
      <c r="AT535" s="107"/>
      <c r="AU535" s="107"/>
      <c r="AV535" s="107"/>
      <c r="AW535" s="107"/>
      <c r="AX535" s="107"/>
      <c r="AY535" s="34" t="s">
        <v>232</v>
      </c>
      <c r="AZ535" s="34" t="s">
        <v>685</v>
      </c>
      <c r="BA535" s="47" t="s">
        <v>298</v>
      </c>
      <c r="BB535" s="48"/>
      <c r="BD535" s="15" t="s">
        <v>1171</v>
      </c>
      <c r="BE535" s="41" t="s">
        <v>7</v>
      </c>
      <c r="BI535" s="42">
        <v>1</v>
      </c>
    </row>
    <row r="536" spans="1:63" s="49" customFormat="1">
      <c r="A536" s="32">
        <f t="shared" si="59"/>
        <v>506</v>
      </c>
      <c r="B536" s="56" t="s">
        <v>1172</v>
      </c>
      <c r="C536" s="78" t="s">
        <v>112</v>
      </c>
      <c r="D536" s="35">
        <f t="shared" si="60"/>
        <v>0.13</v>
      </c>
      <c r="E536" s="45">
        <v>7.0000000000000007E-2</v>
      </c>
      <c r="F536" s="35">
        <f t="shared" si="58"/>
        <v>0.06</v>
      </c>
      <c r="G536" s="46">
        <v>0.06</v>
      </c>
      <c r="H536" s="46"/>
      <c r="I536" s="46"/>
      <c r="J536" s="46"/>
      <c r="K536" s="46"/>
      <c r="L536" s="46"/>
      <c r="M536" s="46"/>
      <c r="N536" s="46"/>
      <c r="O536" s="46"/>
      <c r="P536" s="46"/>
      <c r="Q536" s="46"/>
      <c r="R536" s="46"/>
      <c r="S536" s="46"/>
      <c r="T536" s="46"/>
      <c r="U536" s="46"/>
      <c r="V536" s="46"/>
      <c r="W536" s="46"/>
      <c r="X536" s="46"/>
      <c r="Y536" s="46"/>
      <c r="Z536" s="46"/>
      <c r="AA536" s="46"/>
      <c r="AB536" s="46"/>
      <c r="AC536" s="46"/>
      <c r="AD536" s="46"/>
      <c r="AE536" s="46"/>
      <c r="AF536" s="46"/>
      <c r="AG536" s="46"/>
      <c r="AH536" s="46"/>
      <c r="AI536" s="46"/>
      <c r="AJ536" s="46"/>
      <c r="AK536" s="46"/>
      <c r="AL536" s="46"/>
      <c r="AM536" s="46"/>
      <c r="AN536" s="46"/>
      <c r="AO536" s="46"/>
      <c r="AP536" s="46"/>
      <c r="AQ536" s="46"/>
      <c r="AR536" s="46"/>
      <c r="AS536" s="46"/>
      <c r="AT536" s="46"/>
      <c r="AU536" s="46"/>
      <c r="AV536" s="46"/>
      <c r="AW536" s="46"/>
      <c r="AX536" s="46"/>
      <c r="AY536" s="47" t="s">
        <v>953</v>
      </c>
      <c r="AZ536" s="47" t="s">
        <v>784</v>
      </c>
      <c r="BA536" s="93" t="s">
        <v>291</v>
      </c>
      <c r="BB536" s="50"/>
      <c r="BI536" s="42">
        <v>1</v>
      </c>
      <c r="BK536" s="50"/>
    </row>
    <row r="537" spans="1:63" s="49" customFormat="1">
      <c r="A537" s="32">
        <f t="shared" si="59"/>
        <v>507</v>
      </c>
      <c r="B537" s="56" t="s">
        <v>1173</v>
      </c>
      <c r="C537" s="78" t="s">
        <v>112</v>
      </c>
      <c r="D537" s="35">
        <f t="shared" si="60"/>
        <v>0.1</v>
      </c>
      <c r="E537" s="45">
        <v>0.1</v>
      </c>
      <c r="F537" s="89">
        <f t="shared" si="58"/>
        <v>0</v>
      </c>
      <c r="G537" s="46"/>
      <c r="H537" s="46"/>
      <c r="I537" s="46"/>
      <c r="J537" s="46"/>
      <c r="K537" s="46"/>
      <c r="L537" s="46"/>
      <c r="M537" s="46"/>
      <c r="N537" s="46"/>
      <c r="O537" s="46"/>
      <c r="P537" s="46"/>
      <c r="Q537" s="46"/>
      <c r="R537" s="46"/>
      <c r="S537" s="46"/>
      <c r="T537" s="46"/>
      <c r="U537" s="46"/>
      <c r="V537" s="46"/>
      <c r="W537" s="46"/>
      <c r="X537" s="46"/>
      <c r="Y537" s="46"/>
      <c r="Z537" s="46"/>
      <c r="AA537" s="46"/>
      <c r="AB537" s="46"/>
      <c r="AC537" s="46"/>
      <c r="AD537" s="46"/>
      <c r="AE537" s="46"/>
      <c r="AF537" s="46"/>
      <c r="AG537" s="46"/>
      <c r="AH537" s="46"/>
      <c r="AI537" s="46"/>
      <c r="AJ537" s="46"/>
      <c r="AK537" s="46"/>
      <c r="AL537" s="46"/>
      <c r="AM537" s="46"/>
      <c r="AN537" s="46"/>
      <c r="AO537" s="46"/>
      <c r="AP537" s="46"/>
      <c r="AQ537" s="46"/>
      <c r="AR537" s="46"/>
      <c r="AS537" s="46"/>
      <c r="AT537" s="46"/>
      <c r="AU537" s="46"/>
      <c r="AV537" s="46"/>
      <c r="AW537" s="46"/>
      <c r="AX537" s="46"/>
      <c r="AY537" s="47" t="s">
        <v>953</v>
      </c>
      <c r="AZ537" s="47" t="s">
        <v>1174</v>
      </c>
      <c r="BA537" s="93" t="s">
        <v>291</v>
      </c>
      <c r="BB537" s="50" t="s">
        <v>445</v>
      </c>
      <c r="BG537" s="49" t="s">
        <v>813</v>
      </c>
      <c r="BI537" s="42">
        <v>1</v>
      </c>
      <c r="BK537" s="50"/>
    </row>
    <row r="538" spans="1:63" s="49" customFormat="1" ht="47.25">
      <c r="A538" s="32">
        <f>A537+1</f>
        <v>508</v>
      </c>
      <c r="B538" s="56" t="s">
        <v>1175</v>
      </c>
      <c r="C538" s="78" t="s">
        <v>112</v>
      </c>
      <c r="D538" s="35">
        <f>E538+F538</f>
        <v>0.12</v>
      </c>
      <c r="E538" s="45"/>
      <c r="F538" s="141">
        <f>SUM(G538:AX538)</f>
        <v>0.12</v>
      </c>
      <c r="G538" s="46"/>
      <c r="H538" s="46"/>
      <c r="I538" s="46"/>
      <c r="J538" s="46"/>
      <c r="K538" s="46"/>
      <c r="L538" s="46"/>
      <c r="M538" s="46"/>
      <c r="N538" s="46"/>
      <c r="O538" s="46"/>
      <c r="P538" s="46"/>
      <c r="Q538" s="46"/>
      <c r="R538" s="46"/>
      <c r="S538" s="46"/>
      <c r="T538" s="46"/>
      <c r="U538" s="46"/>
      <c r="V538" s="46"/>
      <c r="W538" s="46"/>
      <c r="X538" s="46"/>
      <c r="Y538" s="46"/>
      <c r="Z538" s="46"/>
      <c r="AA538" s="46"/>
      <c r="AB538" s="46"/>
      <c r="AC538" s="46"/>
      <c r="AD538" s="46"/>
      <c r="AE538" s="46"/>
      <c r="AF538" s="46"/>
      <c r="AG538" s="46"/>
      <c r="AH538" s="46"/>
      <c r="AI538" s="46"/>
      <c r="AJ538" s="46"/>
      <c r="AK538" s="46"/>
      <c r="AL538" s="46"/>
      <c r="AM538" s="46"/>
      <c r="AN538" s="46"/>
      <c r="AO538" s="46"/>
      <c r="AP538" s="46"/>
      <c r="AQ538" s="46"/>
      <c r="AR538" s="46">
        <v>0.12</v>
      </c>
      <c r="AS538" s="46"/>
      <c r="AT538" s="46"/>
      <c r="AU538" s="46"/>
      <c r="AV538" s="46"/>
      <c r="AW538" s="46"/>
      <c r="AX538" s="46"/>
      <c r="AY538" s="47" t="s">
        <v>953</v>
      </c>
      <c r="AZ538" s="47" t="s">
        <v>346</v>
      </c>
      <c r="BA538" s="93" t="s">
        <v>298</v>
      </c>
      <c r="BB538" s="50"/>
      <c r="BG538" s="49" t="s">
        <v>311</v>
      </c>
      <c r="BI538" s="42"/>
      <c r="BK538" s="50"/>
    </row>
    <row r="539" spans="1:63" s="49" customFormat="1">
      <c r="A539" s="32">
        <f>A538+1</f>
        <v>509</v>
      </c>
      <c r="B539" s="56" t="s">
        <v>1176</v>
      </c>
      <c r="C539" s="78" t="s">
        <v>112</v>
      </c>
      <c r="D539" s="35">
        <f t="shared" si="60"/>
        <v>0.15000000000000002</v>
      </c>
      <c r="E539" s="45">
        <v>0.08</v>
      </c>
      <c r="F539" s="35">
        <f t="shared" si="58"/>
        <v>7.0000000000000007E-2</v>
      </c>
      <c r="G539" s="46"/>
      <c r="H539" s="46"/>
      <c r="I539" s="46"/>
      <c r="J539" s="46">
        <v>7.0000000000000007E-2</v>
      </c>
      <c r="K539" s="46"/>
      <c r="L539" s="46"/>
      <c r="M539" s="46"/>
      <c r="N539" s="46"/>
      <c r="O539" s="46"/>
      <c r="P539" s="46"/>
      <c r="Q539" s="46"/>
      <c r="R539" s="46"/>
      <c r="S539" s="46"/>
      <c r="T539" s="46"/>
      <c r="U539" s="46"/>
      <c r="V539" s="46"/>
      <c r="W539" s="46"/>
      <c r="X539" s="46"/>
      <c r="Y539" s="46"/>
      <c r="Z539" s="46"/>
      <c r="AA539" s="46"/>
      <c r="AB539" s="46"/>
      <c r="AC539" s="46"/>
      <c r="AD539" s="46"/>
      <c r="AE539" s="46"/>
      <c r="AF539" s="46"/>
      <c r="AG539" s="46"/>
      <c r="AH539" s="46"/>
      <c r="AI539" s="46"/>
      <c r="AJ539" s="46"/>
      <c r="AK539" s="46"/>
      <c r="AL539" s="46"/>
      <c r="AM539" s="46"/>
      <c r="AN539" s="46"/>
      <c r="AO539" s="46"/>
      <c r="AP539" s="46"/>
      <c r="AQ539" s="46"/>
      <c r="AR539" s="46"/>
      <c r="AS539" s="46"/>
      <c r="AT539" s="46"/>
      <c r="AU539" s="46"/>
      <c r="AV539" s="46"/>
      <c r="AW539" s="46"/>
      <c r="AX539" s="46"/>
      <c r="AY539" s="47" t="s">
        <v>953</v>
      </c>
      <c r="AZ539" s="47" t="s">
        <v>1177</v>
      </c>
      <c r="BA539" s="93" t="s">
        <v>291</v>
      </c>
      <c r="BB539" s="50"/>
      <c r="BI539" s="42">
        <v>1</v>
      </c>
      <c r="BK539" s="50"/>
    </row>
    <row r="540" spans="1:63" s="49" customFormat="1">
      <c r="A540" s="32">
        <f t="shared" si="59"/>
        <v>510</v>
      </c>
      <c r="B540" s="56" t="s">
        <v>1178</v>
      </c>
      <c r="C540" s="78" t="s">
        <v>112</v>
      </c>
      <c r="D540" s="35">
        <f t="shared" si="60"/>
        <v>0.15</v>
      </c>
      <c r="E540" s="45">
        <v>0.04</v>
      </c>
      <c r="F540" s="35">
        <f t="shared" si="58"/>
        <v>0.11</v>
      </c>
      <c r="G540" s="46"/>
      <c r="H540" s="46">
        <v>0.1</v>
      </c>
      <c r="I540" s="46"/>
      <c r="J540" s="46"/>
      <c r="K540" s="46"/>
      <c r="L540" s="46"/>
      <c r="M540" s="46">
        <v>0.01</v>
      </c>
      <c r="N540" s="46"/>
      <c r="O540" s="46"/>
      <c r="P540" s="46"/>
      <c r="Q540" s="46"/>
      <c r="R540" s="46"/>
      <c r="S540" s="46"/>
      <c r="T540" s="46"/>
      <c r="U540" s="46"/>
      <c r="V540" s="46"/>
      <c r="W540" s="46"/>
      <c r="X540" s="46"/>
      <c r="Y540" s="46"/>
      <c r="Z540" s="46"/>
      <c r="AA540" s="46"/>
      <c r="AB540" s="46"/>
      <c r="AC540" s="46"/>
      <c r="AD540" s="46"/>
      <c r="AE540" s="46"/>
      <c r="AF540" s="46"/>
      <c r="AG540" s="46"/>
      <c r="AH540" s="46"/>
      <c r="AI540" s="46"/>
      <c r="AJ540" s="46"/>
      <c r="AK540" s="46"/>
      <c r="AL540" s="46"/>
      <c r="AM540" s="46"/>
      <c r="AN540" s="46"/>
      <c r="AO540" s="46"/>
      <c r="AP540" s="46"/>
      <c r="AQ540" s="46"/>
      <c r="AR540" s="46"/>
      <c r="AS540" s="46"/>
      <c r="AT540" s="46"/>
      <c r="AU540" s="46"/>
      <c r="AV540" s="46"/>
      <c r="AW540" s="46"/>
      <c r="AX540" s="46"/>
      <c r="AY540" s="47" t="s">
        <v>953</v>
      </c>
      <c r="AZ540" s="47" t="s">
        <v>1179</v>
      </c>
      <c r="BA540" s="93" t="s">
        <v>291</v>
      </c>
      <c r="BB540" s="50"/>
      <c r="BI540" s="42">
        <v>1</v>
      </c>
      <c r="BJ540" s="15" t="s">
        <v>1180</v>
      </c>
      <c r="BK540" s="50"/>
    </row>
    <row r="541" spans="1:63" s="49" customFormat="1">
      <c r="A541" s="32">
        <f t="shared" si="59"/>
        <v>511</v>
      </c>
      <c r="B541" s="56" t="s">
        <v>1181</v>
      </c>
      <c r="C541" s="78" t="s">
        <v>112</v>
      </c>
      <c r="D541" s="35">
        <f t="shared" si="60"/>
        <v>0.15</v>
      </c>
      <c r="E541" s="45">
        <v>0.06</v>
      </c>
      <c r="F541" s="35">
        <f t="shared" si="58"/>
        <v>0.09</v>
      </c>
      <c r="G541" s="46"/>
      <c r="H541" s="46"/>
      <c r="I541" s="46">
        <v>0.09</v>
      </c>
      <c r="J541" s="46"/>
      <c r="K541" s="46"/>
      <c r="L541" s="46"/>
      <c r="M541" s="46"/>
      <c r="N541" s="46"/>
      <c r="O541" s="46"/>
      <c r="P541" s="46"/>
      <c r="Q541" s="46"/>
      <c r="R541" s="46"/>
      <c r="S541" s="46"/>
      <c r="T541" s="46"/>
      <c r="U541" s="46"/>
      <c r="V541" s="46"/>
      <c r="W541" s="46"/>
      <c r="X541" s="46"/>
      <c r="Y541" s="46"/>
      <c r="Z541" s="46"/>
      <c r="AA541" s="46"/>
      <c r="AB541" s="46"/>
      <c r="AC541" s="46"/>
      <c r="AD541" s="46"/>
      <c r="AE541" s="46"/>
      <c r="AF541" s="46"/>
      <c r="AG541" s="46"/>
      <c r="AH541" s="46"/>
      <c r="AI541" s="46"/>
      <c r="AJ541" s="46"/>
      <c r="AK541" s="46"/>
      <c r="AL541" s="46"/>
      <c r="AM541" s="46"/>
      <c r="AN541" s="46"/>
      <c r="AO541" s="46"/>
      <c r="AP541" s="46"/>
      <c r="AQ541" s="46"/>
      <c r="AR541" s="46"/>
      <c r="AS541" s="46"/>
      <c r="AT541" s="46"/>
      <c r="AU541" s="46"/>
      <c r="AV541" s="46"/>
      <c r="AW541" s="46"/>
      <c r="AX541" s="46"/>
      <c r="AY541" s="47" t="s">
        <v>953</v>
      </c>
      <c r="AZ541" s="47" t="s">
        <v>1182</v>
      </c>
      <c r="BA541" s="93" t="s">
        <v>291</v>
      </c>
      <c r="BB541" s="50"/>
      <c r="BI541" s="42">
        <v>1</v>
      </c>
      <c r="BK541" s="50"/>
    </row>
    <row r="542" spans="1:63" s="49" customFormat="1">
      <c r="A542" s="32">
        <f t="shared" si="59"/>
        <v>512</v>
      </c>
      <c r="B542" s="56" t="s">
        <v>1183</v>
      </c>
      <c r="C542" s="78" t="s">
        <v>112</v>
      </c>
      <c r="D542" s="35">
        <f t="shared" si="60"/>
        <v>0.27</v>
      </c>
      <c r="E542" s="45"/>
      <c r="F542" s="35">
        <f t="shared" si="58"/>
        <v>0.27</v>
      </c>
      <c r="G542" s="46"/>
      <c r="H542" s="46"/>
      <c r="I542" s="46"/>
      <c r="J542" s="46"/>
      <c r="K542" s="46"/>
      <c r="L542" s="46"/>
      <c r="M542" s="46"/>
      <c r="N542" s="46"/>
      <c r="O542" s="46"/>
      <c r="P542" s="46"/>
      <c r="Q542" s="46"/>
      <c r="R542" s="46"/>
      <c r="S542" s="46"/>
      <c r="T542" s="46"/>
      <c r="U542" s="46"/>
      <c r="V542" s="46"/>
      <c r="W542" s="46"/>
      <c r="X542" s="46"/>
      <c r="Y542" s="46"/>
      <c r="Z542" s="46"/>
      <c r="AA542" s="46"/>
      <c r="AB542" s="46"/>
      <c r="AC542" s="46"/>
      <c r="AD542" s="46">
        <v>0.27</v>
      </c>
      <c r="AE542" s="46"/>
      <c r="AF542" s="46"/>
      <c r="AG542" s="46"/>
      <c r="AH542" s="46"/>
      <c r="AI542" s="46"/>
      <c r="AJ542" s="46"/>
      <c r="AK542" s="46"/>
      <c r="AL542" s="46"/>
      <c r="AM542" s="46"/>
      <c r="AN542" s="46"/>
      <c r="AO542" s="46"/>
      <c r="AP542" s="46"/>
      <c r="AQ542" s="46"/>
      <c r="AR542" s="46"/>
      <c r="AS542" s="46"/>
      <c r="AT542" s="46"/>
      <c r="AU542" s="46"/>
      <c r="AV542" s="46"/>
      <c r="AW542" s="46"/>
      <c r="AX542" s="46"/>
      <c r="AY542" s="47" t="s">
        <v>953</v>
      </c>
      <c r="AZ542" s="47" t="s">
        <v>1184</v>
      </c>
      <c r="BA542" s="93" t="s">
        <v>322</v>
      </c>
      <c r="BB542" s="50"/>
      <c r="BI542" s="42">
        <v>1</v>
      </c>
      <c r="BJ542" s="15" t="s">
        <v>1185</v>
      </c>
      <c r="BK542" s="50"/>
    </row>
    <row r="543" spans="1:63" s="49" customFormat="1">
      <c r="A543" s="32">
        <f t="shared" si="59"/>
        <v>513</v>
      </c>
      <c r="B543" s="56" t="s">
        <v>1186</v>
      </c>
      <c r="C543" s="78" t="s">
        <v>112</v>
      </c>
      <c r="D543" s="35">
        <f t="shared" si="60"/>
        <v>0.15000000000000002</v>
      </c>
      <c r="E543" s="45"/>
      <c r="F543" s="35">
        <f t="shared" si="58"/>
        <v>0.15000000000000002</v>
      </c>
      <c r="G543" s="46"/>
      <c r="H543" s="46"/>
      <c r="I543" s="46"/>
      <c r="J543" s="46">
        <v>0.1</v>
      </c>
      <c r="K543" s="46"/>
      <c r="L543" s="46"/>
      <c r="M543" s="46"/>
      <c r="N543" s="46"/>
      <c r="O543" s="46"/>
      <c r="P543" s="46"/>
      <c r="Q543" s="46"/>
      <c r="R543" s="46"/>
      <c r="S543" s="46"/>
      <c r="T543" s="46"/>
      <c r="U543" s="46"/>
      <c r="V543" s="46"/>
      <c r="W543" s="46">
        <v>0.05</v>
      </c>
      <c r="X543" s="46"/>
      <c r="Y543" s="46"/>
      <c r="Z543" s="46"/>
      <c r="AA543" s="46"/>
      <c r="AB543" s="46"/>
      <c r="AC543" s="46"/>
      <c r="AD543" s="46"/>
      <c r="AE543" s="46"/>
      <c r="AF543" s="46"/>
      <c r="AG543" s="46"/>
      <c r="AH543" s="46"/>
      <c r="AI543" s="46"/>
      <c r="AJ543" s="46"/>
      <c r="AK543" s="46"/>
      <c r="AL543" s="46"/>
      <c r="AM543" s="46"/>
      <c r="AN543" s="46"/>
      <c r="AO543" s="46"/>
      <c r="AP543" s="46"/>
      <c r="AQ543" s="46"/>
      <c r="AR543" s="46"/>
      <c r="AS543" s="46"/>
      <c r="AT543" s="46"/>
      <c r="AU543" s="46"/>
      <c r="AV543" s="46"/>
      <c r="AW543" s="46"/>
      <c r="AX543" s="46"/>
      <c r="AY543" s="47" t="s">
        <v>953</v>
      </c>
      <c r="AZ543" s="47" t="s">
        <v>788</v>
      </c>
      <c r="BA543" s="93" t="s">
        <v>322</v>
      </c>
      <c r="BB543" s="50"/>
      <c r="BI543" s="42">
        <v>1</v>
      </c>
      <c r="BJ543" s="15" t="s">
        <v>1187</v>
      </c>
      <c r="BK543" s="50"/>
    </row>
    <row r="544" spans="1:63" s="49" customFormat="1">
      <c r="A544" s="32">
        <f t="shared" si="59"/>
        <v>514</v>
      </c>
      <c r="B544" s="56" t="s">
        <v>1188</v>
      </c>
      <c r="C544" s="78" t="s">
        <v>112</v>
      </c>
      <c r="D544" s="35">
        <f t="shared" si="60"/>
        <v>0.41000000000000003</v>
      </c>
      <c r="E544" s="45">
        <v>0.22</v>
      </c>
      <c r="F544" s="35">
        <f t="shared" si="58"/>
        <v>0.19</v>
      </c>
      <c r="G544" s="46">
        <v>0.19</v>
      </c>
      <c r="H544" s="46"/>
      <c r="I544" s="46"/>
      <c r="J544" s="46"/>
      <c r="K544" s="46"/>
      <c r="L544" s="46"/>
      <c r="M544" s="46"/>
      <c r="N544" s="46"/>
      <c r="O544" s="46"/>
      <c r="P544" s="46"/>
      <c r="Q544" s="46"/>
      <c r="R544" s="46"/>
      <c r="S544" s="46"/>
      <c r="T544" s="46"/>
      <c r="U544" s="46"/>
      <c r="V544" s="46"/>
      <c r="W544" s="46"/>
      <c r="X544" s="46"/>
      <c r="Y544" s="46"/>
      <c r="Z544" s="46"/>
      <c r="AA544" s="46"/>
      <c r="AB544" s="46"/>
      <c r="AC544" s="46"/>
      <c r="AD544" s="46"/>
      <c r="AE544" s="46"/>
      <c r="AF544" s="46"/>
      <c r="AG544" s="46"/>
      <c r="AH544" s="46"/>
      <c r="AI544" s="46"/>
      <c r="AJ544" s="46"/>
      <c r="AK544" s="46"/>
      <c r="AL544" s="46"/>
      <c r="AM544" s="46"/>
      <c r="AN544" s="46"/>
      <c r="AO544" s="46"/>
      <c r="AP544" s="46"/>
      <c r="AQ544" s="46"/>
      <c r="AR544" s="46"/>
      <c r="AS544" s="46"/>
      <c r="AT544" s="46"/>
      <c r="AU544" s="46"/>
      <c r="AV544" s="46"/>
      <c r="AW544" s="46"/>
      <c r="AX544" s="46"/>
      <c r="AY544" s="47" t="s">
        <v>953</v>
      </c>
      <c r="AZ544" s="47" t="s">
        <v>1013</v>
      </c>
      <c r="BA544" s="93" t="s">
        <v>291</v>
      </c>
      <c r="BB544" s="50"/>
      <c r="BI544" s="42">
        <v>1</v>
      </c>
      <c r="BK544" s="50"/>
    </row>
    <row r="545" spans="1:63" s="49" customFormat="1">
      <c r="A545" s="32">
        <f t="shared" si="59"/>
        <v>515</v>
      </c>
      <c r="B545" s="56" t="s">
        <v>1189</v>
      </c>
      <c r="C545" s="78" t="s">
        <v>112</v>
      </c>
      <c r="D545" s="35">
        <f t="shared" si="60"/>
        <v>0.12000000000000001</v>
      </c>
      <c r="E545" s="45">
        <v>7.0000000000000007E-2</v>
      </c>
      <c r="F545" s="35">
        <f t="shared" si="58"/>
        <v>0.05</v>
      </c>
      <c r="G545" s="46">
        <v>0.05</v>
      </c>
      <c r="H545" s="46"/>
      <c r="I545" s="46"/>
      <c r="J545" s="46"/>
      <c r="K545" s="46"/>
      <c r="L545" s="46"/>
      <c r="M545" s="46"/>
      <c r="N545" s="46"/>
      <c r="O545" s="46"/>
      <c r="P545" s="46"/>
      <c r="Q545" s="46"/>
      <c r="R545" s="46"/>
      <c r="S545" s="46"/>
      <c r="T545" s="46"/>
      <c r="U545" s="46"/>
      <c r="V545" s="46"/>
      <c r="W545" s="46"/>
      <c r="X545" s="46"/>
      <c r="Y545" s="46"/>
      <c r="Z545" s="46"/>
      <c r="AA545" s="46"/>
      <c r="AB545" s="46"/>
      <c r="AC545" s="46"/>
      <c r="AD545" s="46"/>
      <c r="AE545" s="46"/>
      <c r="AF545" s="46"/>
      <c r="AG545" s="46"/>
      <c r="AH545" s="46"/>
      <c r="AI545" s="46"/>
      <c r="AJ545" s="46"/>
      <c r="AK545" s="46"/>
      <c r="AL545" s="46"/>
      <c r="AM545" s="46"/>
      <c r="AN545" s="46"/>
      <c r="AO545" s="46"/>
      <c r="AP545" s="46"/>
      <c r="AQ545" s="46"/>
      <c r="AR545" s="46"/>
      <c r="AS545" s="46"/>
      <c r="AT545" s="46"/>
      <c r="AU545" s="46"/>
      <c r="AV545" s="46"/>
      <c r="AW545" s="46"/>
      <c r="AX545" s="46"/>
      <c r="AY545" s="47" t="s">
        <v>953</v>
      </c>
      <c r="AZ545" s="47" t="s">
        <v>786</v>
      </c>
      <c r="BA545" s="93" t="s">
        <v>291</v>
      </c>
      <c r="BB545" s="50"/>
      <c r="BI545" s="42">
        <v>1</v>
      </c>
      <c r="BK545" s="50"/>
    </row>
    <row r="546" spans="1:63" s="49" customFormat="1">
      <c r="A546" s="32">
        <f t="shared" si="59"/>
        <v>516</v>
      </c>
      <c r="B546" s="56" t="s">
        <v>1190</v>
      </c>
      <c r="C546" s="78" t="s">
        <v>112</v>
      </c>
      <c r="D546" s="35">
        <f t="shared" si="60"/>
        <v>0.13</v>
      </c>
      <c r="E546" s="45">
        <v>0.08</v>
      </c>
      <c r="F546" s="35">
        <f t="shared" si="58"/>
        <v>0.05</v>
      </c>
      <c r="G546" s="46"/>
      <c r="H546" s="46"/>
      <c r="I546" s="46"/>
      <c r="J546" s="46">
        <v>0.05</v>
      </c>
      <c r="K546" s="46"/>
      <c r="L546" s="46"/>
      <c r="M546" s="46"/>
      <c r="N546" s="46"/>
      <c r="O546" s="46"/>
      <c r="P546" s="46"/>
      <c r="Q546" s="46"/>
      <c r="R546" s="46"/>
      <c r="S546" s="46"/>
      <c r="T546" s="46"/>
      <c r="U546" s="46"/>
      <c r="V546" s="46"/>
      <c r="W546" s="46"/>
      <c r="X546" s="46"/>
      <c r="Y546" s="46"/>
      <c r="Z546" s="46"/>
      <c r="AA546" s="46"/>
      <c r="AB546" s="46"/>
      <c r="AC546" s="46"/>
      <c r="AD546" s="46"/>
      <c r="AE546" s="46"/>
      <c r="AF546" s="46"/>
      <c r="AG546" s="46"/>
      <c r="AH546" s="46"/>
      <c r="AI546" s="46"/>
      <c r="AJ546" s="46"/>
      <c r="AK546" s="46"/>
      <c r="AL546" s="46"/>
      <c r="AM546" s="46"/>
      <c r="AN546" s="46"/>
      <c r="AO546" s="46"/>
      <c r="AP546" s="46"/>
      <c r="AQ546" s="46"/>
      <c r="AR546" s="46"/>
      <c r="AS546" s="46"/>
      <c r="AT546" s="46"/>
      <c r="AU546" s="46"/>
      <c r="AV546" s="46"/>
      <c r="AW546" s="46"/>
      <c r="AX546" s="46"/>
      <c r="AY546" s="47" t="s">
        <v>953</v>
      </c>
      <c r="AZ546" s="47" t="s">
        <v>503</v>
      </c>
      <c r="BA546" s="93" t="s">
        <v>291</v>
      </c>
      <c r="BB546" s="50"/>
      <c r="BI546" s="42">
        <v>1</v>
      </c>
      <c r="BK546" s="50"/>
    </row>
    <row r="547" spans="1:63" s="49" customFormat="1">
      <c r="A547" s="32">
        <f t="shared" si="59"/>
        <v>517</v>
      </c>
      <c r="B547" s="56" t="s">
        <v>1191</v>
      </c>
      <c r="C547" s="78" t="s">
        <v>112</v>
      </c>
      <c r="D547" s="35">
        <f t="shared" si="60"/>
        <v>0.15</v>
      </c>
      <c r="E547" s="45"/>
      <c r="F547" s="35">
        <f t="shared" si="58"/>
        <v>0.15</v>
      </c>
      <c r="G547" s="46">
        <v>0.15</v>
      </c>
      <c r="H547" s="46"/>
      <c r="I547" s="46"/>
      <c r="J547" s="46"/>
      <c r="K547" s="46"/>
      <c r="L547" s="46"/>
      <c r="M547" s="46"/>
      <c r="N547" s="46"/>
      <c r="O547" s="46"/>
      <c r="P547" s="46"/>
      <c r="Q547" s="46"/>
      <c r="R547" s="46"/>
      <c r="S547" s="46"/>
      <c r="T547" s="46"/>
      <c r="U547" s="46"/>
      <c r="V547" s="46"/>
      <c r="W547" s="46"/>
      <c r="X547" s="46"/>
      <c r="Y547" s="46"/>
      <c r="Z547" s="46"/>
      <c r="AA547" s="46"/>
      <c r="AB547" s="46"/>
      <c r="AC547" s="46"/>
      <c r="AD547" s="46"/>
      <c r="AE547" s="46"/>
      <c r="AF547" s="46"/>
      <c r="AG547" s="46"/>
      <c r="AH547" s="46"/>
      <c r="AI547" s="46"/>
      <c r="AJ547" s="46"/>
      <c r="AK547" s="46"/>
      <c r="AL547" s="46"/>
      <c r="AM547" s="46"/>
      <c r="AN547" s="46"/>
      <c r="AO547" s="46"/>
      <c r="AP547" s="46"/>
      <c r="AQ547" s="46"/>
      <c r="AR547" s="46"/>
      <c r="AS547" s="46"/>
      <c r="AT547" s="46"/>
      <c r="AU547" s="46"/>
      <c r="AV547" s="46"/>
      <c r="AW547" s="46"/>
      <c r="AX547" s="46"/>
      <c r="AY547" s="47" t="s">
        <v>953</v>
      </c>
      <c r="AZ547" s="47" t="s">
        <v>1192</v>
      </c>
      <c r="BA547" s="93" t="s">
        <v>291</v>
      </c>
      <c r="BB547" s="50"/>
      <c r="BI547" s="42">
        <v>1</v>
      </c>
      <c r="BK547" s="50"/>
    </row>
    <row r="548" spans="1:63" s="49" customFormat="1">
      <c r="A548" s="32">
        <f t="shared" si="59"/>
        <v>518</v>
      </c>
      <c r="B548" s="56" t="s">
        <v>1193</v>
      </c>
      <c r="C548" s="78" t="s">
        <v>112</v>
      </c>
      <c r="D548" s="35">
        <f t="shared" si="60"/>
        <v>0.15</v>
      </c>
      <c r="E548" s="45"/>
      <c r="F548" s="35">
        <f t="shared" si="58"/>
        <v>0.15</v>
      </c>
      <c r="G548" s="46">
        <v>0.15</v>
      </c>
      <c r="H548" s="46"/>
      <c r="I548" s="46"/>
      <c r="J548" s="46"/>
      <c r="K548" s="46"/>
      <c r="L548" s="46"/>
      <c r="M548" s="46"/>
      <c r="N548" s="46"/>
      <c r="O548" s="46"/>
      <c r="P548" s="46"/>
      <c r="Q548" s="46"/>
      <c r="R548" s="46"/>
      <c r="S548" s="46"/>
      <c r="T548" s="46"/>
      <c r="U548" s="46"/>
      <c r="V548" s="46"/>
      <c r="W548" s="46"/>
      <c r="X548" s="46"/>
      <c r="Y548" s="46"/>
      <c r="Z548" s="46"/>
      <c r="AA548" s="46"/>
      <c r="AB548" s="46"/>
      <c r="AC548" s="46"/>
      <c r="AD548" s="46"/>
      <c r="AE548" s="46"/>
      <c r="AF548" s="46"/>
      <c r="AG548" s="46"/>
      <c r="AH548" s="46"/>
      <c r="AI548" s="46"/>
      <c r="AJ548" s="46"/>
      <c r="AK548" s="46"/>
      <c r="AL548" s="46"/>
      <c r="AM548" s="46"/>
      <c r="AN548" s="46"/>
      <c r="AO548" s="46"/>
      <c r="AP548" s="46"/>
      <c r="AQ548" s="46"/>
      <c r="AR548" s="46"/>
      <c r="AS548" s="46"/>
      <c r="AT548" s="46"/>
      <c r="AU548" s="46"/>
      <c r="AV548" s="46"/>
      <c r="AW548" s="46"/>
      <c r="AX548" s="46"/>
      <c r="AY548" s="47" t="s">
        <v>953</v>
      </c>
      <c r="AZ548" s="47" t="s">
        <v>1194</v>
      </c>
      <c r="BA548" s="93" t="s">
        <v>291</v>
      </c>
      <c r="BB548" s="50"/>
      <c r="BI548" s="42">
        <v>1</v>
      </c>
      <c r="BJ548" s="15" t="s">
        <v>1083</v>
      </c>
      <c r="BK548" s="50"/>
    </row>
    <row r="549" spans="1:63" s="49" customFormat="1">
      <c r="A549" s="32">
        <f t="shared" ref="A549:A587" si="61">A548+1</f>
        <v>519</v>
      </c>
      <c r="B549" s="56" t="s">
        <v>1195</v>
      </c>
      <c r="C549" s="78" t="s">
        <v>112</v>
      </c>
      <c r="D549" s="35">
        <f t="shared" si="60"/>
        <v>0.12</v>
      </c>
      <c r="E549" s="45"/>
      <c r="F549" s="35">
        <f t="shared" si="58"/>
        <v>0.12</v>
      </c>
      <c r="G549" s="46"/>
      <c r="H549" s="46"/>
      <c r="I549" s="46"/>
      <c r="J549" s="46"/>
      <c r="K549" s="46"/>
      <c r="L549" s="46"/>
      <c r="M549" s="46"/>
      <c r="N549" s="46"/>
      <c r="O549" s="46"/>
      <c r="P549" s="46"/>
      <c r="Q549" s="46"/>
      <c r="R549" s="46"/>
      <c r="S549" s="46"/>
      <c r="T549" s="46"/>
      <c r="U549" s="46"/>
      <c r="V549" s="46"/>
      <c r="W549" s="46"/>
      <c r="X549" s="46"/>
      <c r="Y549" s="46"/>
      <c r="Z549" s="46"/>
      <c r="AA549" s="46"/>
      <c r="AB549" s="46"/>
      <c r="AC549" s="46"/>
      <c r="AD549" s="46">
        <v>0.12</v>
      </c>
      <c r="AE549" s="46"/>
      <c r="AF549" s="46"/>
      <c r="AG549" s="46"/>
      <c r="AH549" s="46"/>
      <c r="AI549" s="46"/>
      <c r="AJ549" s="46"/>
      <c r="AK549" s="46"/>
      <c r="AL549" s="46"/>
      <c r="AM549" s="46"/>
      <c r="AN549" s="46"/>
      <c r="AO549" s="46"/>
      <c r="AP549" s="46"/>
      <c r="AQ549" s="46"/>
      <c r="AR549" s="46"/>
      <c r="AS549" s="46"/>
      <c r="AT549" s="46"/>
      <c r="AU549" s="46"/>
      <c r="AV549" s="46"/>
      <c r="AW549" s="46"/>
      <c r="AX549" s="46"/>
      <c r="AY549" s="47" t="s">
        <v>953</v>
      </c>
      <c r="AZ549" s="47" t="s">
        <v>1196</v>
      </c>
      <c r="BA549" s="93" t="s">
        <v>291</v>
      </c>
      <c r="BB549" s="50"/>
      <c r="BI549" s="42">
        <v>1</v>
      </c>
      <c r="BK549" s="50"/>
    </row>
    <row r="550" spans="1:63" s="49" customFormat="1" ht="35.450000000000003" customHeight="1">
      <c r="A550" s="32">
        <f t="shared" si="61"/>
        <v>520</v>
      </c>
      <c r="B550" s="56" t="s">
        <v>1197</v>
      </c>
      <c r="C550" s="78" t="s">
        <v>112</v>
      </c>
      <c r="D550" s="35">
        <f t="shared" si="60"/>
        <v>0.15</v>
      </c>
      <c r="E550" s="45"/>
      <c r="F550" s="35">
        <f t="shared" si="58"/>
        <v>0.15</v>
      </c>
      <c r="G550" s="46">
        <v>0.15</v>
      </c>
      <c r="H550" s="46"/>
      <c r="I550" s="46"/>
      <c r="J550" s="46"/>
      <c r="K550" s="46"/>
      <c r="L550" s="46"/>
      <c r="M550" s="46"/>
      <c r="N550" s="46"/>
      <c r="O550" s="46"/>
      <c r="P550" s="46"/>
      <c r="Q550" s="46"/>
      <c r="R550" s="46"/>
      <c r="S550" s="46"/>
      <c r="T550" s="46"/>
      <c r="U550" s="46"/>
      <c r="V550" s="46"/>
      <c r="W550" s="46"/>
      <c r="X550" s="46"/>
      <c r="Y550" s="46"/>
      <c r="Z550" s="46"/>
      <c r="AA550" s="46"/>
      <c r="AB550" s="46"/>
      <c r="AC550" s="46"/>
      <c r="AD550" s="46"/>
      <c r="AE550" s="46"/>
      <c r="AF550" s="46"/>
      <c r="AG550" s="46"/>
      <c r="AH550" s="46"/>
      <c r="AI550" s="46"/>
      <c r="AJ550" s="46"/>
      <c r="AK550" s="46"/>
      <c r="AL550" s="46"/>
      <c r="AM550" s="46"/>
      <c r="AN550" s="46"/>
      <c r="AO550" s="46"/>
      <c r="AP550" s="46"/>
      <c r="AQ550" s="46"/>
      <c r="AR550" s="46"/>
      <c r="AS550" s="46"/>
      <c r="AT550" s="46"/>
      <c r="AU550" s="46"/>
      <c r="AV550" s="46"/>
      <c r="AW550" s="46"/>
      <c r="AX550" s="46"/>
      <c r="AY550" s="47" t="s">
        <v>953</v>
      </c>
      <c r="AZ550" s="47" t="s">
        <v>1022</v>
      </c>
      <c r="BA550" s="93" t="s">
        <v>291</v>
      </c>
      <c r="BB550" s="50"/>
      <c r="BI550" s="42">
        <v>1</v>
      </c>
      <c r="BJ550" s="15" t="s">
        <v>1083</v>
      </c>
      <c r="BK550" s="50"/>
    </row>
    <row r="551" spans="1:63" s="49" customFormat="1" ht="31.5">
      <c r="A551" s="32">
        <f t="shared" si="61"/>
        <v>521</v>
      </c>
      <c r="B551" s="56" t="s">
        <v>1198</v>
      </c>
      <c r="C551" s="78" t="s">
        <v>112</v>
      </c>
      <c r="D551" s="35">
        <f t="shared" si="60"/>
        <v>0.15</v>
      </c>
      <c r="E551" s="45"/>
      <c r="F551" s="35">
        <f>SUM(G551:AX551)</f>
        <v>0.15</v>
      </c>
      <c r="G551" s="46"/>
      <c r="H551" s="46"/>
      <c r="I551" s="46"/>
      <c r="J551" s="46"/>
      <c r="K551" s="46"/>
      <c r="L551" s="46"/>
      <c r="M551" s="46"/>
      <c r="N551" s="46"/>
      <c r="O551" s="46"/>
      <c r="P551" s="46"/>
      <c r="Q551" s="46"/>
      <c r="R551" s="46"/>
      <c r="S551" s="46"/>
      <c r="T551" s="46"/>
      <c r="U551" s="46"/>
      <c r="V551" s="46"/>
      <c r="W551" s="46"/>
      <c r="X551" s="46"/>
      <c r="Y551" s="46"/>
      <c r="Z551" s="46"/>
      <c r="AA551" s="46"/>
      <c r="AB551" s="46"/>
      <c r="AC551" s="46">
        <v>0.15</v>
      </c>
      <c r="AD551" s="46"/>
      <c r="AE551" s="46"/>
      <c r="AF551" s="46"/>
      <c r="AG551" s="46"/>
      <c r="AH551" s="46"/>
      <c r="AI551" s="46"/>
      <c r="AJ551" s="46"/>
      <c r="AK551" s="46"/>
      <c r="AL551" s="46"/>
      <c r="AM551" s="46"/>
      <c r="AN551" s="46"/>
      <c r="AO551" s="46"/>
      <c r="AP551" s="46"/>
      <c r="AQ551" s="46"/>
      <c r="AR551" s="46"/>
      <c r="AS551" s="46"/>
      <c r="AT551" s="46"/>
      <c r="AU551" s="46"/>
      <c r="AV551" s="46"/>
      <c r="AW551" s="46"/>
      <c r="AX551" s="46"/>
      <c r="AY551" s="47" t="s">
        <v>953</v>
      </c>
      <c r="AZ551" s="47" t="s">
        <v>1199</v>
      </c>
      <c r="BA551" s="47" t="s">
        <v>298</v>
      </c>
      <c r="BB551" s="50"/>
      <c r="BC551" s="49" t="s">
        <v>381</v>
      </c>
      <c r="BI551" s="42">
        <v>1</v>
      </c>
      <c r="BK551" s="50"/>
    </row>
    <row r="552" spans="1:63" s="49" customFormat="1" ht="18" customHeight="1">
      <c r="A552" s="32">
        <f t="shared" si="61"/>
        <v>522</v>
      </c>
      <c r="B552" s="60" t="s">
        <v>1101</v>
      </c>
      <c r="C552" s="78" t="s">
        <v>112</v>
      </c>
      <c r="D552" s="35">
        <f t="shared" si="60"/>
        <v>0.1</v>
      </c>
      <c r="E552" s="45"/>
      <c r="F552" s="35">
        <f t="shared" si="58"/>
        <v>0.1</v>
      </c>
      <c r="G552" s="46"/>
      <c r="H552" s="46"/>
      <c r="I552" s="46"/>
      <c r="J552" s="46"/>
      <c r="K552" s="46"/>
      <c r="L552" s="46"/>
      <c r="M552" s="46"/>
      <c r="N552" s="46"/>
      <c r="O552" s="46"/>
      <c r="P552" s="46"/>
      <c r="Q552" s="46"/>
      <c r="R552" s="46"/>
      <c r="S552" s="46"/>
      <c r="T552" s="46"/>
      <c r="U552" s="46"/>
      <c r="V552" s="46"/>
      <c r="W552" s="46"/>
      <c r="X552" s="46"/>
      <c r="Y552" s="46"/>
      <c r="Z552" s="46"/>
      <c r="AA552" s="46"/>
      <c r="AB552" s="46"/>
      <c r="AC552" s="46"/>
      <c r="AD552" s="46">
        <v>0.1</v>
      </c>
      <c r="AE552" s="46"/>
      <c r="AF552" s="46"/>
      <c r="AG552" s="46"/>
      <c r="AH552" s="46"/>
      <c r="AI552" s="46"/>
      <c r="AJ552" s="46"/>
      <c r="AK552" s="46"/>
      <c r="AL552" s="46"/>
      <c r="AM552" s="46"/>
      <c r="AN552" s="46"/>
      <c r="AO552" s="46"/>
      <c r="AP552" s="46"/>
      <c r="AQ552" s="46"/>
      <c r="AR552" s="46"/>
      <c r="AS552" s="46"/>
      <c r="AT552" s="46"/>
      <c r="AU552" s="46"/>
      <c r="AV552" s="46"/>
      <c r="AW552" s="46"/>
      <c r="AX552" s="46"/>
      <c r="AY552" s="47" t="s">
        <v>234</v>
      </c>
      <c r="AZ552" s="47" t="s">
        <v>1200</v>
      </c>
      <c r="BA552" s="93" t="s">
        <v>291</v>
      </c>
      <c r="BB552" s="50"/>
      <c r="BC552" s="49" t="s">
        <v>1201</v>
      </c>
      <c r="BI552" s="42">
        <v>1</v>
      </c>
      <c r="BK552" s="50"/>
    </row>
    <row r="553" spans="1:63" s="49" customFormat="1" ht="31.5">
      <c r="A553" s="32">
        <f t="shared" si="61"/>
        <v>523</v>
      </c>
      <c r="B553" s="60" t="s">
        <v>1084</v>
      </c>
      <c r="C553" s="78" t="s">
        <v>112</v>
      </c>
      <c r="D553" s="35">
        <f t="shared" si="60"/>
        <v>0.1</v>
      </c>
      <c r="E553" s="45">
        <v>0.03</v>
      </c>
      <c r="F553" s="35">
        <f t="shared" si="58"/>
        <v>7.0000000000000007E-2</v>
      </c>
      <c r="G553" s="46"/>
      <c r="H553" s="46"/>
      <c r="I553" s="46"/>
      <c r="J553" s="46">
        <v>7.0000000000000007E-2</v>
      </c>
      <c r="K553" s="46"/>
      <c r="L553" s="46"/>
      <c r="M553" s="46"/>
      <c r="N553" s="46"/>
      <c r="O553" s="46"/>
      <c r="P553" s="46"/>
      <c r="Q553" s="46"/>
      <c r="R553" s="46"/>
      <c r="S553" s="46"/>
      <c r="T553" s="46"/>
      <c r="U553" s="46"/>
      <c r="V553" s="46"/>
      <c r="W553" s="46"/>
      <c r="X553" s="46"/>
      <c r="Y553" s="46"/>
      <c r="Z553" s="46"/>
      <c r="AA553" s="46"/>
      <c r="AB553" s="46"/>
      <c r="AC553" s="46"/>
      <c r="AD553" s="46"/>
      <c r="AE553" s="46"/>
      <c r="AF553" s="46"/>
      <c r="AG553" s="46"/>
      <c r="AH553" s="46"/>
      <c r="AI553" s="46"/>
      <c r="AJ553" s="46"/>
      <c r="AK553" s="46"/>
      <c r="AL553" s="46"/>
      <c r="AM553" s="46"/>
      <c r="AN553" s="46"/>
      <c r="AO553" s="46"/>
      <c r="AP553" s="46"/>
      <c r="AQ553" s="46"/>
      <c r="AR553" s="46"/>
      <c r="AS553" s="46"/>
      <c r="AT553" s="46"/>
      <c r="AU553" s="46"/>
      <c r="AV553" s="46"/>
      <c r="AW553" s="46"/>
      <c r="AX553" s="46"/>
      <c r="AY553" s="47" t="s">
        <v>234</v>
      </c>
      <c r="AZ553" s="47" t="s">
        <v>1202</v>
      </c>
      <c r="BA553" s="93" t="s">
        <v>291</v>
      </c>
      <c r="BB553" s="50"/>
      <c r="BC553" s="49" t="s">
        <v>1203</v>
      </c>
      <c r="BI553" s="42">
        <v>1</v>
      </c>
      <c r="BK553" s="50"/>
    </row>
    <row r="554" spans="1:63" s="49" customFormat="1" ht="18" customHeight="1">
      <c r="A554" s="32">
        <f t="shared" si="61"/>
        <v>524</v>
      </c>
      <c r="B554" s="60" t="s">
        <v>1089</v>
      </c>
      <c r="C554" s="78" t="s">
        <v>112</v>
      </c>
      <c r="D554" s="35">
        <f t="shared" si="60"/>
        <v>0.1</v>
      </c>
      <c r="E554" s="45">
        <v>0.06</v>
      </c>
      <c r="F554" s="35">
        <f t="shared" si="58"/>
        <v>0.04</v>
      </c>
      <c r="G554" s="46"/>
      <c r="H554" s="46"/>
      <c r="I554" s="46"/>
      <c r="J554" s="46">
        <v>0.04</v>
      </c>
      <c r="K554" s="46"/>
      <c r="L554" s="46"/>
      <c r="M554" s="46"/>
      <c r="N554" s="46"/>
      <c r="O554" s="46"/>
      <c r="P554" s="46"/>
      <c r="Q554" s="46"/>
      <c r="R554" s="46"/>
      <c r="S554" s="46"/>
      <c r="T554" s="46"/>
      <c r="U554" s="46"/>
      <c r="V554" s="46"/>
      <c r="W554" s="46"/>
      <c r="X554" s="46"/>
      <c r="Y554" s="46"/>
      <c r="Z554" s="46"/>
      <c r="AA554" s="46"/>
      <c r="AB554" s="46"/>
      <c r="AC554" s="46"/>
      <c r="AD554" s="46"/>
      <c r="AE554" s="46"/>
      <c r="AF554" s="46"/>
      <c r="AG554" s="46"/>
      <c r="AH554" s="46"/>
      <c r="AI554" s="46"/>
      <c r="AJ554" s="46"/>
      <c r="AK554" s="46"/>
      <c r="AL554" s="46"/>
      <c r="AM554" s="46"/>
      <c r="AN554" s="46"/>
      <c r="AO554" s="46"/>
      <c r="AP554" s="46"/>
      <c r="AQ554" s="46"/>
      <c r="AR554" s="46"/>
      <c r="AS554" s="46"/>
      <c r="AT554" s="46"/>
      <c r="AU554" s="46"/>
      <c r="AV554" s="46"/>
      <c r="AW554" s="46"/>
      <c r="AX554" s="46"/>
      <c r="AY554" s="47" t="s">
        <v>234</v>
      </c>
      <c r="AZ554" s="47" t="s">
        <v>305</v>
      </c>
      <c r="BA554" s="93" t="s">
        <v>291</v>
      </c>
      <c r="BB554" s="50"/>
      <c r="BI554" s="42">
        <v>1</v>
      </c>
      <c r="BK554" s="50"/>
    </row>
    <row r="555" spans="1:63" s="71" customFormat="1" ht="18" customHeight="1">
      <c r="A555" s="32">
        <f t="shared" si="61"/>
        <v>525</v>
      </c>
      <c r="B555" s="56" t="s">
        <v>1204</v>
      </c>
      <c r="C555" s="78" t="s">
        <v>112</v>
      </c>
      <c r="D555" s="35">
        <f t="shared" si="60"/>
        <v>0.3</v>
      </c>
      <c r="E555" s="76"/>
      <c r="F555" s="35">
        <f t="shared" si="58"/>
        <v>0.3</v>
      </c>
      <c r="G555" s="77"/>
      <c r="H555" s="77"/>
      <c r="I555" s="77"/>
      <c r="J555" s="77"/>
      <c r="K555" s="77"/>
      <c r="L555" s="77"/>
      <c r="M555" s="77"/>
      <c r="N555" s="77"/>
      <c r="O555" s="77"/>
      <c r="P555" s="77"/>
      <c r="Q555" s="77"/>
      <c r="R555" s="77"/>
      <c r="S555" s="77"/>
      <c r="T555" s="77"/>
      <c r="U555" s="77"/>
      <c r="V555" s="77"/>
      <c r="W555" s="77"/>
      <c r="X555" s="77"/>
      <c r="Y555" s="77"/>
      <c r="Z555" s="77"/>
      <c r="AA555" s="77"/>
      <c r="AB555" s="77"/>
      <c r="AC555" s="77"/>
      <c r="AD555" s="77"/>
      <c r="AE555" s="77">
        <v>0.3</v>
      </c>
      <c r="AF555" s="77"/>
      <c r="AG555" s="77"/>
      <c r="AH555" s="77"/>
      <c r="AI555" s="77"/>
      <c r="AJ555" s="77"/>
      <c r="AK555" s="77"/>
      <c r="AL555" s="77"/>
      <c r="AM555" s="77"/>
      <c r="AN555" s="77"/>
      <c r="AO555" s="77"/>
      <c r="AP555" s="77"/>
      <c r="AQ555" s="77"/>
      <c r="AR555" s="77"/>
      <c r="AS555" s="77"/>
      <c r="AT555" s="77"/>
      <c r="AU555" s="77"/>
      <c r="AV555" s="77"/>
      <c r="AW555" s="77"/>
      <c r="AX555" s="77"/>
      <c r="AY555" s="94" t="s">
        <v>235</v>
      </c>
      <c r="AZ555" s="70" t="s">
        <v>417</v>
      </c>
      <c r="BA555" s="118" t="s">
        <v>291</v>
      </c>
      <c r="BB555" s="72"/>
      <c r="BC555" s="72"/>
      <c r="BD555" s="72" t="s">
        <v>1205</v>
      </c>
      <c r="BI555" s="42">
        <v>1</v>
      </c>
      <c r="BJ555" s="15" t="s">
        <v>1114</v>
      </c>
      <c r="BK555" s="72"/>
    </row>
    <row r="556" spans="1:63">
      <c r="A556" s="32">
        <f t="shared" si="61"/>
        <v>526</v>
      </c>
      <c r="B556" s="56" t="s">
        <v>1206</v>
      </c>
      <c r="C556" s="78" t="s">
        <v>112</v>
      </c>
      <c r="D556" s="35">
        <f t="shared" si="60"/>
        <v>0.15000000000000002</v>
      </c>
      <c r="E556" s="35">
        <v>0.1</v>
      </c>
      <c r="F556" s="35">
        <f t="shared" ref="F556:F593" si="62">SUM(G556:AX556)</f>
        <v>0.05</v>
      </c>
      <c r="G556" s="43">
        <v>0.05</v>
      </c>
      <c r="H556" s="43"/>
      <c r="I556" s="43"/>
      <c r="J556" s="43"/>
      <c r="K556" s="43"/>
      <c r="L556" s="43"/>
      <c r="M556" s="43"/>
      <c r="N556" s="43"/>
      <c r="O556" s="43"/>
      <c r="P556" s="43"/>
      <c r="Q556" s="43"/>
      <c r="R556" s="43"/>
      <c r="S556" s="43"/>
      <c r="T556" s="43"/>
      <c r="U556" s="43"/>
      <c r="V556" s="43"/>
      <c r="W556" s="43"/>
      <c r="X556" s="43"/>
      <c r="Y556" s="43"/>
      <c r="Z556" s="43"/>
      <c r="AA556" s="43"/>
      <c r="AB556" s="43"/>
      <c r="AC556" s="43"/>
      <c r="AD556" s="43"/>
      <c r="AE556" s="43"/>
      <c r="AF556" s="43"/>
      <c r="AG556" s="43"/>
      <c r="AH556" s="43"/>
      <c r="AI556" s="43"/>
      <c r="AJ556" s="43"/>
      <c r="AK556" s="43"/>
      <c r="AL556" s="43"/>
      <c r="AM556" s="43"/>
      <c r="AN556" s="43"/>
      <c r="AO556" s="43"/>
      <c r="AP556" s="43"/>
      <c r="AQ556" s="43"/>
      <c r="AR556" s="43"/>
      <c r="AS556" s="43"/>
      <c r="AT556" s="43"/>
      <c r="AU556" s="43"/>
      <c r="AV556" s="43"/>
      <c r="AW556" s="43"/>
      <c r="AX556" s="43"/>
      <c r="AY556" s="34" t="s">
        <v>429</v>
      </c>
      <c r="AZ556" s="34" t="s">
        <v>1207</v>
      </c>
      <c r="BA556" s="63" t="s">
        <v>291</v>
      </c>
      <c r="BB556" s="64"/>
      <c r="BD556" s="15" t="s">
        <v>1208</v>
      </c>
      <c r="BI556" s="42">
        <v>1</v>
      </c>
      <c r="BJ556" s="15" t="s">
        <v>1209</v>
      </c>
    </row>
    <row r="557" spans="1:63">
      <c r="A557" s="32">
        <f t="shared" si="61"/>
        <v>527</v>
      </c>
      <c r="B557" s="56" t="s">
        <v>1210</v>
      </c>
      <c r="C557" s="78" t="s">
        <v>112</v>
      </c>
      <c r="D557" s="35">
        <f t="shared" si="60"/>
        <v>0.1</v>
      </c>
      <c r="E557" s="35"/>
      <c r="F557" s="35">
        <f t="shared" si="62"/>
        <v>0.1</v>
      </c>
      <c r="G557" s="43"/>
      <c r="H557" s="43"/>
      <c r="I557" s="43"/>
      <c r="J557" s="43">
        <v>0.1</v>
      </c>
      <c r="K557" s="43"/>
      <c r="L557" s="43"/>
      <c r="M557" s="43"/>
      <c r="N557" s="43"/>
      <c r="O557" s="43"/>
      <c r="P557" s="43"/>
      <c r="Q557" s="43"/>
      <c r="R557" s="43"/>
      <c r="S557" s="43"/>
      <c r="T557" s="43"/>
      <c r="U557" s="43"/>
      <c r="V557" s="43"/>
      <c r="W557" s="43"/>
      <c r="X557" s="43"/>
      <c r="Y557" s="43"/>
      <c r="Z557" s="43"/>
      <c r="AA557" s="43"/>
      <c r="AB557" s="43"/>
      <c r="AC557" s="43"/>
      <c r="AD557" s="43"/>
      <c r="AE557" s="43"/>
      <c r="AF557" s="43"/>
      <c r="AG557" s="43"/>
      <c r="AH557" s="43"/>
      <c r="AI557" s="43"/>
      <c r="AJ557" s="43"/>
      <c r="AK557" s="43"/>
      <c r="AL557" s="43"/>
      <c r="AM557" s="43"/>
      <c r="AN557" s="43"/>
      <c r="AO557" s="43"/>
      <c r="AP557" s="43"/>
      <c r="AQ557" s="43"/>
      <c r="AR557" s="43"/>
      <c r="AS557" s="43"/>
      <c r="AT557" s="43"/>
      <c r="AU557" s="43"/>
      <c r="AV557" s="43"/>
      <c r="AW557" s="43"/>
      <c r="AX557" s="43"/>
      <c r="AY557" s="34" t="s">
        <v>429</v>
      </c>
      <c r="AZ557" s="34" t="s">
        <v>959</v>
      </c>
      <c r="BA557" s="63" t="s">
        <v>291</v>
      </c>
      <c r="BB557" s="64"/>
      <c r="BI557" s="42">
        <v>1</v>
      </c>
    </row>
    <row r="558" spans="1:63">
      <c r="A558" s="32">
        <f t="shared" si="61"/>
        <v>528</v>
      </c>
      <c r="B558" s="56" t="s">
        <v>1211</v>
      </c>
      <c r="C558" s="78" t="s">
        <v>112</v>
      </c>
      <c r="D558" s="35">
        <f t="shared" si="60"/>
        <v>0.1</v>
      </c>
      <c r="E558" s="35">
        <v>0.05</v>
      </c>
      <c r="F558" s="35">
        <f t="shared" si="62"/>
        <v>0.05</v>
      </c>
      <c r="G558" s="43">
        <v>0.05</v>
      </c>
      <c r="H558" s="43"/>
      <c r="I558" s="43"/>
      <c r="J558" s="43"/>
      <c r="K558" s="43"/>
      <c r="L558" s="43"/>
      <c r="M558" s="43"/>
      <c r="N558" s="43"/>
      <c r="O558" s="43"/>
      <c r="P558" s="43"/>
      <c r="Q558" s="43"/>
      <c r="R558" s="43"/>
      <c r="S558" s="43"/>
      <c r="T558" s="43"/>
      <c r="U558" s="43"/>
      <c r="V558" s="43"/>
      <c r="W558" s="43"/>
      <c r="X558" s="43"/>
      <c r="Y558" s="43"/>
      <c r="Z558" s="43"/>
      <c r="AA558" s="43"/>
      <c r="AB558" s="43"/>
      <c r="AC558" s="43"/>
      <c r="AD558" s="43"/>
      <c r="AE558" s="43"/>
      <c r="AF558" s="43"/>
      <c r="AG558" s="43"/>
      <c r="AH558" s="43"/>
      <c r="AI558" s="43"/>
      <c r="AJ558" s="43"/>
      <c r="AK558" s="43"/>
      <c r="AL558" s="43"/>
      <c r="AM558" s="43"/>
      <c r="AN558" s="43"/>
      <c r="AO558" s="43"/>
      <c r="AP558" s="43"/>
      <c r="AQ558" s="43"/>
      <c r="AR558" s="43"/>
      <c r="AS558" s="43"/>
      <c r="AT558" s="43"/>
      <c r="AU558" s="43"/>
      <c r="AV558" s="43"/>
      <c r="AW558" s="43"/>
      <c r="AX558" s="43"/>
      <c r="AY558" s="34" t="s">
        <v>429</v>
      </c>
      <c r="AZ558" s="34" t="s">
        <v>355</v>
      </c>
      <c r="BA558" s="63" t="s">
        <v>291</v>
      </c>
      <c r="BB558" s="64"/>
      <c r="BD558" s="15" t="s">
        <v>1212</v>
      </c>
      <c r="BI558" s="42">
        <v>1</v>
      </c>
    </row>
    <row r="559" spans="1:63">
      <c r="A559" s="32">
        <f t="shared" si="61"/>
        <v>529</v>
      </c>
      <c r="B559" s="56" t="s">
        <v>1213</v>
      </c>
      <c r="C559" s="78" t="s">
        <v>112</v>
      </c>
      <c r="D559" s="35">
        <f t="shared" si="60"/>
        <v>0.08</v>
      </c>
      <c r="E559" s="35"/>
      <c r="F559" s="35">
        <f t="shared" si="62"/>
        <v>0.08</v>
      </c>
      <c r="G559" s="43"/>
      <c r="H559" s="43"/>
      <c r="I559" s="43">
        <v>0.08</v>
      </c>
      <c r="J559" s="43"/>
      <c r="K559" s="43"/>
      <c r="L559" s="43"/>
      <c r="M559" s="43"/>
      <c r="N559" s="43"/>
      <c r="O559" s="43"/>
      <c r="P559" s="43"/>
      <c r="Q559" s="43"/>
      <c r="R559" s="43"/>
      <c r="S559" s="43"/>
      <c r="T559" s="43"/>
      <c r="U559" s="43"/>
      <c r="V559" s="43"/>
      <c r="W559" s="43"/>
      <c r="X559" s="43"/>
      <c r="Y559" s="43"/>
      <c r="Z559" s="43"/>
      <c r="AA559" s="43"/>
      <c r="AB559" s="43"/>
      <c r="AC559" s="43"/>
      <c r="AD559" s="43"/>
      <c r="AE559" s="43"/>
      <c r="AF559" s="43"/>
      <c r="AG559" s="43"/>
      <c r="AH559" s="43"/>
      <c r="AI559" s="43"/>
      <c r="AJ559" s="43"/>
      <c r="AK559" s="43"/>
      <c r="AL559" s="43"/>
      <c r="AM559" s="43"/>
      <c r="AN559" s="43"/>
      <c r="AO559" s="43"/>
      <c r="AP559" s="43"/>
      <c r="AQ559" s="43"/>
      <c r="AR559" s="43"/>
      <c r="AS559" s="43"/>
      <c r="AT559" s="43"/>
      <c r="AU559" s="43"/>
      <c r="AV559" s="43"/>
      <c r="AW559" s="43"/>
      <c r="AX559" s="43"/>
      <c r="AY559" s="34" t="s">
        <v>429</v>
      </c>
      <c r="AZ559" s="34" t="s">
        <v>430</v>
      </c>
      <c r="BA559" s="63" t="s">
        <v>291</v>
      </c>
      <c r="BB559" s="64" t="s">
        <v>506</v>
      </c>
      <c r="BD559" s="15" t="s">
        <v>1208</v>
      </c>
      <c r="BI559" s="42">
        <v>1</v>
      </c>
    </row>
    <row r="560" spans="1:63">
      <c r="A560" s="32">
        <f t="shared" si="61"/>
        <v>530</v>
      </c>
      <c r="B560" s="56" t="s">
        <v>1214</v>
      </c>
      <c r="C560" s="78" t="s">
        <v>112</v>
      </c>
      <c r="D560" s="35">
        <f t="shared" si="60"/>
        <v>0.18</v>
      </c>
      <c r="E560" s="35"/>
      <c r="F560" s="35">
        <f t="shared" si="62"/>
        <v>0.18</v>
      </c>
      <c r="G560" s="43"/>
      <c r="H560" s="43"/>
      <c r="I560" s="43"/>
      <c r="J560" s="43"/>
      <c r="K560" s="43"/>
      <c r="L560" s="43"/>
      <c r="M560" s="43"/>
      <c r="N560" s="43"/>
      <c r="O560" s="43"/>
      <c r="P560" s="43"/>
      <c r="Q560" s="43"/>
      <c r="R560" s="43"/>
      <c r="S560" s="43"/>
      <c r="T560" s="43"/>
      <c r="U560" s="43"/>
      <c r="V560" s="43"/>
      <c r="W560" s="43"/>
      <c r="X560" s="43"/>
      <c r="Y560" s="43"/>
      <c r="Z560" s="43"/>
      <c r="AA560" s="43"/>
      <c r="AB560" s="43"/>
      <c r="AC560" s="43"/>
      <c r="AD560" s="43"/>
      <c r="AE560" s="43">
        <v>0.18</v>
      </c>
      <c r="AF560" s="43"/>
      <c r="AG560" s="43"/>
      <c r="AH560" s="43"/>
      <c r="AI560" s="43"/>
      <c r="AJ560" s="43"/>
      <c r="AK560" s="43"/>
      <c r="AL560" s="43"/>
      <c r="AM560" s="43"/>
      <c r="AN560" s="43"/>
      <c r="AO560" s="43"/>
      <c r="AP560" s="43"/>
      <c r="AQ560" s="43"/>
      <c r="AR560" s="43"/>
      <c r="AS560" s="43"/>
      <c r="AT560" s="43"/>
      <c r="AU560" s="43"/>
      <c r="AV560" s="43"/>
      <c r="AW560" s="43"/>
      <c r="AX560" s="43"/>
      <c r="AY560" s="34" t="s">
        <v>236</v>
      </c>
      <c r="AZ560" s="34" t="s">
        <v>431</v>
      </c>
      <c r="BA560" s="47" t="s">
        <v>298</v>
      </c>
      <c r="BB560" s="48"/>
      <c r="BD560" s="15" t="s">
        <v>51</v>
      </c>
      <c r="BI560" s="42">
        <v>1</v>
      </c>
      <c r="BJ560" s="15" t="s">
        <v>1130</v>
      </c>
    </row>
    <row r="561" spans="1:72">
      <c r="A561" s="32">
        <f t="shared" si="61"/>
        <v>531</v>
      </c>
      <c r="B561" s="56" t="s">
        <v>1215</v>
      </c>
      <c r="C561" s="78" t="s">
        <v>112</v>
      </c>
      <c r="D561" s="35">
        <f t="shared" si="60"/>
        <v>0.1</v>
      </c>
      <c r="E561" s="35">
        <v>7.0000000000000007E-2</v>
      </c>
      <c r="F561" s="35">
        <f t="shared" si="62"/>
        <v>0.03</v>
      </c>
      <c r="G561" s="43"/>
      <c r="H561" s="43"/>
      <c r="I561" s="43"/>
      <c r="J561" s="43">
        <v>0.03</v>
      </c>
      <c r="K561" s="43"/>
      <c r="L561" s="43"/>
      <c r="M561" s="43"/>
      <c r="N561" s="43"/>
      <c r="O561" s="43"/>
      <c r="P561" s="43"/>
      <c r="Q561" s="43"/>
      <c r="R561" s="43"/>
      <c r="S561" s="43"/>
      <c r="T561" s="43"/>
      <c r="U561" s="43"/>
      <c r="V561" s="43"/>
      <c r="W561" s="43"/>
      <c r="X561" s="43"/>
      <c r="Y561" s="43"/>
      <c r="Z561" s="43"/>
      <c r="AA561" s="43"/>
      <c r="AB561" s="43"/>
      <c r="AC561" s="43"/>
      <c r="AD561" s="43"/>
      <c r="AE561" s="43"/>
      <c r="AF561" s="43"/>
      <c r="AG561" s="43"/>
      <c r="AH561" s="43"/>
      <c r="AI561" s="43"/>
      <c r="AJ561" s="43"/>
      <c r="AK561" s="43"/>
      <c r="AL561" s="43"/>
      <c r="AM561" s="43"/>
      <c r="AN561" s="43"/>
      <c r="AO561" s="43"/>
      <c r="AP561" s="43"/>
      <c r="AQ561" s="43"/>
      <c r="AR561" s="43"/>
      <c r="AS561" s="43"/>
      <c r="AT561" s="43"/>
      <c r="AU561" s="43"/>
      <c r="AV561" s="43"/>
      <c r="AW561" s="43"/>
      <c r="AX561" s="43"/>
      <c r="AY561" s="34" t="s">
        <v>237</v>
      </c>
      <c r="AZ561" s="34" t="s">
        <v>417</v>
      </c>
      <c r="BA561" s="63" t="s">
        <v>291</v>
      </c>
      <c r="BB561" s="64"/>
      <c r="BC561" s="64"/>
      <c r="BD561" s="64"/>
      <c r="BE561" s="64"/>
      <c r="BG561" s="15" t="s">
        <v>1216</v>
      </c>
      <c r="BI561" s="42">
        <v>1</v>
      </c>
    </row>
    <row r="562" spans="1:72">
      <c r="A562" s="32">
        <f t="shared" si="61"/>
        <v>532</v>
      </c>
      <c r="B562" s="56" t="s">
        <v>1217</v>
      </c>
      <c r="C562" s="78" t="s">
        <v>112</v>
      </c>
      <c r="D562" s="35">
        <f t="shared" si="60"/>
        <v>0.05</v>
      </c>
      <c r="E562" s="35">
        <v>0.05</v>
      </c>
      <c r="F562" s="89">
        <f t="shared" si="62"/>
        <v>0</v>
      </c>
      <c r="G562" s="43"/>
      <c r="H562" s="43"/>
      <c r="I562" s="43"/>
      <c r="J562" s="43"/>
      <c r="K562" s="43"/>
      <c r="L562" s="43"/>
      <c r="M562" s="43"/>
      <c r="N562" s="43"/>
      <c r="O562" s="43"/>
      <c r="P562" s="43"/>
      <c r="Q562" s="43"/>
      <c r="R562" s="43"/>
      <c r="S562" s="43"/>
      <c r="T562" s="43"/>
      <c r="U562" s="43"/>
      <c r="V562" s="43"/>
      <c r="W562" s="43"/>
      <c r="X562" s="43"/>
      <c r="Y562" s="43"/>
      <c r="Z562" s="43"/>
      <c r="AA562" s="43"/>
      <c r="AB562" s="43"/>
      <c r="AC562" s="43"/>
      <c r="AD562" s="43"/>
      <c r="AE562" s="43"/>
      <c r="AF562" s="43"/>
      <c r="AG562" s="43"/>
      <c r="AH562" s="43"/>
      <c r="AI562" s="43"/>
      <c r="AJ562" s="43"/>
      <c r="AK562" s="43"/>
      <c r="AL562" s="43"/>
      <c r="AM562" s="43"/>
      <c r="AN562" s="43"/>
      <c r="AO562" s="43"/>
      <c r="AP562" s="43"/>
      <c r="AQ562" s="43"/>
      <c r="AR562" s="43"/>
      <c r="AS562" s="43"/>
      <c r="AT562" s="43"/>
      <c r="AU562" s="43"/>
      <c r="AV562" s="43"/>
      <c r="AW562" s="43"/>
      <c r="AX562" s="43"/>
      <c r="AY562" s="34" t="s">
        <v>237</v>
      </c>
      <c r="AZ562" s="34" t="s">
        <v>471</v>
      </c>
      <c r="BA562" s="47" t="s">
        <v>291</v>
      </c>
      <c r="BB562" s="48"/>
      <c r="BC562" s="64"/>
      <c r="BD562" s="64" t="s">
        <v>1218</v>
      </c>
      <c r="BE562" s="64"/>
      <c r="BG562" s="15" t="s">
        <v>1216</v>
      </c>
      <c r="BI562" s="42">
        <v>1</v>
      </c>
    </row>
    <row r="563" spans="1:72">
      <c r="A563" s="32">
        <f t="shared" si="61"/>
        <v>533</v>
      </c>
      <c r="B563" s="56" t="s">
        <v>1219</v>
      </c>
      <c r="C563" s="78" t="s">
        <v>112</v>
      </c>
      <c r="D563" s="35">
        <f>E563+F563</f>
        <v>0.15</v>
      </c>
      <c r="E563" s="35"/>
      <c r="F563" s="35">
        <f>SUM(G563:AX563)</f>
        <v>0.15</v>
      </c>
      <c r="G563" s="43">
        <v>0.15</v>
      </c>
      <c r="H563" s="43"/>
      <c r="I563" s="43"/>
      <c r="J563" s="43"/>
      <c r="K563" s="43"/>
      <c r="L563" s="43"/>
      <c r="M563" s="43"/>
      <c r="N563" s="43"/>
      <c r="O563" s="43"/>
      <c r="P563" s="43"/>
      <c r="Q563" s="43"/>
      <c r="R563" s="43"/>
      <c r="S563" s="43"/>
      <c r="T563" s="43"/>
      <c r="U563" s="43"/>
      <c r="V563" s="43"/>
      <c r="W563" s="43"/>
      <c r="X563" s="43"/>
      <c r="Y563" s="43"/>
      <c r="Z563" s="43"/>
      <c r="AA563" s="43"/>
      <c r="AB563" s="43"/>
      <c r="AC563" s="43"/>
      <c r="AD563" s="43"/>
      <c r="AE563" s="43"/>
      <c r="AF563" s="43"/>
      <c r="AG563" s="43"/>
      <c r="AH563" s="43"/>
      <c r="AI563" s="43"/>
      <c r="AJ563" s="43"/>
      <c r="AK563" s="43"/>
      <c r="AL563" s="43"/>
      <c r="AM563" s="43"/>
      <c r="AN563" s="43"/>
      <c r="AO563" s="43"/>
      <c r="AP563" s="43"/>
      <c r="AQ563" s="43"/>
      <c r="AR563" s="43"/>
      <c r="AS563" s="43"/>
      <c r="AT563" s="43"/>
      <c r="AU563" s="43"/>
      <c r="AV563" s="43"/>
      <c r="AW563" s="43"/>
      <c r="AX563" s="43"/>
      <c r="AY563" s="34" t="s">
        <v>237</v>
      </c>
      <c r="AZ563" s="34" t="s">
        <v>389</v>
      </c>
      <c r="BA563" s="63" t="s">
        <v>291</v>
      </c>
      <c r="BB563" s="64"/>
      <c r="BC563" s="64"/>
      <c r="BD563" s="64"/>
      <c r="BE563" s="64"/>
      <c r="BI563" s="42">
        <v>1</v>
      </c>
    </row>
    <row r="564" spans="1:72" ht="19.350000000000001" customHeight="1">
      <c r="A564" s="32">
        <f t="shared" si="61"/>
        <v>534</v>
      </c>
      <c r="B564" s="56" t="s">
        <v>1220</v>
      </c>
      <c r="C564" s="78" t="s">
        <v>112</v>
      </c>
      <c r="D564" s="35">
        <f>E564+F564</f>
        <v>0.15</v>
      </c>
      <c r="E564" s="35"/>
      <c r="F564" s="35">
        <f>SUM(G564:AX564)</f>
        <v>0.15</v>
      </c>
      <c r="G564" s="43"/>
      <c r="H564" s="43"/>
      <c r="I564" s="43">
        <v>0.15</v>
      </c>
      <c r="J564" s="43"/>
      <c r="K564" s="43"/>
      <c r="L564" s="43"/>
      <c r="M564" s="43"/>
      <c r="N564" s="43"/>
      <c r="O564" s="43"/>
      <c r="P564" s="43"/>
      <c r="Q564" s="43"/>
      <c r="R564" s="43"/>
      <c r="S564" s="43"/>
      <c r="T564" s="43"/>
      <c r="U564" s="43"/>
      <c r="V564" s="43"/>
      <c r="W564" s="43"/>
      <c r="X564" s="43"/>
      <c r="Y564" s="43"/>
      <c r="Z564" s="43"/>
      <c r="AA564" s="43"/>
      <c r="AB564" s="43"/>
      <c r="AC564" s="43"/>
      <c r="AD564" s="43"/>
      <c r="AE564" s="43"/>
      <c r="AF564" s="43"/>
      <c r="AG564" s="43"/>
      <c r="AH564" s="43"/>
      <c r="AI564" s="43"/>
      <c r="AJ564" s="43"/>
      <c r="AK564" s="43"/>
      <c r="AL564" s="43"/>
      <c r="AM564" s="43"/>
      <c r="AN564" s="43"/>
      <c r="AO564" s="43"/>
      <c r="AP564" s="43"/>
      <c r="AQ564" s="43"/>
      <c r="AR564" s="43"/>
      <c r="AS564" s="43"/>
      <c r="AT564" s="43"/>
      <c r="AU564" s="43"/>
      <c r="AV564" s="43"/>
      <c r="AW564" s="43"/>
      <c r="AX564" s="43"/>
      <c r="AY564" s="34" t="s">
        <v>237</v>
      </c>
      <c r="AZ564" s="34" t="s">
        <v>451</v>
      </c>
      <c r="BA564" s="63" t="s">
        <v>322</v>
      </c>
      <c r="BB564" s="64"/>
      <c r="BC564" s="64"/>
      <c r="BD564" s="64"/>
      <c r="BE564" s="64"/>
      <c r="BI564" s="42">
        <v>1</v>
      </c>
      <c r="BJ564" s="15" t="s">
        <v>1221</v>
      </c>
    </row>
    <row r="565" spans="1:72">
      <c r="A565" s="32">
        <f>A564+1</f>
        <v>535</v>
      </c>
      <c r="B565" s="142" t="s">
        <v>1222</v>
      </c>
      <c r="C565" s="78" t="s">
        <v>112</v>
      </c>
      <c r="D565" s="35">
        <f>E565+F565</f>
        <v>0.27</v>
      </c>
      <c r="E565" s="35"/>
      <c r="F565" s="141">
        <f>SUM(G565:AX565)</f>
        <v>0.27</v>
      </c>
      <c r="G565" s="43"/>
      <c r="H565" s="43"/>
      <c r="I565" s="43"/>
      <c r="J565" s="43"/>
      <c r="K565" s="43"/>
      <c r="L565" s="43"/>
      <c r="M565" s="43"/>
      <c r="N565" s="43"/>
      <c r="O565" s="43"/>
      <c r="P565" s="43"/>
      <c r="Q565" s="43"/>
      <c r="R565" s="43"/>
      <c r="S565" s="43"/>
      <c r="T565" s="43"/>
      <c r="U565" s="43"/>
      <c r="V565" s="43"/>
      <c r="W565" s="43"/>
      <c r="X565" s="43"/>
      <c r="Y565" s="43"/>
      <c r="Z565" s="43"/>
      <c r="AA565" s="43"/>
      <c r="AB565" s="43"/>
      <c r="AC565" s="43"/>
      <c r="AD565" s="43">
        <v>0.27</v>
      </c>
      <c r="AE565" s="43"/>
      <c r="AF565" s="43"/>
      <c r="AG565" s="43"/>
      <c r="AH565" s="43"/>
      <c r="AI565" s="43"/>
      <c r="AJ565" s="43"/>
      <c r="AK565" s="43"/>
      <c r="AL565" s="43"/>
      <c r="AM565" s="43"/>
      <c r="AN565" s="43"/>
      <c r="AO565" s="43"/>
      <c r="AP565" s="43"/>
      <c r="AQ565" s="43"/>
      <c r="AR565" s="43"/>
      <c r="AS565" s="43"/>
      <c r="AT565" s="43"/>
      <c r="AU565" s="43"/>
      <c r="AV565" s="43"/>
      <c r="AW565" s="43"/>
      <c r="AX565" s="43"/>
      <c r="AY565" s="34" t="s">
        <v>237</v>
      </c>
      <c r="AZ565" s="34" t="s">
        <v>308</v>
      </c>
      <c r="BA565" s="47" t="s">
        <v>298</v>
      </c>
      <c r="BB565" s="40" t="s">
        <v>1223</v>
      </c>
      <c r="BC565" s="64"/>
      <c r="BD565" s="64" t="s">
        <v>308</v>
      </c>
      <c r="BE565" s="64"/>
      <c r="BG565" s="15" t="s">
        <v>1224</v>
      </c>
      <c r="BI565" s="42">
        <v>1</v>
      </c>
      <c r="BJ565" s="15" t="s">
        <v>1185</v>
      </c>
      <c r="BT565" s="15" t="s">
        <v>1224</v>
      </c>
    </row>
    <row r="566" spans="1:72">
      <c r="A566" s="32">
        <f>A565+1</f>
        <v>536</v>
      </c>
      <c r="B566" s="60" t="s">
        <v>1225</v>
      </c>
      <c r="C566" s="78" t="s">
        <v>112</v>
      </c>
      <c r="D566" s="35">
        <f t="shared" si="60"/>
        <v>0.15</v>
      </c>
      <c r="E566" s="35"/>
      <c r="F566" s="35">
        <f t="shared" si="62"/>
        <v>0.15</v>
      </c>
      <c r="G566" s="43"/>
      <c r="H566" s="43">
        <v>0.15</v>
      </c>
      <c r="I566" s="43"/>
      <c r="J566" s="43"/>
      <c r="K566" s="43"/>
      <c r="L566" s="43"/>
      <c r="M566" s="43"/>
      <c r="N566" s="43"/>
      <c r="O566" s="43"/>
      <c r="P566" s="43"/>
      <c r="Q566" s="43"/>
      <c r="R566" s="43"/>
      <c r="S566" s="43"/>
      <c r="T566" s="43"/>
      <c r="U566" s="43"/>
      <c r="V566" s="43"/>
      <c r="W566" s="43"/>
      <c r="X566" s="43"/>
      <c r="Y566" s="43"/>
      <c r="Z566" s="43"/>
      <c r="AA566" s="43"/>
      <c r="AB566" s="43"/>
      <c r="AC566" s="43"/>
      <c r="AD566" s="43"/>
      <c r="AE566" s="43"/>
      <c r="AF566" s="43"/>
      <c r="AG566" s="43"/>
      <c r="AH566" s="43"/>
      <c r="AI566" s="43"/>
      <c r="AJ566" s="43"/>
      <c r="AK566" s="43"/>
      <c r="AL566" s="43"/>
      <c r="AM566" s="43"/>
      <c r="AN566" s="43"/>
      <c r="AO566" s="43"/>
      <c r="AP566" s="43"/>
      <c r="AQ566" s="43"/>
      <c r="AR566" s="43"/>
      <c r="AS566" s="43"/>
      <c r="AT566" s="43"/>
      <c r="AU566" s="43"/>
      <c r="AV566" s="43"/>
      <c r="AW566" s="43"/>
      <c r="AX566" s="43"/>
      <c r="AY566" s="34" t="s">
        <v>238</v>
      </c>
      <c r="AZ566" s="34" t="s">
        <v>1226</v>
      </c>
      <c r="BA566" s="63" t="s">
        <v>291</v>
      </c>
      <c r="BB566" s="64"/>
      <c r="BC566" s="65"/>
      <c r="BD566" s="65"/>
      <c r="BI566" s="42">
        <v>1</v>
      </c>
      <c r="BJ566" s="15" t="s">
        <v>1227</v>
      </c>
    </row>
    <row r="567" spans="1:72">
      <c r="A567" s="32">
        <f t="shared" si="61"/>
        <v>537</v>
      </c>
      <c r="B567" s="60" t="s">
        <v>1228</v>
      </c>
      <c r="C567" s="78" t="s">
        <v>112</v>
      </c>
      <c r="D567" s="35">
        <f t="shared" si="60"/>
        <v>0.15</v>
      </c>
      <c r="E567" s="35">
        <v>0.09</v>
      </c>
      <c r="F567" s="35">
        <f>SUM(G567:AX567)</f>
        <v>0.06</v>
      </c>
      <c r="G567" s="43"/>
      <c r="H567" s="43">
        <v>0.03</v>
      </c>
      <c r="I567" s="43"/>
      <c r="J567" s="43"/>
      <c r="K567" s="43"/>
      <c r="L567" s="43"/>
      <c r="M567" s="43"/>
      <c r="N567" s="43"/>
      <c r="O567" s="43"/>
      <c r="P567" s="43">
        <v>0.03</v>
      </c>
      <c r="Q567" s="43"/>
      <c r="R567" s="43"/>
      <c r="S567" s="43"/>
      <c r="T567" s="43"/>
      <c r="U567" s="43"/>
      <c r="V567" s="43"/>
      <c r="W567" s="43"/>
      <c r="X567" s="43"/>
      <c r="Y567" s="43"/>
      <c r="Z567" s="43"/>
      <c r="AA567" s="43"/>
      <c r="AB567" s="43"/>
      <c r="AC567" s="43"/>
      <c r="AD567" s="43"/>
      <c r="AE567" s="43"/>
      <c r="AF567" s="43"/>
      <c r="AG567" s="43"/>
      <c r="AH567" s="43"/>
      <c r="AI567" s="43"/>
      <c r="AJ567" s="43"/>
      <c r="AK567" s="43"/>
      <c r="AL567" s="43"/>
      <c r="AM567" s="43"/>
      <c r="AN567" s="43"/>
      <c r="AO567" s="43"/>
      <c r="AP567" s="43"/>
      <c r="AQ567" s="43"/>
      <c r="AR567" s="43"/>
      <c r="AS567" s="43"/>
      <c r="AT567" s="43"/>
      <c r="AU567" s="43"/>
      <c r="AV567" s="43"/>
      <c r="AW567" s="43"/>
      <c r="AX567" s="43"/>
      <c r="AY567" s="34" t="s">
        <v>238</v>
      </c>
      <c r="AZ567" s="34" t="s">
        <v>401</v>
      </c>
      <c r="BA567" s="47" t="s">
        <v>298</v>
      </c>
      <c r="BB567" s="64" t="s">
        <v>506</v>
      </c>
      <c r="BC567" s="65" t="s">
        <v>381</v>
      </c>
      <c r="BD567" s="65"/>
      <c r="BI567" s="42">
        <v>1</v>
      </c>
      <c r="BJ567" s="15" t="s">
        <v>1229</v>
      </c>
    </row>
    <row r="568" spans="1:72">
      <c r="A568" s="32">
        <f t="shared" si="61"/>
        <v>538</v>
      </c>
      <c r="B568" s="60" t="s">
        <v>1230</v>
      </c>
      <c r="C568" s="78" t="s">
        <v>112</v>
      </c>
      <c r="D568" s="35">
        <f t="shared" si="60"/>
        <v>0.15000000000000002</v>
      </c>
      <c r="E568" s="35"/>
      <c r="F568" s="35">
        <f t="shared" si="62"/>
        <v>0.15000000000000002</v>
      </c>
      <c r="G568" s="43"/>
      <c r="H568" s="43">
        <v>0.05</v>
      </c>
      <c r="I568" s="43">
        <v>0.1</v>
      </c>
      <c r="J568" s="43"/>
      <c r="K568" s="43"/>
      <c r="L568" s="43"/>
      <c r="M568" s="43"/>
      <c r="N568" s="43"/>
      <c r="O568" s="43"/>
      <c r="P568" s="43"/>
      <c r="Q568" s="43"/>
      <c r="R568" s="43"/>
      <c r="S568" s="43"/>
      <c r="T568" s="43"/>
      <c r="U568" s="43"/>
      <c r="V568" s="43"/>
      <c r="W568" s="43"/>
      <c r="X568" s="43"/>
      <c r="Y568" s="43"/>
      <c r="Z568" s="43"/>
      <c r="AA568" s="43"/>
      <c r="AB568" s="43"/>
      <c r="AC568" s="43"/>
      <c r="AD568" s="43"/>
      <c r="AE568" s="43"/>
      <c r="AF568" s="43"/>
      <c r="AG568" s="43"/>
      <c r="AH568" s="43"/>
      <c r="AI568" s="43"/>
      <c r="AJ568" s="43"/>
      <c r="AK568" s="43"/>
      <c r="AL568" s="43"/>
      <c r="AM568" s="43"/>
      <c r="AN568" s="43"/>
      <c r="AO568" s="43"/>
      <c r="AP568" s="43"/>
      <c r="AQ568" s="43"/>
      <c r="AR568" s="43"/>
      <c r="AS568" s="43"/>
      <c r="AT568" s="43"/>
      <c r="AU568" s="43"/>
      <c r="AV568" s="43"/>
      <c r="AW568" s="43"/>
      <c r="AX568" s="43"/>
      <c r="AY568" s="34" t="s">
        <v>238</v>
      </c>
      <c r="AZ568" s="34" t="s">
        <v>295</v>
      </c>
      <c r="BA568" s="63" t="s">
        <v>322</v>
      </c>
      <c r="BB568" s="48"/>
      <c r="BC568" s="65"/>
      <c r="BD568" s="65"/>
      <c r="BI568" s="42">
        <v>1</v>
      </c>
      <c r="BJ568" s="15" t="s">
        <v>1227</v>
      </c>
    </row>
    <row r="569" spans="1:72">
      <c r="A569" s="32">
        <f t="shared" si="61"/>
        <v>539</v>
      </c>
      <c r="B569" s="60" t="s">
        <v>1231</v>
      </c>
      <c r="C569" s="78" t="s">
        <v>112</v>
      </c>
      <c r="D569" s="35">
        <f t="shared" si="60"/>
        <v>0.15</v>
      </c>
      <c r="E569" s="35"/>
      <c r="F569" s="35">
        <f t="shared" si="62"/>
        <v>0.15</v>
      </c>
      <c r="G569" s="43">
        <v>0.15</v>
      </c>
      <c r="H569" s="43"/>
      <c r="I569" s="43"/>
      <c r="J569" s="43"/>
      <c r="K569" s="43"/>
      <c r="L569" s="43"/>
      <c r="M569" s="43"/>
      <c r="N569" s="43"/>
      <c r="O569" s="43"/>
      <c r="P569" s="43"/>
      <c r="Q569" s="43"/>
      <c r="R569" s="43"/>
      <c r="S569" s="43"/>
      <c r="T569" s="43"/>
      <c r="U569" s="43"/>
      <c r="V569" s="43"/>
      <c r="W569" s="43"/>
      <c r="X569" s="43"/>
      <c r="Y569" s="43"/>
      <c r="Z569" s="43"/>
      <c r="AA569" s="43"/>
      <c r="AB569" s="43"/>
      <c r="AC569" s="43"/>
      <c r="AD569" s="43"/>
      <c r="AE569" s="43"/>
      <c r="AF569" s="43"/>
      <c r="AG569" s="43"/>
      <c r="AH569" s="43"/>
      <c r="AI569" s="43"/>
      <c r="AJ569" s="43"/>
      <c r="AK569" s="43"/>
      <c r="AL569" s="43"/>
      <c r="AM569" s="43"/>
      <c r="AN569" s="43"/>
      <c r="AO569" s="43"/>
      <c r="AP569" s="43"/>
      <c r="AQ569" s="43"/>
      <c r="AR569" s="43"/>
      <c r="AS569" s="43"/>
      <c r="AT569" s="43"/>
      <c r="AU569" s="43"/>
      <c r="AV569" s="43"/>
      <c r="AW569" s="43"/>
      <c r="AX569" s="43"/>
      <c r="AY569" s="34" t="s">
        <v>238</v>
      </c>
      <c r="AZ569" s="34" t="s">
        <v>1034</v>
      </c>
      <c r="BA569" s="47" t="s">
        <v>298</v>
      </c>
      <c r="BB569" s="48"/>
      <c r="BC569" s="65"/>
      <c r="BD569" s="65"/>
      <c r="BI569" s="42">
        <v>1</v>
      </c>
      <c r="BJ569" s="15" t="s">
        <v>1227</v>
      </c>
    </row>
    <row r="570" spans="1:72">
      <c r="A570" s="32">
        <f t="shared" si="61"/>
        <v>540</v>
      </c>
      <c r="B570" s="60" t="s">
        <v>1232</v>
      </c>
      <c r="C570" s="78" t="s">
        <v>112</v>
      </c>
      <c r="D570" s="35">
        <f t="shared" si="60"/>
        <v>0.15000000000000002</v>
      </c>
      <c r="E570" s="35"/>
      <c r="F570" s="35">
        <f t="shared" si="62"/>
        <v>0.15000000000000002</v>
      </c>
      <c r="G570" s="43"/>
      <c r="H570" s="43"/>
      <c r="I570" s="43"/>
      <c r="J570" s="43">
        <v>0.1</v>
      </c>
      <c r="K570" s="43"/>
      <c r="L570" s="43"/>
      <c r="M570" s="43">
        <v>0.05</v>
      </c>
      <c r="N570" s="43"/>
      <c r="O570" s="43"/>
      <c r="P570" s="43"/>
      <c r="Q570" s="43"/>
      <c r="R570" s="43"/>
      <c r="S570" s="43"/>
      <c r="T570" s="43"/>
      <c r="U570" s="43"/>
      <c r="V570" s="43"/>
      <c r="W570" s="43"/>
      <c r="X570" s="43"/>
      <c r="Y570" s="43"/>
      <c r="Z570" s="43"/>
      <c r="AA570" s="43"/>
      <c r="AB570" s="43"/>
      <c r="AC570" s="43"/>
      <c r="AD570" s="43"/>
      <c r="AE570" s="43"/>
      <c r="AF570" s="43"/>
      <c r="AG570" s="43"/>
      <c r="AH570" s="43"/>
      <c r="AI570" s="43"/>
      <c r="AJ570" s="43"/>
      <c r="AK570" s="43"/>
      <c r="AL570" s="43"/>
      <c r="AM570" s="43"/>
      <c r="AN570" s="43"/>
      <c r="AO570" s="43"/>
      <c r="AP570" s="43"/>
      <c r="AQ570" s="43"/>
      <c r="AR570" s="43"/>
      <c r="AS570" s="43"/>
      <c r="AT570" s="43"/>
      <c r="AU570" s="43"/>
      <c r="AV570" s="43"/>
      <c r="AW570" s="43"/>
      <c r="AX570" s="43"/>
      <c r="AY570" s="34" t="s">
        <v>238</v>
      </c>
      <c r="AZ570" s="34" t="s">
        <v>804</v>
      </c>
      <c r="BA570" s="47" t="s">
        <v>322</v>
      </c>
      <c r="BB570" s="64" t="s">
        <v>506</v>
      </c>
      <c r="BC570" s="65"/>
      <c r="BD570" s="65"/>
      <c r="BI570" s="42">
        <v>1</v>
      </c>
      <c r="BJ570" s="15" t="s">
        <v>1227</v>
      </c>
    </row>
    <row r="571" spans="1:72">
      <c r="A571" s="32">
        <f t="shared" si="61"/>
        <v>541</v>
      </c>
      <c r="B571" s="60" t="s">
        <v>1233</v>
      </c>
      <c r="C571" s="78" t="s">
        <v>112</v>
      </c>
      <c r="D571" s="35">
        <f t="shared" si="60"/>
        <v>0.15000000000000002</v>
      </c>
      <c r="E571" s="35"/>
      <c r="F571" s="35">
        <f>SUM(G571:AX571)</f>
        <v>0.15000000000000002</v>
      </c>
      <c r="G571" s="43">
        <v>0.05</v>
      </c>
      <c r="H571" s="43"/>
      <c r="I571" s="43">
        <v>0.1</v>
      </c>
      <c r="J571" s="43"/>
      <c r="K571" s="43"/>
      <c r="L571" s="43"/>
      <c r="M571" s="43"/>
      <c r="N571" s="43"/>
      <c r="O571" s="43"/>
      <c r="P571" s="43"/>
      <c r="Q571" s="43"/>
      <c r="R571" s="43"/>
      <c r="S571" s="43"/>
      <c r="T571" s="43"/>
      <c r="U571" s="43"/>
      <c r="V571" s="43"/>
      <c r="W571" s="43"/>
      <c r="X571" s="43"/>
      <c r="Y571" s="43"/>
      <c r="Z571" s="43"/>
      <c r="AA571" s="43"/>
      <c r="AB571" s="43"/>
      <c r="AC571" s="43"/>
      <c r="AD571" s="43"/>
      <c r="AE571" s="43"/>
      <c r="AF571" s="43"/>
      <c r="AG571" s="43"/>
      <c r="AH571" s="43"/>
      <c r="AI571" s="43"/>
      <c r="AJ571" s="43"/>
      <c r="AK571" s="43"/>
      <c r="AL571" s="43"/>
      <c r="AM571" s="43"/>
      <c r="AN571" s="43"/>
      <c r="AO571" s="43"/>
      <c r="AP571" s="43"/>
      <c r="AQ571" s="43"/>
      <c r="AR571" s="43"/>
      <c r="AS571" s="43"/>
      <c r="AT571" s="43"/>
      <c r="AU571" s="43"/>
      <c r="AV571" s="43"/>
      <c r="AW571" s="43"/>
      <c r="AX571" s="43"/>
      <c r="AY571" s="34" t="s">
        <v>238</v>
      </c>
      <c r="AZ571" s="34" t="s">
        <v>1234</v>
      </c>
      <c r="BA571" s="47" t="s">
        <v>298</v>
      </c>
      <c r="BB571" s="48"/>
      <c r="BC571" s="65" t="s">
        <v>381</v>
      </c>
      <c r="BD571" s="65"/>
      <c r="BI571" s="42">
        <v>1</v>
      </c>
      <c r="BJ571" s="15" t="s">
        <v>1227</v>
      </c>
    </row>
    <row r="572" spans="1:72">
      <c r="A572" s="32">
        <f t="shared" si="61"/>
        <v>542</v>
      </c>
      <c r="B572" s="60" t="s">
        <v>1235</v>
      </c>
      <c r="C572" s="78" t="s">
        <v>112</v>
      </c>
      <c r="D572" s="35">
        <f t="shared" si="60"/>
        <v>0.15000000000000002</v>
      </c>
      <c r="E572" s="35">
        <v>0.1</v>
      </c>
      <c r="F572" s="35">
        <f t="shared" si="62"/>
        <v>0.05</v>
      </c>
      <c r="G572" s="43"/>
      <c r="H572" s="43">
        <v>0.05</v>
      </c>
      <c r="I572" s="43"/>
      <c r="J572" s="43"/>
      <c r="K572" s="43"/>
      <c r="L572" s="43"/>
      <c r="M572" s="43"/>
      <c r="N572" s="43"/>
      <c r="O572" s="43"/>
      <c r="P572" s="43"/>
      <c r="Q572" s="43"/>
      <c r="R572" s="43"/>
      <c r="S572" s="43"/>
      <c r="T572" s="43"/>
      <c r="U572" s="43"/>
      <c r="V572" s="43"/>
      <c r="W572" s="43"/>
      <c r="X572" s="43"/>
      <c r="Y572" s="43"/>
      <c r="Z572" s="43"/>
      <c r="AA572" s="43"/>
      <c r="AB572" s="43"/>
      <c r="AC572" s="43"/>
      <c r="AD572" s="43"/>
      <c r="AE572" s="43"/>
      <c r="AF572" s="43"/>
      <c r="AG572" s="43"/>
      <c r="AH572" s="43"/>
      <c r="AI572" s="43"/>
      <c r="AJ572" s="43"/>
      <c r="AK572" s="43"/>
      <c r="AL572" s="43"/>
      <c r="AM572" s="43"/>
      <c r="AN572" s="43"/>
      <c r="AO572" s="43"/>
      <c r="AP572" s="43"/>
      <c r="AQ572" s="43"/>
      <c r="AR572" s="43"/>
      <c r="AS572" s="43"/>
      <c r="AT572" s="43"/>
      <c r="AU572" s="43"/>
      <c r="AV572" s="43"/>
      <c r="AW572" s="43"/>
      <c r="AX572" s="43"/>
      <c r="AY572" s="34" t="s">
        <v>238</v>
      </c>
      <c r="AZ572" s="34" t="s">
        <v>1236</v>
      </c>
      <c r="BA572" s="47" t="s">
        <v>298</v>
      </c>
      <c r="BB572" s="48"/>
      <c r="BC572" s="65"/>
      <c r="BD572" s="65"/>
      <c r="BI572" s="42">
        <v>1</v>
      </c>
      <c r="BJ572" s="15" t="s">
        <v>1237</v>
      </c>
    </row>
    <row r="573" spans="1:72">
      <c r="A573" s="32">
        <f t="shared" si="61"/>
        <v>543</v>
      </c>
      <c r="B573" s="60" t="s">
        <v>1238</v>
      </c>
      <c r="C573" s="78" t="s">
        <v>112</v>
      </c>
      <c r="D573" s="35">
        <f t="shared" si="60"/>
        <v>0.15</v>
      </c>
      <c r="E573" s="35"/>
      <c r="F573" s="35">
        <f t="shared" si="62"/>
        <v>0.15</v>
      </c>
      <c r="G573" s="43">
        <v>0.15</v>
      </c>
      <c r="H573" s="43"/>
      <c r="I573" s="43"/>
      <c r="J573" s="43"/>
      <c r="K573" s="43"/>
      <c r="L573" s="43"/>
      <c r="M573" s="43"/>
      <c r="N573" s="43"/>
      <c r="O573" s="43"/>
      <c r="P573" s="43"/>
      <c r="Q573" s="43"/>
      <c r="R573" s="43"/>
      <c r="S573" s="43"/>
      <c r="T573" s="43"/>
      <c r="U573" s="43"/>
      <c r="V573" s="43"/>
      <c r="W573" s="43"/>
      <c r="X573" s="43"/>
      <c r="Y573" s="43"/>
      <c r="Z573" s="43"/>
      <c r="AA573" s="43"/>
      <c r="AB573" s="43"/>
      <c r="AC573" s="43"/>
      <c r="AD573" s="43"/>
      <c r="AE573" s="43"/>
      <c r="AF573" s="43"/>
      <c r="AG573" s="43"/>
      <c r="AH573" s="43"/>
      <c r="AI573" s="43"/>
      <c r="AJ573" s="43"/>
      <c r="AK573" s="43"/>
      <c r="AL573" s="43"/>
      <c r="AM573" s="43"/>
      <c r="AN573" s="43"/>
      <c r="AO573" s="43"/>
      <c r="AP573" s="43"/>
      <c r="AQ573" s="43"/>
      <c r="AR573" s="43"/>
      <c r="AS573" s="43"/>
      <c r="AT573" s="43"/>
      <c r="AU573" s="43"/>
      <c r="AV573" s="43"/>
      <c r="AW573" s="43"/>
      <c r="AX573" s="43"/>
      <c r="AY573" s="34" t="s">
        <v>238</v>
      </c>
      <c r="AZ573" s="34" t="s">
        <v>709</v>
      </c>
      <c r="BA573" s="47" t="s">
        <v>298</v>
      </c>
      <c r="BB573" s="48"/>
      <c r="BC573" s="65"/>
      <c r="BD573" s="65"/>
      <c r="BI573" s="42">
        <v>1</v>
      </c>
      <c r="BJ573" s="15" t="s">
        <v>1227</v>
      </c>
    </row>
    <row r="574" spans="1:72">
      <c r="A574" s="32">
        <f t="shared" si="61"/>
        <v>544</v>
      </c>
      <c r="B574" s="56" t="s">
        <v>1153</v>
      </c>
      <c r="C574" s="78" t="s">
        <v>112</v>
      </c>
      <c r="D574" s="35">
        <f t="shared" si="60"/>
        <v>0.14000000000000001</v>
      </c>
      <c r="E574" s="35">
        <v>0.05</v>
      </c>
      <c r="F574" s="35">
        <f t="shared" si="62"/>
        <v>0.09</v>
      </c>
      <c r="G574" s="43"/>
      <c r="H574" s="43"/>
      <c r="I574" s="43"/>
      <c r="J574" s="43"/>
      <c r="K574" s="43"/>
      <c r="L574" s="43"/>
      <c r="M574" s="43"/>
      <c r="N574" s="43"/>
      <c r="O574" s="43"/>
      <c r="P574" s="43"/>
      <c r="Q574" s="43"/>
      <c r="R574" s="43"/>
      <c r="S574" s="43"/>
      <c r="T574" s="43"/>
      <c r="U574" s="43"/>
      <c r="V574" s="43"/>
      <c r="W574" s="43"/>
      <c r="X574" s="43"/>
      <c r="Y574" s="43"/>
      <c r="Z574" s="43"/>
      <c r="AA574" s="43"/>
      <c r="AB574" s="43"/>
      <c r="AC574" s="43"/>
      <c r="AD574" s="43">
        <v>0.09</v>
      </c>
      <c r="AE574" s="43"/>
      <c r="AF574" s="43"/>
      <c r="AG574" s="43"/>
      <c r="AH574" s="43"/>
      <c r="AI574" s="43"/>
      <c r="AJ574" s="43"/>
      <c r="AK574" s="43"/>
      <c r="AL574" s="43"/>
      <c r="AM574" s="43"/>
      <c r="AN574" s="43"/>
      <c r="AO574" s="43"/>
      <c r="AP574" s="43"/>
      <c r="AQ574" s="43"/>
      <c r="AR574" s="43"/>
      <c r="AS574" s="43"/>
      <c r="AT574" s="43"/>
      <c r="AU574" s="43"/>
      <c r="AV574" s="43"/>
      <c r="AW574" s="43"/>
      <c r="AX574" s="43"/>
      <c r="AY574" s="34" t="s">
        <v>239</v>
      </c>
      <c r="AZ574" s="34" t="s">
        <v>389</v>
      </c>
      <c r="BA574" s="39" t="s">
        <v>291</v>
      </c>
      <c r="BB574" s="40"/>
      <c r="BG574" s="15" t="s">
        <v>407</v>
      </c>
      <c r="BI574" s="42">
        <v>1</v>
      </c>
      <c r="BJ574" s="15" t="s">
        <v>1239</v>
      </c>
      <c r="BT574" s="15" t="s">
        <v>1240</v>
      </c>
    </row>
    <row r="575" spans="1:72" ht="18" customHeight="1">
      <c r="A575" s="32">
        <f t="shared" si="61"/>
        <v>545</v>
      </c>
      <c r="B575" s="56" t="s">
        <v>1105</v>
      </c>
      <c r="C575" s="78" t="s">
        <v>112</v>
      </c>
      <c r="D575" s="35">
        <f t="shared" si="60"/>
        <v>0.1</v>
      </c>
      <c r="E575" s="35"/>
      <c r="F575" s="35">
        <f t="shared" si="62"/>
        <v>0.1</v>
      </c>
      <c r="G575" s="43"/>
      <c r="H575" s="43"/>
      <c r="I575" s="43"/>
      <c r="J575" s="43"/>
      <c r="K575" s="43"/>
      <c r="L575" s="43"/>
      <c r="M575" s="43"/>
      <c r="N575" s="43"/>
      <c r="O575" s="43"/>
      <c r="P575" s="43">
        <v>0.1</v>
      </c>
      <c r="Q575" s="43"/>
      <c r="R575" s="43"/>
      <c r="S575" s="43"/>
      <c r="T575" s="43"/>
      <c r="U575" s="43"/>
      <c r="V575" s="43"/>
      <c r="W575" s="43"/>
      <c r="X575" s="43"/>
      <c r="Y575" s="43"/>
      <c r="Z575" s="43"/>
      <c r="AA575" s="43"/>
      <c r="AB575" s="43"/>
      <c r="AC575" s="43"/>
      <c r="AD575" s="43"/>
      <c r="AE575" s="43"/>
      <c r="AF575" s="43"/>
      <c r="AG575" s="43"/>
      <c r="AH575" s="43"/>
      <c r="AI575" s="43"/>
      <c r="AJ575" s="43"/>
      <c r="AK575" s="43"/>
      <c r="AL575" s="43"/>
      <c r="AM575" s="43"/>
      <c r="AN575" s="43"/>
      <c r="AO575" s="43"/>
      <c r="AP575" s="43"/>
      <c r="AQ575" s="43"/>
      <c r="AR575" s="43"/>
      <c r="AS575" s="43"/>
      <c r="AT575" s="43"/>
      <c r="AU575" s="43"/>
      <c r="AV575" s="43"/>
      <c r="AW575" s="43"/>
      <c r="AX575" s="43"/>
      <c r="AY575" s="34" t="s">
        <v>239</v>
      </c>
      <c r="AZ575" s="34" t="s">
        <v>305</v>
      </c>
      <c r="BA575" s="39" t="s">
        <v>291</v>
      </c>
      <c r="BB575" s="40"/>
      <c r="BI575" s="42">
        <v>1</v>
      </c>
    </row>
    <row r="576" spans="1:72" ht="18" customHeight="1">
      <c r="A576" s="32">
        <f t="shared" si="61"/>
        <v>546</v>
      </c>
      <c r="B576" s="56" t="s">
        <v>1099</v>
      </c>
      <c r="C576" s="78" t="s">
        <v>112</v>
      </c>
      <c r="D576" s="35">
        <f t="shared" si="60"/>
        <v>0.15</v>
      </c>
      <c r="E576" s="35"/>
      <c r="F576" s="35">
        <f t="shared" si="62"/>
        <v>0.15</v>
      </c>
      <c r="G576" s="43">
        <v>0.15</v>
      </c>
      <c r="H576" s="43"/>
      <c r="I576" s="43"/>
      <c r="J576" s="43"/>
      <c r="K576" s="43"/>
      <c r="L576" s="43"/>
      <c r="M576" s="43"/>
      <c r="N576" s="43"/>
      <c r="O576" s="43"/>
      <c r="P576" s="43"/>
      <c r="Q576" s="43"/>
      <c r="R576" s="43"/>
      <c r="S576" s="43"/>
      <c r="T576" s="43"/>
      <c r="U576" s="43"/>
      <c r="V576" s="43"/>
      <c r="W576" s="43"/>
      <c r="X576" s="43"/>
      <c r="Y576" s="43"/>
      <c r="Z576" s="43"/>
      <c r="AA576" s="43"/>
      <c r="AB576" s="43"/>
      <c r="AC576" s="43"/>
      <c r="AD576" s="43"/>
      <c r="AE576" s="43"/>
      <c r="AF576" s="43"/>
      <c r="AG576" s="43"/>
      <c r="AH576" s="43"/>
      <c r="AI576" s="43"/>
      <c r="AJ576" s="43"/>
      <c r="AK576" s="43"/>
      <c r="AL576" s="43"/>
      <c r="AM576" s="43"/>
      <c r="AN576" s="43"/>
      <c r="AO576" s="43"/>
      <c r="AP576" s="43"/>
      <c r="AQ576" s="43"/>
      <c r="AR576" s="43"/>
      <c r="AS576" s="43"/>
      <c r="AT576" s="43"/>
      <c r="AU576" s="43"/>
      <c r="AV576" s="43"/>
      <c r="AW576" s="43"/>
      <c r="AX576" s="43"/>
      <c r="AY576" s="34" t="s">
        <v>239</v>
      </c>
      <c r="AZ576" s="34" t="s">
        <v>451</v>
      </c>
      <c r="BA576" s="39" t="s">
        <v>291</v>
      </c>
      <c r="BB576" s="40"/>
      <c r="BI576" s="42">
        <v>1</v>
      </c>
      <c r="BJ576" s="15" t="s">
        <v>1227</v>
      </c>
    </row>
    <row r="577" spans="1:62" ht="18" customHeight="1">
      <c r="A577" s="32">
        <f t="shared" si="61"/>
        <v>547</v>
      </c>
      <c r="B577" s="56" t="s">
        <v>1241</v>
      </c>
      <c r="C577" s="78" t="s">
        <v>112</v>
      </c>
      <c r="D577" s="35">
        <f t="shared" si="60"/>
        <v>0.15</v>
      </c>
      <c r="E577" s="35"/>
      <c r="F577" s="35">
        <f t="shared" si="62"/>
        <v>0.15</v>
      </c>
      <c r="G577" s="43"/>
      <c r="H577" s="43"/>
      <c r="I577" s="43">
        <v>0.09</v>
      </c>
      <c r="J577" s="43">
        <v>0.06</v>
      </c>
      <c r="K577" s="43"/>
      <c r="L577" s="43"/>
      <c r="M577" s="43"/>
      <c r="N577" s="43"/>
      <c r="O577" s="43"/>
      <c r="P577" s="43"/>
      <c r="Q577" s="43"/>
      <c r="R577" s="43"/>
      <c r="S577" s="43"/>
      <c r="T577" s="43"/>
      <c r="U577" s="43"/>
      <c r="V577" s="43"/>
      <c r="W577" s="43"/>
      <c r="X577" s="43"/>
      <c r="Y577" s="43"/>
      <c r="Z577" s="43"/>
      <c r="AA577" s="43"/>
      <c r="AB577" s="43"/>
      <c r="AC577" s="43"/>
      <c r="AD577" s="43"/>
      <c r="AE577" s="43"/>
      <c r="AF577" s="43"/>
      <c r="AG577" s="43"/>
      <c r="AH577" s="43"/>
      <c r="AI577" s="43"/>
      <c r="AJ577" s="43"/>
      <c r="AK577" s="43"/>
      <c r="AL577" s="43"/>
      <c r="AM577" s="43"/>
      <c r="AN577" s="43"/>
      <c r="AO577" s="43"/>
      <c r="AP577" s="43"/>
      <c r="AQ577" s="43"/>
      <c r="AR577" s="43"/>
      <c r="AS577" s="43"/>
      <c r="AT577" s="43"/>
      <c r="AU577" s="43"/>
      <c r="AV577" s="43"/>
      <c r="AW577" s="43"/>
      <c r="AX577" s="43"/>
      <c r="AY577" s="34" t="s">
        <v>239</v>
      </c>
      <c r="AZ577" s="34" t="s">
        <v>682</v>
      </c>
      <c r="BA577" s="47" t="s">
        <v>322</v>
      </c>
      <c r="BB577" s="48"/>
      <c r="BI577" s="42">
        <v>1</v>
      </c>
    </row>
    <row r="578" spans="1:62" ht="19.350000000000001" customHeight="1">
      <c r="A578" s="32">
        <f t="shared" si="61"/>
        <v>548</v>
      </c>
      <c r="B578" s="56" t="s">
        <v>1161</v>
      </c>
      <c r="C578" s="78" t="s">
        <v>112</v>
      </c>
      <c r="D578" s="35">
        <f>E578+F578</f>
        <v>1</v>
      </c>
      <c r="E578" s="35">
        <v>1</v>
      </c>
      <c r="F578" s="89">
        <f>SUM(G578:AX578)</f>
        <v>0</v>
      </c>
      <c r="G578" s="43"/>
      <c r="H578" s="43"/>
      <c r="I578" s="43"/>
      <c r="J578" s="43"/>
      <c r="K578" s="43"/>
      <c r="L578" s="43"/>
      <c r="M578" s="43"/>
      <c r="N578" s="43"/>
      <c r="O578" s="43"/>
      <c r="P578" s="43"/>
      <c r="Q578" s="43"/>
      <c r="R578" s="43"/>
      <c r="S578" s="43"/>
      <c r="T578" s="43"/>
      <c r="U578" s="43"/>
      <c r="V578" s="43"/>
      <c r="W578" s="43"/>
      <c r="X578" s="43"/>
      <c r="Y578" s="43"/>
      <c r="Z578" s="43"/>
      <c r="AA578" s="43"/>
      <c r="AB578" s="43"/>
      <c r="AC578" s="43"/>
      <c r="AD578" s="43"/>
      <c r="AE578" s="43"/>
      <c r="AF578" s="43"/>
      <c r="AG578" s="43"/>
      <c r="AH578" s="43"/>
      <c r="AI578" s="43"/>
      <c r="AJ578" s="43"/>
      <c r="AK578" s="43"/>
      <c r="AL578" s="43"/>
      <c r="AM578" s="43"/>
      <c r="AN578" s="43"/>
      <c r="AO578" s="43"/>
      <c r="AP578" s="43"/>
      <c r="AQ578" s="43"/>
      <c r="AR578" s="43"/>
      <c r="AS578" s="43"/>
      <c r="AT578" s="43"/>
      <c r="AU578" s="43"/>
      <c r="AV578" s="43"/>
      <c r="AW578" s="43"/>
      <c r="AX578" s="43"/>
      <c r="AY578" s="34" t="s">
        <v>239</v>
      </c>
      <c r="AZ578" s="34" t="s">
        <v>471</v>
      </c>
      <c r="BA578" s="39" t="s">
        <v>291</v>
      </c>
      <c r="BB578" s="40"/>
      <c r="BC578" s="15" t="s">
        <v>1242</v>
      </c>
      <c r="BI578" s="42">
        <v>1</v>
      </c>
    </row>
    <row r="579" spans="1:62" ht="18" customHeight="1">
      <c r="A579" s="32">
        <f t="shared" si="61"/>
        <v>549</v>
      </c>
      <c r="B579" s="56" t="s">
        <v>1084</v>
      </c>
      <c r="C579" s="78" t="s">
        <v>112</v>
      </c>
      <c r="D579" s="35">
        <f t="shared" ref="D579:D593" si="63">E579+F579</f>
        <v>0.1</v>
      </c>
      <c r="E579" s="35">
        <v>0.05</v>
      </c>
      <c r="F579" s="35">
        <f t="shared" si="62"/>
        <v>0.05</v>
      </c>
      <c r="G579" s="43">
        <v>0.05</v>
      </c>
      <c r="H579" s="43"/>
      <c r="I579" s="43"/>
      <c r="J579" s="43"/>
      <c r="K579" s="43"/>
      <c r="L579" s="43"/>
      <c r="M579" s="43"/>
      <c r="N579" s="43"/>
      <c r="O579" s="43"/>
      <c r="P579" s="43"/>
      <c r="Q579" s="43"/>
      <c r="R579" s="43"/>
      <c r="S579" s="43"/>
      <c r="T579" s="43"/>
      <c r="U579" s="43"/>
      <c r="V579" s="43"/>
      <c r="W579" s="43"/>
      <c r="X579" s="43"/>
      <c r="Y579" s="43"/>
      <c r="Z579" s="43"/>
      <c r="AA579" s="43"/>
      <c r="AB579" s="43"/>
      <c r="AC579" s="43"/>
      <c r="AD579" s="43"/>
      <c r="AE579" s="43"/>
      <c r="AF579" s="43"/>
      <c r="AG579" s="43"/>
      <c r="AH579" s="43"/>
      <c r="AI579" s="43"/>
      <c r="AJ579" s="43"/>
      <c r="AK579" s="43"/>
      <c r="AL579" s="43"/>
      <c r="AM579" s="43"/>
      <c r="AN579" s="43"/>
      <c r="AO579" s="43"/>
      <c r="AP579" s="43"/>
      <c r="AQ579" s="43"/>
      <c r="AR579" s="43"/>
      <c r="AS579" s="43"/>
      <c r="AT579" s="43"/>
      <c r="AU579" s="43"/>
      <c r="AV579" s="43"/>
      <c r="AW579" s="43"/>
      <c r="AX579" s="43"/>
      <c r="AY579" s="34" t="s">
        <v>240</v>
      </c>
      <c r="AZ579" s="34" t="s">
        <v>451</v>
      </c>
      <c r="BA579" s="39" t="s">
        <v>291</v>
      </c>
      <c r="BB579" s="40"/>
      <c r="BG579" s="15" t="s">
        <v>1243</v>
      </c>
      <c r="BI579" s="42">
        <v>1</v>
      </c>
    </row>
    <row r="580" spans="1:62" ht="18" customHeight="1">
      <c r="A580" s="32">
        <f t="shared" si="61"/>
        <v>550</v>
      </c>
      <c r="B580" s="56" t="s">
        <v>1089</v>
      </c>
      <c r="C580" s="78" t="s">
        <v>112</v>
      </c>
      <c r="D580" s="35">
        <f t="shared" si="63"/>
        <v>0.1</v>
      </c>
      <c r="E580" s="35">
        <v>7.0000000000000007E-2</v>
      </c>
      <c r="F580" s="35">
        <f t="shared" si="62"/>
        <v>0.03</v>
      </c>
      <c r="G580" s="43"/>
      <c r="H580" s="43"/>
      <c r="I580" s="43">
        <v>0.03</v>
      </c>
      <c r="J580" s="43"/>
      <c r="K580" s="43"/>
      <c r="L580" s="43"/>
      <c r="M580" s="43"/>
      <c r="N580" s="43"/>
      <c r="O580" s="43"/>
      <c r="P580" s="43"/>
      <c r="Q580" s="43"/>
      <c r="R580" s="43"/>
      <c r="S580" s="43"/>
      <c r="T580" s="43"/>
      <c r="U580" s="43"/>
      <c r="V580" s="43"/>
      <c r="W580" s="43"/>
      <c r="X580" s="43"/>
      <c r="Y580" s="43"/>
      <c r="Z580" s="43"/>
      <c r="AA580" s="43"/>
      <c r="AB580" s="43"/>
      <c r="AC580" s="43"/>
      <c r="AD580" s="43"/>
      <c r="AE580" s="43"/>
      <c r="AF580" s="43"/>
      <c r="AG580" s="43"/>
      <c r="AH580" s="43"/>
      <c r="AI580" s="43"/>
      <c r="AJ580" s="43"/>
      <c r="AK580" s="43"/>
      <c r="AL580" s="43"/>
      <c r="AM580" s="43"/>
      <c r="AN580" s="43"/>
      <c r="AO580" s="43"/>
      <c r="AP580" s="43"/>
      <c r="AQ580" s="43"/>
      <c r="AR580" s="43"/>
      <c r="AS580" s="43"/>
      <c r="AT580" s="43"/>
      <c r="AU580" s="43"/>
      <c r="AV580" s="43"/>
      <c r="AW580" s="43"/>
      <c r="AX580" s="43"/>
      <c r="AY580" s="34" t="s">
        <v>240</v>
      </c>
      <c r="AZ580" s="34" t="s">
        <v>305</v>
      </c>
      <c r="BA580" s="39" t="s">
        <v>291</v>
      </c>
      <c r="BB580" s="40"/>
      <c r="BI580" s="42">
        <v>1</v>
      </c>
    </row>
    <row r="581" spans="1:62" ht="18" customHeight="1">
      <c r="A581" s="32">
        <f t="shared" si="61"/>
        <v>551</v>
      </c>
      <c r="B581" s="56" t="s">
        <v>1090</v>
      </c>
      <c r="C581" s="78" t="s">
        <v>112</v>
      </c>
      <c r="D581" s="35">
        <f t="shared" si="63"/>
        <v>0.1</v>
      </c>
      <c r="E581" s="35">
        <v>0.04</v>
      </c>
      <c r="F581" s="35">
        <f t="shared" si="62"/>
        <v>0.06</v>
      </c>
      <c r="G581" s="43">
        <v>0.06</v>
      </c>
      <c r="H581" s="43"/>
      <c r="I581" s="43"/>
      <c r="J581" s="43"/>
      <c r="K581" s="43"/>
      <c r="L581" s="43"/>
      <c r="M581" s="43"/>
      <c r="N581" s="43"/>
      <c r="O581" s="43"/>
      <c r="P581" s="43"/>
      <c r="Q581" s="43"/>
      <c r="R581" s="43"/>
      <c r="S581" s="43"/>
      <c r="T581" s="43"/>
      <c r="U581" s="43"/>
      <c r="V581" s="43"/>
      <c r="W581" s="43"/>
      <c r="X581" s="43"/>
      <c r="Y581" s="43"/>
      <c r="Z581" s="43"/>
      <c r="AA581" s="43"/>
      <c r="AB581" s="43"/>
      <c r="AC581" s="43"/>
      <c r="AD581" s="43"/>
      <c r="AE581" s="43"/>
      <c r="AF581" s="43"/>
      <c r="AG581" s="43"/>
      <c r="AH581" s="43"/>
      <c r="AI581" s="43"/>
      <c r="AJ581" s="43"/>
      <c r="AK581" s="43"/>
      <c r="AL581" s="43"/>
      <c r="AM581" s="43"/>
      <c r="AN581" s="43"/>
      <c r="AO581" s="43"/>
      <c r="AP581" s="43"/>
      <c r="AQ581" s="43"/>
      <c r="AR581" s="43"/>
      <c r="AS581" s="43"/>
      <c r="AT581" s="43"/>
      <c r="AU581" s="43"/>
      <c r="AV581" s="43"/>
      <c r="AW581" s="43"/>
      <c r="AX581" s="43"/>
      <c r="AY581" s="34" t="s">
        <v>240</v>
      </c>
      <c r="AZ581" s="34" t="s">
        <v>308</v>
      </c>
      <c r="BA581" s="39" t="s">
        <v>291</v>
      </c>
      <c r="BB581" s="40"/>
      <c r="BG581" s="15" t="s">
        <v>1244</v>
      </c>
      <c r="BI581" s="42">
        <v>1</v>
      </c>
    </row>
    <row r="582" spans="1:62" ht="18" customHeight="1">
      <c r="A582" s="32">
        <f t="shared" si="61"/>
        <v>552</v>
      </c>
      <c r="B582" s="60" t="s">
        <v>1153</v>
      </c>
      <c r="C582" s="78" t="s">
        <v>112</v>
      </c>
      <c r="D582" s="35">
        <f t="shared" si="63"/>
        <v>7.0000000000000007E-2</v>
      </c>
      <c r="E582" s="35">
        <v>0.02</v>
      </c>
      <c r="F582" s="35">
        <f t="shared" si="62"/>
        <v>0.05</v>
      </c>
      <c r="G582" s="43"/>
      <c r="H582" s="43"/>
      <c r="I582" s="43"/>
      <c r="J582" s="43">
        <v>0.05</v>
      </c>
      <c r="K582" s="43"/>
      <c r="L582" s="43"/>
      <c r="M582" s="43"/>
      <c r="N582" s="43"/>
      <c r="O582" s="43"/>
      <c r="P582" s="43"/>
      <c r="Q582" s="43"/>
      <c r="R582" s="43"/>
      <c r="S582" s="43"/>
      <c r="T582" s="43"/>
      <c r="U582" s="43"/>
      <c r="V582" s="43"/>
      <c r="W582" s="43"/>
      <c r="X582" s="43"/>
      <c r="Y582" s="43"/>
      <c r="Z582" s="43"/>
      <c r="AA582" s="43"/>
      <c r="AB582" s="43"/>
      <c r="AC582" s="43"/>
      <c r="AD582" s="43"/>
      <c r="AE582" s="43"/>
      <c r="AF582" s="43"/>
      <c r="AG582" s="43"/>
      <c r="AH582" s="43"/>
      <c r="AI582" s="43"/>
      <c r="AJ582" s="43"/>
      <c r="AK582" s="43"/>
      <c r="AL582" s="43"/>
      <c r="AM582" s="43"/>
      <c r="AN582" s="43"/>
      <c r="AO582" s="43"/>
      <c r="AP582" s="43"/>
      <c r="AQ582" s="43"/>
      <c r="AR582" s="43"/>
      <c r="AS582" s="43"/>
      <c r="AT582" s="43"/>
      <c r="AU582" s="43"/>
      <c r="AV582" s="43"/>
      <c r="AW582" s="43"/>
      <c r="AX582" s="43"/>
      <c r="AY582" s="34" t="s">
        <v>241</v>
      </c>
      <c r="AZ582" s="34" t="s">
        <v>389</v>
      </c>
      <c r="BA582" s="63" t="s">
        <v>291</v>
      </c>
      <c r="BB582" s="64"/>
      <c r="BC582" s="15" t="s">
        <v>1245</v>
      </c>
      <c r="BG582" s="15" t="s">
        <v>1243</v>
      </c>
      <c r="BI582" s="42">
        <v>1</v>
      </c>
    </row>
    <row r="583" spans="1:62" ht="18" customHeight="1">
      <c r="A583" s="32">
        <f t="shared" si="61"/>
        <v>553</v>
      </c>
      <c r="B583" s="60" t="s">
        <v>1091</v>
      </c>
      <c r="C583" s="78" t="s">
        <v>112</v>
      </c>
      <c r="D583" s="35">
        <f t="shared" si="63"/>
        <v>0.15</v>
      </c>
      <c r="E583" s="35">
        <v>0.09</v>
      </c>
      <c r="F583" s="35">
        <f>SUM(G583:AX583)</f>
        <v>0.06</v>
      </c>
      <c r="G583" s="43"/>
      <c r="H583" s="43"/>
      <c r="I583" s="43"/>
      <c r="J583" s="43"/>
      <c r="K583" s="43"/>
      <c r="L583" s="43"/>
      <c r="M583" s="43"/>
      <c r="N583" s="43"/>
      <c r="O583" s="43"/>
      <c r="P583" s="43">
        <v>0.06</v>
      </c>
      <c r="Q583" s="43"/>
      <c r="R583" s="43"/>
      <c r="S583" s="43"/>
      <c r="T583" s="43"/>
      <c r="U583" s="43"/>
      <c r="V583" s="43"/>
      <c r="W583" s="43"/>
      <c r="X583" s="43"/>
      <c r="Y583" s="43"/>
      <c r="Z583" s="43"/>
      <c r="AA583" s="43"/>
      <c r="AB583" s="43"/>
      <c r="AC583" s="43"/>
      <c r="AD583" s="43"/>
      <c r="AE583" s="43"/>
      <c r="AF583" s="43"/>
      <c r="AG583" s="43"/>
      <c r="AH583" s="43"/>
      <c r="AI583" s="43"/>
      <c r="AJ583" s="43"/>
      <c r="AK583" s="43"/>
      <c r="AL583" s="43"/>
      <c r="AM583" s="43"/>
      <c r="AN583" s="43"/>
      <c r="AO583" s="43"/>
      <c r="AP583" s="43"/>
      <c r="AQ583" s="43"/>
      <c r="AR583" s="43"/>
      <c r="AS583" s="43"/>
      <c r="AT583" s="43"/>
      <c r="AU583" s="43"/>
      <c r="AV583" s="43"/>
      <c r="AW583" s="43"/>
      <c r="AX583" s="43"/>
      <c r="AY583" s="34" t="s">
        <v>241</v>
      </c>
      <c r="AZ583" s="34" t="s">
        <v>328</v>
      </c>
      <c r="BA583" s="47" t="s">
        <v>298</v>
      </c>
      <c r="BB583" s="64"/>
      <c r="BC583" s="15" t="s">
        <v>381</v>
      </c>
      <c r="BI583" s="42">
        <v>1</v>
      </c>
      <c r="BJ583" s="15" t="s">
        <v>1246</v>
      </c>
    </row>
    <row r="584" spans="1:62" ht="18" customHeight="1">
      <c r="A584" s="32">
        <f t="shared" si="61"/>
        <v>554</v>
      </c>
      <c r="B584" s="60" t="s">
        <v>1247</v>
      </c>
      <c r="C584" s="78" t="s">
        <v>112</v>
      </c>
      <c r="D584" s="35">
        <f t="shared" si="63"/>
        <v>0.14000000000000001</v>
      </c>
      <c r="E584" s="36"/>
      <c r="F584" s="35">
        <f t="shared" si="62"/>
        <v>0.14000000000000001</v>
      </c>
      <c r="G584" s="43"/>
      <c r="H584" s="43"/>
      <c r="I584" s="43"/>
      <c r="J584" s="43"/>
      <c r="K584" s="37"/>
      <c r="L584" s="43"/>
      <c r="M584" s="43">
        <v>0.14000000000000001</v>
      </c>
      <c r="N584" s="43"/>
      <c r="O584" s="43"/>
      <c r="P584" s="43"/>
      <c r="Q584" s="43"/>
      <c r="R584" s="43"/>
      <c r="S584" s="43"/>
      <c r="T584" s="43"/>
      <c r="U584" s="43"/>
      <c r="V584" s="43"/>
      <c r="W584" s="43"/>
      <c r="X584" s="43"/>
      <c r="Y584" s="43"/>
      <c r="Z584" s="43"/>
      <c r="AA584" s="43"/>
      <c r="AB584" s="43"/>
      <c r="AC584" s="43"/>
      <c r="AD584" s="43"/>
      <c r="AE584" s="43"/>
      <c r="AF584" s="43"/>
      <c r="AG584" s="43"/>
      <c r="AH584" s="43"/>
      <c r="AI584" s="43"/>
      <c r="AJ584" s="43"/>
      <c r="AK584" s="43"/>
      <c r="AL584" s="43"/>
      <c r="AM584" s="43"/>
      <c r="AN584" s="43"/>
      <c r="AO584" s="43"/>
      <c r="AP584" s="43"/>
      <c r="AQ584" s="43"/>
      <c r="AR584" s="43"/>
      <c r="AS584" s="43"/>
      <c r="AT584" s="43"/>
      <c r="AU584" s="43"/>
      <c r="AV584" s="43"/>
      <c r="AW584" s="43"/>
      <c r="AX584" s="43"/>
      <c r="AY584" s="34" t="s">
        <v>241</v>
      </c>
      <c r="AZ584" s="34" t="s">
        <v>308</v>
      </c>
      <c r="BA584" s="47" t="s">
        <v>298</v>
      </c>
      <c r="BB584" s="48"/>
      <c r="BI584" s="42">
        <v>1</v>
      </c>
    </row>
    <row r="585" spans="1:62" ht="18" customHeight="1">
      <c r="A585" s="32">
        <f t="shared" si="61"/>
        <v>555</v>
      </c>
      <c r="B585" s="60" t="s">
        <v>1102</v>
      </c>
      <c r="C585" s="78" t="s">
        <v>112</v>
      </c>
      <c r="D585" s="35">
        <f t="shared" si="63"/>
        <v>0.15</v>
      </c>
      <c r="E585" s="36"/>
      <c r="F585" s="35">
        <f t="shared" si="62"/>
        <v>0.15</v>
      </c>
      <c r="G585" s="43">
        <v>0.15</v>
      </c>
      <c r="H585" s="43"/>
      <c r="I585" s="43"/>
      <c r="J585" s="43"/>
      <c r="K585" s="37"/>
      <c r="L585" s="43"/>
      <c r="M585" s="43"/>
      <c r="N585" s="43"/>
      <c r="O585" s="43"/>
      <c r="P585" s="43"/>
      <c r="Q585" s="43"/>
      <c r="R585" s="43"/>
      <c r="S585" s="43"/>
      <c r="T585" s="43"/>
      <c r="U585" s="43"/>
      <c r="V585" s="43"/>
      <c r="W585" s="43"/>
      <c r="X585" s="43"/>
      <c r="Y585" s="43"/>
      <c r="Z585" s="43"/>
      <c r="AA585" s="43"/>
      <c r="AB585" s="43"/>
      <c r="AC585" s="43"/>
      <c r="AD585" s="43"/>
      <c r="AE585" s="43"/>
      <c r="AF585" s="43"/>
      <c r="AG585" s="43"/>
      <c r="AH585" s="43"/>
      <c r="AI585" s="43"/>
      <c r="AJ585" s="43"/>
      <c r="AK585" s="43"/>
      <c r="AL585" s="43"/>
      <c r="AM585" s="43"/>
      <c r="AN585" s="43"/>
      <c r="AO585" s="43"/>
      <c r="AP585" s="43"/>
      <c r="AQ585" s="43"/>
      <c r="AR585" s="43"/>
      <c r="AS585" s="43"/>
      <c r="AT585" s="43"/>
      <c r="AU585" s="43"/>
      <c r="AV585" s="43"/>
      <c r="AW585" s="43"/>
      <c r="AX585" s="43"/>
      <c r="AY585" s="34" t="s">
        <v>241</v>
      </c>
      <c r="AZ585" s="34" t="s">
        <v>387</v>
      </c>
      <c r="BA585" s="47" t="s">
        <v>298</v>
      </c>
      <c r="BB585" s="48"/>
      <c r="BC585" s="15" t="s">
        <v>351</v>
      </c>
      <c r="BI585" s="42">
        <v>1</v>
      </c>
      <c r="BJ585" s="15" t="s">
        <v>1227</v>
      </c>
    </row>
    <row r="586" spans="1:62" ht="18" customHeight="1">
      <c r="A586" s="32">
        <f t="shared" si="61"/>
        <v>556</v>
      </c>
      <c r="B586" s="60" t="s">
        <v>1095</v>
      </c>
      <c r="C586" s="78" t="s">
        <v>112</v>
      </c>
      <c r="D586" s="35">
        <f t="shared" si="63"/>
        <v>0.13</v>
      </c>
      <c r="E586" s="36">
        <v>0.03</v>
      </c>
      <c r="F586" s="35">
        <f>SUM(G586:AX586)</f>
        <v>0.1</v>
      </c>
      <c r="G586" s="43"/>
      <c r="H586" s="43"/>
      <c r="I586" s="43">
        <v>0.1</v>
      </c>
      <c r="J586" s="43"/>
      <c r="K586" s="37"/>
      <c r="L586" s="43"/>
      <c r="M586" s="43"/>
      <c r="N586" s="43"/>
      <c r="O586" s="43"/>
      <c r="P586" s="43"/>
      <c r="Q586" s="43"/>
      <c r="R586" s="43"/>
      <c r="S586" s="43"/>
      <c r="T586" s="43"/>
      <c r="U586" s="43"/>
      <c r="V586" s="43"/>
      <c r="W586" s="43"/>
      <c r="X586" s="43"/>
      <c r="Y586" s="43"/>
      <c r="Z586" s="43"/>
      <c r="AA586" s="43"/>
      <c r="AB586" s="43"/>
      <c r="AC586" s="43"/>
      <c r="AD586" s="43"/>
      <c r="AE586" s="43"/>
      <c r="AF586" s="43"/>
      <c r="AG586" s="43"/>
      <c r="AH586" s="43"/>
      <c r="AI586" s="43"/>
      <c r="AJ586" s="43"/>
      <c r="AK586" s="43"/>
      <c r="AL586" s="43"/>
      <c r="AM586" s="43"/>
      <c r="AN586" s="43"/>
      <c r="AO586" s="43"/>
      <c r="AP586" s="43"/>
      <c r="AQ586" s="43"/>
      <c r="AR586" s="43"/>
      <c r="AS586" s="43"/>
      <c r="AT586" s="43"/>
      <c r="AU586" s="43"/>
      <c r="AV586" s="43"/>
      <c r="AW586" s="43"/>
      <c r="AX586" s="43"/>
      <c r="AY586" s="34" t="s">
        <v>241</v>
      </c>
      <c r="AZ586" s="34" t="s">
        <v>417</v>
      </c>
      <c r="BA586" s="47" t="s">
        <v>298</v>
      </c>
      <c r="BB586" s="15" t="s">
        <v>1165</v>
      </c>
      <c r="BI586" s="42">
        <v>1</v>
      </c>
    </row>
    <row r="587" spans="1:62" ht="18" customHeight="1">
      <c r="A587" s="32">
        <f t="shared" si="61"/>
        <v>557</v>
      </c>
      <c r="B587" s="60" t="s">
        <v>1248</v>
      </c>
      <c r="C587" s="78" t="s">
        <v>112</v>
      </c>
      <c r="D587" s="35">
        <f t="shared" si="63"/>
        <v>0.1</v>
      </c>
      <c r="E587" s="35"/>
      <c r="F587" s="35">
        <f t="shared" si="62"/>
        <v>0.1</v>
      </c>
      <c r="G587" s="43"/>
      <c r="H587" s="43">
        <v>0.1</v>
      </c>
      <c r="I587" s="43"/>
      <c r="J587" s="43"/>
      <c r="K587" s="37"/>
      <c r="L587" s="43"/>
      <c r="M587" s="43"/>
      <c r="N587" s="43"/>
      <c r="O587" s="43"/>
      <c r="P587" s="43"/>
      <c r="Q587" s="43"/>
      <c r="R587" s="43"/>
      <c r="S587" s="43"/>
      <c r="T587" s="43"/>
      <c r="U587" s="43"/>
      <c r="V587" s="43"/>
      <c r="W587" s="43"/>
      <c r="X587" s="43"/>
      <c r="Y587" s="43"/>
      <c r="Z587" s="43"/>
      <c r="AA587" s="43"/>
      <c r="AB587" s="43"/>
      <c r="AC587" s="43"/>
      <c r="AD587" s="43"/>
      <c r="AE587" s="43"/>
      <c r="AF587" s="43"/>
      <c r="AG587" s="43"/>
      <c r="AH587" s="43"/>
      <c r="AI587" s="43"/>
      <c r="AJ587" s="43"/>
      <c r="AK587" s="43"/>
      <c r="AL587" s="43"/>
      <c r="AM587" s="43"/>
      <c r="AN587" s="43"/>
      <c r="AO587" s="43"/>
      <c r="AP587" s="43"/>
      <c r="AQ587" s="43"/>
      <c r="AR587" s="43"/>
      <c r="AS587" s="43"/>
      <c r="AT587" s="43"/>
      <c r="AU587" s="43"/>
      <c r="AV587" s="43"/>
      <c r="AW587" s="43"/>
      <c r="AX587" s="43"/>
      <c r="AY587" s="34" t="s">
        <v>241</v>
      </c>
      <c r="AZ587" s="34" t="s">
        <v>425</v>
      </c>
      <c r="BA587" s="47" t="s">
        <v>298</v>
      </c>
      <c r="BB587" s="48"/>
      <c r="BG587" s="15" t="s">
        <v>1249</v>
      </c>
      <c r="BI587" s="42">
        <v>1</v>
      </c>
    </row>
    <row r="588" spans="1:62" s="24" customFormat="1" ht="21" customHeight="1">
      <c r="A588" s="20" t="s">
        <v>1250</v>
      </c>
      <c r="B588" s="25" t="s">
        <v>1251</v>
      </c>
      <c r="C588" s="26"/>
      <c r="D588" s="27">
        <f t="shared" si="63"/>
        <v>4.7700000000000005</v>
      </c>
      <c r="E588" s="83">
        <f>SUM(E589:E1293)</f>
        <v>0.92999999999999994</v>
      </c>
      <c r="F588" s="27">
        <f t="shared" si="62"/>
        <v>3.8400000000000003</v>
      </c>
      <c r="G588" s="28">
        <f t="shared" ref="G588:AW588" si="64">SUM(G589:G593)</f>
        <v>1.19</v>
      </c>
      <c r="H588" s="28">
        <f t="shared" si="64"/>
        <v>0.11</v>
      </c>
      <c r="I588" s="28">
        <f t="shared" si="64"/>
        <v>0.04</v>
      </c>
      <c r="J588" s="28">
        <f t="shared" si="64"/>
        <v>0.82</v>
      </c>
      <c r="K588" s="28">
        <f t="shared" si="64"/>
        <v>0</v>
      </c>
      <c r="L588" s="28">
        <f t="shared" si="64"/>
        <v>0</v>
      </c>
      <c r="M588" s="28">
        <f t="shared" si="64"/>
        <v>1.6</v>
      </c>
      <c r="N588" s="28">
        <f t="shared" si="64"/>
        <v>0</v>
      </c>
      <c r="O588" s="28">
        <f t="shared" si="64"/>
        <v>0</v>
      </c>
      <c r="P588" s="28">
        <f t="shared" si="64"/>
        <v>0</v>
      </c>
      <c r="Q588" s="28">
        <f t="shared" si="64"/>
        <v>0</v>
      </c>
      <c r="R588" s="28">
        <f t="shared" si="64"/>
        <v>0</v>
      </c>
      <c r="S588" s="28">
        <f t="shared" si="64"/>
        <v>0</v>
      </c>
      <c r="T588" s="28">
        <f t="shared" si="64"/>
        <v>0</v>
      </c>
      <c r="U588" s="28">
        <f t="shared" si="64"/>
        <v>0</v>
      </c>
      <c r="V588" s="28">
        <f t="shared" si="64"/>
        <v>0</v>
      </c>
      <c r="W588" s="28">
        <f t="shared" si="64"/>
        <v>0</v>
      </c>
      <c r="X588" s="28">
        <f t="shared" si="64"/>
        <v>0</v>
      </c>
      <c r="Y588" s="28">
        <f t="shared" si="64"/>
        <v>0</v>
      </c>
      <c r="Z588" s="28">
        <f t="shared" si="64"/>
        <v>0</v>
      </c>
      <c r="AA588" s="28">
        <f t="shared" si="64"/>
        <v>0</v>
      </c>
      <c r="AB588" s="28">
        <f t="shared" si="64"/>
        <v>0</v>
      </c>
      <c r="AC588" s="28">
        <f t="shared" si="64"/>
        <v>0</v>
      </c>
      <c r="AD588" s="28">
        <f t="shared" si="64"/>
        <v>0.08</v>
      </c>
      <c r="AE588" s="28">
        <f t="shared" si="64"/>
        <v>0</v>
      </c>
      <c r="AF588" s="28">
        <f t="shared" si="64"/>
        <v>0</v>
      </c>
      <c r="AG588" s="28">
        <f t="shared" si="64"/>
        <v>0</v>
      </c>
      <c r="AH588" s="28">
        <f t="shared" si="64"/>
        <v>0</v>
      </c>
      <c r="AI588" s="28">
        <f t="shared" si="64"/>
        <v>0</v>
      </c>
      <c r="AJ588" s="28">
        <f t="shared" si="64"/>
        <v>0</v>
      </c>
      <c r="AK588" s="28">
        <f t="shared" si="64"/>
        <v>0</v>
      </c>
      <c r="AL588" s="28">
        <f t="shared" si="64"/>
        <v>0</v>
      </c>
      <c r="AM588" s="28">
        <f t="shared" si="64"/>
        <v>0</v>
      </c>
      <c r="AN588" s="28">
        <f t="shared" si="64"/>
        <v>0</v>
      </c>
      <c r="AO588" s="28">
        <f t="shared" si="64"/>
        <v>0</v>
      </c>
      <c r="AP588" s="28">
        <f t="shared" si="64"/>
        <v>0</v>
      </c>
      <c r="AQ588" s="28">
        <f t="shared" si="64"/>
        <v>0</v>
      </c>
      <c r="AR588" s="28">
        <f t="shared" si="64"/>
        <v>0</v>
      </c>
      <c r="AS588" s="28">
        <f t="shared" si="64"/>
        <v>0</v>
      </c>
      <c r="AT588" s="28">
        <f t="shared" si="64"/>
        <v>0</v>
      </c>
      <c r="AU588" s="28">
        <f t="shared" si="64"/>
        <v>0</v>
      </c>
      <c r="AV588" s="28">
        <f t="shared" si="64"/>
        <v>0</v>
      </c>
      <c r="AW588" s="28">
        <f t="shared" si="64"/>
        <v>0</v>
      </c>
      <c r="AX588" s="28">
        <f>SUM(AX589:AX593)</f>
        <v>0</v>
      </c>
      <c r="AY588" s="29"/>
      <c r="AZ588" s="29"/>
      <c r="BA588" s="30"/>
      <c r="BB588" s="31"/>
      <c r="BI588" s="42"/>
    </row>
    <row r="589" spans="1:62" ht="21" customHeight="1">
      <c r="A589" s="32">
        <f>A587+1</f>
        <v>558</v>
      </c>
      <c r="B589" s="62" t="s">
        <v>1252</v>
      </c>
      <c r="C589" s="78" t="s">
        <v>113</v>
      </c>
      <c r="D589" s="35">
        <f t="shared" si="63"/>
        <v>0.82</v>
      </c>
      <c r="E589" s="35"/>
      <c r="F589" s="35">
        <f t="shared" si="62"/>
        <v>0.82</v>
      </c>
      <c r="G589" s="43"/>
      <c r="H589" s="43"/>
      <c r="I589" s="43"/>
      <c r="J589" s="43">
        <v>0.82</v>
      </c>
      <c r="K589" s="43"/>
      <c r="L589" s="43"/>
      <c r="M589" s="43"/>
      <c r="N589" s="43"/>
      <c r="O589" s="43"/>
      <c r="P589" s="43"/>
      <c r="Q589" s="43"/>
      <c r="R589" s="43"/>
      <c r="S589" s="43"/>
      <c r="T589" s="43"/>
      <c r="U589" s="43"/>
      <c r="V589" s="43"/>
      <c r="W589" s="43"/>
      <c r="X589" s="43"/>
      <c r="Y589" s="43"/>
      <c r="Z589" s="43"/>
      <c r="AA589" s="43"/>
      <c r="AB589" s="43"/>
      <c r="AC589" s="43"/>
      <c r="AD589" s="43"/>
      <c r="AE589" s="43"/>
      <c r="AF589" s="43"/>
      <c r="AG589" s="43"/>
      <c r="AH589" s="43"/>
      <c r="AI589" s="43"/>
      <c r="AJ589" s="43"/>
      <c r="AK589" s="43"/>
      <c r="AL589" s="43"/>
      <c r="AM589" s="43"/>
      <c r="AN589" s="43"/>
      <c r="AO589" s="43"/>
      <c r="AP589" s="43"/>
      <c r="AQ589" s="43"/>
      <c r="AR589" s="43"/>
      <c r="AS589" s="43"/>
      <c r="AT589" s="43"/>
      <c r="AU589" s="43"/>
      <c r="AV589" s="43"/>
      <c r="AW589" s="43"/>
      <c r="AX589" s="43"/>
      <c r="AY589" s="34" t="s">
        <v>223</v>
      </c>
      <c r="AZ589" s="34" t="s">
        <v>451</v>
      </c>
      <c r="BA589" s="47" t="s">
        <v>298</v>
      </c>
      <c r="BB589" s="48"/>
      <c r="BC589" s="65"/>
      <c r="BD589" s="65" t="s">
        <v>14</v>
      </c>
      <c r="BI589" s="42">
        <v>1</v>
      </c>
    </row>
    <row r="590" spans="1:62" ht="21" customHeight="1">
      <c r="A590" s="32">
        <f>A589+1</f>
        <v>559</v>
      </c>
      <c r="B590" s="62" t="s">
        <v>1252</v>
      </c>
      <c r="C590" s="78" t="s">
        <v>113</v>
      </c>
      <c r="D590" s="35">
        <f t="shared" si="63"/>
        <v>0.15</v>
      </c>
      <c r="E590" s="36"/>
      <c r="F590" s="35">
        <f t="shared" si="62"/>
        <v>0.15</v>
      </c>
      <c r="G590" s="43"/>
      <c r="H590" s="43">
        <v>0.11</v>
      </c>
      <c r="I590" s="43">
        <v>0.04</v>
      </c>
      <c r="J590" s="43"/>
      <c r="K590" s="43"/>
      <c r="L590" s="43"/>
      <c r="M590" s="43"/>
      <c r="N590" s="43"/>
      <c r="O590" s="43"/>
      <c r="P590" s="43"/>
      <c r="Q590" s="43"/>
      <c r="R590" s="43"/>
      <c r="S590" s="43"/>
      <c r="T590" s="43"/>
      <c r="U590" s="43"/>
      <c r="V590" s="43"/>
      <c r="W590" s="43"/>
      <c r="X590" s="43"/>
      <c r="Y590" s="43"/>
      <c r="Z590" s="43"/>
      <c r="AA590" s="43"/>
      <c r="AB590" s="43"/>
      <c r="AC590" s="43"/>
      <c r="AD590" s="43"/>
      <c r="AE590" s="43"/>
      <c r="AF590" s="43"/>
      <c r="AG590" s="43"/>
      <c r="AH590" s="43"/>
      <c r="AI590" s="43"/>
      <c r="AJ590" s="43"/>
      <c r="AK590" s="43"/>
      <c r="AL590" s="43"/>
      <c r="AM590" s="43"/>
      <c r="AN590" s="43"/>
      <c r="AO590" s="43"/>
      <c r="AP590" s="43"/>
      <c r="AQ590" s="43"/>
      <c r="AR590" s="43"/>
      <c r="AS590" s="43"/>
      <c r="AT590" s="43"/>
      <c r="AU590" s="43"/>
      <c r="AV590" s="43"/>
      <c r="AW590" s="43"/>
      <c r="AX590" s="43"/>
      <c r="AY590" s="34" t="s">
        <v>225</v>
      </c>
      <c r="AZ590" s="34" t="s">
        <v>915</v>
      </c>
      <c r="BA590" s="47" t="s">
        <v>298</v>
      </c>
      <c r="BB590" s="48"/>
      <c r="BD590" s="15" t="s">
        <v>1253</v>
      </c>
      <c r="BI590" s="42">
        <v>1</v>
      </c>
    </row>
    <row r="591" spans="1:62" ht="21" customHeight="1">
      <c r="A591" s="32">
        <f>A590+1</f>
        <v>560</v>
      </c>
      <c r="B591" s="62" t="s">
        <v>1252</v>
      </c>
      <c r="C591" s="78" t="s">
        <v>113</v>
      </c>
      <c r="D591" s="35">
        <f t="shared" si="63"/>
        <v>0.95</v>
      </c>
      <c r="E591" s="36"/>
      <c r="F591" s="35">
        <f t="shared" si="62"/>
        <v>0.95</v>
      </c>
      <c r="G591" s="37">
        <v>0.95</v>
      </c>
      <c r="H591" s="37"/>
      <c r="I591" s="119"/>
      <c r="J591" s="119"/>
      <c r="K591" s="37"/>
      <c r="L591" s="37"/>
      <c r="M591" s="37"/>
      <c r="N591" s="37"/>
      <c r="O591" s="37"/>
      <c r="P591" s="37"/>
      <c r="Q591" s="37"/>
      <c r="R591" s="37"/>
      <c r="S591" s="37"/>
      <c r="T591" s="37"/>
      <c r="U591" s="37"/>
      <c r="V591" s="37"/>
      <c r="W591" s="37"/>
      <c r="X591" s="37"/>
      <c r="Y591" s="37"/>
      <c r="Z591" s="37"/>
      <c r="AA591" s="37"/>
      <c r="AB591" s="37"/>
      <c r="AC591" s="37"/>
      <c r="AD591" s="37"/>
      <c r="AE591" s="37"/>
      <c r="AF591" s="37"/>
      <c r="AG591" s="37"/>
      <c r="AH591" s="37"/>
      <c r="AI591" s="37"/>
      <c r="AJ591" s="37"/>
      <c r="AK591" s="37"/>
      <c r="AL591" s="37"/>
      <c r="AM591" s="37"/>
      <c r="AN591" s="37"/>
      <c r="AO591" s="37"/>
      <c r="AP591" s="37"/>
      <c r="AQ591" s="37"/>
      <c r="AR591" s="37"/>
      <c r="AS591" s="37"/>
      <c r="AT591" s="37"/>
      <c r="AU591" s="37"/>
      <c r="AV591" s="37"/>
      <c r="AW591" s="37"/>
      <c r="AX591" s="37"/>
      <c r="AY591" s="38" t="s">
        <v>228</v>
      </c>
      <c r="AZ591" s="34" t="s">
        <v>1254</v>
      </c>
      <c r="BA591" s="47" t="s">
        <v>298</v>
      </c>
      <c r="BB591" s="48"/>
      <c r="BE591" s="41"/>
      <c r="BI591" s="42">
        <v>1</v>
      </c>
    </row>
    <row r="592" spans="1:62" ht="21" customHeight="1">
      <c r="A592" s="32">
        <f>A591+1</f>
        <v>561</v>
      </c>
      <c r="B592" s="56" t="s">
        <v>1252</v>
      </c>
      <c r="C592" s="78" t="s">
        <v>113</v>
      </c>
      <c r="D592" s="35">
        <f t="shared" si="63"/>
        <v>0.32</v>
      </c>
      <c r="E592" s="35"/>
      <c r="F592" s="35">
        <f t="shared" si="62"/>
        <v>0.32</v>
      </c>
      <c r="G592" s="37">
        <v>0.24</v>
      </c>
      <c r="H592" s="37"/>
      <c r="I592" s="119"/>
      <c r="J592" s="119"/>
      <c r="K592" s="37"/>
      <c r="L592" s="37"/>
      <c r="M592" s="37"/>
      <c r="N592" s="37"/>
      <c r="O592" s="37"/>
      <c r="P592" s="37"/>
      <c r="Q592" s="37"/>
      <c r="R592" s="37"/>
      <c r="S592" s="37"/>
      <c r="T592" s="37"/>
      <c r="U592" s="37"/>
      <c r="V592" s="37"/>
      <c r="W592" s="37"/>
      <c r="X592" s="37"/>
      <c r="Y592" s="37"/>
      <c r="Z592" s="37"/>
      <c r="AA592" s="37"/>
      <c r="AB592" s="37"/>
      <c r="AC592" s="37"/>
      <c r="AD592" s="37">
        <v>0.08</v>
      </c>
      <c r="AE592" s="37"/>
      <c r="AF592" s="37"/>
      <c r="AG592" s="37"/>
      <c r="AH592" s="37"/>
      <c r="AI592" s="37"/>
      <c r="AJ592" s="37"/>
      <c r="AK592" s="37"/>
      <c r="AL592" s="37"/>
      <c r="AM592" s="37"/>
      <c r="AN592" s="37"/>
      <c r="AO592" s="37"/>
      <c r="AP592" s="37"/>
      <c r="AQ592" s="37"/>
      <c r="AR592" s="37"/>
      <c r="AS592" s="37"/>
      <c r="AT592" s="37"/>
      <c r="AU592" s="37"/>
      <c r="AV592" s="37"/>
      <c r="AW592" s="37"/>
      <c r="AX592" s="37"/>
      <c r="AY592" s="38" t="s">
        <v>289</v>
      </c>
      <c r="AZ592" s="34" t="s">
        <v>1255</v>
      </c>
      <c r="BA592" s="47" t="s">
        <v>298</v>
      </c>
      <c r="BB592" s="48"/>
      <c r="BC592" s="15" t="s">
        <v>381</v>
      </c>
      <c r="BE592" s="41"/>
      <c r="BI592" s="42">
        <v>1</v>
      </c>
    </row>
    <row r="593" spans="1:61" ht="19.350000000000001" customHeight="1">
      <c r="A593" s="32">
        <f>A592+1</f>
        <v>562</v>
      </c>
      <c r="B593" s="56" t="s">
        <v>1252</v>
      </c>
      <c r="C593" s="78" t="s">
        <v>113</v>
      </c>
      <c r="D593" s="35">
        <f t="shared" si="63"/>
        <v>1.6</v>
      </c>
      <c r="E593" s="35"/>
      <c r="F593" s="35">
        <f t="shared" si="62"/>
        <v>1.6</v>
      </c>
      <c r="G593" s="43"/>
      <c r="H593" s="43"/>
      <c r="I593" s="43"/>
      <c r="J593" s="43"/>
      <c r="K593" s="43"/>
      <c r="L593" s="43"/>
      <c r="M593" s="43">
        <v>1.6</v>
      </c>
      <c r="N593" s="43"/>
      <c r="O593" s="43"/>
      <c r="P593" s="43"/>
      <c r="Q593" s="43"/>
      <c r="R593" s="43"/>
      <c r="S593" s="43"/>
      <c r="T593" s="43"/>
      <c r="U593" s="43"/>
      <c r="V593" s="43"/>
      <c r="W593" s="43"/>
      <c r="X593" s="43"/>
      <c r="Y593" s="43"/>
      <c r="Z593" s="43"/>
      <c r="AA593" s="43"/>
      <c r="AB593" s="43"/>
      <c r="AC593" s="43"/>
      <c r="AD593" s="43"/>
      <c r="AE593" s="43"/>
      <c r="AF593" s="43"/>
      <c r="AG593" s="43"/>
      <c r="AH593" s="43"/>
      <c r="AI593" s="43"/>
      <c r="AJ593" s="43"/>
      <c r="AK593" s="43"/>
      <c r="AL593" s="43"/>
      <c r="AM593" s="43"/>
      <c r="AN593" s="43"/>
      <c r="AO593" s="43"/>
      <c r="AP593" s="43"/>
      <c r="AQ593" s="43"/>
      <c r="AR593" s="43"/>
      <c r="AS593" s="43"/>
      <c r="AT593" s="43"/>
      <c r="AU593" s="43"/>
      <c r="AV593" s="43"/>
      <c r="AW593" s="43"/>
      <c r="AX593" s="43"/>
      <c r="AY593" s="34" t="s">
        <v>236</v>
      </c>
      <c r="AZ593" s="34" t="s">
        <v>355</v>
      </c>
      <c r="BA593" s="47" t="s">
        <v>298</v>
      </c>
      <c r="BB593" s="64"/>
      <c r="BC593" s="15" t="s">
        <v>1256</v>
      </c>
      <c r="BI593" s="42">
        <v>1</v>
      </c>
    </row>
    <row r="594" spans="1:61" s="24" customFormat="1" ht="83.45" customHeight="1">
      <c r="A594" s="20" t="s">
        <v>1257</v>
      </c>
      <c r="B594" s="25" t="s">
        <v>1258</v>
      </c>
      <c r="C594" s="26"/>
      <c r="D594" s="27">
        <f t="shared" ref="D594:AX594" si="65">D595+D635+D654+D706+D734+D820+D879+D905+D968+D1001+D1059+D1083+D1121+D1182+D1203+D1302+D1328+D1358+D1416+D1462+D1503+D1547</f>
        <v>313.70599999999996</v>
      </c>
      <c r="E594" s="27">
        <f t="shared" si="65"/>
        <v>0.31</v>
      </c>
      <c r="F594" s="143">
        <f t="shared" si="65"/>
        <v>313.39599999999996</v>
      </c>
      <c r="G594" s="144">
        <f t="shared" si="65"/>
        <v>129.93000000000004</v>
      </c>
      <c r="H594" s="143">
        <f t="shared" si="65"/>
        <v>30.35</v>
      </c>
      <c r="I594" s="143">
        <f t="shared" si="65"/>
        <v>42.03</v>
      </c>
      <c r="J594" s="143">
        <f t="shared" si="65"/>
        <v>50.989999999999995</v>
      </c>
      <c r="K594" s="143">
        <f t="shared" si="65"/>
        <v>0</v>
      </c>
      <c r="L594" s="143">
        <f t="shared" si="65"/>
        <v>0.18</v>
      </c>
      <c r="M594" s="143">
        <f t="shared" si="65"/>
        <v>33.340000000000003</v>
      </c>
      <c r="N594" s="143">
        <f t="shared" si="65"/>
        <v>0</v>
      </c>
      <c r="O594" s="143">
        <f t="shared" si="65"/>
        <v>0</v>
      </c>
      <c r="P594" s="143">
        <f t="shared" si="65"/>
        <v>3.68</v>
      </c>
      <c r="Q594" s="143">
        <f t="shared" si="65"/>
        <v>0.13</v>
      </c>
      <c r="R594" s="143">
        <f t="shared" si="65"/>
        <v>3.26</v>
      </c>
      <c r="S594" s="143">
        <f t="shared" si="65"/>
        <v>0</v>
      </c>
      <c r="T594" s="143">
        <f t="shared" si="65"/>
        <v>0</v>
      </c>
      <c r="U594" s="143">
        <f t="shared" si="65"/>
        <v>0</v>
      </c>
      <c r="V594" s="143">
        <f t="shared" si="65"/>
        <v>0</v>
      </c>
      <c r="W594" s="143">
        <f t="shared" si="65"/>
        <v>0.04</v>
      </c>
      <c r="X594" s="143">
        <f t="shared" si="65"/>
        <v>0</v>
      </c>
      <c r="Y594" s="143">
        <f t="shared" si="65"/>
        <v>0</v>
      </c>
      <c r="Z594" s="143">
        <f t="shared" si="65"/>
        <v>5.2799999999999994</v>
      </c>
      <c r="AA594" s="143">
        <f t="shared" si="65"/>
        <v>2.75</v>
      </c>
      <c r="AB594" s="143">
        <f t="shared" si="65"/>
        <v>0</v>
      </c>
      <c r="AC594" s="143">
        <f t="shared" si="65"/>
        <v>0.2</v>
      </c>
      <c r="AD594" s="143">
        <f t="shared" si="65"/>
        <v>3.7899999999999996</v>
      </c>
      <c r="AE594" s="143">
        <f t="shared" si="65"/>
        <v>0</v>
      </c>
      <c r="AF594" s="143">
        <f t="shared" si="65"/>
        <v>0.01</v>
      </c>
      <c r="AG594" s="143">
        <f t="shared" si="65"/>
        <v>0</v>
      </c>
      <c r="AH594" s="143">
        <f t="shared" si="65"/>
        <v>0</v>
      </c>
      <c r="AI594" s="143">
        <f t="shared" si="65"/>
        <v>0</v>
      </c>
      <c r="AJ594" s="143">
        <f t="shared" si="65"/>
        <v>0</v>
      </c>
      <c r="AK594" s="143">
        <f t="shared" si="65"/>
        <v>0.46</v>
      </c>
      <c r="AL594" s="143">
        <f t="shared" si="65"/>
        <v>0.17</v>
      </c>
      <c r="AM594" s="143">
        <f t="shared" si="65"/>
        <v>0</v>
      </c>
      <c r="AN594" s="143">
        <f t="shared" si="65"/>
        <v>0.376</v>
      </c>
      <c r="AO594" s="143">
        <f t="shared" si="65"/>
        <v>0</v>
      </c>
      <c r="AP594" s="143">
        <f t="shared" si="65"/>
        <v>3.12</v>
      </c>
      <c r="AQ594" s="143">
        <f t="shared" si="65"/>
        <v>0.55000000000000004</v>
      </c>
      <c r="AR594" s="143">
        <f t="shared" si="65"/>
        <v>0.16</v>
      </c>
      <c r="AS594" s="143">
        <f t="shared" si="65"/>
        <v>1.0900000000000001</v>
      </c>
      <c r="AT594" s="143">
        <f t="shared" si="65"/>
        <v>0</v>
      </c>
      <c r="AU594" s="143">
        <f t="shared" si="65"/>
        <v>0.8</v>
      </c>
      <c r="AV594" s="143">
        <f t="shared" si="65"/>
        <v>0.64</v>
      </c>
      <c r="AW594" s="143">
        <f t="shared" si="65"/>
        <v>0</v>
      </c>
      <c r="AX594" s="143">
        <f t="shared" si="65"/>
        <v>7.0000000000000007E-2</v>
      </c>
      <c r="AY594" s="29"/>
      <c r="AZ594" s="29"/>
      <c r="BA594" s="145"/>
      <c r="BB594" s="146"/>
      <c r="BI594" s="42"/>
    </row>
    <row r="595" spans="1:61" ht="27.6" customHeight="1">
      <c r="A595" s="32" t="s">
        <v>1259</v>
      </c>
      <c r="B595" s="56" t="s">
        <v>186</v>
      </c>
      <c r="C595" s="78" t="s">
        <v>1260</v>
      </c>
      <c r="D595" s="35">
        <f>E595+F595</f>
        <v>9.4199999999999982</v>
      </c>
      <c r="E595" s="89">
        <f>E596+E601+E606+E611+E612+E613+E614+E618+E622+E623+E624+E628+E629+E633+E634</f>
        <v>0</v>
      </c>
      <c r="F595" s="141">
        <f>F596+F601+F606+F611+F612+F613+F614+F618+F622+F623+F624+F628+F629+F633+F634</f>
        <v>9.4199999999999982</v>
      </c>
      <c r="G595" s="89">
        <f t="shared" ref="G595:AX595" si="66">G596+G601+G606+G611+G612+G613+G614+G618+G622+G623+G624+G628+G629+G633+G634</f>
        <v>6.27</v>
      </c>
      <c r="H595" s="89">
        <f t="shared" si="66"/>
        <v>0.06</v>
      </c>
      <c r="I595" s="89">
        <f t="shared" si="66"/>
        <v>1.1300000000000001</v>
      </c>
      <c r="J595" s="89">
        <f t="shared" si="66"/>
        <v>1.79</v>
      </c>
      <c r="K595" s="89">
        <f t="shared" si="66"/>
        <v>0</v>
      </c>
      <c r="L595" s="89">
        <f t="shared" si="66"/>
        <v>0</v>
      </c>
      <c r="M595" s="89">
        <f t="shared" si="66"/>
        <v>0.12</v>
      </c>
      <c r="N595" s="89">
        <f t="shared" si="66"/>
        <v>0</v>
      </c>
      <c r="O595" s="89">
        <f t="shared" si="66"/>
        <v>0</v>
      </c>
      <c r="P595" s="89">
        <f t="shared" si="66"/>
        <v>0</v>
      </c>
      <c r="Q595" s="89">
        <f t="shared" si="66"/>
        <v>0</v>
      </c>
      <c r="R595" s="89">
        <f t="shared" si="66"/>
        <v>0</v>
      </c>
      <c r="S595" s="89">
        <f t="shared" si="66"/>
        <v>0</v>
      </c>
      <c r="T595" s="89">
        <f t="shared" si="66"/>
        <v>0</v>
      </c>
      <c r="U595" s="89">
        <f t="shared" si="66"/>
        <v>0</v>
      </c>
      <c r="V595" s="89">
        <f t="shared" si="66"/>
        <v>0</v>
      </c>
      <c r="W595" s="89">
        <f t="shared" si="66"/>
        <v>0</v>
      </c>
      <c r="X595" s="89">
        <f t="shared" si="66"/>
        <v>0</v>
      </c>
      <c r="Y595" s="89">
        <f t="shared" si="66"/>
        <v>0</v>
      </c>
      <c r="Z595" s="89">
        <f t="shared" si="66"/>
        <v>0</v>
      </c>
      <c r="AA595" s="89">
        <f t="shared" si="66"/>
        <v>0</v>
      </c>
      <c r="AB595" s="89">
        <f t="shared" si="66"/>
        <v>0</v>
      </c>
      <c r="AC595" s="89">
        <f t="shared" si="66"/>
        <v>0</v>
      </c>
      <c r="AD595" s="89">
        <f t="shared" si="66"/>
        <v>0</v>
      </c>
      <c r="AE595" s="89">
        <f t="shared" si="66"/>
        <v>0</v>
      </c>
      <c r="AF595" s="89">
        <f t="shared" si="66"/>
        <v>0</v>
      </c>
      <c r="AG595" s="89">
        <f t="shared" si="66"/>
        <v>0</v>
      </c>
      <c r="AH595" s="89">
        <f t="shared" si="66"/>
        <v>0</v>
      </c>
      <c r="AI595" s="89">
        <f t="shared" si="66"/>
        <v>0</v>
      </c>
      <c r="AJ595" s="89">
        <f t="shared" si="66"/>
        <v>0</v>
      </c>
      <c r="AK595" s="89">
        <f t="shared" si="66"/>
        <v>0</v>
      </c>
      <c r="AL595" s="89">
        <f t="shared" si="66"/>
        <v>0</v>
      </c>
      <c r="AM595" s="89">
        <f t="shared" si="66"/>
        <v>0</v>
      </c>
      <c r="AN595" s="89">
        <f t="shared" si="66"/>
        <v>0.05</v>
      </c>
      <c r="AO595" s="89">
        <f t="shared" si="66"/>
        <v>0</v>
      </c>
      <c r="AP595" s="89">
        <f t="shared" si="66"/>
        <v>0</v>
      </c>
      <c r="AQ595" s="89">
        <f t="shared" si="66"/>
        <v>0</v>
      </c>
      <c r="AR595" s="89">
        <f t="shared" si="66"/>
        <v>0</v>
      </c>
      <c r="AS595" s="89">
        <f t="shared" si="66"/>
        <v>0</v>
      </c>
      <c r="AT595" s="89">
        <f t="shared" si="66"/>
        <v>0</v>
      </c>
      <c r="AU595" s="89">
        <f t="shared" si="66"/>
        <v>0</v>
      </c>
      <c r="AV595" s="89">
        <f t="shared" si="66"/>
        <v>0</v>
      </c>
      <c r="AW595" s="89">
        <f t="shared" si="66"/>
        <v>0</v>
      </c>
      <c r="AX595" s="89">
        <f t="shared" si="66"/>
        <v>0</v>
      </c>
      <c r="AY595" s="34" t="s">
        <v>221</v>
      </c>
      <c r="AZ595" s="34"/>
      <c r="BA595" s="39"/>
      <c r="BB595" s="40"/>
      <c r="BI595" s="42"/>
    </row>
    <row r="596" spans="1:61" s="24" customFormat="1" ht="31.5">
      <c r="A596" s="32">
        <f>A593+1</f>
        <v>563</v>
      </c>
      <c r="B596" s="56" t="s">
        <v>186</v>
      </c>
      <c r="C596" s="93" t="s">
        <v>1260</v>
      </c>
      <c r="D596" s="35">
        <f t="shared" ref="D596:D659" si="67">F596+E596</f>
        <v>3.2199999999999998</v>
      </c>
      <c r="E596" s="108"/>
      <c r="F596" s="35">
        <f t="shared" ref="F596:F659" si="68">SUM(G596:AX596)</f>
        <v>3.2199999999999998</v>
      </c>
      <c r="G596" s="109">
        <v>2.76</v>
      </c>
      <c r="H596" s="109"/>
      <c r="I596" s="109">
        <v>0.46</v>
      </c>
      <c r="J596" s="109"/>
      <c r="K596" s="109"/>
      <c r="L596" s="109"/>
      <c r="M596" s="109"/>
      <c r="N596" s="109"/>
      <c r="O596" s="109"/>
      <c r="P596" s="109"/>
      <c r="Q596" s="109"/>
      <c r="R596" s="109"/>
      <c r="S596" s="109"/>
      <c r="T596" s="109"/>
      <c r="U596" s="109"/>
      <c r="V596" s="109"/>
      <c r="W596" s="109"/>
      <c r="X596" s="109"/>
      <c r="Y596" s="109"/>
      <c r="Z596" s="109"/>
      <c r="AA596" s="109"/>
      <c r="AB596" s="109"/>
      <c r="AC596" s="109"/>
      <c r="AD596" s="109"/>
      <c r="AE596" s="109"/>
      <c r="AF596" s="109"/>
      <c r="AG596" s="109"/>
      <c r="AH596" s="109"/>
      <c r="AI596" s="109"/>
      <c r="AJ596" s="109"/>
      <c r="AK596" s="109"/>
      <c r="AL596" s="109"/>
      <c r="AM596" s="109"/>
      <c r="AN596" s="109"/>
      <c r="AO596" s="109"/>
      <c r="AP596" s="109"/>
      <c r="AQ596" s="109"/>
      <c r="AR596" s="109"/>
      <c r="AS596" s="109"/>
      <c r="AT596" s="109"/>
      <c r="AU596" s="109"/>
      <c r="AV596" s="109"/>
      <c r="AW596" s="109"/>
      <c r="AX596" s="109"/>
      <c r="AY596" s="34" t="s">
        <v>221</v>
      </c>
      <c r="AZ596" s="34" t="s">
        <v>1261</v>
      </c>
      <c r="BA596" s="47" t="s">
        <v>298</v>
      </c>
      <c r="BB596" s="47"/>
      <c r="BC596" s="56" t="s">
        <v>1262</v>
      </c>
      <c r="BI596" s="42">
        <v>1</v>
      </c>
    </row>
    <row r="597" spans="1:61" s="24" customFormat="1" hidden="1">
      <c r="A597" s="32"/>
      <c r="B597" s="56"/>
      <c r="C597" s="93" t="s">
        <v>59</v>
      </c>
      <c r="D597" s="35">
        <f t="shared" si="67"/>
        <v>1.23</v>
      </c>
      <c r="E597" s="108"/>
      <c r="F597" s="35">
        <f t="shared" si="68"/>
        <v>1.23</v>
      </c>
      <c r="G597" s="109">
        <v>1.23</v>
      </c>
      <c r="H597" s="109"/>
      <c r="I597" s="109"/>
      <c r="J597" s="109"/>
      <c r="K597" s="109"/>
      <c r="L597" s="109"/>
      <c r="M597" s="109"/>
      <c r="N597" s="109"/>
      <c r="O597" s="109"/>
      <c r="P597" s="109"/>
      <c r="Q597" s="109"/>
      <c r="R597" s="109"/>
      <c r="S597" s="109"/>
      <c r="T597" s="109"/>
      <c r="U597" s="109"/>
      <c r="V597" s="109"/>
      <c r="W597" s="109"/>
      <c r="X597" s="109"/>
      <c r="Y597" s="109"/>
      <c r="Z597" s="109"/>
      <c r="AA597" s="109"/>
      <c r="AB597" s="109"/>
      <c r="AC597" s="109"/>
      <c r="AD597" s="109"/>
      <c r="AE597" s="109"/>
      <c r="AF597" s="109"/>
      <c r="AG597" s="109"/>
      <c r="AH597" s="109"/>
      <c r="AI597" s="109"/>
      <c r="AJ597" s="109"/>
      <c r="AK597" s="109"/>
      <c r="AL597" s="109"/>
      <c r="AM597" s="109"/>
      <c r="AN597" s="109"/>
      <c r="AO597" s="109"/>
      <c r="AP597" s="109"/>
      <c r="AQ597" s="109"/>
      <c r="AR597" s="109"/>
      <c r="AS597" s="109"/>
      <c r="AT597" s="109"/>
      <c r="AU597" s="109"/>
      <c r="AV597" s="109"/>
      <c r="AW597" s="109"/>
      <c r="AX597" s="109"/>
      <c r="AY597" s="34" t="s">
        <v>221</v>
      </c>
      <c r="AZ597" s="34"/>
      <c r="BA597" s="47"/>
      <c r="BB597" s="47"/>
      <c r="BC597" s="56"/>
      <c r="BI597" s="42"/>
    </row>
    <row r="598" spans="1:61" s="24" customFormat="1" hidden="1">
      <c r="A598" s="32"/>
      <c r="B598" s="56"/>
      <c r="C598" s="93" t="s">
        <v>44</v>
      </c>
      <c r="D598" s="35">
        <f t="shared" si="67"/>
        <v>1.1299999999999999</v>
      </c>
      <c r="E598" s="108"/>
      <c r="F598" s="35">
        <f t="shared" si="68"/>
        <v>1.1299999999999999</v>
      </c>
      <c r="G598" s="109">
        <v>0.84</v>
      </c>
      <c r="H598" s="109"/>
      <c r="I598" s="109">
        <v>0.28999999999999998</v>
      </c>
      <c r="J598" s="109"/>
      <c r="K598" s="109"/>
      <c r="L598" s="109"/>
      <c r="M598" s="109"/>
      <c r="N598" s="109"/>
      <c r="O598" s="109"/>
      <c r="P598" s="109"/>
      <c r="Q598" s="109"/>
      <c r="R598" s="109"/>
      <c r="S598" s="109"/>
      <c r="T598" s="109"/>
      <c r="U598" s="109"/>
      <c r="V598" s="109"/>
      <c r="W598" s="109"/>
      <c r="X598" s="109"/>
      <c r="Y598" s="109"/>
      <c r="Z598" s="109"/>
      <c r="AA598" s="109"/>
      <c r="AB598" s="109"/>
      <c r="AC598" s="109"/>
      <c r="AD598" s="109"/>
      <c r="AE598" s="109"/>
      <c r="AF598" s="109"/>
      <c r="AG598" s="109"/>
      <c r="AH598" s="109"/>
      <c r="AI598" s="109"/>
      <c r="AJ598" s="109"/>
      <c r="AK598" s="109"/>
      <c r="AL598" s="109"/>
      <c r="AM598" s="109"/>
      <c r="AN598" s="109"/>
      <c r="AO598" s="109"/>
      <c r="AP598" s="109"/>
      <c r="AQ598" s="109"/>
      <c r="AR598" s="109"/>
      <c r="AS598" s="109"/>
      <c r="AT598" s="109"/>
      <c r="AU598" s="109"/>
      <c r="AV598" s="109"/>
      <c r="AW598" s="109"/>
      <c r="AX598" s="109"/>
      <c r="AY598" s="34" t="s">
        <v>221</v>
      </c>
      <c r="AZ598" s="34"/>
      <c r="BA598" s="47"/>
      <c r="BB598" s="47"/>
      <c r="BC598" s="56"/>
      <c r="BI598" s="42"/>
    </row>
    <row r="599" spans="1:61" s="24" customFormat="1" hidden="1">
      <c r="A599" s="32"/>
      <c r="B599" s="56"/>
      <c r="C599" s="93" t="s">
        <v>45</v>
      </c>
      <c r="D599" s="35">
        <f>F599+E599</f>
        <v>0.32</v>
      </c>
      <c r="E599" s="108"/>
      <c r="F599" s="35">
        <f>SUM(G599:AX599)</f>
        <v>0.32</v>
      </c>
      <c r="G599" s="109">
        <v>0.32</v>
      </c>
      <c r="H599" s="109"/>
      <c r="I599" s="109"/>
      <c r="J599" s="109"/>
      <c r="K599" s="109"/>
      <c r="L599" s="109"/>
      <c r="M599" s="109"/>
      <c r="N599" s="109"/>
      <c r="O599" s="109"/>
      <c r="P599" s="109"/>
      <c r="Q599" s="109"/>
      <c r="R599" s="109"/>
      <c r="S599" s="109"/>
      <c r="T599" s="109"/>
      <c r="U599" s="109"/>
      <c r="V599" s="109"/>
      <c r="W599" s="109"/>
      <c r="X599" s="109"/>
      <c r="Y599" s="109"/>
      <c r="Z599" s="109"/>
      <c r="AA599" s="109"/>
      <c r="AB599" s="109"/>
      <c r="AC599" s="109"/>
      <c r="AD599" s="109"/>
      <c r="AE599" s="109"/>
      <c r="AF599" s="109"/>
      <c r="AG599" s="109"/>
      <c r="AH599" s="109"/>
      <c r="AI599" s="109"/>
      <c r="AJ599" s="109"/>
      <c r="AK599" s="109"/>
      <c r="AL599" s="109"/>
      <c r="AM599" s="109"/>
      <c r="AN599" s="109"/>
      <c r="AO599" s="109"/>
      <c r="AP599" s="109"/>
      <c r="AQ599" s="109"/>
      <c r="AR599" s="109"/>
      <c r="AS599" s="109"/>
      <c r="AT599" s="109"/>
      <c r="AU599" s="109"/>
      <c r="AV599" s="109"/>
      <c r="AW599" s="109"/>
      <c r="AX599" s="109"/>
      <c r="AY599" s="34" t="s">
        <v>221</v>
      </c>
      <c r="AZ599" s="34"/>
      <c r="BA599" s="47"/>
      <c r="BB599" s="47"/>
      <c r="BC599" s="56"/>
      <c r="BI599" s="42"/>
    </row>
    <row r="600" spans="1:61" s="24" customFormat="1" hidden="1">
      <c r="A600" s="32"/>
      <c r="B600" s="56"/>
      <c r="C600" s="93" t="s">
        <v>138</v>
      </c>
      <c r="D600" s="35">
        <f>F600+E600</f>
        <v>0.53999999999999981</v>
      </c>
      <c r="E600" s="108"/>
      <c r="F600" s="35">
        <f>SUM(G600:AX600)</f>
        <v>0.53999999999999981</v>
      </c>
      <c r="G600" s="147">
        <f>G596-G597-G598-G599</f>
        <v>0.36999999999999983</v>
      </c>
      <c r="H600" s="147">
        <f t="shared" ref="H600:AX600" si="69">H596-H597-H598-H599</f>
        <v>0</v>
      </c>
      <c r="I600" s="147">
        <f t="shared" si="69"/>
        <v>0.17000000000000004</v>
      </c>
      <c r="J600" s="147">
        <f t="shared" si="69"/>
        <v>0</v>
      </c>
      <c r="K600" s="147">
        <f t="shared" si="69"/>
        <v>0</v>
      </c>
      <c r="L600" s="147">
        <f t="shared" si="69"/>
        <v>0</v>
      </c>
      <c r="M600" s="147">
        <f t="shared" si="69"/>
        <v>0</v>
      </c>
      <c r="N600" s="147">
        <f t="shared" si="69"/>
        <v>0</v>
      </c>
      <c r="O600" s="147">
        <f t="shared" si="69"/>
        <v>0</v>
      </c>
      <c r="P600" s="147">
        <f t="shared" si="69"/>
        <v>0</v>
      </c>
      <c r="Q600" s="147">
        <f t="shared" si="69"/>
        <v>0</v>
      </c>
      <c r="R600" s="147">
        <f t="shared" si="69"/>
        <v>0</v>
      </c>
      <c r="S600" s="147">
        <f t="shared" si="69"/>
        <v>0</v>
      </c>
      <c r="T600" s="147">
        <f t="shared" si="69"/>
        <v>0</v>
      </c>
      <c r="U600" s="147">
        <f t="shared" si="69"/>
        <v>0</v>
      </c>
      <c r="V600" s="147">
        <f t="shared" si="69"/>
        <v>0</v>
      </c>
      <c r="W600" s="147">
        <f t="shared" si="69"/>
        <v>0</v>
      </c>
      <c r="X600" s="147">
        <f t="shared" si="69"/>
        <v>0</v>
      </c>
      <c r="Y600" s="147">
        <f t="shared" si="69"/>
        <v>0</v>
      </c>
      <c r="Z600" s="147">
        <f t="shared" si="69"/>
        <v>0</v>
      </c>
      <c r="AA600" s="147">
        <f t="shared" si="69"/>
        <v>0</v>
      </c>
      <c r="AB600" s="147">
        <f t="shared" si="69"/>
        <v>0</v>
      </c>
      <c r="AC600" s="147">
        <f t="shared" si="69"/>
        <v>0</v>
      </c>
      <c r="AD600" s="147">
        <f t="shared" si="69"/>
        <v>0</v>
      </c>
      <c r="AE600" s="147">
        <f t="shared" si="69"/>
        <v>0</v>
      </c>
      <c r="AF600" s="147">
        <f t="shared" si="69"/>
        <v>0</v>
      </c>
      <c r="AG600" s="147">
        <f t="shared" si="69"/>
        <v>0</v>
      </c>
      <c r="AH600" s="147">
        <f t="shared" si="69"/>
        <v>0</v>
      </c>
      <c r="AI600" s="147">
        <f t="shared" si="69"/>
        <v>0</v>
      </c>
      <c r="AJ600" s="147">
        <f t="shared" si="69"/>
        <v>0</v>
      </c>
      <c r="AK600" s="147">
        <f t="shared" si="69"/>
        <v>0</v>
      </c>
      <c r="AL600" s="147">
        <f t="shared" si="69"/>
        <v>0</v>
      </c>
      <c r="AM600" s="147">
        <f t="shared" si="69"/>
        <v>0</v>
      </c>
      <c r="AN600" s="147">
        <f t="shared" si="69"/>
        <v>0</v>
      </c>
      <c r="AO600" s="147">
        <f t="shared" si="69"/>
        <v>0</v>
      </c>
      <c r="AP600" s="147">
        <f t="shared" si="69"/>
        <v>0</v>
      </c>
      <c r="AQ600" s="147">
        <f t="shared" si="69"/>
        <v>0</v>
      </c>
      <c r="AR600" s="147">
        <f t="shared" si="69"/>
        <v>0</v>
      </c>
      <c r="AS600" s="147">
        <f t="shared" si="69"/>
        <v>0</v>
      </c>
      <c r="AT600" s="147">
        <f t="shared" si="69"/>
        <v>0</v>
      </c>
      <c r="AU600" s="147">
        <f t="shared" si="69"/>
        <v>0</v>
      </c>
      <c r="AV600" s="147">
        <f t="shared" si="69"/>
        <v>0</v>
      </c>
      <c r="AW600" s="147">
        <f t="shared" si="69"/>
        <v>0</v>
      </c>
      <c r="AX600" s="147">
        <f t="shared" si="69"/>
        <v>0</v>
      </c>
      <c r="AY600" s="34" t="s">
        <v>221</v>
      </c>
      <c r="AZ600" s="34"/>
      <c r="BA600" s="47"/>
      <c r="BB600" s="47"/>
      <c r="BC600" s="56"/>
      <c r="BI600" s="42"/>
    </row>
    <row r="601" spans="1:61" s="24" customFormat="1" ht="34.35" customHeight="1">
      <c r="A601" s="32">
        <f>A596+1</f>
        <v>564</v>
      </c>
      <c r="B601" s="56" t="s">
        <v>186</v>
      </c>
      <c r="C601" s="93" t="s">
        <v>1260</v>
      </c>
      <c r="D601" s="35">
        <f t="shared" si="67"/>
        <v>1.4</v>
      </c>
      <c r="E601" s="108"/>
      <c r="F601" s="35">
        <f t="shared" si="68"/>
        <v>1.4</v>
      </c>
      <c r="G601" s="109">
        <v>1.1299999999999999</v>
      </c>
      <c r="H601" s="109"/>
      <c r="I601" s="109"/>
      <c r="J601" s="109">
        <v>0.27</v>
      </c>
      <c r="K601" s="109"/>
      <c r="L601" s="109"/>
      <c r="M601" s="109"/>
      <c r="N601" s="109"/>
      <c r="O601" s="109"/>
      <c r="P601" s="109"/>
      <c r="Q601" s="109"/>
      <c r="R601" s="109"/>
      <c r="S601" s="109"/>
      <c r="T601" s="109"/>
      <c r="U601" s="109"/>
      <c r="V601" s="109"/>
      <c r="W601" s="109"/>
      <c r="X601" s="109"/>
      <c r="Y601" s="109"/>
      <c r="Z601" s="109"/>
      <c r="AA601" s="109"/>
      <c r="AB601" s="109"/>
      <c r="AC601" s="109"/>
      <c r="AD601" s="109"/>
      <c r="AE601" s="109"/>
      <c r="AF601" s="109"/>
      <c r="AG601" s="109"/>
      <c r="AH601" s="109"/>
      <c r="AI601" s="109"/>
      <c r="AJ601" s="109"/>
      <c r="AK601" s="109"/>
      <c r="AL601" s="109"/>
      <c r="AM601" s="109"/>
      <c r="AN601" s="109"/>
      <c r="AO601" s="109"/>
      <c r="AP601" s="109"/>
      <c r="AQ601" s="109"/>
      <c r="AR601" s="109"/>
      <c r="AS601" s="109"/>
      <c r="AT601" s="109"/>
      <c r="AU601" s="109"/>
      <c r="AV601" s="109"/>
      <c r="AW601" s="109"/>
      <c r="AX601" s="109"/>
      <c r="AY601" s="34" t="s">
        <v>221</v>
      </c>
      <c r="AZ601" s="34" t="s">
        <v>1263</v>
      </c>
      <c r="BA601" s="47" t="s">
        <v>298</v>
      </c>
      <c r="BB601" s="47"/>
      <c r="BC601" s="56" t="s">
        <v>1264</v>
      </c>
      <c r="BI601" s="42">
        <v>1</v>
      </c>
    </row>
    <row r="602" spans="1:61" s="24" customFormat="1" ht="22.35" hidden="1" customHeight="1">
      <c r="A602" s="32"/>
      <c r="B602" s="56"/>
      <c r="C602" s="93" t="s">
        <v>59</v>
      </c>
      <c r="D602" s="35">
        <f t="shared" si="67"/>
        <v>0.52</v>
      </c>
      <c r="E602" s="108"/>
      <c r="F602" s="35">
        <f t="shared" si="68"/>
        <v>0.52</v>
      </c>
      <c r="G602" s="109">
        <v>0.52</v>
      </c>
      <c r="H602" s="109"/>
      <c r="I602" s="109"/>
      <c r="J602" s="109"/>
      <c r="K602" s="109"/>
      <c r="L602" s="109"/>
      <c r="M602" s="109"/>
      <c r="N602" s="109"/>
      <c r="O602" s="109"/>
      <c r="P602" s="109"/>
      <c r="Q602" s="109"/>
      <c r="R602" s="109"/>
      <c r="S602" s="109"/>
      <c r="T602" s="109"/>
      <c r="U602" s="109"/>
      <c r="V602" s="109"/>
      <c r="W602" s="109"/>
      <c r="X602" s="109"/>
      <c r="Y602" s="109"/>
      <c r="Z602" s="109"/>
      <c r="AA602" s="109"/>
      <c r="AB602" s="109"/>
      <c r="AC602" s="109"/>
      <c r="AD602" s="109"/>
      <c r="AE602" s="109"/>
      <c r="AF602" s="109"/>
      <c r="AG602" s="109"/>
      <c r="AH602" s="109"/>
      <c r="AI602" s="109"/>
      <c r="AJ602" s="109"/>
      <c r="AK602" s="109"/>
      <c r="AL602" s="109"/>
      <c r="AM602" s="109"/>
      <c r="AN602" s="109"/>
      <c r="AO602" s="109"/>
      <c r="AP602" s="109"/>
      <c r="AQ602" s="109"/>
      <c r="AR602" s="109"/>
      <c r="AS602" s="109"/>
      <c r="AT602" s="109"/>
      <c r="AU602" s="109"/>
      <c r="AV602" s="109"/>
      <c r="AW602" s="109"/>
      <c r="AX602" s="109"/>
      <c r="AY602" s="34" t="s">
        <v>221</v>
      </c>
      <c r="AZ602" s="34"/>
      <c r="BA602" s="47"/>
      <c r="BB602" s="47"/>
      <c r="BC602" s="56"/>
      <c r="BI602" s="42"/>
    </row>
    <row r="603" spans="1:61" s="24" customFormat="1" ht="22.35" hidden="1" customHeight="1">
      <c r="A603" s="32"/>
      <c r="B603" s="56"/>
      <c r="C603" s="93" t="s">
        <v>44</v>
      </c>
      <c r="D603" s="35">
        <f t="shared" si="67"/>
        <v>0.49</v>
      </c>
      <c r="E603" s="108"/>
      <c r="F603" s="35">
        <f t="shared" si="68"/>
        <v>0.49</v>
      </c>
      <c r="G603" s="109">
        <v>0.22</v>
      </c>
      <c r="H603" s="109"/>
      <c r="I603" s="109"/>
      <c r="J603" s="109">
        <v>0.27</v>
      </c>
      <c r="K603" s="109"/>
      <c r="L603" s="109"/>
      <c r="M603" s="109"/>
      <c r="N603" s="109"/>
      <c r="O603" s="109"/>
      <c r="P603" s="109"/>
      <c r="Q603" s="109"/>
      <c r="R603" s="109"/>
      <c r="S603" s="109"/>
      <c r="T603" s="109"/>
      <c r="U603" s="109"/>
      <c r="V603" s="109"/>
      <c r="W603" s="109"/>
      <c r="X603" s="109"/>
      <c r="Y603" s="109"/>
      <c r="Z603" s="109"/>
      <c r="AA603" s="109"/>
      <c r="AB603" s="109"/>
      <c r="AC603" s="109"/>
      <c r="AD603" s="109"/>
      <c r="AE603" s="109"/>
      <c r="AF603" s="109"/>
      <c r="AG603" s="109"/>
      <c r="AH603" s="109"/>
      <c r="AI603" s="109"/>
      <c r="AJ603" s="109"/>
      <c r="AK603" s="109"/>
      <c r="AL603" s="109"/>
      <c r="AM603" s="109"/>
      <c r="AN603" s="109"/>
      <c r="AO603" s="109"/>
      <c r="AP603" s="109"/>
      <c r="AQ603" s="109"/>
      <c r="AR603" s="109"/>
      <c r="AS603" s="109"/>
      <c r="AT603" s="109"/>
      <c r="AU603" s="109"/>
      <c r="AV603" s="109"/>
      <c r="AW603" s="109"/>
      <c r="AX603" s="109"/>
      <c r="AY603" s="34" t="s">
        <v>221</v>
      </c>
      <c r="AZ603" s="34"/>
      <c r="BA603" s="47"/>
      <c r="BB603" s="47"/>
      <c r="BC603" s="56"/>
      <c r="BI603" s="42"/>
    </row>
    <row r="604" spans="1:61" s="24" customFormat="1" ht="22.35" hidden="1" customHeight="1">
      <c r="A604" s="32"/>
      <c r="B604" s="56"/>
      <c r="C604" s="93" t="s">
        <v>45</v>
      </c>
      <c r="D604" s="35">
        <f>F604+E604</f>
        <v>0.14000000000000001</v>
      </c>
      <c r="E604" s="108"/>
      <c r="F604" s="35">
        <f>SUM(G604:AX604)</f>
        <v>0.14000000000000001</v>
      </c>
      <c r="G604" s="109">
        <v>0.14000000000000001</v>
      </c>
      <c r="H604" s="109"/>
      <c r="I604" s="109"/>
      <c r="J604" s="109"/>
      <c r="K604" s="109"/>
      <c r="L604" s="109"/>
      <c r="M604" s="109"/>
      <c r="N604" s="109"/>
      <c r="O604" s="109"/>
      <c r="P604" s="109"/>
      <c r="Q604" s="109"/>
      <c r="R604" s="109"/>
      <c r="S604" s="109"/>
      <c r="T604" s="109"/>
      <c r="U604" s="109"/>
      <c r="V604" s="109"/>
      <c r="W604" s="109"/>
      <c r="X604" s="109"/>
      <c r="Y604" s="109"/>
      <c r="Z604" s="109"/>
      <c r="AA604" s="109"/>
      <c r="AB604" s="109"/>
      <c r="AC604" s="109"/>
      <c r="AD604" s="109"/>
      <c r="AE604" s="109"/>
      <c r="AF604" s="109"/>
      <c r="AG604" s="109"/>
      <c r="AH604" s="109"/>
      <c r="AI604" s="109"/>
      <c r="AJ604" s="109"/>
      <c r="AK604" s="109"/>
      <c r="AL604" s="109"/>
      <c r="AM604" s="109"/>
      <c r="AN604" s="109"/>
      <c r="AO604" s="109"/>
      <c r="AP604" s="109"/>
      <c r="AQ604" s="109"/>
      <c r="AR604" s="109"/>
      <c r="AS604" s="109"/>
      <c r="AT604" s="109"/>
      <c r="AU604" s="109"/>
      <c r="AV604" s="109"/>
      <c r="AW604" s="109"/>
      <c r="AX604" s="109"/>
      <c r="AY604" s="34" t="s">
        <v>221</v>
      </c>
      <c r="AZ604" s="34"/>
      <c r="BA604" s="47"/>
      <c r="BB604" s="47"/>
      <c r="BC604" s="56"/>
      <c r="BI604" s="42"/>
    </row>
    <row r="605" spans="1:61" s="24" customFormat="1" ht="22.35" hidden="1" customHeight="1">
      <c r="A605" s="32"/>
      <c r="B605" s="56"/>
      <c r="C605" s="93" t="s">
        <v>138</v>
      </c>
      <c r="D605" s="35">
        <f t="shared" si="67"/>
        <v>0.24999999999999989</v>
      </c>
      <c r="E605" s="108"/>
      <c r="F605" s="35">
        <f t="shared" si="68"/>
        <v>0.24999999999999989</v>
      </c>
      <c r="G605" s="147">
        <f>G601-G602-G603-G604</f>
        <v>0.24999999999999989</v>
      </c>
      <c r="H605" s="147">
        <f t="shared" ref="H605:AX605" si="70">H601-H602-H603-H604</f>
        <v>0</v>
      </c>
      <c r="I605" s="147">
        <f t="shared" si="70"/>
        <v>0</v>
      </c>
      <c r="J605" s="147">
        <f t="shared" si="70"/>
        <v>0</v>
      </c>
      <c r="K605" s="147">
        <f t="shared" si="70"/>
        <v>0</v>
      </c>
      <c r="L605" s="147">
        <f t="shared" si="70"/>
        <v>0</v>
      </c>
      <c r="M605" s="147">
        <f t="shared" si="70"/>
        <v>0</v>
      </c>
      <c r="N605" s="147">
        <f t="shared" si="70"/>
        <v>0</v>
      </c>
      <c r="O605" s="147">
        <f t="shared" si="70"/>
        <v>0</v>
      </c>
      <c r="P605" s="147">
        <f t="shared" si="70"/>
        <v>0</v>
      </c>
      <c r="Q605" s="147">
        <f t="shared" si="70"/>
        <v>0</v>
      </c>
      <c r="R605" s="147">
        <f t="shared" si="70"/>
        <v>0</v>
      </c>
      <c r="S605" s="147">
        <f t="shared" si="70"/>
        <v>0</v>
      </c>
      <c r="T605" s="147">
        <f t="shared" si="70"/>
        <v>0</v>
      </c>
      <c r="U605" s="147">
        <f t="shared" si="70"/>
        <v>0</v>
      </c>
      <c r="V605" s="147">
        <f t="shared" si="70"/>
        <v>0</v>
      </c>
      <c r="W605" s="147">
        <f t="shared" si="70"/>
        <v>0</v>
      </c>
      <c r="X605" s="147">
        <f t="shared" si="70"/>
        <v>0</v>
      </c>
      <c r="Y605" s="147">
        <f t="shared" si="70"/>
        <v>0</v>
      </c>
      <c r="Z605" s="147">
        <f t="shared" si="70"/>
        <v>0</v>
      </c>
      <c r="AA605" s="147">
        <f t="shared" si="70"/>
        <v>0</v>
      </c>
      <c r="AB605" s="147">
        <f t="shared" si="70"/>
        <v>0</v>
      </c>
      <c r="AC605" s="147">
        <f t="shared" si="70"/>
        <v>0</v>
      </c>
      <c r="AD605" s="147">
        <f t="shared" si="70"/>
        <v>0</v>
      </c>
      <c r="AE605" s="147">
        <f t="shared" si="70"/>
        <v>0</v>
      </c>
      <c r="AF605" s="147">
        <f t="shared" si="70"/>
        <v>0</v>
      </c>
      <c r="AG605" s="147">
        <f t="shared" si="70"/>
        <v>0</v>
      </c>
      <c r="AH605" s="147">
        <f t="shared" si="70"/>
        <v>0</v>
      </c>
      <c r="AI605" s="147">
        <f t="shared" si="70"/>
        <v>0</v>
      </c>
      <c r="AJ605" s="147">
        <f t="shared" si="70"/>
        <v>0</v>
      </c>
      <c r="AK605" s="147">
        <f t="shared" si="70"/>
        <v>0</v>
      </c>
      <c r="AL605" s="147">
        <f t="shared" si="70"/>
        <v>0</v>
      </c>
      <c r="AM605" s="147">
        <f t="shared" si="70"/>
        <v>0</v>
      </c>
      <c r="AN605" s="147">
        <f t="shared" si="70"/>
        <v>0</v>
      </c>
      <c r="AO605" s="147">
        <f t="shared" si="70"/>
        <v>0</v>
      </c>
      <c r="AP605" s="147">
        <f t="shared" si="70"/>
        <v>0</v>
      </c>
      <c r="AQ605" s="147">
        <f t="shared" si="70"/>
        <v>0</v>
      </c>
      <c r="AR605" s="147">
        <f t="shared" si="70"/>
        <v>0</v>
      </c>
      <c r="AS605" s="147">
        <f t="shared" si="70"/>
        <v>0</v>
      </c>
      <c r="AT605" s="147">
        <f t="shared" si="70"/>
        <v>0</v>
      </c>
      <c r="AU605" s="147">
        <f t="shared" si="70"/>
        <v>0</v>
      </c>
      <c r="AV605" s="147">
        <f t="shared" si="70"/>
        <v>0</v>
      </c>
      <c r="AW605" s="147">
        <f t="shared" si="70"/>
        <v>0</v>
      </c>
      <c r="AX605" s="147">
        <f t="shared" si="70"/>
        <v>0</v>
      </c>
      <c r="AY605" s="34" t="s">
        <v>221</v>
      </c>
      <c r="AZ605" s="34"/>
      <c r="BA605" s="47"/>
      <c r="BB605" s="47"/>
      <c r="BC605" s="56"/>
      <c r="BI605" s="42"/>
    </row>
    <row r="606" spans="1:61" s="24" customFormat="1" ht="18.600000000000001" customHeight="1">
      <c r="A606" s="32">
        <f>A601+1</f>
        <v>565</v>
      </c>
      <c r="B606" s="56" t="s">
        <v>186</v>
      </c>
      <c r="C606" s="93" t="s">
        <v>1260</v>
      </c>
      <c r="D606" s="35">
        <f t="shared" si="67"/>
        <v>1.1299999999999999</v>
      </c>
      <c r="E606" s="35"/>
      <c r="F606" s="35">
        <f t="shared" si="68"/>
        <v>1.1299999999999999</v>
      </c>
      <c r="G606" s="109">
        <v>1.1299999999999999</v>
      </c>
      <c r="H606" s="109"/>
      <c r="I606" s="109"/>
      <c r="J606" s="109"/>
      <c r="K606" s="109"/>
      <c r="L606" s="109"/>
      <c r="M606" s="109"/>
      <c r="N606" s="109"/>
      <c r="O606" s="109"/>
      <c r="P606" s="109"/>
      <c r="Q606" s="109"/>
      <c r="R606" s="109"/>
      <c r="S606" s="109"/>
      <c r="T606" s="109"/>
      <c r="U606" s="109"/>
      <c r="V606" s="109"/>
      <c r="W606" s="109"/>
      <c r="X606" s="109"/>
      <c r="Y606" s="109"/>
      <c r="Z606" s="109"/>
      <c r="AA606" s="109"/>
      <c r="AB606" s="109"/>
      <c r="AC606" s="109"/>
      <c r="AD606" s="109"/>
      <c r="AE606" s="109"/>
      <c r="AF606" s="109"/>
      <c r="AG606" s="109"/>
      <c r="AH606" s="109"/>
      <c r="AI606" s="109"/>
      <c r="AJ606" s="109"/>
      <c r="AK606" s="109"/>
      <c r="AL606" s="109"/>
      <c r="AM606" s="109"/>
      <c r="AN606" s="109"/>
      <c r="AO606" s="109"/>
      <c r="AP606" s="109"/>
      <c r="AQ606" s="109"/>
      <c r="AR606" s="109"/>
      <c r="AS606" s="109"/>
      <c r="AT606" s="109"/>
      <c r="AU606" s="109"/>
      <c r="AV606" s="109"/>
      <c r="AW606" s="109"/>
      <c r="AX606" s="109"/>
      <c r="AY606" s="34" t="s">
        <v>221</v>
      </c>
      <c r="AZ606" s="34" t="s">
        <v>1265</v>
      </c>
      <c r="BA606" s="63" t="s">
        <v>291</v>
      </c>
      <c r="BB606" s="63"/>
      <c r="BC606" s="33" t="s">
        <v>1266</v>
      </c>
      <c r="BI606" s="42">
        <v>1</v>
      </c>
    </row>
    <row r="607" spans="1:61" s="24" customFormat="1" ht="18.600000000000001" hidden="1" customHeight="1">
      <c r="A607" s="32"/>
      <c r="B607" s="56"/>
      <c r="C607" s="93" t="s">
        <v>59</v>
      </c>
      <c r="D607" s="35">
        <f t="shared" si="67"/>
        <v>0.4</v>
      </c>
      <c r="E607" s="35"/>
      <c r="F607" s="35">
        <f t="shared" si="68"/>
        <v>0.4</v>
      </c>
      <c r="G607" s="109">
        <v>0.4</v>
      </c>
      <c r="H607" s="109"/>
      <c r="I607" s="109"/>
      <c r="J607" s="109"/>
      <c r="K607" s="109"/>
      <c r="L607" s="109"/>
      <c r="M607" s="109"/>
      <c r="N607" s="109"/>
      <c r="O607" s="109"/>
      <c r="P607" s="109"/>
      <c r="Q607" s="109"/>
      <c r="R607" s="109"/>
      <c r="S607" s="109"/>
      <c r="T607" s="109"/>
      <c r="U607" s="109"/>
      <c r="V607" s="109"/>
      <c r="W607" s="109"/>
      <c r="X607" s="109"/>
      <c r="Y607" s="109"/>
      <c r="Z607" s="109"/>
      <c r="AA607" s="109"/>
      <c r="AB607" s="109"/>
      <c r="AC607" s="109"/>
      <c r="AD607" s="109"/>
      <c r="AE607" s="109"/>
      <c r="AF607" s="109"/>
      <c r="AG607" s="109"/>
      <c r="AH607" s="109"/>
      <c r="AI607" s="109"/>
      <c r="AJ607" s="109"/>
      <c r="AK607" s="109"/>
      <c r="AL607" s="109"/>
      <c r="AM607" s="109"/>
      <c r="AN607" s="109"/>
      <c r="AO607" s="109"/>
      <c r="AP607" s="109"/>
      <c r="AQ607" s="109"/>
      <c r="AR607" s="109"/>
      <c r="AS607" s="109"/>
      <c r="AT607" s="109"/>
      <c r="AU607" s="109"/>
      <c r="AV607" s="109"/>
      <c r="AW607" s="109"/>
      <c r="AX607" s="109"/>
      <c r="AY607" s="34" t="s">
        <v>221</v>
      </c>
      <c r="AZ607" s="34"/>
      <c r="BA607" s="63"/>
      <c r="BB607" s="63"/>
      <c r="BC607" s="33"/>
      <c r="BI607" s="42"/>
    </row>
    <row r="608" spans="1:61" s="24" customFormat="1" ht="18.600000000000001" hidden="1" customHeight="1">
      <c r="A608" s="32"/>
      <c r="B608" s="56"/>
      <c r="C608" s="93" t="s">
        <v>44</v>
      </c>
      <c r="D608" s="35">
        <f t="shared" si="67"/>
        <v>0.4</v>
      </c>
      <c r="E608" s="35"/>
      <c r="F608" s="35">
        <f t="shared" si="68"/>
        <v>0.4</v>
      </c>
      <c r="G608" s="109">
        <v>0.4</v>
      </c>
      <c r="H608" s="109"/>
      <c r="I608" s="109"/>
      <c r="J608" s="109"/>
      <c r="K608" s="109"/>
      <c r="L608" s="109"/>
      <c r="M608" s="109"/>
      <c r="N608" s="109"/>
      <c r="O608" s="109"/>
      <c r="P608" s="109"/>
      <c r="Q608" s="109"/>
      <c r="R608" s="109"/>
      <c r="S608" s="109"/>
      <c r="T608" s="109"/>
      <c r="U608" s="109"/>
      <c r="V608" s="109"/>
      <c r="W608" s="109"/>
      <c r="X608" s="109"/>
      <c r="Y608" s="109"/>
      <c r="Z608" s="109"/>
      <c r="AA608" s="109"/>
      <c r="AB608" s="109"/>
      <c r="AC608" s="109"/>
      <c r="AD608" s="109"/>
      <c r="AE608" s="109"/>
      <c r="AF608" s="109"/>
      <c r="AG608" s="109"/>
      <c r="AH608" s="109"/>
      <c r="AI608" s="109"/>
      <c r="AJ608" s="109"/>
      <c r="AK608" s="109"/>
      <c r="AL608" s="109"/>
      <c r="AM608" s="109"/>
      <c r="AN608" s="109"/>
      <c r="AO608" s="109"/>
      <c r="AP608" s="109"/>
      <c r="AQ608" s="109"/>
      <c r="AR608" s="109"/>
      <c r="AS608" s="109"/>
      <c r="AT608" s="109"/>
      <c r="AU608" s="109"/>
      <c r="AV608" s="109"/>
      <c r="AW608" s="109"/>
      <c r="AX608" s="109"/>
      <c r="AY608" s="34" t="s">
        <v>221</v>
      </c>
      <c r="AZ608" s="34"/>
      <c r="BA608" s="63"/>
      <c r="BB608" s="63"/>
      <c r="BC608" s="33"/>
      <c r="BI608" s="42"/>
    </row>
    <row r="609" spans="1:61" s="24" customFormat="1" ht="18.600000000000001" hidden="1" customHeight="1">
      <c r="A609" s="32"/>
      <c r="B609" s="56"/>
      <c r="C609" s="93" t="s">
        <v>45</v>
      </c>
      <c r="D609" s="35">
        <f>F609+E609</f>
        <v>0.1</v>
      </c>
      <c r="E609" s="35"/>
      <c r="F609" s="35">
        <f>SUM(G609:AX609)</f>
        <v>0.1</v>
      </c>
      <c r="G609" s="109">
        <v>0.1</v>
      </c>
      <c r="H609" s="109"/>
      <c r="I609" s="109"/>
      <c r="J609" s="109"/>
      <c r="K609" s="109"/>
      <c r="L609" s="109"/>
      <c r="M609" s="109"/>
      <c r="N609" s="109"/>
      <c r="O609" s="109"/>
      <c r="P609" s="109"/>
      <c r="Q609" s="109"/>
      <c r="R609" s="109"/>
      <c r="S609" s="109"/>
      <c r="T609" s="109"/>
      <c r="U609" s="109"/>
      <c r="V609" s="109"/>
      <c r="W609" s="109"/>
      <c r="X609" s="109"/>
      <c r="Y609" s="109"/>
      <c r="Z609" s="109"/>
      <c r="AA609" s="109"/>
      <c r="AB609" s="109"/>
      <c r="AC609" s="109"/>
      <c r="AD609" s="109"/>
      <c r="AE609" s="109"/>
      <c r="AF609" s="109"/>
      <c r="AG609" s="109"/>
      <c r="AH609" s="109"/>
      <c r="AI609" s="109"/>
      <c r="AJ609" s="109"/>
      <c r="AK609" s="109"/>
      <c r="AL609" s="109"/>
      <c r="AM609" s="109"/>
      <c r="AN609" s="109"/>
      <c r="AO609" s="109"/>
      <c r="AP609" s="109"/>
      <c r="AQ609" s="109"/>
      <c r="AR609" s="109"/>
      <c r="AS609" s="109"/>
      <c r="AT609" s="109"/>
      <c r="AU609" s="109"/>
      <c r="AV609" s="109"/>
      <c r="AW609" s="109"/>
      <c r="AX609" s="109"/>
      <c r="AY609" s="34" t="s">
        <v>221</v>
      </c>
      <c r="AZ609" s="34"/>
      <c r="BA609" s="63"/>
      <c r="BB609" s="63"/>
      <c r="BC609" s="33"/>
      <c r="BI609" s="42"/>
    </row>
    <row r="610" spans="1:61" s="24" customFormat="1" ht="18.600000000000001" hidden="1" customHeight="1">
      <c r="A610" s="32"/>
      <c r="B610" s="56"/>
      <c r="C610" s="93" t="s">
        <v>138</v>
      </c>
      <c r="D610" s="35">
        <f t="shared" si="67"/>
        <v>0.22999999999999984</v>
      </c>
      <c r="E610" s="35"/>
      <c r="F610" s="35">
        <f t="shared" si="68"/>
        <v>0.22999999999999984</v>
      </c>
      <c r="G610" s="147">
        <f>G606-G607-G608-G609</f>
        <v>0.22999999999999984</v>
      </c>
      <c r="H610" s="147">
        <f t="shared" ref="H610:AX610" si="71">H606-H607-H608-H609</f>
        <v>0</v>
      </c>
      <c r="I610" s="147">
        <f t="shared" si="71"/>
        <v>0</v>
      </c>
      <c r="J610" s="147">
        <f t="shared" si="71"/>
        <v>0</v>
      </c>
      <c r="K610" s="147">
        <f t="shared" si="71"/>
        <v>0</v>
      </c>
      <c r="L610" s="147">
        <f t="shared" si="71"/>
        <v>0</v>
      </c>
      <c r="M610" s="147">
        <f t="shared" si="71"/>
        <v>0</v>
      </c>
      <c r="N610" s="147">
        <f t="shared" si="71"/>
        <v>0</v>
      </c>
      <c r="O610" s="147">
        <f t="shared" si="71"/>
        <v>0</v>
      </c>
      <c r="P610" s="147">
        <f t="shared" si="71"/>
        <v>0</v>
      </c>
      <c r="Q610" s="147">
        <f t="shared" si="71"/>
        <v>0</v>
      </c>
      <c r="R610" s="147">
        <f t="shared" si="71"/>
        <v>0</v>
      </c>
      <c r="S610" s="147">
        <f t="shared" si="71"/>
        <v>0</v>
      </c>
      <c r="T610" s="147">
        <f t="shared" si="71"/>
        <v>0</v>
      </c>
      <c r="U610" s="147">
        <f t="shared" si="71"/>
        <v>0</v>
      </c>
      <c r="V610" s="147">
        <f t="shared" si="71"/>
        <v>0</v>
      </c>
      <c r="W610" s="147">
        <f t="shared" si="71"/>
        <v>0</v>
      </c>
      <c r="X610" s="147">
        <f t="shared" si="71"/>
        <v>0</v>
      </c>
      <c r="Y610" s="147">
        <f t="shared" si="71"/>
        <v>0</v>
      </c>
      <c r="Z610" s="147">
        <f t="shared" si="71"/>
        <v>0</v>
      </c>
      <c r="AA610" s="147">
        <f t="shared" si="71"/>
        <v>0</v>
      </c>
      <c r="AB610" s="147">
        <f t="shared" si="71"/>
        <v>0</v>
      </c>
      <c r="AC610" s="147">
        <f t="shared" si="71"/>
        <v>0</v>
      </c>
      <c r="AD610" s="147">
        <f t="shared" si="71"/>
        <v>0</v>
      </c>
      <c r="AE610" s="147">
        <f t="shared" si="71"/>
        <v>0</v>
      </c>
      <c r="AF610" s="147">
        <f t="shared" si="71"/>
        <v>0</v>
      </c>
      <c r="AG610" s="147">
        <f t="shared" si="71"/>
        <v>0</v>
      </c>
      <c r="AH610" s="147">
        <f t="shared" si="71"/>
        <v>0</v>
      </c>
      <c r="AI610" s="147">
        <f t="shared" si="71"/>
        <v>0</v>
      </c>
      <c r="AJ610" s="147">
        <f t="shared" si="71"/>
        <v>0</v>
      </c>
      <c r="AK610" s="147">
        <f t="shared" si="71"/>
        <v>0</v>
      </c>
      <c r="AL610" s="147">
        <f t="shared" si="71"/>
        <v>0</v>
      </c>
      <c r="AM610" s="147">
        <f t="shared" si="71"/>
        <v>0</v>
      </c>
      <c r="AN610" s="147">
        <f t="shared" si="71"/>
        <v>0</v>
      </c>
      <c r="AO610" s="147">
        <f t="shared" si="71"/>
        <v>0</v>
      </c>
      <c r="AP610" s="147">
        <f t="shared" si="71"/>
        <v>0</v>
      </c>
      <c r="AQ610" s="147">
        <f t="shared" si="71"/>
        <v>0</v>
      </c>
      <c r="AR610" s="147">
        <f t="shared" si="71"/>
        <v>0</v>
      </c>
      <c r="AS610" s="147">
        <f t="shared" si="71"/>
        <v>0</v>
      </c>
      <c r="AT610" s="147">
        <f t="shared" si="71"/>
        <v>0</v>
      </c>
      <c r="AU610" s="147">
        <f t="shared" si="71"/>
        <v>0</v>
      </c>
      <c r="AV610" s="147">
        <f t="shared" si="71"/>
        <v>0</v>
      </c>
      <c r="AW610" s="147">
        <f t="shared" si="71"/>
        <v>0</v>
      </c>
      <c r="AX610" s="147">
        <f t="shared" si="71"/>
        <v>0</v>
      </c>
      <c r="AY610" s="34" t="s">
        <v>221</v>
      </c>
      <c r="AZ610" s="34"/>
      <c r="BA610" s="63"/>
      <c r="BB610" s="63"/>
      <c r="BC610" s="33"/>
      <c r="BI610" s="42"/>
    </row>
    <row r="611" spans="1:61" s="24" customFormat="1" ht="34.35" customHeight="1">
      <c r="A611" s="32">
        <f>A606+1</f>
        <v>566</v>
      </c>
      <c r="B611" s="33" t="s">
        <v>186</v>
      </c>
      <c r="C611" s="93" t="s">
        <v>59</v>
      </c>
      <c r="D611" s="35">
        <f t="shared" si="67"/>
        <v>0.11</v>
      </c>
      <c r="E611" s="35"/>
      <c r="F611" s="35">
        <f t="shared" si="68"/>
        <v>0.11</v>
      </c>
      <c r="G611" s="109">
        <v>0.11</v>
      </c>
      <c r="H611" s="109"/>
      <c r="I611" s="109"/>
      <c r="J611" s="109"/>
      <c r="K611" s="109"/>
      <c r="L611" s="109"/>
      <c r="M611" s="109"/>
      <c r="N611" s="109"/>
      <c r="O611" s="109"/>
      <c r="P611" s="109"/>
      <c r="Q611" s="109"/>
      <c r="R611" s="109"/>
      <c r="S611" s="109"/>
      <c r="T611" s="109"/>
      <c r="U611" s="109"/>
      <c r="V611" s="109"/>
      <c r="W611" s="109"/>
      <c r="X611" s="109"/>
      <c r="Y611" s="109"/>
      <c r="Z611" s="109"/>
      <c r="AA611" s="109"/>
      <c r="AB611" s="109"/>
      <c r="AC611" s="109"/>
      <c r="AD611" s="109"/>
      <c r="AE611" s="109"/>
      <c r="AF611" s="109"/>
      <c r="AG611" s="109"/>
      <c r="AH611" s="109"/>
      <c r="AI611" s="109"/>
      <c r="AJ611" s="109"/>
      <c r="AK611" s="109"/>
      <c r="AL611" s="109"/>
      <c r="AM611" s="109"/>
      <c r="AN611" s="109"/>
      <c r="AO611" s="109"/>
      <c r="AP611" s="109"/>
      <c r="AQ611" s="109"/>
      <c r="AR611" s="109"/>
      <c r="AS611" s="109"/>
      <c r="AT611" s="109"/>
      <c r="AU611" s="109"/>
      <c r="AV611" s="109"/>
      <c r="AW611" s="109"/>
      <c r="AX611" s="109"/>
      <c r="AY611" s="34" t="s">
        <v>221</v>
      </c>
      <c r="AZ611" s="34" t="s">
        <v>1267</v>
      </c>
      <c r="BA611" s="63" t="s">
        <v>291</v>
      </c>
      <c r="BB611" s="63"/>
      <c r="BC611" s="33" t="s">
        <v>1268</v>
      </c>
      <c r="BI611" s="42">
        <v>1</v>
      </c>
    </row>
    <row r="612" spans="1:61" s="24" customFormat="1" ht="18.600000000000001" customHeight="1">
      <c r="A612" s="32">
        <f>A611+1</f>
        <v>567</v>
      </c>
      <c r="B612" s="33" t="s">
        <v>186</v>
      </c>
      <c r="C612" s="93" t="s">
        <v>59</v>
      </c>
      <c r="D612" s="35">
        <f t="shared" si="67"/>
        <v>0.05</v>
      </c>
      <c r="E612" s="35"/>
      <c r="F612" s="35">
        <f t="shared" si="68"/>
        <v>0.05</v>
      </c>
      <c r="G612" s="109"/>
      <c r="H612" s="109"/>
      <c r="I612" s="109"/>
      <c r="J612" s="109">
        <v>0.05</v>
      </c>
      <c r="K612" s="109"/>
      <c r="L612" s="109"/>
      <c r="M612" s="109"/>
      <c r="N612" s="109"/>
      <c r="O612" s="109"/>
      <c r="P612" s="109"/>
      <c r="Q612" s="109"/>
      <c r="R612" s="109"/>
      <c r="S612" s="109"/>
      <c r="T612" s="109"/>
      <c r="U612" s="109"/>
      <c r="V612" s="109"/>
      <c r="W612" s="109"/>
      <c r="X612" s="109"/>
      <c r="Y612" s="109"/>
      <c r="Z612" s="109"/>
      <c r="AA612" s="109"/>
      <c r="AB612" s="109"/>
      <c r="AC612" s="109"/>
      <c r="AD612" s="109"/>
      <c r="AE612" s="109"/>
      <c r="AF612" s="109"/>
      <c r="AG612" s="109"/>
      <c r="AH612" s="109"/>
      <c r="AI612" s="109"/>
      <c r="AJ612" s="109"/>
      <c r="AK612" s="109"/>
      <c r="AL612" s="109"/>
      <c r="AM612" s="109"/>
      <c r="AN612" s="109"/>
      <c r="AO612" s="109"/>
      <c r="AP612" s="109"/>
      <c r="AQ612" s="109"/>
      <c r="AR612" s="109"/>
      <c r="AS612" s="109"/>
      <c r="AT612" s="109"/>
      <c r="AU612" s="109"/>
      <c r="AV612" s="109"/>
      <c r="AW612" s="109"/>
      <c r="AX612" s="109"/>
      <c r="AY612" s="34" t="s">
        <v>221</v>
      </c>
      <c r="AZ612" s="34" t="s">
        <v>308</v>
      </c>
      <c r="BA612" s="63" t="s">
        <v>291</v>
      </c>
      <c r="BB612" s="63"/>
      <c r="BC612" s="33" t="s">
        <v>1269</v>
      </c>
      <c r="BI612" s="42">
        <v>1</v>
      </c>
    </row>
    <row r="613" spans="1:61" s="24" customFormat="1" ht="18" customHeight="1">
      <c r="A613" s="32">
        <f>A612+1</f>
        <v>568</v>
      </c>
      <c r="B613" s="33" t="s">
        <v>186</v>
      </c>
      <c r="C613" s="93" t="s">
        <v>59</v>
      </c>
      <c r="D613" s="35">
        <f t="shared" si="67"/>
        <v>0.1</v>
      </c>
      <c r="E613" s="35"/>
      <c r="F613" s="35">
        <f t="shared" si="68"/>
        <v>0.1</v>
      </c>
      <c r="G613" s="109"/>
      <c r="H613" s="109"/>
      <c r="I613" s="109"/>
      <c r="J613" s="109">
        <v>0.1</v>
      </c>
      <c r="K613" s="109"/>
      <c r="L613" s="109"/>
      <c r="M613" s="109"/>
      <c r="N613" s="109"/>
      <c r="O613" s="109"/>
      <c r="P613" s="109"/>
      <c r="Q613" s="109"/>
      <c r="R613" s="109"/>
      <c r="S613" s="109"/>
      <c r="T613" s="109"/>
      <c r="U613" s="109"/>
      <c r="V613" s="109"/>
      <c r="W613" s="109"/>
      <c r="X613" s="109"/>
      <c r="Y613" s="109"/>
      <c r="Z613" s="109"/>
      <c r="AA613" s="109"/>
      <c r="AB613" s="109"/>
      <c r="AC613" s="109"/>
      <c r="AD613" s="109"/>
      <c r="AE613" s="109"/>
      <c r="AF613" s="109"/>
      <c r="AG613" s="109"/>
      <c r="AH613" s="109"/>
      <c r="AI613" s="109"/>
      <c r="AJ613" s="109"/>
      <c r="AK613" s="109"/>
      <c r="AL613" s="109"/>
      <c r="AM613" s="109"/>
      <c r="AN613" s="109"/>
      <c r="AO613" s="109"/>
      <c r="AP613" s="109"/>
      <c r="AQ613" s="109"/>
      <c r="AR613" s="109"/>
      <c r="AS613" s="109"/>
      <c r="AT613" s="109"/>
      <c r="AU613" s="109"/>
      <c r="AV613" s="109"/>
      <c r="AW613" s="109"/>
      <c r="AX613" s="109"/>
      <c r="AY613" s="34" t="s">
        <v>221</v>
      </c>
      <c r="AZ613" s="34" t="s">
        <v>1270</v>
      </c>
      <c r="BA613" s="63" t="s">
        <v>291</v>
      </c>
      <c r="BB613" s="63"/>
      <c r="BC613" s="33" t="s">
        <v>1271</v>
      </c>
      <c r="BI613" s="42">
        <v>1</v>
      </c>
    </row>
    <row r="614" spans="1:61" s="24" customFormat="1" ht="24" customHeight="1">
      <c r="A614" s="32">
        <f>A613+1</f>
        <v>569</v>
      </c>
      <c r="B614" s="33" t="s">
        <v>1272</v>
      </c>
      <c r="C614" s="93" t="s">
        <v>1260</v>
      </c>
      <c r="D614" s="35">
        <f t="shared" si="67"/>
        <v>0.6</v>
      </c>
      <c r="E614" s="35"/>
      <c r="F614" s="35">
        <f t="shared" si="68"/>
        <v>0.6</v>
      </c>
      <c r="G614" s="109"/>
      <c r="H614" s="109"/>
      <c r="I614" s="109">
        <v>0.6</v>
      </c>
      <c r="J614" s="109"/>
      <c r="K614" s="109"/>
      <c r="L614" s="109"/>
      <c r="M614" s="109"/>
      <c r="N614" s="109"/>
      <c r="O614" s="109"/>
      <c r="P614" s="109"/>
      <c r="Q614" s="109"/>
      <c r="R614" s="109"/>
      <c r="S614" s="109"/>
      <c r="T614" s="109"/>
      <c r="U614" s="109"/>
      <c r="V614" s="109"/>
      <c r="W614" s="109"/>
      <c r="X614" s="109"/>
      <c r="Y614" s="109"/>
      <c r="Z614" s="109"/>
      <c r="AA614" s="109"/>
      <c r="AB614" s="109"/>
      <c r="AC614" s="109"/>
      <c r="AD614" s="109"/>
      <c r="AE614" s="109"/>
      <c r="AF614" s="109"/>
      <c r="AG614" s="109"/>
      <c r="AH614" s="109"/>
      <c r="AI614" s="109"/>
      <c r="AJ614" s="109"/>
      <c r="AK614" s="109"/>
      <c r="AL614" s="109"/>
      <c r="AM614" s="109"/>
      <c r="AN614" s="109"/>
      <c r="AO614" s="109"/>
      <c r="AP614" s="109"/>
      <c r="AQ614" s="109"/>
      <c r="AR614" s="109"/>
      <c r="AS614" s="109"/>
      <c r="AT614" s="109"/>
      <c r="AU614" s="109"/>
      <c r="AV614" s="109"/>
      <c r="AW614" s="109"/>
      <c r="AX614" s="109"/>
      <c r="AY614" s="34" t="s">
        <v>221</v>
      </c>
      <c r="AZ614" s="34" t="s">
        <v>1273</v>
      </c>
      <c r="BA614" s="63" t="s">
        <v>291</v>
      </c>
      <c r="BB614" s="63"/>
      <c r="BC614" s="33" t="s">
        <v>1274</v>
      </c>
      <c r="BI614" s="42">
        <v>1</v>
      </c>
    </row>
    <row r="615" spans="1:61" s="24" customFormat="1" ht="23.1" hidden="1" customHeight="1">
      <c r="A615" s="32"/>
      <c r="B615" s="33"/>
      <c r="C615" s="93" t="s">
        <v>59</v>
      </c>
      <c r="D615" s="35">
        <f t="shared" si="67"/>
        <v>0.21</v>
      </c>
      <c r="E615" s="35"/>
      <c r="F615" s="35">
        <f t="shared" si="68"/>
        <v>0.21</v>
      </c>
      <c r="G615" s="109"/>
      <c r="H615" s="109"/>
      <c r="I615" s="109">
        <v>0.21</v>
      </c>
      <c r="J615" s="109"/>
      <c r="K615" s="109"/>
      <c r="L615" s="109"/>
      <c r="M615" s="109"/>
      <c r="N615" s="109"/>
      <c r="O615" s="109"/>
      <c r="P615" s="109"/>
      <c r="Q615" s="109"/>
      <c r="R615" s="109"/>
      <c r="S615" s="109"/>
      <c r="T615" s="109"/>
      <c r="U615" s="109"/>
      <c r="V615" s="109"/>
      <c r="W615" s="109"/>
      <c r="X615" s="109"/>
      <c r="Y615" s="109"/>
      <c r="Z615" s="109"/>
      <c r="AA615" s="109"/>
      <c r="AB615" s="109"/>
      <c r="AC615" s="109"/>
      <c r="AD615" s="109"/>
      <c r="AE615" s="109"/>
      <c r="AF615" s="109"/>
      <c r="AG615" s="109"/>
      <c r="AH615" s="109"/>
      <c r="AI615" s="109"/>
      <c r="AJ615" s="109"/>
      <c r="AK615" s="109"/>
      <c r="AL615" s="109"/>
      <c r="AM615" s="109"/>
      <c r="AN615" s="109"/>
      <c r="AO615" s="109"/>
      <c r="AP615" s="109"/>
      <c r="AQ615" s="109"/>
      <c r="AR615" s="109"/>
      <c r="AS615" s="109"/>
      <c r="AT615" s="109"/>
      <c r="AU615" s="109"/>
      <c r="AV615" s="109"/>
      <c r="AW615" s="109"/>
      <c r="AX615" s="109"/>
      <c r="AY615" s="34" t="s">
        <v>221</v>
      </c>
      <c r="AZ615" s="34"/>
      <c r="BA615" s="63"/>
      <c r="BB615" s="63"/>
      <c r="BC615" s="33"/>
      <c r="BI615" s="42"/>
    </row>
    <row r="616" spans="1:61" s="24" customFormat="1" ht="23.1" hidden="1" customHeight="1">
      <c r="A616" s="32"/>
      <c r="B616" s="33"/>
      <c r="C616" s="93" t="s">
        <v>44</v>
      </c>
      <c r="D616" s="35">
        <f t="shared" si="67"/>
        <v>0.24</v>
      </c>
      <c r="E616" s="35"/>
      <c r="F616" s="35">
        <f t="shared" si="68"/>
        <v>0.24</v>
      </c>
      <c r="G616" s="109"/>
      <c r="H616" s="109"/>
      <c r="I616" s="109">
        <v>0.24</v>
      </c>
      <c r="J616" s="109"/>
      <c r="K616" s="109"/>
      <c r="L616" s="109"/>
      <c r="M616" s="109"/>
      <c r="N616" s="109"/>
      <c r="O616" s="109"/>
      <c r="P616" s="109"/>
      <c r="Q616" s="109"/>
      <c r="R616" s="109"/>
      <c r="S616" s="109"/>
      <c r="T616" s="109"/>
      <c r="U616" s="109"/>
      <c r="V616" s="109"/>
      <c r="W616" s="109"/>
      <c r="X616" s="109"/>
      <c r="Y616" s="109"/>
      <c r="Z616" s="109"/>
      <c r="AA616" s="109"/>
      <c r="AB616" s="109"/>
      <c r="AC616" s="109"/>
      <c r="AD616" s="109"/>
      <c r="AE616" s="109"/>
      <c r="AF616" s="109"/>
      <c r="AG616" s="109"/>
      <c r="AH616" s="109"/>
      <c r="AI616" s="109"/>
      <c r="AJ616" s="109"/>
      <c r="AK616" s="109"/>
      <c r="AL616" s="109"/>
      <c r="AM616" s="109"/>
      <c r="AN616" s="109"/>
      <c r="AO616" s="109"/>
      <c r="AP616" s="109"/>
      <c r="AQ616" s="109"/>
      <c r="AR616" s="109"/>
      <c r="AS616" s="109"/>
      <c r="AT616" s="109"/>
      <c r="AU616" s="109"/>
      <c r="AV616" s="109"/>
      <c r="AW616" s="109"/>
      <c r="AX616" s="109"/>
      <c r="AY616" s="34" t="s">
        <v>221</v>
      </c>
      <c r="AZ616" s="34"/>
      <c r="BA616" s="63"/>
      <c r="BB616" s="63"/>
      <c r="BC616" s="33"/>
      <c r="BI616" s="42"/>
    </row>
    <row r="617" spans="1:61" s="24" customFormat="1" ht="23.1" hidden="1" customHeight="1">
      <c r="A617" s="32"/>
      <c r="B617" s="33"/>
      <c r="C617" s="93" t="s">
        <v>138</v>
      </c>
      <c r="D617" s="35">
        <f t="shared" si="67"/>
        <v>0.15000000000000002</v>
      </c>
      <c r="E617" s="35"/>
      <c r="F617" s="35">
        <f t="shared" si="68"/>
        <v>0.15000000000000002</v>
      </c>
      <c r="G617" s="147">
        <f>G614-G615-G616</f>
        <v>0</v>
      </c>
      <c r="H617" s="147">
        <f t="shared" ref="H617:AX617" si="72">H614-H615-H616</f>
        <v>0</v>
      </c>
      <c r="I617" s="147">
        <f t="shared" si="72"/>
        <v>0.15000000000000002</v>
      </c>
      <c r="J617" s="147">
        <f t="shared" si="72"/>
        <v>0</v>
      </c>
      <c r="K617" s="147">
        <f t="shared" si="72"/>
        <v>0</v>
      </c>
      <c r="L617" s="147">
        <f t="shared" si="72"/>
        <v>0</v>
      </c>
      <c r="M617" s="147">
        <f t="shared" si="72"/>
        <v>0</v>
      </c>
      <c r="N617" s="147">
        <f t="shared" si="72"/>
        <v>0</v>
      </c>
      <c r="O617" s="147">
        <f t="shared" si="72"/>
        <v>0</v>
      </c>
      <c r="P617" s="147">
        <f t="shared" si="72"/>
        <v>0</v>
      </c>
      <c r="Q617" s="147">
        <f t="shared" si="72"/>
        <v>0</v>
      </c>
      <c r="R617" s="147">
        <f t="shared" si="72"/>
        <v>0</v>
      </c>
      <c r="S617" s="147">
        <f t="shared" si="72"/>
        <v>0</v>
      </c>
      <c r="T617" s="147">
        <f t="shared" si="72"/>
        <v>0</v>
      </c>
      <c r="U617" s="147">
        <f t="shared" si="72"/>
        <v>0</v>
      </c>
      <c r="V617" s="147">
        <f t="shared" si="72"/>
        <v>0</v>
      </c>
      <c r="W617" s="147">
        <f t="shared" si="72"/>
        <v>0</v>
      </c>
      <c r="X617" s="147">
        <f t="shared" si="72"/>
        <v>0</v>
      </c>
      <c r="Y617" s="147">
        <f t="shared" si="72"/>
        <v>0</v>
      </c>
      <c r="Z617" s="147">
        <f t="shared" si="72"/>
        <v>0</v>
      </c>
      <c r="AA617" s="147">
        <f t="shared" si="72"/>
        <v>0</v>
      </c>
      <c r="AB617" s="147">
        <f t="shared" si="72"/>
        <v>0</v>
      </c>
      <c r="AC617" s="147">
        <f t="shared" si="72"/>
        <v>0</v>
      </c>
      <c r="AD617" s="147">
        <f t="shared" si="72"/>
        <v>0</v>
      </c>
      <c r="AE617" s="147">
        <f t="shared" si="72"/>
        <v>0</v>
      </c>
      <c r="AF617" s="147">
        <f t="shared" si="72"/>
        <v>0</v>
      </c>
      <c r="AG617" s="147">
        <f t="shared" si="72"/>
        <v>0</v>
      </c>
      <c r="AH617" s="147">
        <f t="shared" si="72"/>
        <v>0</v>
      </c>
      <c r="AI617" s="147">
        <f t="shared" si="72"/>
        <v>0</v>
      </c>
      <c r="AJ617" s="147">
        <f t="shared" si="72"/>
        <v>0</v>
      </c>
      <c r="AK617" s="147">
        <f t="shared" si="72"/>
        <v>0</v>
      </c>
      <c r="AL617" s="147">
        <f t="shared" si="72"/>
        <v>0</v>
      </c>
      <c r="AM617" s="147">
        <f t="shared" si="72"/>
        <v>0</v>
      </c>
      <c r="AN617" s="147">
        <f t="shared" si="72"/>
        <v>0</v>
      </c>
      <c r="AO617" s="147">
        <f t="shared" si="72"/>
        <v>0</v>
      </c>
      <c r="AP617" s="147">
        <f t="shared" si="72"/>
        <v>0</v>
      </c>
      <c r="AQ617" s="147">
        <f t="shared" si="72"/>
        <v>0</v>
      </c>
      <c r="AR617" s="147">
        <f t="shared" si="72"/>
        <v>0</v>
      </c>
      <c r="AS617" s="147">
        <f t="shared" si="72"/>
        <v>0</v>
      </c>
      <c r="AT617" s="147">
        <f t="shared" si="72"/>
        <v>0</v>
      </c>
      <c r="AU617" s="147">
        <f t="shared" si="72"/>
        <v>0</v>
      </c>
      <c r="AV617" s="147">
        <f t="shared" si="72"/>
        <v>0</v>
      </c>
      <c r="AW617" s="147">
        <f t="shared" si="72"/>
        <v>0</v>
      </c>
      <c r="AX617" s="147">
        <f t="shared" si="72"/>
        <v>0</v>
      </c>
      <c r="AY617" s="34" t="s">
        <v>221</v>
      </c>
      <c r="AZ617" s="34"/>
      <c r="BA617" s="63"/>
      <c r="BB617" s="63"/>
      <c r="BC617" s="33"/>
      <c r="BI617" s="42"/>
    </row>
    <row r="618" spans="1:61" s="24" customFormat="1" ht="30" customHeight="1">
      <c r="A618" s="32">
        <f>A614+1</f>
        <v>570</v>
      </c>
      <c r="B618" s="33" t="s">
        <v>186</v>
      </c>
      <c r="C618" s="93" t="s">
        <v>1260</v>
      </c>
      <c r="D618" s="35">
        <f t="shared" si="67"/>
        <v>0.5</v>
      </c>
      <c r="E618" s="35"/>
      <c r="F618" s="35">
        <f t="shared" si="68"/>
        <v>0.5</v>
      </c>
      <c r="G618" s="109">
        <v>0.33</v>
      </c>
      <c r="H618" s="109"/>
      <c r="I618" s="109"/>
      <c r="J618" s="109">
        <v>0.17</v>
      </c>
      <c r="K618" s="109"/>
      <c r="L618" s="109"/>
      <c r="M618" s="109"/>
      <c r="N618" s="109"/>
      <c r="O618" s="109"/>
      <c r="P618" s="109"/>
      <c r="Q618" s="109"/>
      <c r="R618" s="109"/>
      <c r="S618" s="109"/>
      <c r="T618" s="109"/>
      <c r="U618" s="109"/>
      <c r="V618" s="109"/>
      <c r="W618" s="109"/>
      <c r="X618" s="109"/>
      <c r="Y618" s="109"/>
      <c r="Z618" s="109"/>
      <c r="AA618" s="109"/>
      <c r="AB618" s="109"/>
      <c r="AC618" s="109"/>
      <c r="AD618" s="109"/>
      <c r="AE618" s="109"/>
      <c r="AF618" s="109"/>
      <c r="AG618" s="109"/>
      <c r="AH618" s="109"/>
      <c r="AI618" s="109"/>
      <c r="AJ618" s="109"/>
      <c r="AK618" s="109"/>
      <c r="AL618" s="109"/>
      <c r="AM618" s="109"/>
      <c r="AN618" s="109"/>
      <c r="AO618" s="109"/>
      <c r="AP618" s="109"/>
      <c r="AQ618" s="109"/>
      <c r="AR618" s="109"/>
      <c r="AS618" s="109"/>
      <c r="AT618" s="109"/>
      <c r="AU618" s="109"/>
      <c r="AV618" s="109"/>
      <c r="AW618" s="109"/>
      <c r="AX618" s="109"/>
      <c r="AY618" s="34" t="s">
        <v>221</v>
      </c>
      <c r="AZ618" s="34" t="s">
        <v>1275</v>
      </c>
      <c r="BA618" s="63" t="s">
        <v>291</v>
      </c>
      <c r="BB618" s="63"/>
      <c r="BC618" s="33" t="s">
        <v>1276</v>
      </c>
      <c r="BI618" s="42">
        <v>1</v>
      </c>
    </row>
    <row r="619" spans="1:61" s="24" customFormat="1" ht="22.35" hidden="1" customHeight="1">
      <c r="A619" s="32"/>
      <c r="B619" s="33"/>
      <c r="C619" s="93" t="s">
        <v>59</v>
      </c>
      <c r="D619" s="35">
        <f t="shared" si="67"/>
        <v>0.18</v>
      </c>
      <c r="E619" s="35"/>
      <c r="F619" s="35">
        <f t="shared" si="68"/>
        <v>0.18</v>
      </c>
      <c r="G619" s="109">
        <v>0.18</v>
      </c>
      <c r="H619" s="109"/>
      <c r="I619" s="109"/>
      <c r="J619" s="109"/>
      <c r="K619" s="109"/>
      <c r="L619" s="109"/>
      <c r="M619" s="109"/>
      <c r="N619" s="109"/>
      <c r="O619" s="109"/>
      <c r="P619" s="109"/>
      <c r="Q619" s="109"/>
      <c r="R619" s="109"/>
      <c r="S619" s="109"/>
      <c r="T619" s="109"/>
      <c r="U619" s="109"/>
      <c r="V619" s="109"/>
      <c r="W619" s="109"/>
      <c r="X619" s="109"/>
      <c r="Y619" s="109"/>
      <c r="Z619" s="109"/>
      <c r="AA619" s="109"/>
      <c r="AB619" s="109"/>
      <c r="AC619" s="109"/>
      <c r="AD619" s="109"/>
      <c r="AE619" s="109"/>
      <c r="AF619" s="109"/>
      <c r="AG619" s="109"/>
      <c r="AH619" s="109"/>
      <c r="AI619" s="109"/>
      <c r="AJ619" s="109"/>
      <c r="AK619" s="109"/>
      <c r="AL619" s="109"/>
      <c r="AM619" s="109"/>
      <c r="AN619" s="109"/>
      <c r="AO619" s="109"/>
      <c r="AP619" s="109"/>
      <c r="AQ619" s="109"/>
      <c r="AR619" s="109"/>
      <c r="AS619" s="109"/>
      <c r="AT619" s="109"/>
      <c r="AU619" s="109"/>
      <c r="AV619" s="109"/>
      <c r="AW619" s="109"/>
      <c r="AX619" s="109"/>
      <c r="AY619" s="34" t="s">
        <v>221</v>
      </c>
      <c r="AZ619" s="34"/>
      <c r="BA619" s="63"/>
      <c r="BB619" s="63"/>
      <c r="BC619" s="33"/>
      <c r="BI619" s="42"/>
    </row>
    <row r="620" spans="1:61" s="24" customFormat="1" ht="22.35" hidden="1" customHeight="1">
      <c r="A620" s="32"/>
      <c r="B620" s="33"/>
      <c r="C620" s="93" t="s">
        <v>44</v>
      </c>
      <c r="D620" s="35">
        <f t="shared" si="67"/>
        <v>0.2</v>
      </c>
      <c r="E620" s="35"/>
      <c r="F620" s="35">
        <f t="shared" si="68"/>
        <v>0.2</v>
      </c>
      <c r="G620" s="109">
        <v>0.1</v>
      </c>
      <c r="H620" s="109"/>
      <c r="I620" s="109"/>
      <c r="J620" s="109">
        <v>0.1</v>
      </c>
      <c r="K620" s="109"/>
      <c r="L620" s="109"/>
      <c r="M620" s="109"/>
      <c r="N620" s="109"/>
      <c r="O620" s="109"/>
      <c r="P620" s="109"/>
      <c r="Q620" s="109"/>
      <c r="R620" s="109"/>
      <c r="S620" s="109"/>
      <c r="T620" s="109"/>
      <c r="U620" s="109"/>
      <c r="V620" s="109"/>
      <c r="W620" s="109"/>
      <c r="X620" s="109"/>
      <c r="Y620" s="109"/>
      <c r="Z620" s="109"/>
      <c r="AA620" s="109"/>
      <c r="AB620" s="109"/>
      <c r="AC620" s="109"/>
      <c r="AD620" s="109"/>
      <c r="AE620" s="109"/>
      <c r="AF620" s="109"/>
      <c r="AG620" s="109"/>
      <c r="AH620" s="109"/>
      <c r="AI620" s="109"/>
      <c r="AJ620" s="109"/>
      <c r="AK620" s="109"/>
      <c r="AL620" s="109"/>
      <c r="AM620" s="109"/>
      <c r="AN620" s="109"/>
      <c r="AO620" s="109"/>
      <c r="AP620" s="109"/>
      <c r="AQ620" s="109"/>
      <c r="AR620" s="109"/>
      <c r="AS620" s="109"/>
      <c r="AT620" s="109"/>
      <c r="AU620" s="109"/>
      <c r="AV620" s="109"/>
      <c r="AW620" s="109"/>
      <c r="AX620" s="109"/>
      <c r="AY620" s="34" t="s">
        <v>221</v>
      </c>
      <c r="AZ620" s="34"/>
      <c r="BA620" s="63"/>
      <c r="BB620" s="63"/>
      <c r="BC620" s="33"/>
      <c r="BI620" s="42"/>
    </row>
    <row r="621" spans="1:61" s="24" customFormat="1" ht="22.35" hidden="1" customHeight="1">
      <c r="A621" s="32"/>
      <c r="B621" s="33"/>
      <c r="C621" s="93" t="s">
        <v>138</v>
      </c>
      <c r="D621" s="35">
        <f t="shared" si="67"/>
        <v>0.12000000000000002</v>
      </c>
      <c r="E621" s="35"/>
      <c r="F621" s="35">
        <f t="shared" si="68"/>
        <v>0.12000000000000002</v>
      </c>
      <c r="G621" s="147">
        <f>G618-G619-G620</f>
        <v>5.0000000000000017E-2</v>
      </c>
      <c r="H621" s="147">
        <f t="shared" ref="H621:AX621" si="73">H618-H619-H620</f>
        <v>0</v>
      </c>
      <c r="I621" s="147">
        <f t="shared" si="73"/>
        <v>0</v>
      </c>
      <c r="J621" s="147">
        <f t="shared" si="73"/>
        <v>7.0000000000000007E-2</v>
      </c>
      <c r="K621" s="147">
        <f t="shared" si="73"/>
        <v>0</v>
      </c>
      <c r="L621" s="147">
        <f t="shared" si="73"/>
        <v>0</v>
      </c>
      <c r="M621" s="147">
        <f t="shared" si="73"/>
        <v>0</v>
      </c>
      <c r="N621" s="147">
        <f t="shared" si="73"/>
        <v>0</v>
      </c>
      <c r="O621" s="147">
        <f t="shared" si="73"/>
        <v>0</v>
      </c>
      <c r="P621" s="147">
        <f t="shared" si="73"/>
        <v>0</v>
      </c>
      <c r="Q621" s="147">
        <f t="shared" si="73"/>
        <v>0</v>
      </c>
      <c r="R621" s="147">
        <f t="shared" si="73"/>
        <v>0</v>
      </c>
      <c r="S621" s="147">
        <f t="shared" si="73"/>
        <v>0</v>
      </c>
      <c r="T621" s="147">
        <f t="shared" si="73"/>
        <v>0</v>
      </c>
      <c r="U621" s="147">
        <f t="shared" si="73"/>
        <v>0</v>
      </c>
      <c r="V621" s="147">
        <f t="shared" si="73"/>
        <v>0</v>
      </c>
      <c r="W621" s="147">
        <f t="shared" si="73"/>
        <v>0</v>
      </c>
      <c r="X621" s="147">
        <f t="shared" si="73"/>
        <v>0</v>
      </c>
      <c r="Y621" s="147">
        <f t="shared" si="73"/>
        <v>0</v>
      </c>
      <c r="Z621" s="147">
        <f t="shared" si="73"/>
        <v>0</v>
      </c>
      <c r="AA621" s="147">
        <f t="shared" si="73"/>
        <v>0</v>
      </c>
      <c r="AB621" s="147">
        <f t="shared" si="73"/>
        <v>0</v>
      </c>
      <c r="AC621" s="147">
        <f t="shared" si="73"/>
        <v>0</v>
      </c>
      <c r="AD621" s="147">
        <f t="shared" si="73"/>
        <v>0</v>
      </c>
      <c r="AE621" s="147">
        <f t="shared" si="73"/>
        <v>0</v>
      </c>
      <c r="AF621" s="147">
        <f t="shared" si="73"/>
        <v>0</v>
      </c>
      <c r="AG621" s="147">
        <f t="shared" si="73"/>
        <v>0</v>
      </c>
      <c r="AH621" s="147">
        <f t="shared" si="73"/>
        <v>0</v>
      </c>
      <c r="AI621" s="147">
        <f t="shared" si="73"/>
        <v>0</v>
      </c>
      <c r="AJ621" s="147">
        <f t="shared" si="73"/>
        <v>0</v>
      </c>
      <c r="AK621" s="147">
        <f t="shared" si="73"/>
        <v>0</v>
      </c>
      <c r="AL621" s="147">
        <f t="shared" si="73"/>
        <v>0</v>
      </c>
      <c r="AM621" s="147">
        <f t="shared" si="73"/>
        <v>0</v>
      </c>
      <c r="AN621" s="147">
        <f t="shared" si="73"/>
        <v>0</v>
      </c>
      <c r="AO621" s="147">
        <f t="shared" si="73"/>
        <v>0</v>
      </c>
      <c r="AP621" s="147">
        <f t="shared" si="73"/>
        <v>0</v>
      </c>
      <c r="AQ621" s="147">
        <f t="shared" si="73"/>
        <v>0</v>
      </c>
      <c r="AR621" s="147">
        <f t="shared" si="73"/>
        <v>0</v>
      </c>
      <c r="AS621" s="147">
        <f t="shared" si="73"/>
        <v>0</v>
      </c>
      <c r="AT621" s="147">
        <f t="shared" si="73"/>
        <v>0</v>
      </c>
      <c r="AU621" s="147">
        <f t="shared" si="73"/>
        <v>0</v>
      </c>
      <c r="AV621" s="147">
        <f t="shared" si="73"/>
        <v>0</v>
      </c>
      <c r="AW621" s="147">
        <f t="shared" si="73"/>
        <v>0</v>
      </c>
      <c r="AX621" s="147">
        <f t="shared" si="73"/>
        <v>0</v>
      </c>
      <c r="AY621" s="34" t="s">
        <v>221</v>
      </c>
      <c r="AZ621" s="34"/>
      <c r="BA621" s="63"/>
      <c r="BB621" s="63"/>
      <c r="BC621" s="33"/>
      <c r="BI621" s="42"/>
    </row>
    <row r="622" spans="1:61" s="24" customFormat="1" ht="18" customHeight="1">
      <c r="A622" s="32">
        <f>A618+1</f>
        <v>571</v>
      </c>
      <c r="B622" s="33" t="s">
        <v>186</v>
      </c>
      <c r="C622" s="93" t="s">
        <v>59</v>
      </c>
      <c r="D622" s="35">
        <f t="shared" si="67"/>
        <v>0.12</v>
      </c>
      <c r="E622" s="108"/>
      <c r="F622" s="35">
        <f t="shared" si="68"/>
        <v>0.12</v>
      </c>
      <c r="G622" s="109"/>
      <c r="H622" s="109"/>
      <c r="I622" s="109"/>
      <c r="J622" s="109"/>
      <c r="K622" s="109"/>
      <c r="L622" s="109"/>
      <c r="M622" s="109">
        <v>0.12</v>
      </c>
      <c r="N622" s="109"/>
      <c r="O622" s="109"/>
      <c r="P622" s="109"/>
      <c r="Q622" s="109"/>
      <c r="R622" s="109"/>
      <c r="S622" s="109"/>
      <c r="T622" s="109"/>
      <c r="U622" s="109"/>
      <c r="V622" s="109"/>
      <c r="W622" s="109"/>
      <c r="X622" s="109"/>
      <c r="Y622" s="109"/>
      <c r="Z622" s="109"/>
      <c r="AA622" s="109"/>
      <c r="AB622" s="109"/>
      <c r="AC622" s="109"/>
      <c r="AD622" s="109"/>
      <c r="AE622" s="109"/>
      <c r="AF622" s="109"/>
      <c r="AG622" s="109"/>
      <c r="AH622" s="109"/>
      <c r="AI622" s="109"/>
      <c r="AJ622" s="109"/>
      <c r="AK622" s="109"/>
      <c r="AL622" s="109"/>
      <c r="AM622" s="109"/>
      <c r="AN622" s="109"/>
      <c r="AO622" s="109"/>
      <c r="AP622" s="109"/>
      <c r="AQ622" s="109"/>
      <c r="AR622" s="109"/>
      <c r="AS622" s="109"/>
      <c r="AT622" s="109"/>
      <c r="AU622" s="109"/>
      <c r="AV622" s="109"/>
      <c r="AW622" s="109"/>
      <c r="AX622" s="109"/>
      <c r="AY622" s="34" t="s">
        <v>221</v>
      </c>
      <c r="AZ622" s="34" t="s">
        <v>389</v>
      </c>
      <c r="BA622" s="63" t="s">
        <v>291</v>
      </c>
      <c r="BB622" s="63"/>
      <c r="BC622" s="56" t="s">
        <v>1277</v>
      </c>
      <c r="BI622" s="42">
        <v>1</v>
      </c>
    </row>
    <row r="623" spans="1:61" s="24" customFormat="1" ht="18" customHeight="1">
      <c r="A623" s="32">
        <f>A622+1</f>
        <v>572</v>
      </c>
      <c r="B623" s="33" t="s">
        <v>186</v>
      </c>
      <c r="C623" s="93" t="s">
        <v>59</v>
      </c>
      <c r="D623" s="35">
        <f t="shared" si="67"/>
        <v>0.04</v>
      </c>
      <c r="E623" s="108"/>
      <c r="F623" s="35">
        <f t="shared" si="68"/>
        <v>0.04</v>
      </c>
      <c r="G623" s="109"/>
      <c r="H623" s="109"/>
      <c r="I623" s="109"/>
      <c r="J623" s="109"/>
      <c r="K623" s="109"/>
      <c r="L623" s="109"/>
      <c r="M623" s="109"/>
      <c r="N623" s="109"/>
      <c r="O623" s="109"/>
      <c r="P623" s="109"/>
      <c r="Q623" s="109"/>
      <c r="R623" s="109"/>
      <c r="S623" s="109"/>
      <c r="T623" s="109"/>
      <c r="U623" s="109"/>
      <c r="V623" s="109"/>
      <c r="W623" s="109"/>
      <c r="X623" s="109"/>
      <c r="Y623" s="109"/>
      <c r="Z623" s="109"/>
      <c r="AA623" s="109"/>
      <c r="AB623" s="109"/>
      <c r="AC623" s="109"/>
      <c r="AD623" s="109"/>
      <c r="AE623" s="109"/>
      <c r="AF623" s="109"/>
      <c r="AG623" s="109"/>
      <c r="AH623" s="109"/>
      <c r="AI623" s="109"/>
      <c r="AJ623" s="109"/>
      <c r="AK623" s="109"/>
      <c r="AL623" s="109"/>
      <c r="AM623" s="109"/>
      <c r="AN623" s="109">
        <v>0.04</v>
      </c>
      <c r="AO623" s="109"/>
      <c r="AP623" s="109"/>
      <c r="AQ623" s="109"/>
      <c r="AR623" s="109"/>
      <c r="AS623" s="109"/>
      <c r="AT623" s="109"/>
      <c r="AU623" s="109"/>
      <c r="AV623" s="109"/>
      <c r="AW623" s="109"/>
      <c r="AX623" s="109"/>
      <c r="AY623" s="34" t="s">
        <v>221</v>
      </c>
      <c r="AZ623" s="34" t="s">
        <v>1278</v>
      </c>
      <c r="BA623" s="63" t="s">
        <v>291</v>
      </c>
      <c r="BB623" s="63"/>
      <c r="BC623" s="56" t="s">
        <v>1279</v>
      </c>
      <c r="BI623" s="42">
        <v>1</v>
      </c>
    </row>
    <row r="624" spans="1:61" s="24" customFormat="1" ht="18" customHeight="1">
      <c r="A624" s="32">
        <f>A623+1</f>
        <v>573</v>
      </c>
      <c r="B624" s="33" t="s">
        <v>186</v>
      </c>
      <c r="C624" s="93" t="s">
        <v>1260</v>
      </c>
      <c r="D624" s="35">
        <f t="shared" si="67"/>
        <v>0.5</v>
      </c>
      <c r="E624" s="108"/>
      <c r="F624" s="35">
        <f t="shared" si="68"/>
        <v>0.5</v>
      </c>
      <c r="G624" s="109"/>
      <c r="H624" s="109"/>
      <c r="I624" s="109"/>
      <c r="J624" s="109">
        <v>0.5</v>
      </c>
      <c r="K624" s="109"/>
      <c r="L624" s="109"/>
      <c r="M624" s="109"/>
      <c r="N624" s="109"/>
      <c r="O624" s="109"/>
      <c r="P624" s="109"/>
      <c r="Q624" s="109"/>
      <c r="R624" s="109"/>
      <c r="S624" s="109"/>
      <c r="T624" s="109"/>
      <c r="U624" s="109"/>
      <c r="V624" s="109"/>
      <c r="W624" s="109"/>
      <c r="X624" s="109"/>
      <c r="Y624" s="109"/>
      <c r="Z624" s="109"/>
      <c r="AA624" s="109"/>
      <c r="AB624" s="109"/>
      <c r="AC624" s="109"/>
      <c r="AD624" s="109"/>
      <c r="AE624" s="109"/>
      <c r="AF624" s="109"/>
      <c r="AG624" s="109"/>
      <c r="AH624" s="109"/>
      <c r="AI624" s="109"/>
      <c r="AJ624" s="109"/>
      <c r="AK624" s="109"/>
      <c r="AL624" s="109"/>
      <c r="AM624" s="109"/>
      <c r="AN624" s="109"/>
      <c r="AO624" s="109"/>
      <c r="AP624" s="109"/>
      <c r="AQ624" s="109"/>
      <c r="AR624" s="109"/>
      <c r="AS624" s="109"/>
      <c r="AT624" s="109"/>
      <c r="AU624" s="109"/>
      <c r="AV624" s="109"/>
      <c r="AW624" s="109"/>
      <c r="AX624" s="109"/>
      <c r="AY624" s="34" t="s">
        <v>221</v>
      </c>
      <c r="AZ624" s="34" t="s">
        <v>1280</v>
      </c>
      <c r="BA624" s="63" t="s">
        <v>291</v>
      </c>
      <c r="BB624" s="63" t="s">
        <v>1281</v>
      </c>
      <c r="BC624" s="56" t="s">
        <v>1282</v>
      </c>
      <c r="BI624" s="42">
        <v>1</v>
      </c>
    </row>
    <row r="625" spans="1:61" s="24" customFormat="1" ht="18" hidden="1" customHeight="1">
      <c r="A625" s="32"/>
      <c r="B625" s="33"/>
      <c r="C625" s="93" t="s">
        <v>59</v>
      </c>
      <c r="D625" s="35">
        <f t="shared" si="67"/>
        <v>0.18</v>
      </c>
      <c r="E625" s="108"/>
      <c r="F625" s="35">
        <f t="shared" si="68"/>
        <v>0.18</v>
      </c>
      <c r="G625" s="109"/>
      <c r="H625" s="109"/>
      <c r="I625" s="109"/>
      <c r="J625" s="109">
        <v>0.18</v>
      </c>
      <c r="K625" s="109"/>
      <c r="L625" s="109"/>
      <c r="M625" s="109"/>
      <c r="N625" s="109"/>
      <c r="O625" s="109"/>
      <c r="P625" s="109"/>
      <c r="Q625" s="109"/>
      <c r="R625" s="109"/>
      <c r="S625" s="109"/>
      <c r="T625" s="109"/>
      <c r="U625" s="109"/>
      <c r="V625" s="109"/>
      <c r="W625" s="109"/>
      <c r="X625" s="109"/>
      <c r="Y625" s="109"/>
      <c r="Z625" s="109"/>
      <c r="AA625" s="109"/>
      <c r="AB625" s="109"/>
      <c r="AC625" s="109"/>
      <c r="AD625" s="109"/>
      <c r="AE625" s="109"/>
      <c r="AF625" s="109"/>
      <c r="AG625" s="109"/>
      <c r="AH625" s="109"/>
      <c r="AI625" s="109"/>
      <c r="AJ625" s="109"/>
      <c r="AK625" s="109"/>
      <c r="AL625" s="109"/>
      <c r="AM625" s="109"/>
      <c r="AN625" s="109"/>
      <c r="AO625" s="109"/>
      <c r="AP625" s="109"/>
      <c r="AQ625" s="109"/>
      <c r="AR625" s="109"/>
      <c r="AS625" s="109"/>
      <c r="AT625" s="109"/>
      <c r="AU625" s="109"/>
      <c r="AV625" s="109"/>
      <c r="AW625" s="109"/>
      <c r="AX625" s="109"/>
      <c r="AY625" s="34" t="s">
        <v>221</v>
      </c>
      <c r="AZ625" s="34"/>
      <c r="BA625" s="63"/>
      <c r="BB625" s="63"/>
      <c r="BC625" s="56"/>
      <c r="BI625" s="42"/>
    </row>
    <row r="626" spans="1:61" s="24" customFormat="1" ht="18" hidden="1" customHeight="1">
      <c r="A626" s="32"/>
      <c r="B626" s="33"/>
      <c r="C626" s="93" t="s">
        <v>44</v>
      </c>
      <c r="D626" s="35">
        <f t="shared" si="67"/>
        <v>0.2</v>
      </c>
      <c r="E626" s="108"/>
      <c r="F626" s="35">
        <f t="shared" si="68"/>
        <v>0.2</v>
      </c>
      <c r="G626" s="109"/>
      <c r="H626" s="109"/>
      <c r="I626" s="109"/>
      <c r="J626" s="109">
        <v>0.2</v>
      </c>
      <c r="K626" s="109"/>
      <c r="L626" s="109"/>
      <c r="M626" s="109"/>
      <c r="N626" s="109"/>
      <c r="O626" s="109"/>
      <c r="P626" s="109"/>
      <c r="Q626" s="109"/>
      <c r="R626" s="109"/>
      <c r="S626" s="109"/>
      <c r="T626" s="109"/>
      <c r="U626" s="109"/>
      <c r="V626" s="109"/>
      <c r="W626" s="109"/>
      <c r="X626" s="109"/>
      <c r="Y626" s="109"/>
      <c r="Z626" s="109"/>
      <c r="AA626" s="109"/>
      <c r="AB626" s="109"/>
      <c r="AC626" s="109"/>
      <c r="AD626" s="109"/>
      <c r="AE626" s="109"/>
      <c r="AF626" s="109"/>
      <c r="AG626" s="109"/>
      <c r="AH626" s="109"/>
      <c r="AI626" s="109"/>
      <c r="AJ626" s="109"/>
      <c r="AK626" s="109"/>
      <c r="AL626" s="109"/>
      <c r="AM626" s="109"/>
      <c r="AN626" s="109"/>
      <c r="AO626" s="109"/>
      <c r="AP626" s="109"/>
      <c r="AQ626" s="109"/>
      <c r="AR626" s="109"/>
      <c r="AS626" s="109"/>
      <c r="AT626" s="109"/>
      <c r="AU626" s="109"/>
      <c r="AV626" s="109"/>
      <c r="AW626" s="109"/>
      <c r="AX626" s="109"/>
      <c r="AY626" s="34" t="s">
        <v>221</v>
      </c>
      <c r="AZ626" s="34"/>
      <c r="BA626" s="63"/>
      <c r="BB626" s="63"/>
      <c r="BC626" s="56"/>
      <c r="BI626" s="42"/>
    </row>
    <row r="627" spans="1:61" s="24" customFormat="1" ht="18" hidden="1" customHeight="1">
      <c r="A627" s="32"/>
      <c r="B627" s="33"/>
      <c r="C627" s="93" t="s">
        <v>138</v>
      </c>
      <c r="D627" s="35">
        <f t="shared" si="67"/>
        <v>0.12</v>
      </c>
      <c r="E627" s="108"/>
      <c r="F627" s="35">
        <f t="shared" si="68"/>
        <v>0.12</v>
      </c>
      <c r="G627" s="147">
        <f>G624-G625-G626</f>
        <v>0</v>
      </c>
      <c r="H627" s="147">
        <f t="shared" ref="H627:AX627" si="74">H624-H625-H626</f>
        <v>0</v>
      </c>
      <c r="I627" s="147">
        <f t="shared" si="74"/>
        <v>0</v>
      </c>
      <c r="J627" s="147">
        <f t="shared" si="74"/>
        <v>0.12</v>
      </c>
      <c r="K627" s="147">
        <f t="shared" si="74"/>
        <v>0</v>
      </c>
      <c r="L627" s="147">
        <f t="shared" si="74"/>
        <v>0</v>
      </c>
      <c r="M627" s="147">
        <f t="shared" si="74"/>
        <v>0</v>
      </c>
      <c r="N627" s="147">
        <f t="shared" si="74"/>
        <v>0</v>
      </c>
      <c r="O627" s="147">
        <f t="shared" si="74"/>
        <v>0</v>
      </c>
      <c r="P627" s="147">
        <f t="shared" si="74"/>
        <v>0</v>
      </c>
      <c r="Q627" s="147">
        <f t="shared" si="74"/>
        <v>0</v>
      </c>
      <c r="R627" s="147">
        <f t="shared" si="74"/>
        <v>0</v>
      </c>
      <c r="S627" s="147">
        <f t="shared" si="74"/>
        <v>0</v>
      </c>
      <c r="T627" s="147">
        <f t="shared" si="74"/>
        <v>0</v>
      </c>
      <c r="U627" s="147">
        <f t="shared" si="74"/>
        <v>0</v>
      </c>
      <c r="V627" s="147">
        <f t="shared" si="74"/>
        <v>0</v>
      </c>
      <c r="W627" s="147">
        <f t="shared" si="74"/>
        <v>0</v>
      </c>
      <c r="X627" s="147">
        <f t="shared" si="74"/>
        <v>0</v>
      </c>
      <c r="Y627" s="147">
        <f t="shared" si="74"/>
        <v>0</v>
      </c>
      <c r="Z627" s="147">
        <f t="shared" si="74"/>
        <v>0</v>
      </c>
      <c r="AA627" s="147">
        <f t="shared" si="74"/>
        <v>0</v>
      </c>
      <c r="AB627" s="147">
        <f t="shared" si="74"/>
        <v>0</v>
      </c>
      <c r="AC627" s="147">
        <f t="shared" si="74"/>
        <v>0</v>
      </c>
      <c r="AD627" s="147">
        <f t="shared" si="74"/>
        <v>0</v>
      </c>
      <c r="AE627" s="147">
        <f t="shared" si="74"/>
        <v>0</v>
      </c>
      <c r="AF627" s="147">
        <f t="shared" si="74"/>
        <v>0</v>
      </c>
      <c r="AG627" s="147">
        <f t="shared" si="74"/>
        <v>0</v>
      </c>
      <c r="AH627" s="147">
        <f t="shared" si="74"/>
        <v>0</v>
      </c>
      <c r="AI627" s="147">
        <f t="shared" si="74"/>
        <v>0</v>
      </c>
      <c r="AJ627" s="147">
        <f t="shared" si="74"/>
        <v>0</v>
      </c>
      <c r="AK627" s="147">
        <f t="shared" si="74"/>
        <v>0</v>
      </c>
      <c r="AL627" s="147">
        <f t="shared" si="74"/>
        <v>0</v>
      </c>
      <c r="AM627" s="147">
        <f t="shared" si="74"/>
        <v>0</v>
      </c>
      <c r="AN627" s="147">
        <f t="shared" si="74"/>
        <v>0</v>
      </c>
      <c r="AO627" s="147">
        <f t="shared" si="74"/>
        <v>0</v>
      </c>
      <c r="AP627" s="147">
        <f t="shared" si="74"/>
        <v>0</v>
      </c>
      <c r="AQ627" s="147">
        <f t="shared" si="74"/>
        <v>0</v>
      </c>
      <c r="AR627" s="147">
        <f t="shared" si="74"/>
        <v>0</v>
      </c>
      <c r="AS627" s="147">
        <f t="shared" si="74"/>
        <v>0</v>
      </c>
      <c r="AT627" s="147">
        <f t="shared" si="74"/>
        <v>0</v>
      </c>
      <c r="AU627" s="147">
        <f t="shared" si="74"/>
        <v>0</v>
      </c>
      <c r="AV627" s="147">
        <f t="shared" si="74"/>
        <v>0</v>
      </c>
      <c r="AW627" s="147">
        <f t="shared" si="74"/>
        <v>0</v>
      </c>
      <c r="AX627" s="147">
        <f t="shared" si="74"/>
        <v>0</v>
      </c>
      <c r="AY627" s="34" t="s">
        <v>221</v>
      </c>
      <c r="AZ627" s="34"/>
      <c r="BA627" s="63"/>
      <c r="BB627" s="63"/>
      <c r="BC627" s="56"/>
      <c r="BI627" s="42"/>
    </row>
    <row r="628" spans="1:61" s="24" customFormat="1" ht="18" customHeight="1">
      <c r="A628" s="32">
        <f>A624+1</f>
        <v>574</v>
      </c>
      <c r="B628" s="33" t="s">
        <v>186</v>
      </c>
      <c r="C628" s="93" t="s">
        <v>59</v>
      </c>
      <c r="D628" s="35">
        <f t="shared" si="67"/>
        <v>0.3</v>
      </c>
      <c r="E628" s="108"/>
      <c r="F628" s="35">
        <f t="shared" si="68"/>
        <v>0.3</v>
      </c>
      <c r="G628" s="109">
        <v>0.3</v>
      </c>
      <c r="H628" s="109"/>
      <c r="I628" s="109"/>
      <c r="J628" s="109"/>
      <c r="K628" s="109"/>
      <c r="L628" s="109"/>
      <c r="M628" s="109"/>
      <c r="N628" s="109"/>
      <c r="O628" s="109"/>
      <c r="P628" s="109"/>
      <c r="Q628" s="109"/>
      <c r="R628" s="109"/>
      <c r="S628" s="109"/>
      <c r="T628" s="109"/>
      <c r="U628" s="109"/>
      <c r="V628" s="109"/>
      <c r="W628" s="109"/>
      <c r="X628" s="109"/>
      <c r="Y628" s="109"/>
      <c r="Z628" s="109"/>
      <c r="AA628" s="109"/>
      <c r="AB628" s="109"/>
      <c r="AC628" s="109"/>
      <c r="AD628" s="109"/>
      <c r="AE628" s="109"/>
      <c r="AF628" s="109"/>
      <c r="AG628" s="109"/>
      <c r="AH628" s="109"/>
      <c r="AI628" s="109"/>
      <c r="AJ628" s="109"/>
      <c r="AK628" s="109"/>
      <c r="AL628" s="109"/>
      <c r="AM628" s="109"/>
      <c r="AN628" s="109"/>
      <c r="AO628" s="109"/>
      <c r="AP628" s="109"/>
      <c r="AQ628" s="109"/>
      <c r="AR628" s="109"/>
      <c r="AS628" s="109"/>
      <c r="AT628" s="109"/>
      <c r="AU628" s="109"/>
      <c r="AV628" s="109"/>
      <c r="AW628" s="109"/>
      <c r="AX628" s="109"/>
      <c r="AY628" s="34" t="s">
        <v>221</v>
      </c>
      <c r="AZ628" s="34" t="s">
        <v>1283</v>
      </c>
      <c r="BA628" s="47" t="s">
        <v>298</v>
      </c>
      <c r="BB628" s="47"/>
      <c r="BC628" s="56" t="s">
        <v>1284</v>
      </c>
      <c r="BI628" s="42">
        <v>1</v>
      </c>
    </row>
    <row r="629" spans="1:61" s="24" customFormat="1" ht="18" customHeight="1">
      <c r="A629" s="32">
        <f>A628+1</f>
        <v>575</v>
      </c>
      <c r="B629" s="33" t="s">
        <v>186</v>
      </c>
      <c r="C629" s="93" t="s">
        <v>1260</v>
      </c>
      <c r="D629" s="35">
        <f t="shared" si="67"/>
        <v>0.64000000000000012</v>
      </c>
      <c r="E629" s="108"/>
      <c r="F629" s="35">
        <f t="shared" si="68"/>
        <v>0.64000000000000012</v>
      </c>
      <c r="G629" s="109">
        <v>0.51</v>
      </c>
      <c r="H629" s="109">
        <v>0.06</v>
      </c>
      <c r="I629" s="109">
        <v>7.0000000000000007E-2</v>
      </c>
      <c r="J629" s="109"/>
      <c r="K629" s="109"/>
      <c r="L629" s="109"/>
      <c r="M629" s="109"/>
      <c r="N629" s="109"/>
      <c r="O629" s="109"/>
      <c r="P629" s="109"/>
      <c r="Q629" s="109"/>
      <c r="R629" s="109"/>
      <c r="S629" s="109"/>
      <c r="T629" s="109"/>
      <c r="U629" s="109"/>
      <c r="V629" s="109"/>
      <c r="W629" s="109"/>
      <c r="X629" s="109"/>
      <c r="Y629" s="109"/>
      <c r="Z629" s="109"/>
      <c r="AA629" s="109"/>
      <c r="AB629" s="109"/>
      <c r="AC629" s="109"/>
      <c r="AD629" s="109"/>
      <c r="AE629" s="109"/>
      <c r="AF629" s="109"/>
      <c r="AG629" s="109"/>
      <c r="AH629" s="109"/>
      <c r="AI629" s="109"/>
      <c r="AJ629" s="109"/>
      <c r="AK629" s="109"/>
      <c r="AL629" s="109"/>
      <c r="AM629" s="109"/>
      <c r="AN629" s="109"/>
      <c r="AO629" s="109"/>
      <c r="AP629" s="109"/>
      <c r="AQ629" s="109"/>
      <c r="AR629" s="109"/>
      <c r="AS629" s="109"/>
      <c r="AT629" s="109"/>
      <c r="AU629" s="109"/>
      <c r="AV629" s="109"/>
      <c r="AW629" s="109"/>
      <c r="AX629" s="109"/>
      <c r="AY629" s="34" t="s">
        <v>221</v>
      </c>
      <c r="AZ629" s="34" t="s">
        <v>1285</v>
      </c>
      <c r="BA629" s="47" t="s">
        <v>298</v>
      </c>
      <c r="BB629" s="48"/>
      <c r="BC629" s="24" t="s">
        <v>1286</v>
      </c>
      <c r="BI629" s="42">
        <v>1</v>
      </c>
    </row>
    <row r="630" spans="1:61" s="24" customFormat="1" ht="18" hidden="1" customHeight="1">
      <c r="A630" s="32"/>
      <c r="B630" s="33"/>
      <c r="C630" s="93" t="s">
        <v>59</v>
      </c>
      <c r="D630" s="35">
        <f t="shared" si="67"/>
        <v>0.22</v>
      </c>
      <c r="E630" s="108"/>
      <c r="F630" s="35">
        <f t="shared" si="68"/>
        <v>0.22</v>
      </c>
      <c r="G630" s="109">
        <v>0.22</v>
      </c>
      <c r="H630" s="109"/>
      <c r="I630" s="109"/>
      <c r="J630" s="109"/>
      <c r="K630" s="109"/>
      <c r="L630" s="109"/>
      <c r="M630" s="109"/>
      <c r="N630" s="109"/>
      <c r="O630" s="109"/>
      <c r="P630" s="109"/>
      <c r="Q630" s="109"/>
      <c r="R630" s="109"/>
      <c r="S630" s="109"/>
      <c r="T630" s="109"/>
      <c r="U630" s="109"/>
      <c r="V630" s="109"/>
      <c r="W630" s="109"/>
      <c r="X630" s="109"/>
      <c r="Y630" s="109"/>
      <c r="Z630" s="109"/>
      <c r="AA630" s="109"/>
      <c r="AB630" s="109"/>
      <c r="AC630" s="109"/>
      <c r="AD630" s="109"/>
      <c r="AE630" s="109"/>
      <c r="AF630" s="109"/>
      <c r="AG630" s="109"/>
      <c r="AH630" s="109"/>
      <c r="AI630" s="109"/>
      <c r="AJ630" s="109"/>
      <c r="AK630" s="109"/>
      <c r="AL630" s="109"/>
      <c r="AM630" s="109"/>
      <c r="AN630" s="109"/>
      <c r="AO630" s="109"/>
      <c r="AP630" s="109"/>
      <c r="AQ630" s="109"/>
      <c r="AR630" s="109"/>
      <c r="AS630" s="109"/>
      <c r="AT630" s="109"/>
      <c r="AU630" s="109"/>
      <c r="AV630" s="109"/>
      <c r="AW630" s="109"/>
      <c r="AX630" s="109"/>
      <c r="AY630" s="34" t="s">
        <v>221</v>
      </c>
      <c r="AZ630" s="34"/>
      <c r="BA630" s="47"/>
      <c r="BB630" s="48"/>
      <c r="BI630" s="42"/>
    </row>
    <row r="631" spans="1:61" s="24" customFormat="1" ht="18" hidden="1" customHeight="1">
      <c r="A631" s="32"/>
      <c r="B631" s="33"/>
      <c r="C631" s="93" t="s">
        <v>44</v>
      </c>
      <c r="D631" s="35">
        <f t="shared" si="67"/>
        <v>0.26</v>
      </c>
      <c r="E631" s="108"/>
      <c r="F631" s="35">
        <f t="shared" si="68"/>
        <v>0.26</v>
      </c>
      <c r="G631" s="109">
        <v>0.26</v>
      </c>
      <c r="H631" s="109"/>
      <c r="I631" s="109"/>
      <c r="J631" s="109"/>
      <c r="K631" s="109"/>
      <c r="L631" s="109"/>
      <c r="M631" s="109"/>
      <c r="N631" s="109"/>
      <c r="O631" s="109"/>
      <c r="P631" s="109"/>
      <c r="Q631" s="109"/>
      <c r="R631" s="109"/>
      <c r="S631" s="109"/>
      <c r="T631" s="109"/>
      <c r="U631" s="109"/>
      <c r="V631" s="109"/>
      <c r="W631" s="109"/>
      <c r="X631" s="109"/>
      <c r="Y631" s="109"/>
      <c r="Z631" s="109"/>
      <c r="AA631" s="109"/>
      <c r="AB631" s="109"/>
      <c r="AC631" s="109"/>
      <c r="AD631" s="109"/>
      <c r="AE631" s="109"/>
      <c r="AF631" s="109"/>
      <c r="AG631" s="109"/>
      <c r="AH631" s="109"/>
      <c r="AI631" s="109"/>
      <c r="AJ631" s="109"/>
      <c r="AK631" s="109"/>
      <c r="AL631" s="109"/>
      <c r="AM631" s="109"/>
      <c r="AN631" s="109"/>
      <c r="AO631" s="109"/>
      <c r="AP631" s="109"/>
      <c r="AQ631" s="109"/>
      <c r="AR631" s="109"/>
      <c r="AS631" s="109"/>
      <c r="AT631" s="109"/>
      <c r="AU631" s="109"/>
      <c r="AV631" s="109"/>
      <c r="AW631" s="109"/>
      <c r="AX631" s="109"/>
      <c r="AY631" s="34" t="s">
        <v>221</v>
      </c>
      <c r="AZ631" s="34"/>
      <c r="BA631" s="47"/>
      <c r="BB631" s="48"/>
      <c r="BI631" s="42"/>
    </row>
    <row r="632" spans="1:61" s="24" customFormat="1" ht="18" hidden="1" customHeight="1">
      <c r="A632" s="32"/>
      <c r="B632" s="33"/>
      <c r="C632" s="93" t="s">
        <v>138</v>
      </c>
      <c r="D632" s="35">
        <f t="shared" si="67"/>
        <v>0.16000000000000003</v>
      </c>
      <c r="E632" s="108"/>
      <c r="F632" s="35">
        <f t="shared" si="68"/>
        <v>0.16000000000000003</v>
      </c>
      <c r="G632" s="147">
        <f>G629-G630-G631</f>
        <v>3.0000000000000027E-2</v>
      </c>
      <c r="H632" s="147">
        <f t="shared" ref="H632:AX632" si="75">H629-H630-H631</f>
        <v>0.06</v>
      </c>
      <c r="I632" s="147">
        <f t="shared" si="75"/>
        <v>7.0000000000000007E-2</v>
      </c>
      <c r="J632" s="147">
        <f t="shared" si="75"/>
        <v>0</v>
      </c>
      <c r="K632" s="147">
        <f t="shared" si="75"/>
        <v>0</v>
      </c>
      <c r="L632" s="147">
        <f t="shared" si="75"/>
        <v>0</v>
      </c>
      <c r="M632" s="147">
        <f t="shared" si="75"/>
        <v>0</v>
      </c>
      <c r="N632" s="147">
        <f t="shared" si="75"/>
        <v>0</v>
      </c>
      <c r="O632" s="147">
        <f t="shared" si="75"/>
        <v>0</v>
      </c>
      <c r="P632" s="147">
        <f t="shared" si="75"/>
        <v>0</v>
      </c>
      <c r="Q632" s="147">
        <f t="shared" si="75"/>
        <v>0</v>
      </c>
      <c r="R632" s="147">
        <f t="shared" si="75"/>
        <v>0</v>
      </c>
      <c r="S632" s="147">
        <f t="shared" si="75"/>
        <v>0</v>
      </c>
      <c r="T632" s="147">
        <f t="shared" si="75"/>
        <v>0</v>
      </c>
      <c r="U632" s="147">
        <f t="shared" si="75"/>
        <v>0</v>
      </c>
      <c r="V632" s="147">
        <f t="shared" si="75"/>
        <v>0</v>
      </c>
      <c r="W632" s="147">
        <f t="shared" si="75"/>
        <v>0</v>
      </c>
      <c r="X632" s="147">
        <f t="shared" si="75"/>
        <v>0</v>
      </c>
      <c r="Y632" s="147">
        <f t="shared" si="75"/>
        <v>0</v>
      </c>
      <c r="Z632" s="147">
        <f t="shared" si="75"/>
        <v>0</v>
      </c>
      <c r="AA632" s="147">
        <f t="shared" si="75"/>
        <v>0</v>
      </c>
      <c r="AB632" s="147">
        <f t="shared" si="75"/>
        <v>0</v>
      </c>
      <c r="AC632" s="147">
        <f t="shared" si="75"/>
        <v>0</v>
      </c>
      <c r="AD632" s="147">
        <f t="shared" si="75"/>
        <v>0</v>
      </c>
      <c r="AE632" s="147">
        <f t="shared" si="75"/>
        <v>0</v>
      </c>
      <c r="AF632" s="147">
        <f t="shared" si="75"/>
        <v>0</v>
      </c>
      <c r="AG632" s="147">
        <f t="shared" si="75"/>
        <v>0</v>
      </c>
      <c r="AH632" s="147">
        <f t="shared" si="75"/>
        <v>0</v>
      </c>
      <c r="AI632" s="147">
        <f t="shared" si="75"/>
        <v>0</v>
      </c>
      <c r="AJ632" s="147">
        <f t="shared" si="75"/>
        <v>0</v>
      </c>
      <c r="AK632" s="147">
        <f t="shared" si="75"/>
        <v>0</v>
      </c>
      <c r="AL632" s="147">
        <f t="shared" si="75"/>
        <v>0</v>
      </c>
      <c r="AM632" s="147">
        <f t="shared" si="75"/>
        <v>0</v>
      </c>
      <c r="AN632" s="147">
        <f t="shared" si="75"/>
        <v>0</v>
      </c>
      <c r="AO632" s="147">
        <f t="shared" si="75"/>
        <v>0</v>
      </c>
      <c r="AP632" s="147">
        <f t="shared" si="75"/>
        <v>0</v>
      </c>
      <c r="AQ632" s="147">
        <f t="shared" si="75"/>
        <v>0</v>
      </c>
      <c r="AR632" s="147">
        <f t="shared" si="75"/>
        <v>0</v>
      </c>
      <c r="AS632" s="147">
        <f t="shared" si="75"/>
        <v>0</v>
      </c>
      <c r="AT632" s="147">
        <f t="shared" si="75"/>
        <v>0</v>
      </c>
      <c r="AU632" s="147">
        <f t="shared" si="75"/>
        <v>0</v>
      </c>
      <c r="AV632" s="147">
        <f t="shared" si="75"/>
        <v>0</v>
      </c>
      <c r="AW632" s="147">
        <f t="shared" si="75"/>
        <v>0</v>
      </c>
      <c r="AX632" s="147">
        <f t="shared" si="75"/>
        <v>0</v>
      </c>
      <c r="AY632" s="34" t="s">
        <v>221</v>
      </c>
      <c r="AZ632" s="34"/>
      <c r="BA632" s="47"/>
      <c r="BB632" s="48"/>
      <c r="BI632" s="42"/>
    </row>
    <row r="633" spans="1:61" s="24" customFormat="1" ht="18" customHeight="1">
      <c r="A633" s="32">
        <f>A629+1</f>
        <v>576</v>
      </c>
      <c r="B633" s="33" t="s">
        <v>186</v>
      </c>
      <c r="C633" s="93" t="s">
        <v>59</v>
      </c>
      <c r="D633" s="35">
        <f t="shared" si="67"/>
        <v>0.01</v>
      </c>
      <c r="E633" s="108"/>
      <c r="F633" s="35">
        <f t="shared" si="68"/>
        <v>0.01</v>
      </c>
      <c r="G633" s="109"/>
      <c r="H633" s="109"/>
      <c r="I633" s="109"/>
      <c r="J633" s="109"/>
      <c r="K633" s="109"/>
      <c r="L633" s="109"/>
      <c r="M633" s="109"/>
      <c r="N633" s="109"/>
      <c r="O633" s="109"/>
      <c r="P633" s="109"/>
      <c r="Q633" s="109"/>
      <c r="R633" s="109"/>
      <c r="S633" s="109"/>
      <c r="T633" s="109"/>
      <c r="U633" s="109"/>
      <c r="V633" s="109"/>
      <c r="W633" s="109"/>
      <c r="X633" s="109"/>
      <c r="Y633" s="109"/>
      <c r="Z633" s="109"/>
      <c r="AA633" s="109"/>
      <c r="AB633" s="109"/>
      <c r="AC633" s="109"/>
      <c r="AD633" s="109"/>
      <c r="AE633" s="109"/>
      <c r="AF633" s="109"/>
      <c r="AG633" s="109"/>
      <c r="AH633" s="109"/>
      <c r="AI633" s="109"/>
      <c r="AJ633" s="109"/>
      <c r="AK633" s="109"/>
      <c r="AL633" s="109"/>
      <c r="AM633" s="109"/>
      <c r="AN633" s="109">
        <v>0.01</v>
      </c>
      <c r="AO633" s="109"/>
      <c r="AP633" s="109"/>
      <c r="AQ633" s="109"/>
      <c r="AR633" s="109"/>
      <c r="AS633" s="109"/>
      <c r="AT633" s="109"/>
      <c r="AU633" s="109"/>
      <c r="AV633" s="109"/>
      <c r="AW633" s="109"/>
      <c r="AX633" s="109"/>
      <c r="AY633" s="34" t="s">
        <v>221</v>
      </c>
      <c r="AZ633" s="34" t="s">
        <v>1287</v>
      </c>
      <c r="BA633" s="47" t="s">
        <v>298</v>
      </c>
      <c r="BB633" s="47"/>
      <c r="BC633" s="56" t="s">
        <v>1288</v>
      </c>
      <c r="BI633" s="42">
        <v>1</v>
      </c>
    </row>
    <row r="634" spans="1:61" s="24" customFormat="1" ht="18" customHeight="1">
      <c r="A634" s="32">
        <f>A633+1</f>
        <v>577</v>
      </c>
      <c r="B634" s="56" t="s">
        <v>1289</v>
      </c>
      <c r="C634" s="93" t="s">
        <v>59</v>
      </c>
      <c r="D634" s="35">
        <f t="shared" si="67"/>
        <v>0.7</v>
      </c>
      <c r="E634" s="108"/>
      <c r="F634" s="35">
        <f t="shared" si="68"/>
        <v>0.7</v>
      </c>
      <c r="G634" s="109"/>
      <c r="H634" s="109"/>
      <c r="I634" s="109"/>
      <c r="J634" s="109">
        <v>0.7</v>
      </c>
      <c r="K634" s="109"/>
      <c r="L634" s="109"/>
      <c r="M634" s="109"/>
      <c r="N634" s="109"/>
      <c r="O634" s="109"/>
      <c r="P634" s="109"/>
      <c r="Q634" s="109"/>
      <c r="R634" s="109"/>
      <c r="S634" s="109"/>
      <c r="T634" s="109"/>
      <c r="U634" s="109"/>
      <c r="V634" s="109"/>
      <c r="W634" s="109"/>
      <c r="X634" s="109"/>
      <c r="Y634" s="109"/>
      <c r="Z634" s="109"/>
      <c r="AA634" s="109"/>
      <c r="AB634" s="109"/>
      <c r="AC634" s="109"/>
      <c r="AD634" s="109"/>
      <c r="AE634" s="109"/>
      <c r="AF634" s="109"/>
      <c r="AG634" s="109"/>
      <c r="AH634" s="109"/>
      <c r="AI634" s="109"/>
      <c r="AJ634" s="109"/>
      <c r="AK634" s="109"/>
      <c r="AL634" s="109"/>
      <c r="AM634" s="109"/>
      <c r="AN634" s="109"/>
      <c r="AO634" s="109"/>
      <c r="AP634" s="109"/>
      <c r="AQ634" s="109"/>
      <c r="AR634" s="109"/>
      <c r="AS634" s="109"/>
      <c r="AT634" s="109"/>
      <c r="AU634" s="109"/>
      <c r="AV634" s="109"/>
      <c r="AW634" s="109"/>
      <c r="AX634" s="109"/>
      <c r="AY634" s="34" t="s">
        <v>221</v>
      </c>
      <c r="AZ634" s="34" t="s">
        <v>615</v>
      </c>
      <c r="BA634" s="63" t="s">
        <v>291</v>
      </c>
      <c r="BB634" s="64"/>
      <c r="BI634" s="42">
        <v>1</v>
      </c>
    </row>
    <row r="635" spans="1:61" s="24" customFormat="1" ht="18" customHeight="1">
      <c r="A635" s="32" t="s">
        <v>1290</v>
      </c>
      <c r="B635" s="56" t="s">
        <v>186</v>
      </c>
      <c r="C635" s="93" t="s">
        <v>1260</v>
      </c>
      <c r="D635" s="35">
        <f>E635+F635</f>
        <v>5.33</v>
      </c>
      <c r="E635" s="89">
        <f>E636+E641+E645+E649+E653</f>
        <v>0</v>
      </c>
      <c r="F635" s="141">
        <f>F636+F641+F645+F649+F653</f>
        <v>5.33</v>
      </c>
      <c r="G635" s="141">
        <f t="shared" ref="G635:AX635" si="76">G636+G641+G645+G649+G653</f>
        <v>3.4</v>
      </c>
      <c r="H635" s="141">
        <f t="shared" si="76"/>
        <v>0</v>
      </c>
      <c r="I635" s="141">
        <f t="shared" si="76"/>
        <v>0.05</v>
      </c>
      <c r="J635" s="141">
        <f t="shared" si="76"/>
        <v>0.98</v>
      </c>
      <c r="K635" s="141">
        <f t="shared" si="76"/>
        <v>0</v>
      </c>
      <c r="L635" s="141">
        <f t="shared" si="76"/>
        <v>0</v>
      </c>
      <c r="M635" s="141">
        <f t="shared" si="76"/>
        <v>0.9</v>
      </c>
      <c r="N635" s="141">
        <f t="shared" si="76"/>
        <v>0</v>
      </c>
      <c r="O635" s="141">
        <f t="shared" si="76"/>
        <v>0</v>
      </c>
      <c r="P635" s="141">
        <f t="shared" si="76"/>
        <v>0</v>
      </c>
      <c r="Q635" s="141">
        <f t="shared" si="76"/>
        <v>0</v>
      </c>
      <c r="R635" s="141">
        <f t="shared" si="76"/>
        <v>0</v>
      </c>
      <c r="S635" s="141">
        <f t="shared" si="76"/>
        <v>0</v>
      </c>
      <c r="T635" s="141">
        <f t="shared" si="76"/>
        <v>0</v>
      </c>
      <c r="U635" s="141">
        <f t="shared" si="76"/>
        <v>0</v>
      </c>
      <c r="V635" s="141">
        <f t="shared" si="76"/>
        <v>0</v>
      </c>
      <c r="W635" s="141">
        <f t="shared" si="76"/>
        <v>0</v>
      </c>
      <c r="X635" s="141">
        <f t="shared" si="76"/>
        <v>0</v>
      </c>
      <c r="Y635" s="141">
        <f t="shared" si="76"/>
        <v>0</v>
      </c>
      <c r="Z635" s="141">
        <f t="shared" si="76"/>
        <v>0</v>
      </c>
      <c r="AA635" s="141">
        <f t="shared" si="76"/>
        <v>0</v>
      </c>
      <c r="AB635" s="141">
        <f t="shared" si="76"/>
        <v>0</v>
      </c>
      <c r="AC635" s="141">
        <f t="shared" si="76"/>
        <v>0</v>
      </c>
      <c r="AD635" s="141">
        <f t="shared" si="76"/>
        <v>0</v>
      </c>
      <c r="AE635" s="141">
        <f t="shared" si="76"/>
        <v>0</v>
      </c>
      <c r="AF635" s="141">
        <f t="shared" si="76"/>
        <v>0</v>
      </c>
      <c r="AG635" s="141">
        <f t="shared" si="76"/>
        <v>0</v>
      </c>
      <c r="AH635" s="141">
        <f t="shared" si="76"/>
        <v>0</v>
      </c>
      <c r="AI635" s="141">
        <f t="shared" si="76"/>
        <v>0</v>
      </c>
      <c r="AJ635" s="141">
        <f t="shared" si="76"/>
        <v>0</v>
      </c>
      <c r="AK635" s="141">
        <f t="shared" si="76"/>
        <v>0</v>
      </c>
      <c r="AL635" s="141">
        <f t="shared" si="76"/>
        <v>0</v>
      </c>
      <c r="AM635" s="141">
        <f t="shared" si="76"/>
        <v>0</v>
      </c>
      <c r="AN635" s="141">
        <f t="shared" si="76"/>
        <v>0</v>
      </c>
      <c r="AO635" s="141">
        <f t="shared" si="76"/>
        <v>0</v>
      </c>
      <c r="AP635" s="141">
        <f t="shared" si="76"/>
        <v>0</v>
      </c>
      <c r="AQ635" s="141">
        <f t="shared" si="76"/>
        <v>0</v>
      </c>
      <c r="AR635" s="141">
        <f t="shared" si="76"/>
        <v>0</v>
      </c>
      <c r="AS635" s="141">
        <f t="shared" si="76"/>
        <v>0</v>
      </c>
      <c r="AT635" s="141">
        <f t="shared" si="76"/>
        <v>0</v>
      </c>
      <c r="AU635" s="141">
        <f t="shared" si="76"/>
        <v>0</v>
      </c>
      <c r="AV635" s="141">
        <f t="shared" si="76"/>
        <v>0</v>
      </c>
      <c r="AW635" s="141">
        <f t="shared" si="76"/>
        <v>0</v>
      </c>
      <c r="AX635" s="141">
        <f t="shared" si="76"/>
        <v>0</v>
      </c>
      <c r="AY635" s="148" t="s">
        <v>222</v>
      </c>
      <c r="AZ635" s="34"/>
      <c r="BA635" s="63"/>
      <c r="BB635" s="64"/>
      <c r="BI635" s="42"/>
    </row>
    <row r="636" spans="1:61" s="24" customFormat="1" ht="18" customHeight="1">
      <c r="A636" s="32">
        <f>A634+1</f>
        <v>578</v>
      </c>
      <c r="B636" s="56" t="s">
        <v>186</v>
      </c>
      <c r="C636" s="93" t="s">
        <v>1260</v>
      </c>
      <c r="D636" s="35">
        <f t="shared" si="67"/>
        <v>3.05</v>
      </c>
      <c r="E636" s="35"/>
      <c r="F636" s="35">
        <f t="shared" si="68"/>
        <v>3.05</v>
      </c>
      <c r="G636" s="109">
        <f>0.52+2.48</f>
        <v>3</v>
      </c>
      <c r="H636" s="109"/>
      <c r="I636" s="109">
        <v>0.05</v>
      </c>
      <c r="J636" s="109"/>
      <c r="K636" s="109"/>
      <c r="L636" s="109"/>
      <c r="M636" s="109"/>
      <c r="N636" s="109"/>
      <c r="O636" s="109"/>
      <c r="P636" s="109"/>
      <c r="Q636" s="109"/>
      <c r="R636" s="109"/>
      <c r="S636" s="109"/>
      <c r="T636" s="109"/>
      <c r="U636" s="109"/>
      <c r="V636" s="109"/>
      <c r="W636" s="109"/>
      <c r="X636" s="109"/>
      <c r="Y636" s="109"/>
      <c r="Z636" s="109"/>
      <c r="AA636" s="109"/>
      <c r="AB636" s="109"/>
      <c r="AC636" s="109"/>
      <c r="AD636" s="109"/>
      <c r="AE636" s="109"/>
      <c r="AF636" s="109"/>
      <c r="AG636" s="109"/>
      <c r="AH636" s="109"/>
      <c r="AI636" s="109"/>
      <c r="AJ636" s="109"/>
      <c r="AK636" s="109"/>
      <c r="AL636" s="109"/>
      <c r="AM636" s="109"/>
      <c r="AN636" s="109"/>
      <c r="AO636" s="109"/>
      <c r="AP636" s="109"/>
      <c r="AQ636" s="109"/>
      <c r="AR636" s="109"/>
      <c r="AS636" s="109"/>
      <c r="AT636" s="109"/>
      <c r="AU636" s="109"/>
      <c r="AV636" s="109"/>
      <c r="AW636" s="109"/>
      <c r="AX636" s="109"/>
      <c r="AY636" s="148" t="s">
        <v>222</v>
      </c>
      <c r="AZ636" s="34" t="s">
        <v>1291</v>
      </c>
      <c r="BA636" s="39" t="s">
        <v>291</v>
      </c>
      <c r="BB636" s="39"/>
      <c r="BC636" s="56" t="s">
        <v>1292</v>
      </c>
      <c r="BI636" s="42">
        <v>1</v>
      </c>
    </row>
    <row r="637" spans="1:61" s="24" customFormat="1" ht="18" hidden="1" customHeight="1">
      <c r="A637" s="32"/>
      <c r="B637" s="56"/>
      <c r="C637" s="93" t="s">
        <v>59</v>
      </c>
      <c r="D637" s="35">
        <f t="shared" si="67"/>
        <v>1.07</v>
      </c>
      <c r="E637" s="35"/>
      <c r="F637" s="35">
        <f t="shared" si="68"/>
        <v>1.07</v>
      </c>
      <c r="G637" s="109">
        <v>1.07</v>
      </c>
      <c r="H637" s="109"/>
      <c r="I637" s="109"/>
      <c r="J637" s="109"/>
      <c r="K637" s="109"/>
      <c r="L637" s="109"/>
      <c r="M637" s="109"/>
      <c r="N637" s="109"/>
      <c r="O637" s="109"/>
      <c r="P637" s="109"/>
      <c r="Q637" s="109"/>
      <c r="R637" s="109"/>
      <c r="S637" s="109"/>
      <c r="T637" s="109"/>
      <c r="U637" s="109"/>
      <c r="V637" s="109"/>
      <c r="W637" s="109"/>
      <c r="X637" s="109"/>
      <c r="Y637" s="109"/>
      <c r="Z637" s="109"/>
      <c r="AA637" s="109"/>
      <c r="AB637" s="109"/>
      <c r="AC637" s="109"/>
      <c r="AD637" s="109"/>
      <c r="AE637" s="109"/>
      <c r="AF637" s="109"/>
      <c r="AG637" s="109"/>
      <c r="AH637" s="109"/>
      <c r="AI637" s="109"/>
      <c r="AJ637" s="109"/>
      <c r="AK637" s="109"/>
      <c r="AL637" s="109"/>
      <c r="AM637" s="109"/>
      <c r="AN637" s="109"/>
      <c r="AO637" s="109"/>
      <c r="AP637" s="109"/>
      <c r="AQ637" s="109"/>
      <c r="AR637" s="109"/>
      <c r="AS637" s="109"/>
      <c r="AT637" s="109"/>
      <c r="AU637" s="109"/>
      <c r="AV637" s="109"/>
      <c r="AW637" s="109"/>
      <c r="AX637" s="109"/>
      <c r="AY637" s="148" t="s">
        <v>222</v>
      </c>
      <c r="AZ637" s="34"/>
      <c r="BA637" s="39"/>
      <c r="BB637" s="39"/>
      <c r="BC637" s="56"/>
      <c r="BI637" s="42"/>
    </row>
    <row r="638" spans="1:61" s="24" customFormat="1" ht="18" hidden="1" customHeight="1">
      <c r="A638" s="32"/>
      <c r="B638" s="56"/>
      <c r="C638" s="93" t="s">
        <v>44</v>
      </c>
      <c r="D638" s="35">
        <f t="shared" si="67"/>
        <v>1.07</v>
      </c>
      <c r="E638" s="35"/>
      <c r="F638" s="35">
        <f t="shared" si="68"/>
        <v>1.07</v>
      </c>
      <c r="G638" s="109">
        <v>1.07</v>
      </c>
      <c r="H638" s="109"/>
      <c r="I638" s="109"/>
      <c r="J638" s="109"/>
      <c r="K638" s="109"/>
      <c r="L638" s="109"/>
      <c r="M638" s="109"/>
      <c r="N638" s="109"/>
      <c r="O638" s="109"/>
      <c r="P638" s="109"/>
      <c r="Q638" s="109"/>
      <c r="R638" s="109"/>
      <c r="S638" s="109"/>
      <c r="T638" s="109"/>
      <c r="U638" s="109"/>
      <c r="V638" s="109"/>
      <c r="W638" s="109"/>
      <c r="X638" s="109"/>
      <c r="Y638" s="109"/>
      <c r="Z638" s="109"/>
      <c r="AA638" s="109"/>
      <c r="AB638" s="109"/>
      <c r="AC638" s="109"/>
      <c r="AD638" s="109"/>
      <c r="AE638" s="109"/>
      <c r="AF638" s="109"/>
      <c r="AG638" s="109"/>
      <c r="AH638" s="109"/>
      <c r="AI638" s="109"/>
      <c r="AJ638" s="109"/>
      <c r="AK638" s="109"/>
      <c r="AL638" s="109"/>
      <c r="AM638" s="109"/>
      <c r="AN638" s="109"/>
      <c r="AO638" s="109"/>
      <c r="AP638" s="109"/>
      <c r="AQ638" s="109"/>
      <c r="AR638" s="109"/>
      <c r="AS638" s="109"/>
      <c r="AT638" s="109"/>
      <c r="AU638" s="109"/>
      <c r="AV638" s="109"/>
      <c r="AW638" s="109"/>
      <c r="AX638" s="109"/>
      <c r="AY638" s="148" t="s">
        <v>222</v>
      </c>
      <c r="AZ638" s="34"/>
      <c r="BA638" s="39"/>
      <c r="BB638" s="39"/>
      <c r="BC638" s="56"/>
      <c r="BI638" s="42"/>
    </row>
    <row r="639" spans="1:61" s="24" customFormat="1" ht="18" hidden="1" customHeight="1">
      <c r="A639" s="32"/>
      <c r="B639" s="56"/>
      <c r="C639" s="93" t="s">
        <v>45</v>
      </c>
      <c r="D639" s="35">
        <f>F639+E639</f>
        <v>0.3</v>
      </c>
      <c r="E639" s="35"/>
      <c r="F639" s="35">
        <f>SUM(G639:AX639)</f>
        <v>0.3</v>
      </c>
      <c r="G639" s="109">
        <v>0.3</v>
      </c>
      <c r="H639" s="109"/>
      <c r="I639" s="109"/>
      <c r="J639" s="109"/>
      <c r="K639" s="109"/>
      <c r="L639" s="109"/>
      <c r="M639" s="109"/>
      <c r="N639" s="109"/>
      <c r="O639" s="109"/>
      <c r="P639" s="109"/>
      <c r="Q639" s="109"/>
      <c r="R639" s="109"/>
      <c r="S639" s="109"/>
      <c r="T639" s="109"/>
      <c r="U639" s="109"/>
      <c r="V639" s="109"/>
      <c r="W639" s="109"/>
      <c r="X639" s="109"/>
      <c r="Y639" s="109"/>
      <c r="Z639" s="109"/>
      <c r="AA639" s="109"/>
      <c r="AB639" s="109"/>
      <c r="AC639" s="109"/>
      <c r="AD639" s="109"/>
      <c r="AE639" s="109"/>
      <c r="AF639" s="109"/>
      <c r="AG639" s="109"/>
      <c r="AH639" s="109"/>
      <c r="AI639" s="109"/>
      <c r="AJ639" s="109"/>
      <c r="AK639" s="109"/>
      <c r="AL639" s="109"/>
      <c r="AM639" s="109"/>
      <c r="AN639" s="109"/>
      <c r="AO639" s="109"/>
      <c r="AP639" s="109"/>
      <c r="AQ639" s="109"/>
      <c r="AR639" s="109"/>
      <c r="AS639" s="109"/>
      <c r="AT639" s="109"/>
      <c r="AU639" s="109"/>
      <c r="AV639" s="109"/>
      <c r="AW639" s="109"/>
      <c r="AX639" s="109"/>
      <c r="AY639" s="148" t="s">
        <v>222</v>
      </c>
      <c r="AZ639" s="34"/>
      <c r="BA639" s="39"/>
      <c r="BB639" s="39"/>
      <c r="BC639" s="56"/>
      <c r="BI639" s="42"/>
    </row>
    <row r="640" spans="1:61" s="24" customFormat="1" ht="18" hidden="1" customHeight="1">
      <c r="A640" s="32"/>
      <c r="B640" s="56"/>
      <c r="C640" s="93" t="s">
        <v>138</v>
      </c>
      <c r="D640" s="35">
        <f t="shared" si="67"/>
        <v>0.60999999999999988</v>
      </c>
      <c r="E640" s="35"/>
      <c r="F640" s="35">
        <f t="shared" si="68"/>
        <v>0.60999999999999988</v>
      </c>
      <c r="G640" s="147">
        <f t="shared" ref="G640:AW640" si="77">G636-G637-G638-G639</f>
        <v>0.55999999999999983</v>
      </c>
      <c r="H640" s="147">
        <f t="shared" si="77"/>
        <v>0</v>
      </c>
      <c r="I640" s="147">
        <f t="shared" si="77"/>
        <v>0.05</v>
      </c>
      <c r="J640" s="147">
        <f t="shared" si="77"/>
        <v>0</v>
      </c>
      <c r="K640" s="147">
        <f t="shared" si="77"/>
        <v>0</v>
      </c>
      <c r="L640" s="147">
        <f t="shared" si="77"/>
        <v>0</v>
      </c>
      <c r="M640" s="147">
        <f t="shared" si="77"/>
        <v>0</v>
      </c>
      <c r="N640" s="147">
        <f t="shared" si="77"/>
        <v>0</v>
      </c>
      <c r="O640" s="147">
        <f t="shared" si="77"/>
        <v>0</v>
      </c>
      <c r="P640" s="147">
        <f t="shared" si="77"/>
        <v>0</v>
      </c>
      <c r="Q640" s="147">
        <f t="shared" si="77"/>
        <v>0</v>
      </c>
      <c r="R640" s="147">
        <f t="shared" si="77"/>
        <v>0</v>
      </c>
      <c r="S640" s="147">
        <f t="shared" si="77"/>
        <v>0</v>
      </c>
      <c r="T640" s="147">
        <f t="shared" si="77"/>
        <v>0</v>
      </c>
      <c r="U640" s="147">
        <f t="shared" si="77"/>
        <v>0</v>
      </c>
      <c r="V640" s="147">
        <f t="shared" si="77"/>
        <v>0</v>
      </c>
      <c r="W640" s="147">
        <f t="shared" si="77"/>
        <v>0</v>
      </c>
      <c r="X640" s="147">
        <f t="shared" si="77"/>
        <v>0</v>
      </c>
      <c r="Y640" s="147">
        <f t="shared" si="77"/>
        <v>0</v>
      </c>
      <c r="Z640" s="147">
        <f t="shared" si="77"/>
        <v>0</v>
      </c>
      <c r="AA640" s="147">
        <f t="shared" si="77"/>
        <v>0</v>
      </c>
      <c r="AB640" s="147">
        <f t="shared" si="77"/>
        <v>0</v>
      </c>
      <c r="AC640" s="147">
        <f t="shared" si="77"/>
        <v>0</v>
      </c>
      <c r="AD640" s="147">
        <f t="shared" si="77"/>
        <v>0</v>
      </c>
      <c r="AE640" s="147">
        <f t="shared" si="77"/>
        <v>0</v>
      </c>
      <c r="AF640" s="147">
        <f t="shared" si="77"/>
        <v>0</v>
      </c>
      <c r="AG640" s="147">
        <f t="shared" si="77"/>
        <v>0</v>
      </c>
      <c r="AH640" s="147">
        <f t="shared" si="77"/>
        <v>0</v>
      </c>
      <c r="AI640" s="147">
        <f t="shared" si="77"/>
        <v>0</v>
      </c>
      <c r="AJ640" s="147">
        <f t="shared" si="77"/>
        <v>0</v>
      </c>
      <c r="AK640" s="147">
        <f t="shared" si="77"/>
        <v>0</v>
      </c>
      <c r="AL640" s="147">
        <f t="shared" si="77"/>
        <v>0</v>
      </c>
      <c r="AM640" s="147">
        <f t="shared" si="77"/>
        <v>0</v>
      </c>
      <c r="AN640" s="147">
        <f t="shared" si="77"/>
        <v>0</v>
      </c>
      <c r="AO640" s="147">
        <f t="shared" si="77"/>
        <v>0</v>
      </c>
      <c r="AP640" s="147">
        <f t="shared" si="77"/>
        <v>0</v>
      </c>
      <c r="AQ640" s="147">
        <f t="shared" si="77"/>
        <v>0</v>
      </c>
      <c r="AR640" s="147">
        <f t="shared" si="77"/>
        <v>0</v>
      </c>
      <c r="AS640" s="147">
        <f t="shared" si="77"/>
        <v>0</v>
      </c>
      <c r="AT640" s="147">
        <f t="shared" si="77"/>
        <v>0</v>
      </c>
      <c r="AU640" s="147">
        <f t="shared" si="77"/>
        <v>0</v>
      </c>
      <c r="AV640" s="147">
        <f t="shared" si="77"/>
        <v>0</v>
      </c>
      <c r="AW640" s="147">
        <f t="shared" si="77"/>
        <v>0</v>
      </c>
      <c r="AX640" s="147">
        <f>AX636-AX637-AX638-AX639</f>
        <v>0</v>
      </c>
      <c r="AY640" s="148" t="s">
        <v>222</v>
      </c>
      <c r="AZ640" s="34"/>
      <c r="BA640" s="39"/>
      <c r="BB640" s="39"/>
      <c r="BC640" s="56"/>
      <c r="BI640" s="42"/>
    </row>
    <row r="641" spans="1:61" s="24" customFormat="1" ht="18" customHeight="1">
      <c r="A641" s="32">
        <f>A636+1</f>
        <v>579</v>
      </c>
      <c r="B641" s="56" t="s">
        <v>1272</v>
      </c>
      <c r="C641" s="93" t="s">
        <v>1260</v>
      </c>
      <c r="D641" s="35">
        <f t="shared" si="67"/>
        <v>0.5</v>
      </c>
      <c r="E641" s="35"/>
      <c r="F641" s="35">
        <f t="shared" si="68"/>
        <v>0.5</v>
      </c>
      <c r="G641" s="109"/>
      <c r="H641" s="109"/>
      <c r="I641" s="109"/>
      <c r="J641" s="109"/>
      <c r="K641" s="109"/>
      <c r="L641" s="109"/>
      <c r="M641" s="109">
        <v>0.5</v>
      </c>
      <c r="N641" s="109"/>
      <c r="O641" s="109"/>
      <c r="P641" s="109"/>
      <c r="Q641" s="109"/>
      <c r="R641" s="109"/>
      <c r="S641" s="109"/>
      <c r="T641" s="109"/>
      <c r="U641" s="109"/>
      <c r="V641" s="109"/>
      <c r="W641" s="109"/>
      <c r="X641" s="109"/>
      <c r="Y641" s="109"/>
      <c r="Z641" s="109"/>
      <c r="AA641" s="109"/>
      <c r="AB641" s="109"/>
      <c r="AC641" s="109"/>
      <c r="AD641" s="109"/>
      <c r="AE641" s="109"/>
      <c r="AF641" s="109"/>
      <c r="AG641" s="109"/>
      <c r="AH641" s="109"/>
      <c r="AI641" s="109"/>
      <c r="AJ641" s="109"/>
      <c r="AK641" s="109"/>
      <c r="AL641" s="109"/>
      <c r="AM641" s="109"/>
      <c r="AN641" s="109"/>
      <c r="AO641" s="109"/>
      <c r="AP641" s="109"/>
      <c r="AQ641" s="109"/>
      <c r="AR641" s="109"/>
      <c r="AS641" s="109"/>
      <c r="AT641" s="109"/>
      <c r="AU641" s="109"/>
      <c r="AV641" s="109"/>
      <c r="AW641" s="109"/>
      <c r="AX641" s="109"/>
      <c r="AY641" s="148" t="s">
        <v>222</v>
      </c>
      <c r="AZ641" s="34" t="s">
        <v>1293</v>
      </c>
      <c r="BA641" s="39" t="s">
        <v>291</v>
      </c>
      <c r="BB641" s="39"/>
      <c r="BC641" s="56" t="s">
        <v>1294</v>
      </c>
      <c r="BI641" s="42">
        <v>1</v>
      </c>
    </row>
    <row r="642" spans="1:61" s="24" customFormat="1" ht="18" hidden="1" customHeight="1">
      <c r="A642" s="32"/>
      <c r="B642" s="56"/>
      <c r="C642" s="93" t="s">
        <v>59</v>
      </c>
      <c r="D642" s="35">
        <f t="shared" si="67"/>
        <v>0.18</v>
      </c>
      <c r="E642" s="35"/>
      <c r="F642" s="35">
        <f t="shared" si="68"/>
        <v>0.18</v>
      </c>
      <c r="G642" s="109"/>
      <c r="H642" s="109"/>
      <c r="I642" s="109"/>
      <c r="J642" s="109"/>
      <c r="K642" s="109"/>
      <c r="L642" s="109"/>
      <c r="M642" s="109">
        <v>0.18</v>
      </c>
      <c r="N642" s="109"/>
      <c r="O642" s="109"/>
      <c r="P642" s="109"/>
      <c r="Q642" s="109"/>
      <c r="R642" s="109"/>
      <c r="S642" s="109"/>
      <c r="T642" s="109"/>
      <c r="U642" s="109"/>
      <c r="V642" s="109"/>
      <c r="W642" s="109"/>
      <c r="X642" s="109"/>
      <c r="Y642" s="109"/>
      <c r="Z642" s="109"/>
      <c r="AA642" s="109"/>
      <c r="AB642" s="109"/>
      <c r="AC642" s="109"/>
      <c r="AD642" s="109"/>
      <c r="AE642" s="109"/>
      <c r="AF642" s="109"/>
      <c r="AG642" s="109"/>
      <c r="AH642" s="109"/>
      <c r="AI642" s="109"/>
      <c r="AJ642" s="109"/>
      <c r="AK642" s="109"/>
      <c r="AL642" s="109"/>
      <c r="AM642" s="109"/>
      <c r="AN642" s="109"/>
      <c r="AO642" s="109"/>
      <c r="AP642" s="109"/>
      <c r="AQ642" s="109"/>
      <c r="AR642" s="109"/>
      <c r="AS642" s="109"/>
      <c r="AT642" s="109"/>
      <c r="AU642" s="109"/>
      <c r="AV642" s="109"/>
      <c r="AW642" s="109"/>
      <c r="AX642" s="109"/>
      <c r="AY642" s="148" t="s">
        <v>222</v>
      </c>
      <c r="AZ642" s="34"/>
      <c r="BA642" s="39"/>
      <c r="BB642" s="39"/>
      <c r="BC642" s="56"/>
      <c r="BI642" s="42"/>
    </row>
    <row r="643" spans="1:61" s="24" customFormat="1" ht="18" hidden="1" customHeight="1">
      <c r="A643" s="32"/>
      <c r="B643" s="56"/>
      <c r="C643" s="93" t="s">
        <v>44</v>
      </c>
      <c r="D643" s="35">
        <f t="shared" si="67"/>
        <v>0.2</v>
      </c>
      <c r="E643" s="35"/>
      <c r="F643" s="35">
        <f t="shared" si="68"/>
        <v>0.2</v>
      </c>
      <c r="G643" s="109"/>
      <c r="H643" s="109"/>
      <c r="I643" s="109"/>
      <c r="J643" s="109"/>
      <c r="K643" s="109"/>
      <c r="L643" s="109"/>
      <c r="M643" s="109">
        <v>0.2</v>
      </c>
      <c r="N643" s="109"/>
      <c r="O643" s="109"/>
      <c r="P643" s="109"/>
      <c r="Q643" s="109"/>
      <c r="R643" s="109"/>
      <c r="S643" s="109"/>
      <c r="T643" s="109"/>
      <c r="U643" s="109"/>
      <c r="V643" s="109"/>
      <c r="W643" s="109"/>
      <c r="X643" s="109"/>
      <c r="Y643" s="109"/>
      <c r="Z643" s="109"/>
      <c r="AA643" s="109"/>
      <c r="AB643" s="109"/>
      <c r="AC643" s="109"/>
      <c r="AD643" s="109"/>
      <c r="AE643" s="109"/>
      <c r="AF643" s="109"/>
      <c r="AG643" s="109"/>
      <c r="AH643" s="109"/>
      <c r="AI643" s="109"/>
      <c r="AJ643" s="109"/>
      <c r="AK643" s="109"/>
      <c r="AL643" s="109"/>
      <c r="AM643" s="109"/>
      <c r="AN643" s="109"/>
      <c r="AO643" s="109"/>
      <c r="AP643" s="109"/>
      <c r="AQ643" s="109"/>
      <c r="AR643" s="109"/>
      <c r="AS643" s="109"/>
      <c r="AT643" s="109"/>
      <c r="AU643" s="109"/>
      <c r="AV643" s="109"/>
      <c r="AW643" s="109"/>
      <c r="AX643" s="109"/>
      <c r="AY643" s="148" t="s">
        <v>222</v>
      </c>
      <c r="AZ643" s="34"/>
      <c r="BA643" s="39"/>
      <c r="BB643" s="39"/>
      <c r="BC643" s="56"/>
      <c r="BI643" s="42"/>
    </row>
    <row r="644" spans="1:61" s="24" customFormat="1" ht="18" hidden="1" customHeight="1">
      <c r="A644" s="32"/>
      <c r="B644" s="56"/>
      <c r="C644" s="93" t="s">
        <v>138</v>
      </c>
      <c r="D644" s="35">
        <f t="shared" si="67"/>
        <v>0.12</v>
      </c>
      <c r="E644" s="35"/>
      <c r="F644" s="35">
        <f t="shared" si="68"/>
        <v>0.12</v>
      </c>
      <c r="G644" s="147">
        <f>G641-G642-G643</f>
        <v>0</v>
      </c>
      <c r="H644" s="147">
        <f t="shared" ref="H644:AX644" si="78">H641-H642-H643</f>
        <v>0</v>
      </c>
      <c r="I644" s="147">
        <f t="shared" si="78"/>
        <v>0</v>
      </c>
      <c r="J644" s="147">
        <f t="shared" si="78"/>
        <v>0</v>
      </c>
      <c r="K644" s="147">
        <f t="shared" si="78"/>
        <v>0</v>
      </c>
      <c r="L644" s="147">
        <f t="shared" si="78"/>
        <v>0</v>
      </c>
      <c r="M644" s="147">
        <f t="shared" si="78"/>
        <v>0.12</v>
      </c>
      <c r="N644" s="147">
        <f t="shared" si="78"/>
        <v>0</v>
      </c>
      <c r="O644" s="147">
        <f t="shared" si="78"/>
        <v>0</v>
      </c>
      <c r="P644" s="147">
        <f t="shared" si="78"/>
        <v>0</v>
      </c>
      <c r="Q644" s="147">
        <f t="shared" si="78"/>
        <v>0</v>
      </c>
      <c r="R644" s="147">
        <f t="shared" si="78"/>
        <v>0</v>
      </c>
      <c r="S644" s="147">
        <f t="shared" si="78"/>
        <v>0</v>
      </c>
      <c r="T644" s="147">
        <f t="shared" si="78"/>
        <v>0</v>
      </c>
      <c r="U644" s="147">
        <f t="shared" si="78"/>
        <v>0</v>
      </c>
      <c r="V644" s="147">
        <f t="shared" si="78"/>
        <v>0</v>
      </c>
      <c r="W644" s="147">
        <f t="shared" si="78"/>
        <v>0</v>
      </c>
      <c r="X644" s="147">
        <f t="shared" si="78"/>
        <v>0</v>
      </c>
      <c r="Y644" s="147">
        <f t="shared" si="78"/>
        <v>0</v>
      </c>
      <c r="Z644" s="147">
        <f t="shared" si="78"/>
        <v>0</v>
      </c>
      <c r="AA644" s="147">
        <f t="shared" si="78"/>
        <v>0</v>
      </c>
      <c r="AB644" s="147">
        <f t="shared" si="78"/>
        <v>0</v>
      </c>
      <c r="AC644" s="147">
        <f t="shared" si="78"/>
        <v>0</v>
      </c>
      <c r="AD644" s="147">
        <f t="shared" si="78"/>
        <v>0</v>
      </c>
      <c r="AE644" s="147">
        <f t="shared" si="78"/>
        <v>0</v>
      </c>
      <c r="AF644" s="147">
        <f t="shared" si="78"/>
        <v>0</v>
      </c>
      <c r="AG644" s="147">
        <f t="shared" si="78"/>
        <v>0</v>
      </c>
      <c r="AH644" s="147">
        <f t="shared" si="78"/>
        <v>0</v>
      </c>
      <c r="AI644" s="147">
        <f t="shared" si="78"/>
        <v>0</v>
      </c>
      <c r="AJ644" s="147">
        <f t="shared" si="78"/>
        <v>0</v>
      </c>
      <c r="AK644" s="147">
        <f t="shared" si="78"/>
        <v>0</v>
      </c>
      <c r="AL644" s="147">
        <f t="shared" si="78"/>
        <v>0</v>
      </c>
      <c r="AM644" s="147">
        <f t="shared" si="78"/>
        <v>0</v>
      </c>
      <c r="AN644" s="147">
        <f t="shared" si="78"/>
        <v>0</v>
      </c>
      <c r="AO644" s="147">
        <f t="shared" si="78"/>
        <v>0</v>
      </c>
      <c r="AP644" s="147">
        <f t="shared" si="78"/>
        <v>0</v>
      </c>
      <c r="AQ644" s="147">
        <f t="shared" si="78"/>
        <v>0</v>
      </c>
      <c r="AR644" s="147">
        <f t="shared" si="78"/>
        <v>0</v>
      </c>
      <c r="AS644" s="147">
        <f t="shared" si="78"/>
        <v>0</v>
      </c>
      <c r="AT644" s="147">
        <f t="shared" si="78"/>
        <v>0</v>
      </c>
      <c r="AU644" s="147">
        <f t="shared" si="78"/>
        <v>0</v>
      </c>
      <c r="AV644" s="147">
        <f t="shared" si="78"/>
        <v>0</v>
      </c>
      <c r="AW644" s="147">
        <f t="shared" si="78"/>
        <v>0</v>
      </c>
      <c r="AX644" s="147">
        <f t="shared" si="78"/>
        <v>0</v>
      </c>
      <c r="AY644" s="148" t="s">
        <v>222</v>
      </c>
      <c r="AZ644" s="34"/>
      <c r="BA644" s="39"/>
      <c r="BB644" s="39"/>
      <c r="BC644" s="56"/>
      <c r="BI644" s="42"/>
    </row>
    <row r="645" spans="1:61" s="24" customFormat="1" ht="18" customHeight="1">
      <c r="A645" s="32">
        <f>A641+1</f>
        <v>580</v>
      </c>
      <c r="B645" s="56" t="s">
        <v>186</v>
      </c>
      <c r="C645" s="93" t="s">
        <v>1260</v>
      </c>
      <c r="D645" s="35">
        <f t="shared" si="67"/>
        <v>0.4</v>
      </c>
      <c r="E645" s="35"/>
      <c r="F645" s="35">
        <f t="shared" si="68"/>
        <v>0.4</v>
      </c>
      <c r="G645" s="109"/>
      <c r="H645" s="109"/>
      <c r="I645" s="109"/>
      <c r="J645" s="109"/>
      <c r="K645" s="109"/>
      <c r="L645" s="109"/>
      <c r="M645" s="109">
        <v>0.4</v>
      </c>
      <c r="N645" s="109"/>
      <c r="O645" s="109"/>
      <c r="P645" s="109"/>
      <c r="Q645" s="109"/>
      <c r="R645" s="109"/>
      <c r="S645" s="109"/>
      <c r="T645" s="109"/>
      <c r="U645" s="109"/>
      <c r="V645" s="109"/>
      <c r="W645" s="109"/>
      <c r="X645" s="109"/>
      <c r="Y645" s="109"/>
      <c r="Z645" s="109"/>
      <c r="AA645" s="109"/>
      <c r="AB645" s="109"/>
      <c r="AC645" s="109"/>
      <c r="AD645" s="109"/>
      <c r="AE645" s="109"/>
      <c r="AF645" s="109"/>
      <c r="AG645" s="109"/>
      <c r="AH645" s="109"/>
      <c r="AI645" s="109"/>
      <c r="AJ645" s="109"/>
      <c r="AK645" s="109"/>
      <c r="AL645" s="109"/>
      <c r="AM645" s="109"/>
      <c r="AN645" s="109"/>
      <c r="AO645" s="109"/>
      <c r="AP645" s="109"/>
      <c r="AQ645" s="109"/>
      <c r="AR645" s="109"/>
      <c r="AS645" s="109"/>
      <c r="AT645" s="109"/>
      <c r="AU645" s="109"/>
      <c r="AV645" s="109"/>
      <c r="AW645" s="109"/>
      <c r="AX645" s="109"/>
      <c r="AY645" s="148" t="s">
        <v>222</v>
      </c>
      <c r="AZ645" s="34" t="s">
        <v>1295</v>
      </c>
      <c r="BA645" s="39" t="s">
        <v>291</v>
      </c>
      <c r="BB645" s="39"/>
      <c r="BC645" s="56" t="s">
        <v>1296</v>
      </c>
      <c r="BI645" s="42">
        <v>1</v>
      </c>
    </row>
    <row r="646" spans="1:61" s="24" customFormat="1" ht="18" hidden="1" customHeight="1">
      <c r="A646" s="32"/>
      <c r="B646" s="56"/>
      <c r="C646" s="93" t="s">
        <v>59</v>
      </c>
      <c r="D646" s="35">
        <f t="shared" si="67"/>
        <v>0.14000000000000001</v>
      </c>
      <c r="E646" s="35"/>
      <c r="F646" s="35">
        <f t="shared" si="68"/>
        <v>0.14000000000000001</v>
      </c>
      <c r="G646" s="109"/>
      <c r="H646" s="109"/>
      <c r="I646" s="109"/>
      <c r="J646" s="109"/>
      <c r="K646" s="109"/>
      <c r="L646" s="109"/>
      <c r="M646" s="109">
        <v>0.14000000000000001</v>
      </c>
      <c r="N646" s="109"/>
      <c r="O646" s="109"/>
      <c r="P646" s="109"/>
      <c r="Q646" s="109"/>
      <c r="R646" s="109"/>
      <c r="S646" s="109"/>
      <c r="T646" s="109"/>
      <c r="U646" s="109"/>
      <c r="V646" s="109"/>
      <c r="W646" s="109"/>
      <c r="X646" s="109"/>
      <c r="Y646" s="109"/>
      <c r="Z646" s="109"/>
      <c r="AA646" s="109"/>
      <c r="AB646" s="109"/>
      <c r="AC646" s="109"/>
      <c r="AD646" s="109"/>
      <c r="AE646" s="109"/>
      <c r="AF646" s="109"/>
      <c r="AG646" s="109"/>
      <c r="AH646" s="109"/>
      <c r="AI646" s="109"/>
      <c r="AJ646" s="109"/>
      <c r="AK646" s="109"/>
      <c r="AL646" s="109"/>
      <c r="AM646" s="109"/>
      <c r="AN646" s="109"/>
      <c r="AO646" s="109"/>
      <c r="AP646" s="109"/>
      <c r="AQ646" s="109"/>
      <c r="AR646" s="109"/>
      <c r="AS646" s="109"/>
      <c r="AT646" s="109"/>
      <c r="AU646" s="109"/>
      <c r="AV646" s="109"/>
      <c r="AW646" s="109"/>
      <c r="AX646" s="109"/>
      <c r="AY646" s="148" t="s">
        <v>222</v>
      </c>
      <c r="AZ646" s="34"/>
      <c r="BA646" s="39"/>
      <c r="BB646" s="39"/>
      <c r="BC646" s="56"/>
      <c r="BI646" s="42"/>
    </row>
    <row r="647" spans="1:61" s="24" customFormat="1" ht="18" hidden="1" customHeight="1">
      <c r="A647" s="32"/>
      <c r="B647" s="56"/>
      <c r="C647" s="93" t="s">
        <v>44</v>
      </c>
      <c r="D647" s="35">
        <f t="shared" si="67"/>
        <v>0.16</v>
      </c>
      <c r="E647" s="35"/>
      <c r="F647" s="35">
        <f t="shared" si="68"/>
        <v>0.16</v>
      </c>
      <c r="G647" s="109"/>
      <c r="H647" s="109"/>
      <c r="I647" s="109"/>
      <c r="J647" s="109"/>
      <c r="K647" s="109"/>
      <c r="L647" s="109"/>
      <c r="M647" s="109">
        <v>0.16</v>
      </c>
      <c r="N647" s="109"/>
      <c r="O647" s="109"/>
      <c r="P647" s="109"/>
      <c r="Q647" s="109"/>
      <c r="R647" s="109"/>
      <c r="S647" s="109"/>
      <c r="T647" s="109"/>
      <c r="U647" s="109"/>
      <c r="V647" s="109"/>
      <c r="W647" s="109"/>
      <c r="X647" s="109"/>
      <c r="Y647" s="109"/>
      <c r="Z647" s="109"/>
      <c r="AA647" s="109"/>
      <c r="AB647" s="109"/>
      <c r="AC647" s="109"/>
      <c r="AD647" s="109"/>
      <c r="AE647" s="109"/>
      <c r="AF647" s="109"/>
      <c r="AG647" s="109"/>
      <c r="AH647" s="109"/>
      <c r="AI647" s="109"/>
      <c r="AJ647" s="109"/>
      <c r="AK647" s="109"/>
      <c r="AL647" s="109"/>
      <c r="AM647" s="109"/>
      <c r="AN647" s="109"/>
      <c r="AO647" s="109"/>
      <c r="AP647" s="109"/>
      <c r="AQ647" s="109"/>
      <c r="AR647" s="109"/>
      <c r="AS647" s="109"/>
      <c r="AT647" s="109"/>
      <c r="AU647" s="109"/>
      <c r="AV647" s="109"/>
      <c r="AW647" s="109"/>
      <c r="AX647" s="109"/>
      <c r="AY647" s="148" t="s">
        <v>222</v>
      </c>
      <c r="AZ647" s="34"/>
      <c r="BA647" s="39"/>
      <c r="BB647" s="39"/>
      <c r="BC647" s="56"/>
      <c r="BI647" s="42"/>
    </row>
    <row r="648" spans="1:61" s="24" customFormat="1" ht="18" hidden="1" customHeight="1">
      <c r="A648" s="32"/>
      <c r="B648" s="56"/>
      <c r="C648" s="93" t="s">
        <v>138</v>
      </c>
      <c r="D648" s="35">
        <f t="shared" si="67"/>
        <v>0.1</v>
      </c>
      <c r="E648" s="35"/>
      <c r="F648" s="35">
        <f t="shared" si="68"/>
        <v>0.1</v>
      </c>
      <c r="G648" s="147">
        <f>G645-G646-G647</f>
        <v>0</v>
      </c>
      <c r="H648" s="147">
        <f t="shared" ref="H648:AX648" si="79">H645-H646-H647</f>
        <v>0</v>
      </c>
      <c r="I648" s="147">
        <f t="shared" si="79"/>
        <v>0</v>
      </c>
      <c r="J648" s="147">
        <f t="shared" si="79"/>
        <v>0</v>
      </c>
      <c r="K648" s="147">
        <f t="shared" si="79"/>
        <v>0</v>
      </c>
      <c r="L648" s="147">
        <f t="shared" si="79"/>
        <v>0</v>
      </c>
      <c r="M648" s="147">
        <f t="shared" si="79"/>
        <v>0.1</v>
      </c>
      <c r="N648" s="147">
        <f t="shared" si="79"/>
        <v>0</v>
      </c>
      <c r="O648" s="147">
        <f t="shared" si="79"/>
        <v>0</v>
      </c>
      <c r="P648" s="147">
        <f t="shared" si="79"/>
        <v>0</v>
      </c>
      <c r="Q648" s="147">
        <f t="shared" si="79"/>
        <v>0</v>
      </c>
      <c r="R648" s="147">
        <f t="shared" si="79"/>
        <v>0</v>
      </c>
      <c r="S648" s="147">
        <f t="shared" si="79"/>
        <v>0</v>
      </c>
      <c r="T648" s="147">
        <f t="shared" si="79"/>
        <v>0</v>
      </c>
      <c r="U648" s="147">
        <f t="shared" si="79"/>
        <v>0</v>
      </c>
      <c r="V648" s="147">
        <f t="shared" si="79"/>
        <v>0</v>
      </c>
      <c r="W648" s="147">
        <f t="shared" si="79"/>
        <v>0</v>
      </c>
      <c r="X648" s="147">
        <f t="shared" si="79"/>
        <v>0</v>
      </c>
      <c r="Y648" s="147">
        <f t="shared" si="79"/>
        <v>0</v>
      </c>
      <c r="Z648" s="147">
        <f t="shared" si="79"/>
        <v>0</v>
      </c>
      <c r="AA648" s="147">
        <f t="shared" si="79"/>
        <v>0</v>
      </c>
      <c r="AB648" s="147">
        <f t="shared" si="79"/>
        <v>0</v>
      </c>
      <c r="AC648" s="147">
        <f t="shared" si="79"/>
        <v>0</v>
      </c>
      <c r="AD648" s="147">
        <f t="shared" si="79"/>
        <v>0</v>
      </c>
      <c r="AE648" s="147">
        <f t="shared" si="79"/>
        <v>0</v>
      </c>
      <c r="AF648" s="147">
        <f t="shared" si="79"/>
        <v>0</v>
      </c>
      <c r="AG648" s="147">
        <f t="shared" si="79"/>
        <v>0</v>
      </c>
      <c r="AH648" s="147">
        <f t="shared" si="79"/>
        <v>0</v>
      </c>
      <c r="AI648" s="147">
        <f t="shared" si="79"/>
        <v>0</v>
      </c>
      <c r="AJ648" s="147">
        <f t="shared" si="79"/>
        <v>0</v>
      </c>
      <c r="AK648" s="147">
        <f t="shared" si="79"/>
        <v>0</v>
      </c>
      <c r="AL648" s="147">
        <f t="shared" si="79"/>
        <v>0</v>
      </c>
      <c r="AM648" s="147">
        <f t="shared" si="79"/>
        <v>0</v>
      </c>
      <c r="AN648" s="147">
        <f t="shared" si="79"/>
        <v>0</v>
      </c>
      <c r="AO648" s="147">
        <f t="shared" si="79"/>
        <v>0</v>
      </c>
      <c r="AP648" s="147">
        <f t="shared" si="79"/>
        <v>0</v>
      </c>
      <c r="AQ648" s="147">
        <f t="shared" si="79"/>
        <v>0</v>
      </c>
      <c r="AR648" s="147">
        <f t="shared" si="79"/>
        <v>0</v>
      </c>
      <c r="AS648" s="147">
        <f t="shared" si="79"/>
        <v>0</v>
      </c>
      <c r="AT648" s="147">
        <f t="shared" si="79"/>
        <v>0</v>
      </c>
      <c r="AU648" s="147">
        <f t="shared" si="79"/>
        <v>0</v>
      </c>
      <c r="AV648" s="147">
        <f t="shared" si="79"/>
        <v>0</v>
      </c>
      <c r="AW648" s="147">
        <f t="shared" si="79"/>
        <v>0</v>
      </c>
      <c r="AX648" s="147">
        <f t="shared" si="79"/>
        <v>0</v>
      </c>
      <c r="AY648" s="148" t="s">
        <v>222</v>
      </c>
      <c r="AZ648" s="34"/>
      <c r="BA648" s="39"/>
      <c r="BB648" s="39"/>
      <c r="BC648" s="56"/>
      <c r="BI648" s="42"/>
    </row>
    <row r="649" spans="1:61" s="24" customFormat="1" ht="18" customHeight="1">
      <c r="A649" s="32">
        <f>A645+1</f>
        <v>581</v>
      </c>
      <c r="B649" s="56" t="s">
        <v>186</v>
      </c>
      <c r="C649" s="93" t="s">
        <v>1260</v>
      </c>
      <c r="D649" s="35">
        <f t="shared" si="67"/>
        <v>0.4</v>
      </c>
      <c r="E649" s="35"/>
      <c r="F649" s="35">
        <f t="shared" si="68"/>
        <v>0.4</v>
      </c>
      <c r="G649" s="109">
        <v>0.4</v>
      </c>
      <c r="H649" s="109"/>
      <c r="I649" s="109"/>
      <c r="J649" s="109"/>
      <c r="K649" s="109"/>
      <c r="L649" s="109"/>
      <c r="M649" s="109"/>
      <c r="N649" s="109"/>
      <c r="O649" s="109"/>
      <c r="P649" s="109"/>
      <c r="Q649" s="109"/>
      <c r="R649" s="109"/>
      <c r="S649" s="109"/>
      <c r="T649" s="109"/>
      <c r="U649" s="109"/>
      <c r="V649" s="109"/>
      <c r="W649" s="109"/>
      <c r="X649" s="109"/>
      <c r="Y649" s="109"/>
      <c r="Z649" s="109"/>
      <c r="AA649" s="109"/>
      <c r="AB649" s="109"/>
      <c r="AC649" s="109"/>
      <c r="AD649" s="109"/>
      <c r="AE649" s="109"/>
      <c r="AF649" s="109"/>
      <c r="AG649" s="109"/>
      <c r="AH649" s="109"/>
      <c r="AI649" s="109"/>
      <c r="AJ649" s="109"/>
      <c r="AK649" s="109"/>
      <c r="AL649" s="109"/>
      <c r="AM649" s="109"/>
      <c r="AN649" s="109"/>
      <c r="AO649" s="109"/>
      <c r="AP649" s="109"/>
      <c r="AQ649" s="109"/>
      <c r="AR649" s="109"/>
      <c r="AS649" s="109"/>
      <c r="AT649" s="109"/>
      <c r="AU649" s="109"/>
      <c r="AV649" s="109"/>
      <c r="AW649" s="109"/>
      <c r="AX649" s="109"/>
      <c r="AY649" s="148" t="s">
        <v>222</v>
      </c>
      <c r="AZ649" s="34" t="s">
        <v>1297</v>
      </c>
      <c r="BA649" s="47" t="s">
        <v>298</v>
      </c>
      <c r="BB649" s="47"/>
      <c r="BC649" s="56" t="s">
        <v>1298</v>
      </c>
      <c r="BI649" s="42">
        <v>1</v>
      </c>
    </row>
    <row r="650" spans="1:61" s="24" customFormat="1" ht="18" hidden="1" customHeight="1">
      <c r="A650" s="32"/>
      <c r="B650" s="56"/>
      <c r="C650" s="93" t="s">
        <v>59</v>
      </c>
      <c r="D650" s="35">
        <f t="shared" si="67"/>
        <v>0.14000000000000001</v>
      </c>
      <c r="E650" s="35"/>
      <c r="F650" s="35">
        <f t="shared" si="68"/>
        <v>0.14000000000000001</v>
      </c>
      <c r="G650" s="109">
        <v>0.14000000000000001</v>
      </c>
      <c r="H650" s="109"/>
      <c r="I650" s="109"/>
      <c r="J650" s="109"/>
      <c r="K650" s="109"/>
      <c r="L650" s="109"/>
      <c r="M650" s="109"/>
      <c r="N650" s="109"/>
      <c r="O650" s="109"/>
      <c r="P650" s="109"/>
      <c r="Q650" s="109"/>
      <c r="R650" s="109"/>
      <c r="S650" s="109"/>
      <c r="T650" s="109"/>
      <c r="U650" s="109"/>
      <c r="V650" s="109"/>
      <c r="W650" s="109"/>
      <c r="X650" s="109"/>
      <c r="Y650" s="109"/>
      <c r="Z650" s="109"/>
      <c r="AA650" s="109"/>
      <c r="AB650" s="109"/>
      <c r="AC650" s="109"/>
      <c r="AD650" s="109"/>
      <c r="AE650" s="109"/>
      <c r="AF650" s="109"/>
      <c r="AG650" s="109"/>
      <c r="AH650" s="109"/>
      <c r="AI650" s="109"/>
      <c r="AJ650" s="109"/>
      <c r="AK650" s="109"/>
      <c r="AL650" s="109"/>
      <c r="AM650" s="109"/>
      <c r="AN650" s="109"/>
      <c r="AO650" s="109"/>
      <c r="AP650" s="109"/>
      <c r="AQ650" s="109"/>
      <c r="AR650" s="109"/>
      <c r="AS650" s="109"/>
      <c r="AT650" s="109"/>
      <c r="AU650" s="109"/>
      <c r="AV650" s="109"/>
      <c r="AW650" s="109"/>
      <c r="AX650" s="109"/>
      <c r="AY650" s="148" t="s">
        <v>222</v>
      </c>
      <c r="AZ650" s="34"/>
      <c r="BA650" s="47"/>
      <c r="BB650" s="48"/>
      <c r="BC650" s="87"/>
      <c r="BI650" s="42"/>
    </row>
    <row r="651" spans="1:61" s="24" customFormat="1" ht="18" hidden="1" customHeight="1">
      <c r="A651" s="32"/>
      <c r="B651" s="56"/>
      <c r="C651" s="93" t="s">
        <v>44</v>
      </c>
      <c r="D651" s="35">
        <f t="shared" si="67"/>
        <v>0.16</v>
      </c>
      <c r="E651" s="35"/>
      <c r="F651" s="35">
        <f t="shared" si="68"/>
        <v>0.16</v>
      </c>
      <c r="G651" s="109">
        <v>0.16</v>
      </c>
      <c r="H651" s="109"/>
      <c r="I651" s="109"/>
      <c r="J651" s="109"/>
      <c r="K651" s="109"/>
      <c r="L651" s="109"/>
      <c r="M651" s="109"/>
      <c r="N651" s="109"/>
      <c r="O651" s="109"/>
      <c r="P651" s="109"/>
      <c r="Q651" s="109"/>
      <c r="R651" s="109"/>
      <c r="S651" s="109"/>
      <c r="T651" s="109"/>
      <c r="U651" s="109"/>
      <c r="V651" s="109"/>
      <c r="W651" s="109"/>
      <c r="X651" s="109"/>
      <c r="Y651" s="109"/>
      <c r="Z651" s="109"/>
      <c r="AA651" s="109"/>
      <c r="AB651" s="109"/>
      <c r="AC651" s="109"/>
      <c r="AD651" s="109"/>
      <c r="AE651" s="109"/>
      <c r="AF651" s="109"/>
      <c r="AG651" s="109"/>
      <c r="AH651" s="109"/>
      <c r="AI651" s="109"/>
      <c r="AJ651" s="109"/>
      <c r="AK651" s="109"/>
      <c r="AL651" s="109"/>
      <c r="AM651" s="109"/>
      <c r="AN651" s="109"/>
      <c r="AO651" s="109"/>
      <c r="AP651" s="109"/>
      <c r="AQ651" s="109"/>
      <c r="AR651" s="109"/>
      <c r="AS651" s="109"/>
      <c r="AT651" s="109"/>
      <c r="AU651" s="109"/>
      <c r="AV651" s="109"/>
      <c r="AW651" s="109"/>
      <c r="AX651" s="109"/>
      <c r="AY651" s="148" t="s">
        <v>222</v>
      </c>
      <c r="AZ651" s="34"/>
      <c r="BA651" s="47"/>
      <c r="BB651" s="48"/>
      <c r="BC651" s="87"/>
      <c r="BI651" s="42"/>
    </row>
    <row r="652" spans="1:61" s="24" customFormat="1" ht="18" hidden="1" customHeight="1">
      <c r="A652" s="32"/>
      <c r="B652" s="56"/>
      <c r="C652" s="93" t="s">
        <v>138</v>
      </c>
      <c r="D652" s="35">
        <f t="shared" si="67"/>
        <v>0.1</v>
      </c>
      <c r="E652" s="35"/>
      <c r="F652" s="35">
        <f t="shared" si="68"/>
        <v>0.1</v>
      </c>
      <c r="G652" s="147">
        <f>G649-G650-G651</f>
        <v>0.1</v>
      </c>
      <c r="H652" s="147">
        <f t="shared" ref="H652:AX652" si="80">H649-H650-H651</f>
        <v>0</v>
      </c>
      <c r="I652" s="147">
        <f t="shared" si="80"/>
        <v>0</v>
      </c>
      <c r="J652" s="147">
        <f t="shared" si="80"/>
        <v>0</v>
      </c>
      <c r="K652" s="147">
        <f t="shared" si="80"/>
        <v>0</v>
      </c>
      <c r="L652" s="147">
        <f t="shared" si="80"/>
        <v>0</v>
      </c>
      <c r="M652" s="147">
        <f t="shared" si="80"/>
        <v>0</v>
      </c>
      <c r="N652" s="147">
        <f t="shared" si="80"/>
        <v>0</v>
      </c>
      <c r="O652" s="147">
        <f t="shared" si="80"/>
        <v>0</v>
      </c>
      <c r="P652" s="147">
        <f t="shared" si="80"/>
        <v>0</v>
      </c>
      <c r="Q652" s="147">
        <f t="shared" si="80"/>
        <v>0</v>
      </c>
      <c r="R652" s="147">
        <f t="shared" si="80"/>
        <v>0</v>
      </c>
      <c r="S652" s="147">
        <f t="shared" si="80"/>
        <v>0</v>
      </c>
      <c r="T652" s="147">
        <f t="shared" si="80"/>
        <v>0</v>
      </c>
      <c r="U652" s="147">
        <f t="shared" si="80"/>
        <v>0</v>
      </c>
      <c r="V652" s="147">
        <f t="shared" si="80"/>
        <v>0</v>
      </c>
      <c r="W652" s="147">
        <f t="shared" si="80"/>
        <v>0</v>
      </c>
      <c r="X652" s="147">
        <f t="shared" si="80"/>
        <v>0</v>
      </c>
      <c r="Y652" s="147">
        <f t="shared" si="80"/>
        <v>0</v>
      </c>
      <c r="Z652" s="147">
        <f t="shared" si="80"/>
        <v>0</v>
      </c>
      <c r="AA652" s="147">
        <f t="shared" si="80"/>
        <v>0</v>
      </c>
      <c r="AB652" s="147">
        <f t="shared" si="80"/>
        <v>0</v>
      </c>
      <c r="AC652" s="147">
        <f t="shared" si="80"/>
        <v>0</v>
      </c>
      <c r="AD652" s="147">
        <f t="shared" si="80"/>
        <v>0</v>
      </c>
      <c r="AE652" s="147">
        <f t="shared" si="80"/>
        <v>0</v>
      </c>
      <c r="AF652" s="147">
        <f t="shared" si="80"/>
        <v>0</v>
      </c>
      <c r="AG652" s="147">
        <f t="shared" si="80"/>
        <v>0</v>
      </c>
      <c r="AH652" s="147">
        <f t="shared" si="80"/>
        <v>0</v>
      </c>
      <c r="AI652" s="147">
        <f t="shared" si="80"/>
        <v>0</v>
      </c>
      <c r="AJ652" s="147">
        <f t="shared" si="80"/>
        <v>0</v>
      </c>
      <c r="AK652" s="147">
        <f t="shared" si="80"/>
        <v>0</v>
      </c>
      <c r="AL652" s="147">
        <f t="shared" si="80"/>
        <v>0</v>
      </c>
      <c r="AM652" s="147">
        <f t="shared" si="80"/>
        <v>0</v>
      </c>
      <c r="AN652" s="147">
        <f t="shared" si="80"/>
        <v>0</v>
      </c>
      <c r="AO652" s="147">
        <f t="shared" si="80"/>
        <v>0</v>
      </c>
      <c r="AP652" s="147">
        <f t="shared" si="80"/>
        <v>0</v>
      </c>
      <c r="AQ652" s="147">
        <f t="shared" si="80"/>
        <v>0</v>
      </c>
      <c r="AR652" s="147">
        <f t="shared" si="80"/>
        <v>0</v>
      </c>
      <c r="AS652" s="147">
        <f t="shared" si="80"/>
        <v>0</v>
      </c>
      <c r="AT652" s="147">
        <f t="shared" si="80"/>
        <v>0</v>
      </c>
      <c r="AU652" s="147">
        <f t="shared" si="80"/>
        <v>0</v>
      </c>
      <c r="AV652" s="147">
        <f t="shared" si="80"/>
        <v>0</v>
      </c>
      <c r="AW652" s="147">
        <f t="shared" si="80"/>
        <v>0</v>
      </c>
      <c r="AX652" s="147">
        <f t="shared" si="80"/>
        <v>0</v>
      </c>
      <c r="AY652" s="148" t="s">
        <v>222</v>
      </c>
      <c r="AZ652" s="34"/>
      <c r="BA652" s="47"/>
      <c r="BB652" s="48"/>
      <c r="BC652" s="87"/>
      <c r="BI652" s="42"/>
    </row>
    <row r="653" spans="1:61" s="24" customFormat="1" ht="18" customHeight="1">
      <c r="A653" s="32">
        <f>A649+1</f>
        <v>582</v>
      </c>
      <c r="B653" s="60" t="s">
        <v>1299</v>
      </c>
      <c r="C653" s="93" t="s">
        <v>59</v>
      </c>
      <c r="D653" s="35">
        <f t="shared" si="67"/>
        <v>0.98</v>
      </c>
      <c r="E653" s="108"/>
      <c r="F653" s="35">
        <f t="shared" si="68"/>
        <v>0.98</v>
      </c>
      <c r="G653" s="109"/>
      <c r="H653" s="109"/>
      <c r="I653" s="109"/>
      <c r="J653" s="109">
        <v>0.98</v>
      </c>
      <c r="K653" s="109"/>
      <c r="L653" s="109"/>
      <c r="M653" s="109"/>
      <c r="N653" s="109"/>
      <c r="O653" s="109"/>
      <c r="P653" s="109"/>
      <c r="Q653" s="109"/>
      <c r="R653" s="109"/>
      <c r="S653" s="109"/>
      <c r="T653" s="109"/>
      <c r="U653" s="109"/>
      <c r="V653" s="109"/>
      <c r="W653" s="109"/>
      <c r="X653" s="109"/>
      <c r="Y653" s="109"/>
      <c r="Z653" s="109"/>
      <c r="AA653" s="109"/>
      <c r="AB653" s="109"/>
      <c r="AC653" s="109"/>
      <c r="AD653" s="109"/>
      <c r="AE653" s="109"/>
      <c r="AF653" s="109"/>
      <c r="AG653" s="109"/>
      <c r="AH653" s="109"/>
      <c r="AI653" s="109"/>
      <c r="AJ653" s="109"/>
      <c r="AK653" s="109"/>
      <c r="AL653" s="109"/>
      <c r="AM653" s="109"/>
      <c r="AN653" s="109"/>
      <c r="AO653" s="109"/>
      <c r="AP653" s="109"/>
      <c r="AQ653" s="109"/>
      <c r="AR653" s="109"/>
      <c r="AS653" s="109"/>
      <c r="AT653" s="109"/>
      <c r="AU653" s="109"/>
      <c r="AV653" s="109"/>
      <c r="AW653" s="109"/>
      <c r="AX653" s="109"/>
      <c r="AY653" s="34" t="s">
        <v>222</v>
      </c>
      <c r="AZ653" s="34" t="s">
        <v>615</v>
      </c>
      <c r="BA653" s="39" t="s">
        <v>291</v>
      </c>
      <c r="BB653" s="40"/>
      <c r="BI653" s="42">
        <v>1</v>
      </c>
    </row>
    <row r="654" spans="1:61" s="24" customFormat="1" ht="18" customHeight="1">
      <c r="A654" s="32" t="s">
        <v>1300</v>
      </c>
      <c r="B654" s="56" t="s">
        <v>186</v>
      </c>
      <c r="C654" s="93" t="s">
        <v>1260</v>
      </c>
      <c r="D654" s="35">
        <f>E654+F654</f>
        <v>10.52</v>
      </c>
      <c r="E654" s="89">
        <f>E655+E660+E664+E665+E669+E673+E677+E681+E682+E683+E684+E689+E693+E697+E701+E705</f>
        <v>0</v>
      </c>
      <c r="F654" s="141">
        <f>F655+F660+F664+F665+F669+F673+F677+F681+F682+F683+F684+F689+F693+F697+F701+F705</f>
        <v>10.52</v>
      </c>
      <c r="G654" s="141">
        <f t="shared" ref="G654:AX654" si="81">G655+G660+G664+G665+G669+G673+G677+G681+G682+G683+G684+G689+G693+G697+G701+G705</f>
        <v>4.3099999999999996</v>
      </c>
      <c r="H654" s="141">
        <f t="shared" si="81"/>
        <v>0.5</v>
      </c>
      <c r="I654" s="141">
        <f t="shared" si="81"/>
        <v>0</v>
      </c>
      <c r="J654" s="141">
        <f t="shared" si="81"/>
        <v>3.79</v>
      </c>
      <c r="K654" s="141">
        <f t="shared" si="81"/>
        <v>0</v>
      </c>
      <c r="L654" s="141">
        <f t="shared" si="81"/>
        <v>0</v>
      </c>
      <c r="M654" s="141">
        <f t="shared" si="81"/>
        <v>1.92</v>
      </c>
      <c r="N654" s="141">
        <f t="shared" si="81"/>
        <v>0</v>
      </c>
      <c r="O654" s="141">
        <f t="shared" si="81"/>
        <v>0</v>
      </c>
      <c r="P654" s="141">
        <f t="shared" si="81"/>
        <v>0</v>
      </c>
      <c r="Q654" s="141">
        <f t="shared" si="81"/>
        <v>0</v>
      </c>
      <c r="R654" s="141">
        <f t="shared" si="81"/>
        <v>0</v>
      </c>
      <c r="S654" s="141">
        <f t="shared" si="81"/>
        <v>0</v>
      </c>
      <c r="T654" s="141">
        <f t="shared" si="81"/>
        <v>0</v>
      </c>
      <c r="U654" s="141">
        <f t="shared" si="81"/>
        <v>0</v>
      </c>
      <c r="V654" s="141">
        <f t="shared" si="81"/>
        <v>0</v>
      </c>
      <c r="W654" s="141">
        <f t="shared" si="81"/>
        <v>0</v>
      </c>
      <c r="X654" s="141">
        <f t="shared" si="81"/>
        <v>0</v>
      </c>
      <c r="Y654" s="141">
        <f t="shared" si="81"/>
        <v>0</v>
      </c>
      <c r="Z654" s="141">
        <f t="shared" si="81"/>
        <v>0</v>
      </c>
      <c r="AA654" s="141">
        <f t="shared" si="81"/>
        <v>0</v>
      </c>
      <c r="AB654" s="141">
        <f t="shared" si="81"/>
        <v>0</v>
      </c>
      <c r="AC654" s="141">
        <f t="shared" si="81"/>
        <v>0</v>
      </c>
      <c r="AD654" s="141">
        <f t="shared" si="81"/>
        <v>0</v>
      </c>
      <c r="AE654" s="141">
        <f t="shared" si="81"/>
        <v>0</v>
      </c>
      <c r="AF654" s="141">
        <f t="shared" si="81"/>
        <v>0</v>
      </c>
      <c r="AG654" s="141">
        <f t="shared" si="81"/>
        <v>0</v>
      </c>
      <c r="AH654" s="141">
        <f t="shared" si="81"/>
        <v>0</v>
      </c>
      <c r="AI654" s="141">
        <f t="shared" si="81"/>
        <v>0</v>
      </c>
      <c r="AJ654" s="141">
        <f t="shared" si="81"/>
        <v>0</v>
      </c>
      <c r="AK654" s="141">
        <f t="shared" si="81"/>
        <v>0</v>
      </c>
      <c r="AL654" s="141">
        <f t="shared" si="81"/>
        <v>0</v>
      </c>
      <c r="AM654" s="141">
        <f t="shared" si="81"/>
        <v>0</v>
      </c>
      <c r="AN654" s="141">
        <f t="shared" si="81"/>
        <v>0</v>
      </c>
      <c r="AO654" s="141">
        <f t="shared" si="81"/>
        <v>0</v>
      </c>
      <c r="AP654" s="141">
        <f t="shared" si="81"/>
        <v>0</v>
      </c>
      <c r="AQ654" s="141">
        <f t="shared" si="81"/>
        <v>0</v>
      </c>
      <c r="AR654" s="141">
        <f t="shared" si="81"/>
        <v>0</v>
      </c>
      <c r="AS654" s="141">
        <f t="shared" si="81"/>
        <v>0</v>
      </c>
      <c r="AT654" s="141">
        <f t="shared" si="81"/>
        <v>0</v>
      </c>
      <c r="AU654" s="141">
        <f t="shared" si="81"/>
        <v>0</v>
      </c>
      <c r="AV654" s="141">
        <f t="shared" si="81"/>
        <v>0</v>
      </c>
      <c r="AW654" s="141">
        <f t="shared" si="81"/>
        <v>0</v>
      </c>
      <c r="AX654" s="141">
        <f t="shared" si="81"/>
        <v>0</v>
      </c>
      <c r="AY654" s="34" t="s">
        <v>223</v>
      </c>
      <c r="AZ654" s="34"/>
      <c r="BA654" s="39"/>
      <c r="BB654" s="40"/>
      <c r="BI654" s="42"/>
    </row>
    <row r="655" spans="1:61" s="24" customFormat="1" ht="18" customHeight="1">
      <c r="A655" s="32">
        <f>A653+1</f>
        <v>583</v>
      </c>
      <c r="B655" s="56" t="s">
        <v>186</v>
      </c>
      <c r="C655" s="93" t="s">
        <v>1260</v>
      </c>
      <c r="D655" s="35">
        <f t="shared" si="67"/>
        <v>1</v>
      </c>
      <c r="E655" s="35"/>
      <c r="F655" s="35">
        <f t="shared" si="68"/>
        <v>1</v>
      </c>
      <c r="G655" s="109">
        <v>0.85</v>
      </c>
      <c r="H655" s="109"/>
      <c r="I655" s="109"/>
      <c r="J655" s="109">
        <v>0.15</v>
      </c>
      <c r="K655" s="109"/>
      <c r="L655" s="109"/>
      <c r="M655" s="109"/>
      <c r="N655" s="109"/>
      <c r="O655" s="109"/>
      <c r="P655" s="109"/>
      <c r="Q655" s="109"/>
      <c r="R655" s="109"/>
      <c r="S655" s="109"/>
      <c r="T655" s="109"/>
      <c r="U655" s="109"/>
      <c r="V655" s="109"/>
      <c r="W655" s="109"/>
      <c r="X655" s="109"/>
      <c r="Y655" s="109"/>
      <c r="Z655" s="109"/>
      <c r="AA655" s="109"/>
      <c r="AB655" s="109"/>
      <c r="AC655" s="109"/>
      <c r="AD655" s="109"/>
      <c r="AE655" s="109"/>
      <c r="AF655" s="109"/>
      <c r="AG655" s="109"/>
      <c r="AH655" s="109"/>
      <c r="AI655" s="109"/>
      <c r="AJ655" s="109"/>
      <c r="AK655" s="109"/>
      <c r="AL655" s="109"/>
      <c r="AM655" s="109"/>
      <c r="AN655" s="109"/>
      <c r="AO655" s="109"/>
      <c r="AP655" s="109"/>
      <c r="AQ655" s="109"/>
      <c r="AR655" s="109"/>
      <c r="AS655" s="109"/>
      <c r="AT655" s="109"/>
      <c r="AU655" s="109"/>
      <c r="AV655" s="109"/>
      <c r="AW655" s="109"/>
      <c r="AX655" s="109"/>
      <c r="AY655" s="34" t="s">
        <v>223</v>
      </c>
      <c r="AZ655" s="47" t="s">
        <v>1301</v>
      </c>
      <c r="BA655" s="63" t="s">
        <v>291</v>
      </c>
      <c r="BB655" s="63"/>
      <c r="BC655" s="149" t="s">
        <v>1302</v>
      </c>
      <c r="BI655" s="42">
        <v>1</v>
      </c>
    </row>
    <row r="656" spans="1:61" s="24" customFormat="1" ht="18" hidden="1" customHeight="1">
      <c r="A656" s="32"/>
      <c r="B656" s="56"/>
      <c r="C656" s="93" t="s">
        <v>59</v>
      </c>
      <c r="D656" s="35">
        <f t="shared" si="67"/>
        <v>0.35</v>
      </c>
      <c r="E656" s="35"/>
      <c r="F656" s="35">
        <f t="shared" si="68"/>
        <v>0.35</v>
      </c>
      <c r="G656" s="109">
        <v>0.35</v>
      </c>
      <c r="H656" s="109"/>
      <c r="I656" s="109"/>
      <c r="J656" s="109"/>
      <c r="K656" s="109"/>
      <c r="L656" s="109"/>
      <c r="M656" s="109"/>
      <c r="N656" s="109"/>
      <c r="O656" s="109"/>
      <c r="P656" s="109"/>
      <c r="Q656" s="109"/>
      <c r="R656" s="109"/>
      <c r="S656" s="109"/>
      <c r="T656" s="109"/>
      <c r="U656" s="109"/>
      <c r="V656" s="109"/>
      <c r="W656" s="109"/>
      <c r="X656" s="109"/>
      <c r="Y656" s="109"/>
      <c r="Z656" s="109"/>
      <c r="AA656" s="109"/>
      <c r="AB656" s="109"/>
      <c r="AC656" s="109"/>
      <c r="AD656" s="109"/>
      <c r="AE656" s="109"/>
      <c r="AF656" s="109"/>
      <c r="AG656" s="109"/>
      <c r="AH656" s="109"/>
      <c r="AI656" s="109"/>
      <c r="AJ656" s="109"/>
      <c r="AK656" s="109"/>
      <c r="AL656" s="109"/>
      <c r="AM656" s="109"/>
      <c r="AN656" s="109"/>
      <c r="AO656" s="109"/>
      <c r="AP656" s="109"/>
      <c r="AQ656" s="109"/>
      <c r="AR656" s="109"/>
      <c r="AS656" s="109"/>
      <c r="AT656" s="109"/>
      <c r="AU656" s="109"/>
      <c r="AV656" s="109"/>
      <c r="AW656" s="109"/>
      <c r="AX656" s="109"/>
      <c r="AY656" s="34" t="s">
        <v>223</v>
      </c>
      <c r="AZ656" s="47"/>
      <c r="BA656" s="63"/>
      <c r="BB656" s="63"/>
      <c r="BC656" s="149"/>
      <c r="BI656" s="42"/>
    </row>
    <row r="657" spans="1:61" s="24" customFormat="1" ht="18" hidden="1" customHeight="1">
      <c r="A657" s="32"/>
      <c r="B657" s="56"/>
      <c r="C657" s="93" t="s">
        <v>44</v>
      </c>
      <c r="D657" s="35">
        <f t="shared" si="67"/>
        <v>0.35</v>
      </c>
      <c r="E657" s="35"/>
      <c r="F657" s="35">
        <f t="shared" si="68"/>
        <v>0.35</v>
      </c>
      <c r="G657" s="109">
        <v>0.25</v>
      </c>
      <c r="H657" s="109"/>
      <c r="I657" s="109"/>
      <c r="J657" s="109">
        <v>0.1</v>
      </c>
      <c r="K657" s="109"/>
      <c r="L657" s="109"/>
      <c r="M657" s="109"/>
      <c r="N657" s="109"/>
      <c r="O657" s="109"/>
      <c r="P657" s="109"/>
      <c r="Q657" s="109"/>
      <c r="R657" s="109"/>
      <c r="S657" s="109"/>
      <c r="T657" s="109"/>
      <c r="U657" s="109"/>
      <c r="V657" s="109"/>
      <c r="W657" s="109"/>
      <c r="X657" s="109"/>
      <c r="Y657" s="109"/>
      <c r="Z657" s="109"/>
      <c r="AA657" s="109"/>
      <c r="AB657" s="109"/>
      <c r="AC657" s="109"/>
      <c r="AD657" s="109"/>
      <c r="AE657" s="109"/>
      <c r="AF657" s="109"/>
      <c r="AG657" s="109"/>
      <c r="AH657" s="109"/>
      <c r="AI657" s="109"/>
      <c r="AJ657" s="109"/>
      <c r="AK657" s="109"/>
      <c r="AL657" s="109"/>
      <c r="AM657" s="109"/>
      <c r="AN657" s="109"/>
      <c r="AO657" s="109"/>
      <c r="AP657" s="109"/>
      <c r="AQ657" s="109"/>
      <c r="AR657" s="109"/>
      <c r="AS657" s="109"/>
      <c r="AT657" s="109"/>
      <c r="AU657" s="109"/>
      <c r="AV657" s="109"/>
      <c r="AW657" s="109"/>
      <c r="AX657" s="109"/>
      <c r="AY657" s="34" t="s">
        <v>223</v>
      </c>
      <c r="AZ657" s="47"/>
      <c r="BA657" s="63"/>
      <c r="BB657" s="63"/>
      <c r="BC657" s="149"/>
      <c r="BI657" s="42"/>
    </row>
    <row r="658" spans="1:61" s="24" customFormat="1" ht="18" hidden="1" customHeight="1">
      <c r="A658" s="32"/>
      <c r="B658" s="56"/>
      <c r="C658" s="93" t="s">
        <v>45</v>
      </c>
      <c r="D658" s="35">
        <f>F658+E658</f>
        <v>0.1</v>
      </c>
      <c r="E658" s="35"/>
      <c r="F658" s="35">
        <f>SUM(G658:AX658)</f>
        <v>0.1</v>
      </c>
      <c r="G658" s="109">
        <v>0.1</v>
      </c>
      <c r="H658" s="109"/>
      <c r="I658" s="109"/>
      <c r="J658" s="109"/>
      <c r="K658" s="109"/>
      <c r="L658" s="109"/>
      <c r="M658" s="109"/>
      <c r="N658" s="109"/>
      <c r="O658" s="109"/>
      <c r="P658" s="109"/>
      <c r="Q658" s="109"/>
      <c r="R658" s="109"/>
      <c r="S658" s="109"/>
      <c r="T658" s="109"/>
      <c r="U658" s="109"/>
      <c r="V658" s="109"/>
      <c r="W658" s="109"/>
      <c r="X658" s="109"/>
      <c r="Y658" s="109"/>
      <c r="Z658" s="109"/>
      <c r="AA658" s="109"/>
      <c r="AB658" s="109"/>
      <c r="AC658" s="109"/>
      <c r="AD658" s="109"/>
      <c r="AE658" s="109"/>
      <c r="AF658" s="109"/>
      <c r="AG658" s="109"/>
      <c r="AH658" s="109"/>
      <c r="AI658" s="109"/>
      <c r="AJ658" s="109"/>
      <c r="AK658" s="109"/>
      <c r="AL658" s="109"/>
      <c r="AM658" s="109"/>
      <c r="AN658" s="109"/>
      <c r="AO658" s="109"/>
      <c r="AP658" s="109"/>
      <c r="AQ658" s="109"/>
      <c r="AR658" s="109"/>
      <c r="AS658" s="109"/>
      <c r="AT658" s="109"/>
      <c r="AU658" s="109"/>
      <c r="AV658" s="109"/>
      <c r="AW658" s="109"/>
      <c r="AX658" s="109"/>
      <c r="AY658" s="34" t="s">
        <v>223</v>
      </c>
      <c r="AZ658" s="47"/>
      <c r="BA658" s="63"/>
      <c r="BB658" s="63"/>
      <c r="BC658" s="149"/>
      <c r="BI658" s="42"/>
    </row>
    <row r="659" spans="1:61" s="24" customFormat="1" ht="18" hidden="1" customHeight="1">
      <c r="A659" s="32"/>
      <c r="B659" s="56"/>
      <c r="C659" s="93" t="s">
        <v>138</v>
      </c>
      <c r="D659" s="35">
        <f t="shared" si="67"/>
        <v>0.19999999999999998</v>
      </c>
      <c r="E659" s="35"/>
      <c r="F659" s="35">
        <f t="shared" si="68"/>
        <v>0.19999999999999998</v>
      </c>
      <c r="G659" s="147">
        <f>G655-G656-G657-G658</f>
        <v>0.15</v>
      </c>
      <c r="H659" s="147">
        <f t="shared" ref="H659:AX659" si="82">H655-H656-H657-H658</f>
        <v>0</v>
      </c>
      <c r="I659" s="147">
        <f t="shared" si="82"/>
        <v>0</v>
      </c>
      <c r="J659" s="147">
        <f t="shared" si="82"/>
        <v>4.9999999999999989E-2</v>
      </c>
      <c r="K659" s="147">
        <f t="shared" si="82"/>
        <v>0</v>
      </c>
      <c r="L659" s="147">
        <f t="shared" si="82"/>
        <v>0</v>
      </c>
      <c r="M659" s="147">
        <f t="shared" si="82"/>
        <v>0</v>
      </c>
      <c r="N659" s="147">
        <f t="shared" si="82"/>
        <v>0</v>
      </c>
      <c r="O659" s="147">
        <f t="shared" si="82"/>
        <v>0</v>
      </c>
      <c r="P659" s="147">
        <f t="shared" si="82"/>
        <v>0</v>
      </c>
      <c r="Q659" s="147">
        <f t="shared" si="82"/>
        <v>0</v>
      </c>
      <c r="R659" s="147">
        <f t="shared" si="82"/>
        <v>0</v>
      </c>
      <c r="S659" s="147">
        <f t="shared" si="82"/>
        <v>0</v>
      </c>
      <c r="T659" s="147">
        <f t="shared" si="82"/>
        <v>0</v>
      </c>
      <c r="U659" s="147">
        <f t="shared" si="82"/>
        <v>0</v>
      </c>
      <c r="V659" s="147">
        <f t="shared" si="82"/>
        <v>0</v>
      </c>
      <c r="W659" s="147">
        <f t="shared" si="82"/>
        <v>0</v>
      </c>
      <c r="X659" s="147">
        <f t="shared" si="82"/>
        <v>0</v>
      </c>
      <c r="Y659" s="147">
        <f t="shared" si="82"/>
        <v>0</v>
      </c>
      <c r="Z659" s="147">
        <f t="shared" si="82"/>
        <v>0</v>
      </c>
      <c r="AA659" s="147">
        <f t="shared" si="82"/>
        <v>0</v>
      </c>
      <c r="AB659" s="147">
        <f t="shared" si="82"/>
        <v>0</v>
      </c>
      <c r="AC659" s="147">
        <f t="shared" si="82"/>
        <v>0</v>
      </c>
      <c r="AD659" s="147">
        <f t="shared" si="82"/>
        <v>0</v>
      </c>
      <c r="AE659" s="147">
        <f t="shared" si="82"/>
        <v>0</v>
      </c>
      <c r="AF659" s="147">
        <f t="shared" si="82"/>
        <v>0</v>
      </c>
      <c r="AG659" s="147">
        <f t="shared" si="82"/>
        <v>0</v>
      </c>
      <c r="AH659" s="147">
        <f t="shared" si="82"/>
        <v>0</v>
      </c>
      <c r="AI659" s="147">
        <f t="shared" si="82"/>
        <v>0</v>
      </c>
      <c r="AJ659" s="147">
        <f t="shared" si="82"/>
        <v>0</v>
      </c>
      <c r="AK659" s="147">
        <f t="shared" si="82"/>
        <v>0</v>
      </c>
      <c r="AL659" s="147">
        <f t="shared" si="82"/>
        <v>0</v>
      </c>
      <c r="AM659" s="147">
        <f t="shared" si="82"/>
        <v>0</v>
      </c>
      <c r="AN659" s="147">
        <f t="shared" si="82"/>
        <v>0</v>
      </c>
      <c r="AO659" s="147">
        <f t="shared" si="82"/>
        <v>0</v>
      </c>
      <c r="AP659" s="147">
        <f t="shared" si="82"/>
        <v>0</v>
      </c>
      <c r="AQ659" s="147">
        <f t="shared" si="82"/>
        <v>0</v>
      </c>
      <c r="AR659" s="147">
        <f t="shared" si="82"/>
        <v>0</v>
      </c>
      <c r="AS659" s="147">
        <f t="shared" si="82"/>
        <v>0</v>
      </c>
      <c r="AT659" s="147">
        <f t="shared" si="82"/>
        <v>0</v>
      </c>
      <c r="AU659" s="147">
        <f t="shared" si="82"/>
        <v>0</v>
      </c>
      <c r="AV659" s="147">
        <f t="shared" si="82"/>
        <v>0</v>
      </c>
      <c r="AW659" s="147">
        <f t="shared" si="82"/>
        <v>0</v>
      </c>
      <c r="AX659" s="147">
        <f t="shared" si="82"/>
        <v>0</v>
      </c>
      <c r="AY659" s="34" t="s">
        <v>223</v>
      </c>
      <c r="AZ659" s="47"/>
      <c r="BA659" s="63"/>
      <c r="BB659" s="63"/>
      <c r="BC659" s="149"/>
      <c r="BI659" s="42"/>
    </row>
    <row r="660" spans="1:61" s="24" customFormat="1" ht="18" customHeight="1">
      <c r="A660" s="32">
        <f>A655+1</f>
        <v>584</v>
      </c>
      <c r="B660" s="56" t="s">
        <v>186</v>
      </c>
      <c r="C660" s="93" t="s">
        <v>1260</v>
      </c>
      <c r="D660" s="35">
        <f t="shared" ref="D660:D705" si="83">F660+E660</f>
        <v>0.6</v>
      </c>
      <c r="E660" s="35"/>
      <c r="F660" s="35">
        <f t="shared" ref="F660:F705" si="84">SUM(G660:AX660)</f>
        <v>0.6</v>
      </c>
      <c r="G660" s="109">
        <v>0.6</v>
      </c>
      <c r="H660" s="109"/>
      <c r="I660" s="109"/>
      <c r="J660" s="109"/>
      <c r="K660" s="109"/>
      <c r="L660" s="109"/>
      <c r="M660" s="109"/>
      <c r="N660" s="109"/>
      <c r="O660" s="109"/>
      <c r="P660" s="109"/>
      <c r="Q660" s="109"/>
      <c r="R660" s="109"/>
      <c r="S660" s="109"/>
      <c r="T660" s="109"/>
      <c r="U660" s="109"/>
      <c r="V660" s="109"/>
      <c r="W660" s="109"/>
      <c r="X660" s="109"/>
      <c r="Y660" s="109"/>
      <c r="Z660" s="109"/>
      <c r="AA660" s="109"/>
      <c r="AB660" s="109"/>
      <c r="AC660" s="109"/>
      <c r="AD660" s="109"/>
      <c r="AE660" s="109"/>
      <c r="AF660" s="109"/>
      <c r="AG660" s="109"/>
      <c r="AH660" s="109"/>
      <c r="AI660" s="109"/>
      <c r="AJ660" s="109"/>
      <c r="AK660" s="109"/>
      <c r="AL660" s="109"/>
      <c r="AM660" s="109"/>
      <c r="AN660" s="109"/>
      <c r="AO660" s="109"/>
      <c r="AP660" s="109"/>
      <c r="AQ660" s="109"/>
      <c r="AR660" s="109"/>
      <c r="AS660" s="109"/>
      <c r="AT660" s="109"/>
      <c r="AU660" s="109"/>
      <c r="AV660" s="109"/>
      <c r="AW660" s="109"/>
      <c r="AX660" s="109"/>
      <c r="AY660" s="34" t="s">
        <v>223</v>
      </c>
      <c r="AZ660" s="150" t="s">
        <v>1303</v>
      </c>
      <c r="BA660" s="63" t="s">
        <v>291</v>
      </c>
      <c r="BB660" s="63"/>
      <c r="BC660" s="149" t="s">
        <v>1304</v>
      </c>
      <c r="BI660" s="42">
        <v>1</v>
      </c>
    </row>
    <row r="661" spans="1:61" s="24" customFormat="1" ht="18" hidden="1" customHeight="1">
      <c r="A661" s="32"/>
      <c r="B661" s="56"/>
      <c r="C661" s="93" t="s">
        <v>59</v>
      </c>
      <c r="D661" s="35">
        <f t="shared" si="83"/>
        <v>0.21</v>
      </c>
      <c r="E661" s="35"/>
      <c r="F661" s="35">
        <f t="shared" si="84"/>
        <v>0.21</v>
      </c>
      <c r="G661" s="109">
        <v>0.21</v>
      </c>
      <c r="H661" s="109"/>
      <c r="I661" s="109"/>
      <c r="J661" s="109"/>
      <c r="K661" s="109"/>
      <c r="L661" s="109"/>
      <c r="M661" s="109"/>
      <c r="N661" s="109"/>
      <c r="O661" s="109"/>
      <c r="P661" s="109"/>
      <c r="Q661" s="109"/>
      <c r="R661" s="109"/>
      <c r="S661" s="109"/>
      <c r="T661" s="109"/>
      <c r="U661" s="109"/>
      <c r="V661" s="109"/>
      <c r="W661" s="109"/>
      <c r="X661" s="109"/>
      <c r="Y661" s="109"/>
      <c r="Z661" s="109"/>
      <c r="AA661" s="109"/>
      <c r="AB661" s="109"/>
      <c r="AC661" s="109"/>
      <c r="AD661" s="109"/>
      <c r="AE661" s="109"/>
      <c r="AF661" s="109"/>
      <c r="AG661" s="109"/>
      <c r="AH661" s="109"/>
      <c r="AI661" s="109"/>
      <c r="AJ661" s="109"/>
      <c r="AK661" s="109"/>
      <c r="AL661" s="109"/>
      <c r="AM661" s="109"/>
      <c r="AN661" s="109"/>
      <c r="AO661" s="109"/>
      <c r="AP661" s="109"/>
      <c r="AQ661" s="109"/>
      <c r="AR661" s="109"/>
      <c r="AS661" s="109"/>
      <c r="AT661" s="109"/>
      <c r="AU661" s="109"/>
      <c r="AV661" s="109"/>
      <c r="AW661" s="109"/>
      <c r="AX661" s="109"/>
      <c r="AY661" s="34" t="s">
        <v>223</v>
      </c>
      <c r="AZ661" s="150"/>
      <c r="BA661" s="63"/>
      <c r="BB661" s="63"/>
      <c r="BC661" s="149"/>
      <c r="BI661" s="42"/>
    </row>
    <row r="662" spans="1:61" s="24" customFormat="1" ht="18" hidden="1" customHeight="1">
      <c r="A662" s="32"/>
      <c r="B662" s="56"/>
      <c r="C662" s="93" t="s">
        <v>44</v>
      </c>
      <c r="D662" s="35">
        <f t="shared" si="83"/>
        <v>0.24</v>
      </c>
      <c r="E662" s="35"/>
      <c r="F662" s="35">
        <f t="shared" si="84"/>
        <v>0.24</v>
      </c>
      <c r="G662" s="109">
        <v>0.24</v>
      </c>
      <c r="H662" s="109"/>
      <c r="I662" s="109"/>
      <c r="J662" s="109"/>
      <c r="K662" s="109"/>
      <c r="L662" s="109"/>
      <c r="M662" s="109"/>
      <c r="N662" s="109"/>
      <c r="O662" s="109"/>
      <c r="P662" s="109"/>
      <c r="Q662" s="109"/>
      <c r="R662" s="109"/>
      <c r="S662" s="109"/>
      <c r="T662" s="109"/>
      <c r="U662" s="109"/>
      <c r="V662" s="109"/>
      <c r="W662" s="109"/>
      <c r="X662" s="109"/>
      <c r="Y662" s="109"/>
      <c r="Z662" s="109"/>
      <c r="AA662" s="109"/>
      <c r="AB662" s="109"/>
      <c r="AC662" s="109"/>
      <c r="AD662" s="109"/>
      <c r="AE662" s="109"/>
      <c r="AF662" s="109"/>
      <c r="AG662" s="109"/>
      <c r="AH662" s="109"/>
      <c r="AI662" s="109"/>
      <c r="AJ662" s="109"/>
      <c r="AK662" s="109"/>
      <c r="AL662" s="109"/>
      <c r="AM662" s="109"/>
      <c r="AN662" s="109"/>
      <c r="AO662" s="109"/>
      <c r="AP662" s="109"/>
      <c r="AQ662" s="109"/>
      <c r="AR662" s="109"/>
      <c r="AS662" s="109"/>
      <c r="AT662" s="109"/>
      <c r="AU662" s="109"/>
      <c r="AV662" s="109"/>
      <c r="AW662" s="109"/>
      <c r="AX662" s="109"/>
      <c r="AY662" s="34" t="s">
        <v>223</v>
      </c>
      <c r="AZ662" s="150"/>
      <c r="BA662" s="63"/>
      <c r="BB662" s="63"/>
      <c r="BC662" s="149"/>
      <c r="BI662" s="42"/>
    </row>
    <row r="663" spans="1:61" s="24" customFormat="1" ht="18" hidden="1" customHeight="1">
      <c r="A663" s="32"/>
      <c r="B663" s="56"/>
      <c r="C663" s="93" t="s">
        <v>138</v>
      </c>
      <c r="D663" s="35">
        <f t="shared" si="83"/>
        <v>0.15000000000000002</v>
      </c>
      <c r="E663" s="35"/>
      <c r="F663" s="35">
        <f t="shared" si="84"/>
        <v>0.15000000000000002</v>
      </c>
      <c r="G663" s="147">
        <f>G660-G661-G662</f>
        <v>0.15000000000000002</v>
      </c>
      <c r="H663" s="147">
        <f t="shared" ref="H663:AX663" si="85">H660-H661-H662</f>
        <v>0</v>
      </c>
      <c r="I663" s="147">
        <f t="shared" si="85"/>
        <v>0</v>
      </c>
      <c r="J663" s="147">
        <f t="shared" si="85"/>
        <v>0</v>
      </c>
      <c r="K663" s="147">
        <f t="shared" si="85"/>
        <v>0</v>
      </c>
      <c r="L663" s="147">
        <f t="shared" si="85"/>
        <v>0</v>
      </c>
      <c r="M663" s="147">
        <f t="shared" si="85"/>
        <v>0</v>
      </c>
      <c r="N663" s="147">
        <f t="shared" si="85"/>
        <v>0</v>
      </c>
      <c r="O663" s="147">
        <f t="shared" si="85"/>
        <v>0</v>
      </c>
      <c r="P663" s="147">
        <f t="shared" si="85"/>
        <v>0</v>
      </c>
      <c r="Q663" s="147">
        <f t="shared" si="85"/>
        <v>0</v>
      </c>
      <c r="R663" s="147">
        <f t="shared" si="85"/>
        <v>0</v>
      </c>
      <c r="S663" s="147">
        <f t="shared" si="85"/>
        <v>0</v>
      </c>
      <c r="T663" s="147">
        <f t="shared" si="85"/>
        <v>0</v>
      </c>
      <c r="U663" s="147">
        <f t="shared" si="85"/>
        <v>0</v>
      </c>
      <c r="V663" s="147">
        <f t="shared" si="85"/>
        <v>0</v>
      </c>
      <c r="W663" s="147">
        <f t="shared" si="85"/>
        <v>0</v>
      </c>
      <c r="X663" s="147">
        <f t="shared" si="85"/>
        <v>0</v>
      </c>
      <c r="Y663" s="147">
        <f t="shared" si="85"/>
        <v>0</v>
      </c>
      <c r="Z663" s="147">
        <f t="shared" si="85"/>
        <v>0</v>
      </c>
      <c r="AA663" s="147">
        <f t="shared" si="85"/>
        <v>0</v>
      </c>
      <c r="AB663" s="147">
        <f t="shared" si="85"/>
        <v>0</v>
      </c>
      <c r="AC663" s="147">
        <f t="shared" si="85"/>
        <v>0</v>
      </c>
      <c r="AD663" s="147">
        <f t="shared" si="85"/>
        <v>0</v>
      </c>
      <c r="AE663" s="147">
        <f t="shared" si="85"/>
        <v>0</v>
      </c>
      <c r="AF663" s="147">
        <f t="shared" si="85"/>
        <v>0</v>
      </c>
      <c r="AG663" s="147">
        <f t="shared" si="85"/>
        <v>0</v>
      </c>
      <c r="AH663" s="147">
        <f t="shared" si="85"/>
        <v>0</v>
      </c>
      <c r="AI663" s="147">
        <f t="shared" si="85"/>
        <v>0</v>
      </c>
      <c r="AJ663" s="147">
        <f t="shared" si="85"/>
        <v>0</v>
      </c>
      <c r="AK663" s="147">
        <f t="shared" si="85"/>
        <v>0</v>
      </c>
      <c r="AL663" s="147">
        <f t="shared" si="85"/>
        <v>0</v>
      </c>
      <c r="AM663" s="147">
        <f t="shared" si="85"/>
        <v>0</v>
      </c>
      <c r="AN663" s="147">
        <f t="shared" si="85"/>
        <v>0</v>
      </c>
      <c r="AO663" s="147">
        <f t="shared" si="85"/>
        <v>0</v>
      </c>
      <c r="AP663" s="147">
        <f t="shared" si="85"/>
        <v>0</v>
      </c>
      <c r="AQ663" s="147">
        <f t="shared" si="85"/>
        <v>0</v>
      </c>
      <c r="AR663" s="147">
        <f t="shared" si="85"/>
        <v>0</v>
      </c>
      <c r="AS663" s="147">
        <f t="shared" si="85"/>
        <v>0</v>
      </c>
      <c r="AT663" s="147">
        <f t="shared" si="85"/>
        <v>0</v>
      </c>
      <c r="AU663" s="147">
        <f t="shared" si="85"/>
        <v>0</v>
      </c>
      <c r="AV663" s="147">
        <f t="shared" si="85"/>
        <v>0</v>
      </c>
      <c r="AW663" s="147">
        <f t="shared" si="85"/>
        <v>0</v>
      </c>
      <c r="AX663" s="147">
        <f t="shared" si="85"/>
        <v>0</v>
      </c>
      <c r="AY663" s="34" t="s">
        <v>223</v>
      </c>
      <c r="AZ663" s="150"/>
      <c r="BA663" s="63"/>
      <c r="BB663" s="63"/>
      <c r="BC663" s="149"/>
      <c r="BI663" s="42"/>
    </row>
    <row r="664" spans="1:61" s="24" customFormat="1" ht="18" customHeight="1">
      <c r="A664" s="32">
        <f>A660+1</f>
        <v>585</v>
      </c>
      <c r="B664" s="56" t="s">
        <v>186</v>
      </c>
      <c r="C664" s="93" t="s">
        <v>59</v>
      </c>
      <c r="D664" s="35">
        <f t="shared" si="83"/>
        <v>0.35</v>
      </c>
      <c r="E664" s="35"/>
      <c r="F664" s="35">
        <f t="shared" si="84"/>
        <v>0.35</v>
      </c>
      <c r="G664" s="109">
        <v>0.35</v>
      </c>
      <c r="H664" s="109"/>
      <c r="I664" s="109"/>
      <c r="J664" s="109"/>
      <c r="K664" s="109"/>
      <c r="L664" s="109"/>
      <c r="M664" s="109"/>
      <c r="N664" s="109"/>
      <c r="O664" s="109"/>
      <c r="P664" s="109"/>
      <c r="Q664" s="109"/>
      <c r="R664" s="109"/>
      <c r="S664" s="109"/>
      <c r="T664" s="109"/>
      <c r="U664" s="109"/>
      <c r="V664" s="109"/>
      <c r="W664" s="109"/>
      <c r="X664" s="109"/>
      <c r="Y664" s="109"/>
      <c r="Z664" s="109"/>
      <c r="AA664" s="109"/>
      <c r="AB664" s="109"/>
      <c r="AC664" s="109"/>
      <c r="AD664" s="109"/>
      <c r="AE664" s="109"/>
      <c r="AF664" s="109"/>
      <c r="AG664" s="109"/>
      <c r="AH664" s="109"/>
      <c r="AI664" s="109"/>
      <c r="AJ664" s="109"/>
      <c r="AK664" s="109"/>
      <c r="AL664" s="109"/>
      <c r="AM664" s="109"/>
      <c r="AN664" s="109"/>
      <c r="AO664" s="109"/>
      <c r="AP664" s="109"/>
      <c r="AQ664" s="109"/>
      <c r="AR664" s="109"/>
      <c r="AS664" s="109"/>
      <c r="AT664" s="109"/>
      <c r="AU664" s="109"/>
      <c r="AV664" s="109"/>
      <c r="AW664" s="109"/>
      <c r="AX664" s="109"/>
      <c r="AY664" s="34" t="s">
        <v>223</v>
      </c>
      <c r="AZ664" s="150" t="s">
        <v>1305</v>
      </c>
      <c r="BA664" s="63" t="s">
        <v>291</v>
      </c>
      <c r="BB664" s="63"/>
      <c r="BC664" s="149" t="s">
        <v>1306</v>
      </c>
      <c r="BI664" s="42">
        <v>1</v>
      </c>
    </row>
    <row r="665" spans="1:61" s="24" customFormat="1" ht="18" customHeight="1">
      <c r="A665" s="32">
        <f>A664+1</f>
        <v>586</v>
      </c>
      <c r="B665" s="56" t="s">
        <v>186</v>
      </c>
      <c r="C665" s="93" t="s">
        <v>1260</v>
      </c>
      <c r="D665" s="35">
        <f t="shared" si="83"/>
        <v>0.6</v>
      </c>
      <c r="E665" s="35"/>
      <c r="F665" s="35">
        <f t="shared" si="84"/>
        <v>0.6</v>
      </c>
      <c r="G665" s="109"/>
      <c r="H665" s="109"/>
      <c r="I665" s="109"/>
      <c r="J665" s="109"/>
      <c r="K665" s="109"/>
      <c r="L665" s="109"/>
      <c r="M665" s="109">
        <v>0.6</v>
      </c>
      <c r="N665" s="109"/>
      <c r="O665" s="109"/>
      <c r="P665" s="109"/>
      <c r="Q665" s="109"/>
      <c r="R665" s="109"/>
      <c r="S665" s="109"/>
      <c r="T665" s="109"/>
      <c r="U665" s="109"/>
      <c r="V665" s="109"/>
      <c r="W665" s="109"/>
      <c r="X665" s="109"/>
      <c r="Y665" s="109"/>
      <c r="Z665" s="109"/>
      <c r="AA665" s="109"/>
      <c r="AB665" s="109"/>
      <c r="AC665" s="109"/>
      <c r="AD665" s="109"/>
      <c r="AE665" s="109"/>
      <c r="AF665" s="109"/>
      <c r="AG665" s="109"/>
      <c r="AH665" s="109"/>
      <c r="AI665" s="109"/>
      <c r="AJ665" s="109"/>
      <c r="AK665" s="109"/>
      <c r="AL665" s="109"/>
      <c r="AM665" s="109"/>
      <c r="AN665" s="109"/>
      <c r="AO665" s="109"/>
      <c r="AP665" s="109"/>
      <c r="AQ665" s="109"/>
      <c r="AR665" s="109"/>
      <c r="AS665" s="109"/>
      <c r="AT665" s="109"/>
      <c r="AU665" s="109"/>
      <c r="AV665" s="109"/>
      <c r="AW665" s="109"/>
      <c r="AX665" s="109"/>
      <c r="AY665" s="34" t="s">
        <v>223</v>
      </c>
      <c r="AZ665" s="150" t="s">
        <v>1307</v>
      </c>
      <c r="BA665" s="63" t="s">
        <v>291</v>
      </c>
      <c r="BB665" s="63"/>
      <c r="BC665" s="149" t="s">
        <v>1308</v>
      </c>
      <c r="BI665" s="42">
        <v>1</v>
      </c>
    </row>
    <row r="666" spans="1:61" s="24" customFormat="1" ht="18" hidden="1" customHeight="1">
      <c r="A666" s="32"/>
      <c r="B666" s="56"/>
      <c r="C666" s="93" t="s">
        <v>59</v>
      </c>
      <c r="D666" s="35">
        <f t="shared" si="83"/>
        <v>0.21</v>
      </c>
      <c r="E666" s="35"/>
      <c r="F666" s="35">
        <f t="shared" si="84"/>
        <v>0.21</v>
      </c>
      <c r="G666" s="109"/>
      <c r="H666" s="109"/>
      <c r="I666" s="109"/>
      <c r="J666" s="109"/>
      <c r="K666" s="109"/>
      <c r="L666" s="109"/>
      <c r="M666" s="109">
        <v>0.21</v>
      </c>
      <c r="N666" s="109"/>
      <c r="O666" s="109"/>
      <c r="P666" s="109"/>
      <c r="Q666" s="109"/>
      <c r="R666" s="109"/>
      <c r="S666" s="109"/>
      <c r="T666" s="109"/>
      <c r="U666" s="109"/>
      <c r="V666" s="109"/>
      <c r="W666" s="109"/>
      <c r="X666" s="109"/>
      <c r="Y666" s="109"/>
      <c r="Z666" s="109"/>
      <c r="AA666" s="109"/>
      <c r="AB666" s="109"/>
      <c r="AC666" s="109"/>
      <c r="AD666" s="109"/>
      <c r="AE666" s="109"/>
      <c r="AF666" s="109"/>
      <c r="AG666" s="109"/>
      <c r="AH666" s="109"/>
      <c r="AI666" s="109"/>
      <c r="AJ666" s="109"/>
      <c r="AK666" s="109"/>
      <c r="AL666" s="109"/>
      <c r="AM666" s="109"/>
      <c r="AN666" s="109"/>
      <c r="AO666" s="109"/>
      <c r="AP666" s="109"/>
      <c r="AQ666" s="109"/>
      <c r="AR666" s="109"/>
      <c r="AS666" s="109"/>
      <c r="AT666" s="109"/>
      <c r="AU666" s="109"/>
      <c r="AV666" s="109"/>
      <c r="AW666" s="109"/>
      <c r="AX666" s="109"/>
      <c r="AY666" s="34" t="s">
        <v>223</v>
      </c>
      <c r="AZ666" s="150"/>
      <c r="BA666" s="63"/>
      <c r="BB666" s="63"/>
      <c r="BC666" s="149"/>
      <c r="BI666" s="42"/>
    </row>
    <row r="667" spans="1:61" s="24" customFormat="1" ht="18" hidden="1" customHeight="1">
      <c r="A667" s="32"/>
      <c r="B667" s="56"/>
      <c r="C667" s="93" t="s">
        <v>44</v>
      </c>
      <c r="D667" s="35">
        <f t="shared" si="83"/>
        <v>0.24</v>
      </c>
      <c r="E667" s="35"/>
      <c r="F667" s="35">
        <f t="shared" si="84"/>
        <v>0.24</v>
      </c>
      <c r="G667" s="109"/>
      <c r="H667" s="109"/>
      <c r="I667" s="109"/>
      <c r="J667" s="109"/>
      <c r="K667" s="109"/>
      <c r="L667" s="109"/>
      <c r="M667" s="109">
        <v>0.24</v>
      </c>
      <c r="N667" s="109"/>
      <c r="O667" s="109"/>
      <c r="P667" s="109"/>
      <c r="Q667" s="109"/>
      <c r="R667" s="109"/>
      <c r="S667" s="109"/>
      <c r="T667" s="109"/>
      <c r="U667" s="109"/>
      <c r="V667" s="109"/>
      <c r="W667" s="109"/>
      <c r="X667" s="109"/>
      <c r="Y667" s="109"/>
      <c r="Z667" s="109"/>
      <c r="AA667" s="109"/>
      <c r="AB667" s="109"/>
      <c r="AC667" s="109"/>
      <c r="AD667" s="109"/>
      <c r="AE667" s="109"/>
      <c r="AF667" s="109"/>
      <c r="AG667" s="109"/>
      <c r="AH667" s="109"/>
      <c r="AI667" s="109"/>
      <c r="AJ667" s="109"/>
      <c r="AK667" s="109"/>
      <c r="AL667" s="109"/>
      <c r="AM667" s="109"/>
      <c r="AN667" s="109"/>
      <c r="AO667" s="109"/>
      <c r="AP667" s="109"/>
      <c r="AQ667" s="109"/>
      <c r="AR667" s="109"/>
      <c r="AS667" s="109"/>
      <c r="AT667" s="109"/>
      <c r="AU667" s="109"/>
      <c r="AV667" s="109"/>
      <c r="AW667" s="109"/>
      <c r="AX667" s="109"/>
      <c r="AY667" s="34" t="s">
        <v>223</v>
      </c>
      <c r="AZ667" s="150"/>
      <c r="BA667" s="63"/>
      <c r="BB667" s="63"/>
      <c r="BC667" s="149"/>
      <c r="BI667" s="42"/>
    </row>
    <row r="668" spans="1:61" s="24" customFormat="1" ht="18" hidden="1" customHeight="1">
      <c r="A668" s="32"/>
      <c r="B668" s="56"/>
      <c r="C668" s="93" t="s">
        <v>138</v>
      </c>
      <c r="D668" s="35">
        <f t="shared" si="83"/>
        <v>0.15000000000000002</v>
      </c>
      <c r="E668" s="35"/>
      <c r="F668" s="35">
        <f t="shared" si="84"/>
        <v>0.15000000000000002</v>
      </c>
      <c r="G668" s="147">
        <f>G665-G666-G667</f>
        <v>0</v>
      </c>
      <c r="H668" s="147">
        <f t="shared" ref="H668:AX668" si="86">H665-H666-H667</f>
        <v>0</v>
      </c>
      <c r="I668" s="147">
        <f t="shared" si="86"/>
        <v>0</v>
      </c>
      <c r="J668" s="147">
        <f t="shared" si="86"/>
        <v>0</v>
      </c>
      <c r="K668" s="147">
        <f t="shared" si="86"/>
        <v>0</v>
      </c>
      <c r="L668" s="147">
        <f t="shared" si="86"/>
        <v>0</v>
      </c>
      <c r="M668" s="147">
        <f t="shared" si="86"/>
        <v>0.15000000000000002</v>
      </c>
      <c r="N668" s="147">
        <f t="shared" si="86"/>
        <v>0</v>
      </c>
      <c r="O668" s="147">
        <f t="shared" si="86"/>
        <v>0</v>
      </c>
      <c r="P668" s="147">
        <f t="shared" si="86"/>
        <v>0</v>
      </c>
      <c r="Q668" s="147">
        <f t="shared" si="86"/>
        <v>0</v>
      </c>
      <c r="R668" s="147">
        <f t="shared" si="86"/>
        <v>0</v>
      </c>
      <c r="S668" s="147">
        <f t="shared" si="86"/>
        <v>0</v>
      </c>
      <c r="T668" s="147">
        <f t="shared" si="86"/>
        <v>0</v>
      </c>
      <c r="U668" s="147">
        <f t="shared" si="86"/>
        <v>0</v>
      </c>
      <c r="V668" s="147">
        <f t="shared" si="86"/>
        <v>0</v>
      </c>
      <c r="W668" s="147">
        <f t="shared" si="86"/>
        <v>0</v>
      </c>
      <c r="X668" s="147">
        <f t="shared" si="86"/>
        <v>0</v>
      </c>
      <c r="Y668" s="147">
        <f t="shared" si="86"/>
        <v>0</v>
      </c>
      <c r="Z668" s="147">
        <f t="shared" si="86"/>
        <v>0</v>
      </c>
      <c r="AA668" s="147">
        <f t="shared" si="86"/>
        <v>0</v>
      </c>
      <c r="AB668" s="147">
        <f t="shared" si="86"/>
        <v>0</v>
      </c>
      <c r="AC668" s="147">
        <f t="shared" si="86"/>
        <v>0</v>
      </c>
      <c r="AD668" s="147">
        <f t="shared" si="86"/>
        <v>0</v>
      </c>
      <c r="AE668" s="147">
        <f t="shared" si="86"/>
        <v>0</v>
      </c>
      <c r="AF668" s="147">
        <f t="shared" si="86"/>
        <v>0</v>
      </c>
      <c r="AG668" s="147">
        <f t="shared" si="86"/>
        <v>0</v>
      </c>
      <c r="AH668" s="147">
        <f t="shared" si="86"/>
        <v>0</v>
      </c>
      <c r="AI668" s="147">
        <f t="shared" si="86"/>
        <v>0</v>
      </c>
      <c r="AJ668" s="147">
        <f t="shared" si="86"/>
        <v>0</v>
      </c>
      <c r="AK668" s="147">
        <f t="shared" si="86"/>
        <v>0</v>
      </c>
      <c r="AL668" s="147">
        <f t="shared" si="86"/>
        <v>0</v>
      </c>
      <c r="AM668" s="147">
        <f t="shared" si="86"/>
        <v>0</v>
      </c>
      <c r="AN668" s="147">
        <f t="shared" si="86"/>
        <v>0</v>
      </c>
      <c r="AO668" s="147">
        <f t="shared" si="86"/>
        <v>0</v>
      </c>
      <c r="AP668" s="147">
        <f t="shared" si="86"/>
        <v>0</v>
      </c>
      <c r="AQ668" s="147">
        <f t="shared" si="86"/>
        <v>0</v>
      </c>
      <c r="AR668" s="147">
        <f t="shared" si="86"/>
        <v>0</v>
      </c>
      <c r="AS668" s="147">
        <f t="shared" si="86"/>
        <v>0</v>
      </c>
      <c r="AT668" s="147">
        <f t="shared" si="86"/>
        <v>0</v>
      </c>
      <c r="AU668" s="147">
        <f t="shared" si="86"/>
        <v>0</v>
      </c>
      <c r="AV668" s="147">
        <f t="shared" si="86"/>
        <v>0</v>
      </c>
      <c r="AW668" s="147">
        <f t="shared" si="86"/>
        <v>0</v>
      </c>
      <c r="AX668" s="147">
        <f t="shared" si="86"/>
        <v>0</v>
      </c>
      <c r="AY668" s="34" t="s">
        <v>223</v>
      </c>
      <c r="AZ668" s="150"/>
      <c r="BA668" s="63"/>
      <c r="BB668" s="63"/>
      <c r="BC668" s="149"/>
      <c r="BI668" s="42"/>
    </row>
    <row r="669" spans="1:61" s="24" customFormat="1" ht="18" customHeight="1">
      <c r="A669" s="32">
        <f>A665+1</f>
        <v>587</v>
      </c>
      <c r="B669" s="56" t="s">
        <v>186</v>
      </c>
      <c r="C669" s="93" t="s">
        <v>1260</v>
      </c>
      <c r="D669" s="35">
        <f t="shared" si="83"/>
        <v>0.4</v>
      </c>
      <c r="E669" s="35"/>
      <c r="F669" s="35">
        <f t="shared" si="84"/>
        <v>0.4</v>
      </c>
      <c r="G669" s="109">
        <v>0.4</v>
      </c>
      <c r="H669" s="109"/>
      <c r="I669" s="109"/>
      <c r="J669" s="109"/>
      <c r="K669" s="109"/>
      <c r="L669" s="109"/>
      <c r="M669" s="109"/>
      <c r="N669" s="109"/>
      <c r="O669" s="109"/>
      <c r="P669" s="109"/>
      <c r="Q669" s="109"/>
      <c r="R669" s="109"/>
      <c r="S669" s="109"/>
      <c r="T669" s="109"/>
      <c r="U669" s="109"/>
      <c r="V669" s="109"/>
      <c r="W669" s="109"/>
      <c r="X669" s="109"/>
      <c r="Y669" s="109"/>
      <c r="Z669" s="109"/>
      <c r="AA669" s="109"/>
      <c r="AB669" s="109"/>
      <c r="AC669" s="109"/>
      <c r="AD669" s="109"/>
      <c r="AE669" s="109"/>
      <c r="AF669" s="109"/>
      <c r="AG669" s="109"/>
      <c r="AH669" s="109"/>
      <c r="AI669" s="109"/>
      <c r="AJ669" s="109"/>
      <c r="AK669" s="109"/>
      <c r="AL669" s="109"/>
      <c r="AM669" s="109"/>
      <c r="AN669" s="109"/>
      <c r="AO669" s="109"/>
      <c r="AP669" s="109"/>
      <c r="AQ669" s="109"/>
      <c r="AR669" s="109"/>
      <c r="AS669" s="109"/>
      <c r="AT669" s="109"/>
      <c r="AU669" s="109"/>
      <c r="AV669" s="109"/>
      <c r="AW669" s="109"/>
      <c r="AX669" s="109"/>
      <c r="AY669" s="34" t="s">
        <v>223</v>
      </c>
      <c r="AZ669" s="47" t="s">
        <v>1309</v>
      </c>
      <c r="BA669" s="63" t="s">
        <v>291</v>
      </c>
      <c r="BB669" s="63"/>
      <c r="BC669" s="149" t="s">
        <v>1310</v>
      </c>
      <c r="BI669" s="42">
        <v>1</v>
      </c>
    </row>
    <row r="670" spans="1:61" s="24" customFormat="1" ht="18" hidden="1" customHeight="1">
      <c r="A670" s="32"/>
      <c r="B670" s="56"/>
      <c r="C670" s="93" t="s">
        <v>59</v>
      </c>
      <c r="D670" s="35">
        <f t="shared" si="83"/>
        <v>0.16</v>
      </c>
      <c r="E670" s="35"/>
      <c r="F670" s="35">
        <f t="shared" si="84"/>
        <v>0.16</v>
      </c>
      <c r="G670" s="109">
        <v>0.16</v>
      </c>
      <c r="H670" s="109"/>
      <c r="I670" s="109"/>
      <c r="J670" s="109"/>
      <c r="K670" s="109"/>
      <c r="L670" s="109"/>
      <c r="M670" s="109"/>
      <c r="N670" s="109"/>
      <c r="O670" s="109"/>
      <c r="P670" s="109"/>
      <c r="Q670" s="109"/>
      <c r="R670" s="109"/>
      <c r="S670" s="109"/>
      <c r="T670" s="109"/>
      <c r="U670" s="109"/>
      <c r="V670" s="109"/>
      <c r="W670" s="109"/>
      <c r="X670" s="109"/>
      <c r="Y670" s="109"/>
      <c r="Z670" s="109"/>
      <c r="AA670" s="109"/>
      <c r="AB670" s="109"/>
      <c r="AC670" s="109"/>
      <c r="AD670" s="109"/>
      <c r="AE670" s="109"/>
      <c r="AF670" s="109"/>
      <c r="AG670" s="109"/>
      <c r="AH670" s="109"/>
      <c r="AI670" s="109"/>
      <c r="AJ670" s="109"/>
      <c r="AK670" s="109"/>
      <c r="AL670" s="109"/>
      <c r="AM670" s="109"/>
      <c r="AN670" s="109"/>
      <c r="AO670" s="109"/>
      <c r="AP670" s="109"/>
      <c r="AQ670" s="109"/>
      <c r="AR670" s="109"/>
      <c r="AS670" s="109"/>
      <c r="AT670" s="109"/>
      <c r="AU670" s="109"/>
      <c r="AV670" s="109"/>
      <c r="AW670" s="109"/>
      <c r="AX670" s="109"/>
      <c r="AY670" s="34" t="s">
        <v>223</v>
      </c>
      <c r="AZ670" s="47"/>
      <c r="BA670" s="63"/>
      <c r="BB670" s="63"/>
      <c r="BC670" s="149"/>
      <c r="BI670" s="42"/>
    </row>
    <row r="671" spans="1:61" s="24" customFormat="1" ht="18" hidden="1" customHeight="1">
      <c r="A671" s="32"/>
      <c r="B671" s="56"/>
      <c r="C671" s="93" t="s">
        <v>44</v>
      </c>
      <c r="D671" s="35">
        <f t="shared" si="83"/>
        <v>0.16</v>
      </c>
      <c r="E671" s="35"/>
      <c r="F671" s="35">
        <f t="shared" si="84"/>
        <v>0.16</v>
      </c>
      <c r="G671" s="109">
        <v>0.16</v>
      </c>
      <c r="H671" s="109"/>
      <c r="I671" s="109"/>
      <c r="J671" s="109"/>
      <c r="K671" s="109"/>
      <c r="L671" s="109"/>
      <c r="M671" s="109"/>
      <c r="N671" s="109"/>
      <c r="O671" s="109"/>
      <c r="P671" s="109"/>
      <c r="Q671" s="109"/>
      <c r="R671" s="109"/>
      <c r="S671" s="109"/>
      <c r="T671" s="109"/>
      <c r="U671" s="109"/>
      <c r="V671" s="109"/>
      <c r="W671" s="109"/>
      <c r="X671" s="109"/>
      <c r="Y671" s="109"/>
      <c r="Z671" s="109"/>
      <c r="AA671" s="109"/>
      <c r="AB671" s="109"/>
      <c r="AC671" s="109"/>
      <c r="AD671" s="109"/>
      <c r="AE671" s="109"/>
      <c r="AF671" s="109"/>
      <c r="AG671" s="109"/>
      <c r="AH671" s="109"/>
      <c r="AI671" s="109"/>
      <c r="AJ671" s="109"/>
      <c r="AK671" s="109"/>
      <c r="AL671" s="109"/>
      <c r="AM671" s="109"/>
      <c r="AN671" s="109"/>
      <c r="AO671" s="109"/>
      <c r="AP671" s="109"/>
      <c r="AQ671" s="109"/>
      <c r="AR671" s="109"/>
      <c r="AS671" s="109"/>
      <c r="AT671" s="109"/>
      <c r="AU671" s="109"/>
      <c r="AV671" s="109"/>
      <c r="AW671" s="109"/>
      <c r="AX671" s="109"/>
      <c r="AY671" s="34" t="s">
        <v>223</v>
      </c>
      <c r="AZ671" s="47"/>
      <c r="BA671" s="63"/>
      <c r="BB671" s="63"/>
      <c r="BC671" s="149"/>
      <c r="BI671" s="42"/>
    </row>
    <row r="672" spans="1:61" s="24" customFormat="1" ht="18" hidden="1" customHeight="1">
      <c r="A672" s="32"/>
      <c r="B672" s="56"/>
      <c r="C672" s="93" t="s">
        <v>138</v>
      </c>
      <c r="D672" s="35">
        <f t="shared" si="83"/>
        <v>8.0000000000000016E-2</v>
      </c>
      <c r="E672" s="35"/>
      <c r="F672" s="35">
        <f t="shared" si="84"/>
        <v>8.0000000000000016E-2</v>
      </c>
      <c r="G672" s="147">
        <f t="shared" ref="G672:AW672" si="87">G669-G670-G671</f>
        <v>8.0000000000000016E-2</v>
      </c>
      <c r="H672" s="147">
        <f t="shared" si="87"/>
        <v>0</v>
      </c>
      <c r="I672" s="147">
        <f t="shared" si="87"/>
        <v>0</v>
      </c>
      <c r="J672" s="147">
        <f t="shared" si="87"/>
        <v>0</v>
      </c>
      <c r="K672" s="147">
        <f t="shared" si="87"/>
        <v>0</v>
      </c>
      <c r="L672" s="147">
        <f t="shared" si="87"/>
        <v>0</v>
      </c>
      <c r="M672" s="147">
        <f t="shared" si="87"/>
        <v>0</v>
      </c>
      <c r="N672" s="147">
        <f t="shared" si="87"/>
        <v>0</v>
      </c>
      <c r="O672" s="147">
        <f t="shared" si="87"/>
        <v>0</v>
      </c>
      <c r="P672" s="147">
        <f t="shared" si="87"/>
        <v>0</v>
      </c>
      <c r="Q672" s="147">
        <f t="shared" si="87"/>
        <v>0</v>
      </c>
      <c r="R672" s="147">
        <f t="shared" si="87"/>
        <v>0</v>
      </c>
      <c r="S672" s="147">
        <f t="shared" si="87"/>
        <v>0</v>
      </c>
      <c r="T672" s="147">
        <f t="shared" si="87"/>
        <v>0</v>
      </c>
      <c r="U672" s="147">
        <f t="shared" si="87"/>
        <v>0</v>
      </c>
      <c r="V672" s="147">
        <f t="shared" si="87"/>
        <v>0</v>
      </c>
      <c r="W672" s="147">
        <f t="shared" si="87"/>
        <v>0</v>
      </c>
      <c r="X672" s="147">
        <f t="shared" si="87"/>
        <v>0</v>
      </c>
      <c r="Y672" s="147">
        <f t="shared" si="87"/>
        <v>0</v>
      </c>
      <c r="Z672" s="147">
        <f t="shared" si="87"/>
        <v>0</v>
      </c>
      <c r="AA672" s="147">
        <f t="shared" si="87"/>
        <v>0</v>
      </c>
      <c r="AB672" s="147">
        <f t="shared" si="87"/>
        <v>0</v>
      </c>
      <c r="AC672" s="147">
        <f t="shared" si="87"/>
        <v>0</v>
      </c>
      <c r="AD672" s="147">
        <f t="shared" si="87"/>
        <v>0</v>
      </c>
      <c r="AE672" s="147">
        <f t="shared" si="87"/>
        <v>0</v>
      </c>
      <c r="AF672" s="147">
        <f t="shared" si="87"/>
        <v>0</v>
      </c>
      <c r="AG672" s="147">
        <f t="shared" si="87"/>
        <v>0</v>
      </c>
      <c r="AH672" s="147">
        <f t="shared" si="87"/>
        <v>0</v>
      </c>
      <c r="AI672" s="147">
        <f t="shared" si="87"/>
        <v>0</v>
      </c>
      <c r="AJ672" s="147">
        <f t="shared" si="87"/>
        <v>0</v>
      </c>
      <c r="AK672" s="147">
        <f t="shared" si="87"/>
        <v>0</v>
      </c>
      <c r="AL672" s="147">
        <f t="shared" si="87"/>
        <v>0</v>
      </c>
      <c r="AM672" s="147">
        <f t="shared" si="87"/>
        <v>0</v>
      </c>
      <c r="AN672" s="147">
        <f t="shared" si="87"/>
        <v>0</v>
      </c>
      <c r="AO672" s="147">
        <f t="shared" si="87"/>
        <v>0</v>
      </c>
      <c r="AP672" s="147">
        <f t="shared" si="87"/>
        <v>0</v>
      </c>
      <c r="AQ672" s="147">
        <f t="shared" si="87"/>
        <v>0</v>
      </c>
      <c r="AR672" s="147">
        <f t="shared" si="87"/>
        <v>0</v>
      </c>
      <c r="AS672" s="147">
        <f t="shared" si="87"/>
        <v>0</v>
      </c>
      <c r="AT672" s="147">
        <f t="shared" si="87"/>
        <v>0</v>
      </c>
      <c r="AU672" s="147">
        <f t="shared" si="87"/>
        <v>0</v>
      </c>
      <c r="AV672" s="147">
        <f t="shared" si="87"/>
        <v>0</v>
      </c>
      <c r="AW672" s="147">
        <f t="shared" si="87"/>
        <v>0</v>
      </c>
      <c r="AX672" s="147">
        <f>AX669-AX670-AX671</f>
        <v>0</v>
      </c>
      <c r="AY672" s="34" t="s">
        <v>223</v>
      </c>
      <c r="AZ672" s="47"/>
      <c r="BA672" s="63"/>
      <c r="BB672" s="63"/>
      <c r="BC672" s="149"/>
      <c r="BI672" s="42"/>
    </row>
    <row r="673" spans="1:61" s="24" customFormat="1" ht="18" customHeight="1">
      <c r="A673" s="32">
        <f>A669+1</f>
        <v>588</v>
      </c>
      <c r="B673" s="56" t="s">
        <v>186</v>
      </c>
      <c r="C673" s="93" t="s">
        <v>1260</v>
      </c>
      <c r="D673" s="35">
        <f t="shared" si="83"/>
        <v>0.5</v>
      </c>
      <c r="E673" s="35"/>
      <c r="F673" s="35">
        <f t="shared" si="84"/>
        <v>0.5</v>
      </c>
      <c r="G673" s="109"/>
      <c r="H673" s="109">
        <v>0.5</v>
      </c>
      <c r="I673" s="109"/>
      <c r="J673" s="109"/>
      <c r="K673" s="109"/>
      <c r="L673" s="109"/>
      <c r="M673" s="109"/>
      <c r="N673" s="109"/>
      <c r="O673" s="109"/>
      <c r="P673" s="109"/>
      <c r="Q673" s="109"/>
      <c r="R673" s="109"/>
      <c r="S673" s="109"/>
      <c r="T673" s="109"/>
      <c r="U673" s="109"/>
      <c r="V673" s="109"/>
      <c r="W673" s="109"/>
      <c r="X673" s="109"/>
      <c r="Y673" s="109"/>
      <c r="Z673" s="109"/>
      <c r="AA673" s="109"/>
      <c r="AB673" s="109"/>
      <c r="AC673" s="109"/>
      <c r="AD673" s="109"/>
      <c r="AE673" s="109"/>
      <c r="AF673" s="109"/>
      <c r="AG673" s="109"/>
      <c r="AH673" s="109"/>
      <c r="AI673" s="109"/>
      <c r="AJ673" s="109"/>
      <c r="AK673" s="109"/>
      <c r="AL673" s="109"/>
      <c r="AM673" s="109"/>
      <c r="AN673" s="109"/>
      <c r="AO673" s="109"/>
      <c r="AP673" s="109"/>
      <c r="AQ673" s="109"/>
      <c r="AR673" s="109"/>
      <c r="AS673" s="109"/>
      <c r="AT673" s="109"/>
      <c r="AU673" s="109"/>
      <c r="AV673" s="109"/>
      <c r="AW673" s="109"/>
      <c r="AX673" s="109"/>
      <c r="AY673" s="34" t="s">
        <v>223</v>
      </c>
      <c r="AZ673" s="47" t="s">
        <v>1311</v>
      </c>
      <c r="BA673" s="63" t="s">
        <v>291</v>
      </c>
      <c r="BB673" s="63"/>
      <c r="BC673" s="149" t="s">
        <v>1312</v>
      </c>
      <c r="BI673" s="42">
        <v>1</v>
      </c>
    </row>
    <row r="674" spans="1:61" s="24" customFormat="1" ht="18" hidden="1" customHeight="1">
      <c r="A674" s="32"/>
      <c r="B674" s="56"/>
      <c r="C674" s="93" t="s">
        <v>59</v>
      </c>
      <c r="D674" s="35">
        <f t="shared" si="83"/>
        <v>0.18</v>
      </c>
      <c r="E674" s="35"/>
      <c r="F674" s="35">
        <f t="shared" si="84"/>
        <v>0.18</v>
      </c>
      <c r="G674" s="109"/>
      <c r="H674" s="109">
        <v>0.18</v>
      </c>
      <c r="I674" s="109"/>
      <c r="J674" s="109"/>
      <c r="K674" s="109"/>
      <c r="L674" s="109"/>
      <c r="M674" s="109"/>
      <c r="N674" s="109"/>
      <c r="O674" s="109"/>
      <c r="P674" s="109"/>
      <c r="Q674" s="109"/>
      <c r="R674" s="109"/>
      <c r="S674" s="109"/>
      <c r="T674" s="109"/>
      <c r="U674" s="109"/>
      <c r="V674" s="109"/>
      <c r="W674" s="109"/>
      <c r="X674" s="109"/>
      <c r="Y674" s="109"/>
      <c r="Z674" s="109"/>
      <c r="AA674" s="109"/>
      <c r="AB674" s="109"/>
      <c r="AC674" s="109"/>
      <c r="AD674" s="109"/>
      <c r="AE674" s="109"/>
      <c r="AF674" s="109"/>
      <c r="AG674" s="109"/>
      <c r="AH674" s="109"/>
      <c r="AI674" s="109"/>
      <c r="AJ674" s="109"/>
      <c r="AK674" s="109"/>
      <c r="AL674" s="109"/>
      <c r="AM674" s="109"/>
      <c r="AN674" s="109"/>
      <c r="AO674" s="109"/>
      <c r="AP674" s="109"/>
      <c r="AQ674" s="109"/>
      <c r="AR674" s="109"/>
      <c r="AS674" s="109"/>
      <c r="AT674" s="109"/>
      <c r="AU674" s="109"/>
      <c r="AV674" s="109"/>
      <c r="AW674" s="109"/>
      <c r="AX674" s="109"/>
      <c r="AY674" s="34" t="s">
        <v>223</v>
      </c>
      <c r="AZ674" s="47"/>
      <c r="BA674" s="63"/>
      <c r="BB674" s="63"/>
      <c r="BC674" s="149"/>
      <c r="BI674" s="42"/>
    </row>
    <row r="675" spans="1:61" s="24" customFormat="1" ht="18" hidden="1" customHeight="1">
      <c r="A675" s="32"/>
      <c r="B675" s="56"/>
      <c r="C675" s="93" t="s">
        <v>44</v>
      </c>
      <c r="D675" s="35">
        <f t="shared" si="83"/>
        <v>0.2</v>
      </c>
      <c r="E675" s="35"/>
      <c r="F675" s="35">
        <f t="shared" si="84"/>
        <v>0.2</v>
      </c>
      <c r="G675" s="109"/>
      <c r="H675" s="109">
        <v>0.2</v>
      </c>
      <c r="I675" s="109"/>
      <c r="J675" s="109"/>
      <c r="K675" s="109"/>
      <c r="L675" s="109"/>
      <c r="M675" s="109"/>
      <c r="N675" s="109"/>
      <c r="O675" s="109"/>
      <c r="P675" s="109"/>
      <c r="Q675" s="109"/>
      <c r="R675" s="109"/>
      <c r="S675" s="109"/>
      <c r="T675" s="109"/>
      <c r="U675" s="109"/>
      <c r="V675" s="109"/>
      <c r="W675" s="109"/>
      <c r="X675" s="109"/>
      <c r="Y675" s="109"/>
      <c r="Z675" s="109"/>
      <c r="AA675" s="109"/>
      <c r="AB675" s="109"/>
      <c r="AC675" s="109"/>
      <c r="AD675" s="109"/>
      <c r="AE675" s="109"/>
      <c r="AF675" s="109"/>
      <c r="AG675" s="109"/>
      <c r="AH675" s="109"/>
      <c r="AI675" s="109"/>
      <c r="AJ675" s="109"/>
      <c r="AK675" s="109"/>
      <c r="AL675" s="109"/>
      <c r="AM675" s="109"/>
      <c r="AN675" s="109"/>
      <c r="AO675" s="109"/>
      <c r="AP675" s="109"/>
      <c r="AQ675" s="109"/>
      <c r="AR675" s="109"/>
      <c r="AS675" s="109"/>
      <c r="AT675" s="109"/>
      <c r="AU675" s="109"/>
      <c r="AV675" s="109"/>
      <c r="AW675" s="109"/>
      <c r="AX675" s="109"/>
      <c r="AY675" s="34" t="s">
        <v>223</v>
      </c>
      <c r="AZ675" s="47"/>
      <c r="BA675" s="63"/>
      <c r="BB675" s="63"/>
      <c r="BC675" s="149"/>
      <c r="BI675" s="42"/>
    </row>
    <row r="676" spans="1:61" s="24" customFormat="1" ht="18" hidden="1" customHeight="1">
      <c r="A676" s="32"/>
      <c r="B676" s="56"/>
      <c r="C676" s="93" t="s">
        <v>138</v>
      </c>
      <c r="D676" s="35">
        <f t="shared" si="83"/>
        <v>0.12</v>
      </c>
      <c r="E676" s="35"/>
      <c r="F676" s="35">
        <f t="shared" si="84"/>
        <v>0.12</v>
      </c>
      <c r="G676" s="147">
        <f>G673-G674-G675</f>
        <v>0</v>
      </c>
      <c r="H676" s="147">
        <f t="shared" ref="H676:AX676" si="88">H673-H674-H675</f>
        <v>0.12</v>
      </c>
      <c r="I676" s="147">
        <f t="shared" si="88"/>
        <v>0</v>
      </c>
      <c r="J676" s="147">
        <f t="shared" si="88"/>
        <v>0</v>
      </c>
      <c r="K676" s="147">
        <f t="shared" si="88"/>
        <v>0</v>
      </c>
      <c r="L676" s="147">
        <f t="shared" si="88"/>
        <v>0</v>
      </c>
      <c r="M676" s="147">
        <f t="shared" si="88"/>
        <v>0</v>
      </c>
      <c r="N676" s="147">
        <f t="shared" si="88"/>
        <v>0</v>
      </c>
      <c r="O676" s="147">
        <f t="shared" si="88"/>
        <v>0</v>
      </c>
      <c r="P676" s="147">
        <f t="shared" si="88"/>
        <v>0</v>
      </c>
      <c r="Q676" s="147">
        <f t="shared" si="88"/>
        <v>0</v>
      </c>
      <c r="R676" s="147">
        <f t="shared" si="88"/>
        <v>0</v>
      </c>
      <c r="S676" s="147">
        <f t="shared" si="88"/>
        <v>0</v>
      </c>
      <c r="T676" s="147">
        <f t="shared" si="88"/>
        <v>0</v>
      </c>
      <c r="U676" s="147">
        <f t="shared" si="88"/>
        <v>0</v>
      </c>
      <c r="V676" s="147">
        <f t="shared" si="88"/>
        <v>0</v>
      </c>
      <c r="W676" s="147">
        <f t="shared" si="88"/>
        <v>0</v>
      </c>
      <c r="X676" s="147">
        <f t="shared" si="88"/>
        <v>0</v>
      </c>
      <c r="Y676" s="147">
        <f t="shared" si="88"/>
        <v>0</v>
      </c>
      <c r="Z676" s="147">
        <f t="shared" si="88"/>
        <v>0</v>
      </c>
      <c r="AA676" s="147">
        <f t="shared" si="88"/>
        <v>0</v>
      </c>
      <c r="AB676" s="147">
        <f t="shared" si="88"/>
        <v>0</v>
      </c>
      <c r="AC676" s="147">
        <f t="shared" si="88"/>
        <v>0</v>
      </c>
      <c r="AD676" s="147">
        <f t="shared" si="88"/>
        <v>0</v>
      </c>
      <c r="AE676" s="147">
        <f t="shared" si="88"/>
        <v>0</v>
      </c>
      <c r="AF676" s="147">
        <f t="shared" si="88"/>
        <v>0</v>
      </c>
      <c r="AG676" s="147">
        <f t="shared" si="88"/>
        <v>0</v>
      </c>
      <c r="AH676" s="147">
        <f t="shared" si="88"/>
        <v>0</v>
      </c>
      <c r="AI676" s="147">
        <f t="shared" si="88"/>
        <v>0</v>
      </c>
      <c r="AJ676" s="147">
        <f t="shared" si="88"/>
        <v>0</v>
      </c>
      <c r="AK676" s="147">
        <f t="shared" si="88"/>
        <v>0</v>
      </c>
      <c r="AL676" s="147">
        <f t="shared" si="88"/>
        <v>0</v>
      </c>
      <c r="AM676" s="147">
        <f t="shared" si="88"/>
        <v>0</v>
      </c>
      <c r="AN676" s="147">
        <f t="shared" si="88"/>
        <v>0</v>
      </c>
      <c r="AO676" s="147">
        <f t="shared" si="88"/>
        <v>0</v>
      </c>
      <c r="AP676" s="147">
        <f t="shared" si="88"/>
        <v>0</v>
      </c>
      <c r="AQ676" s="147">
        <f t="shared" si="88"/>
        <v>0</v>
      </c>
      <c r="AR676" s="147">
        <f t="shared" si="88"/>
        <v>0</v>
      </c>
      <c r="AS676" s="147">
        <f t="shared" si="88"/>
        <v>0</v>
      </c>
      <c r="AT676" s="147">
        <f t="shared" si="88"/>
        <v>0</v>
      </c>
      <c r="AU676" s="147">
        <f t="shared" si="88"/>
        <v>0</v>
      </c>
      <c r="AV676" s="147">
        <f t="shared" si="88"/>
        <v>0</v>
      </c>
      <c r="AW676" s="147">
        <f t="shared" si="88"/>
        <v>0</v>
      </c>
      <c r="AX676" s="147">
        <f t="shared" si="88"/>
        <v>0</v>
      </c>
      <c r="AY676" s="34" t="s">
        <v>223</v>
      </c>
      <c r="AZ676" s="47"/>
      <c r="BA676" s="63"/>
      <c r="BB676" s="63"/>
      <c r="BC676" s="149"/>
      <c r="BI676" s="42"/>
    </row>
    <row r="677" spans="1:61" s="24" customFormat="1" ht="18" customHeight="1">
      <c r="A677" s="32">
        <f>A673+1</f>
        <v>589</v>
      </c>
      <c r="B677" s="56" t="s">
        <v>186</v>
      </c>
      <c r="C677" s="93" t="s">
        <v>1260</v>
      </c>
      <c r="D677" s="35">
        <f t="shared" si="83"/>
        <v>0.5</v>
      </c>
      <c r="E677" s="35"/>
      <c r="F677" s="35">
        <f t="shared" si="84"/>
        <v>0.5</v>
      </c>
      <c r="G677" s="109">
        <v>0.5</v>
      </c>
      <c r="H677" s="109"/>
      <c r="I677" s="109"/>
      <c r="J677" s="109"/>
      <c r="K677" s="109"/>
      <c r="L677" s="109"/>
      <c r="M677" s="109"/>
      <c r="N677" s="109"/>
      <c r="O677" s="109"/>
      <c r="P677" s="109"/>
      <c r="Q677" s="109"/>
      <c r="R677" s="109"/>
      <c r="S677" s="109"/>
      <c r="T677" s="109"/>
      <c r="U677" s="109"/>
      <c r="V677" s="109"/>
      <c r="W677" s="109"/>
      <c r="X677" s="109"/>
      <c r="Y677" s="109"/>
      <c r="Z677" s="109"/>
      <c r="AA677" s="109"/>
      <c r="AB677" s="109"/>
      <c r="AC677" s="109"/>
      <c r="AD677" s="109"/>
      <c r="AE677" s="109"/>
      <c r="AF677" s="109"/>
      <c r="AG677" s="109"/>
      <c r="AH677" s="109"/>
      <c r="AI677" s="109"/>
      <c r="AJ677" s="109"/>
      <c r="AK677" s="109"/>
      <c r="AL677" s="109"/>
      <c r="AM677" s="109"/>
      <c r="AN677" s="109"/>
      <c r="AO677" s="109"/>
      <c r="AP677" s="109"/>
      <c r="AQ677" s="109"/>
      <c r="AR677" s="109"/>
      <c r="AS677" s="109"/>
      <c r="AT677" s="109"/>
      <c r="AU677" s="109"/>
      <c r="AV677" s="109"/>
      <c r="AW677" s="109"/>
      <c r="AX677" s="109"/>
      <c r="AY677" s="34" t="s">
        <v>223</v>
      </c>
      <c r="AZ677" s="47" t="s">
        <v>1313</v>
      </c>
      <c r="BA677" s="63" t="s">
        <v>291</v>
      </c>
      <c r="BB677" s="63"/>
      <c r="BC677" s="149" t="s">
        <v>1314</v>
      </c>
      <c r="BI677" s="42">
        <v>1</v>
      </c>
    </row>
    <row r="678" spans="1:61" s="24" customFormat="1" ht="18" hidden="1" customHeight="1">
      <c r="A678" s="32"/>
      <c r="B678" s="56"/>
      <c r="C678" s="93" t="s">
        <v>59</v>
      </c>
      <c r="D678" s="35">
        <f t="shared" si="83"/>
        <v>0.18</v>
      </c>
      <c r="E678" s="35"/>
      <c r="F678" s="35">
        <f t="shared" si="84"/>
        <v>0.18</v>
      </c>
      <c r="G678" s="109">
        <v>0.18</v>
      </c>
      <c r="H678" s="109"/>
      <c r="I678" s="109"/>
      <c r="J678" s="109"/>
      <c r="K678" s="109"/>
      <c r="L678" s="109"/>
      <c r="M678" s="109"/>
      <c r="N678" s="109"/>
      <c r="O678" s="109"/>
      <c r="P678" s="109"/>
      <c r="Q678" s="109"/>
      <c r="R678" s="109"/>
      <c r="S678" s="109"/>
      <c r="T678" s="109"/>
      <c r="U678" s="109"/>
      <c r="V678" s="109"/>
      <c r="W678" s="109"/>
      <c r="X678" s="109"/>
      <c r="Y678" s="109"/>
      <c r="Z678" s="109"/>
      <c r="AA678" s="109"/>
      <c r="AB678" s="109"/>
      <c r="AC678" s="109"/>
      <c r="AD678" s="109"/>
      <c r="AE678" s="109"/>
      <c r="AF678" s="109"/>
      <c r="AG678" s="109"/>
      <c r="AH678" s="109"/>
      <c r="AI678" s="109"/>
      <c r="AJ678" s="109"/>
      <c r="AK678" s="109"/>
      <c r="AL678" s="109"/>
      <c r="AM678" s="109"/>
      <c r="AN678" s="109"/>
      <c r="AO678" s="109"/>
      <c r="AP678" s="109"/>
      <c r="AQ678" s="109"/>
      <c r="AR678" s="109"/>
      <c r="AS678" s="109"/>
      <c r="AT678" s="109"/>
      <c r="AU678" s="109"/>
      <c r="AV678" s="109"/>
      <c r="AW678" s="109"/>
      <c r="AX678" s="109"/>
      <c r="AY678" s="34" t="s">
        <v>223</v>
      </c>
      <c r="AZ678" s="47"/>
      <c r="BA678" s="63"/>
      <c r="BB678" s="63"/>
      <c r="BC678" s="149"/>
      <c r="BI678" s="42"/>
    </row>
    <row r="679" spans="1:61" s="24" customFormat="1" ht="18" hidden="1" customHeight="1">
      <c r="A679" s="32"/>
      <c r="B679" s="56"/>
      <c r="C679" s="93" t="s">
        <v>44</v>
      </c>
      <c r="D679" s="35">
        <f t="shared" si="83"/>
        <v>0.2</v>
      </c>
      <c r="E679" s="35"/>
      <c r="F679" s="35">
        <f t="shared" si="84"/>
        <v>0.2</v>
      </c>
      <c r="G679" s="109">
        <v>0.2</v>
      </c>
      <c r="H679" s="109"/>
      <c r="I679" s="109"/>
      <c r="J679" s="109"/>
      <c r="K679" s="109"/>
      <c r="L679" s="109"/>
      <c r="M679" s="109"/>
      <c r="N679" s="109"/>
      <c r="O679" s="109"/>
      <c r="P679" s="109"/>
      <c r="Q679" s="109"/>
      <c r="R679" s="109"/>
      <c r="S679" s="109"/>
      <c r="T679" s="109"/>
      <c r="U679" s="109"/>
      <c r="V679" s="109"/>
      <c r="W679" s="109"/>
      <c r="X679" s="109"/>
      <c r="Y679" s="109"/>
      <c r="Z679" s="109"/>
      <c r="AA679" s="109"/>
      <c r="AB679" s="109"/>
      <c r="AC679" s="109"/>
      <c r="AD679" s="109"/>
      <c r="AE679" s="109"/>
      <c r="AF679" s="109"/>
      <c r="AG679" s="109"/>
      <c r="AH679" s="109"/>
      <c r="AI679" s="109"/>
      <c r="AJ679" s="109"/>
      <c r="AK679" s="109"/>
      <c r="AL679" s="109"/>
      <c r="AM679" s="109"/>
      <c r="AN679" s="109"/>
      <c r="AO679" s="109"/>
      <c r="AP679" s="109"/>
      <c r="AQ679" s="109"/>
      <c r="AR679" s="109"/>
      <c r="AS679" s="109"/>
      <c r="AT679" s="109"/>
      <c r="AU679" s="109"/>
      <c r="AV679" s="109"/>
      <c r="AW679" s="109"/>
      <c r="AX679" s="109"/>
      <c r="AY679" s="34" t="s">
        <v>223</v>
      </c>
      <c r="AZ679" s="47"/>
      <c r="BA679" s="63"/>
      <c r="BB679" s="63"/>
      <c r="BC679" s="149"/>
      <c r="BI679" s="42"/>
    </row>
    <row r="680" spans="1:61" s="24" customFormat="1" ht="18" hidden="1" customHeight="1">
      <c r="A680" s="32"/>
      <c r="B680" s="56"/>
      <c r="C680" s="93" t="s">
        <v>138</v>
      </c>
      <c r="D680" s="35">
        <f t="shared" si="83"/>
        <v>0.12</v>
      </c>
      <c r="E680" s="35"/>
      <c r="F680" s="35">
        <f t="shared" si="84"/>
        <v>0.12</v>
      </c>
      <c r="G680" s="147">
        <f>G677-G678-G679</f>
        <v>0.12</v>
      </c>
      <c r="H680" s="147">
        <f t="shared" ref="H680:AX680" si="89">H677-H678-H679</f>
        <v>0</v>
      </c>
      <c r="I680" s="147">
        <f t="shared" si="89"/>
        <v>0</v>
      </c>
      <c r="J680" s="147">
        <f t="shared" si="89"/>
        <v>0</v>
      </c>
      <c r="K680" s="147">
        <f t="shared" si="89"/>
        <v>0</v>
      </c>
      <c r="L680" s="147">
        <f t="shared" si="89"/>
        <v>0</v>
      </c>
      <c r="M680" s="147">
        <f t="shared" si="89"/>
        <v>0</v>
      </c>
      <c r="N680" s="147">
        <f t="shared" si="89"/>
        <v>0</v>
      </c>
      <c r="O680" s="147">
        <f t="shared" si="89"/>
        <v>0</v>
      </c>
      <c r="P680" s="147">
        <f t="shared" si="89"/>
        <v>0</v>
      </c>
      <c r="Q680" s="147">
        <f t="shared" si="89"/>
        <v>0</v>
      </c>
      <c r="R680" s="147">
        <f t="shared" si="89"/>
        <v>0</v>
      </c>
      <c r="S680" s="147">
        <f t="shared" si="89"/>
        <v>0</v>
      </c>
      <c r="T680" s="147">
        <f t="shared" si="89"/>
        <v>0</v>
      </c>
      <c r="U680" s="147">
        <f t="shared" si="89"/>
        <v>0</v>
      </c>
      <c r="V680" s="147">
        <f t="shared" si="89"/>
        <v>0</v>
      </c>
      <c r="W680" s="147">
        <f t="shared" si="89"/>
        <v>0</v>
      </c>
      <c r="X680" s="147">
        <f t="shared" si="89"/>
        <v>0</v>
      </c>
      <c r="Y680" s="147">
        <f t="shared" si="89"/>
        <v>0</v>
      </c>
      <c r="Z680" s="147">
        <f t="shared" si="89"/>
        <v>0</v>
      </c>
      <c r="AA680" s="147">
        <f t="shared" si="89"/>
        <v>0</v>
      </c>
      <c r="AB680" s="147">
        <f t="shared" si="89"/>
        <v>0</v>
      </c>
      <c r="AC680" s="147">
        <f t="shared" si="89"/>
        <v>0</v>
      </c>
      <c r="AD680" s="147">
        <f t="shared" si="89"/>
        <v>0</v>
      </c>
      <c r="AE680" s="147">
        <f t="shared" si="89"/>
        <v>0</v>
      </c>
      <c r="AF680" s="147">
        <f t="shared" si="89"/>
        <v>0</v>
      </c>
      <c r="AG680" s="147">
        <f t="shared" si="89"/>
        <v>0</v>
      </c>
      <c r="AH680" s="147">
        <f t="shared" si="89"/>
        <v>0</v>
      </c>
      <c r="AI680" s="147">
        <f t="shared" si="89"/>
        <v>0</v>
      </c>
      <c r="AJ680" s="147">
        <f t="shared" si="89"/>
        <v>0</v>
      </c>
      <c r="AK680" s="147">
        <f t="shared" si="89"/>
        <v>0</v>
      </c>
      <c r="AL680" s="147">
        <f t="shared" si="89"/>
        <v>0</v>
      </c>
      <c r="AM680" s="147">
        <f t="shared" si="89"/>
        <v>0</v>
      </c>
      <c r="AN680" s="147">
        <f t="shared" si="89"/>
        <v>0</v>
      </c>
      <c r="AO680" s="147">
        <f t="shared" si="89"/>
        <v>0</v>
      </c>
      <c r="AP680" s="147">
        <f t="shared" si="89"/>
        <v>0</v>
      </c>
      <c r="AQ680" s="147">
        <f t="shared" si="89"/>
        <v>0</v>
      </c>
      <c r="AR680" s="147">
        <f t="shared" si="89"/>
        <v>0</v>
      </c>
      <c r="AS680" s="147">
        <f t="shared" si="89"/>
        <v>0</v>
      </c>
      <c r="AT680" s="147">
        <f t="shared" si="89"/>
        <v>0</v>
      </c>
      <c r="AU680" s="147">
        <f t="shared" si="89"/>
        <v>0</v>
      </c>
      <c r="AV680" s="147">
        <f t="shared" si="89"/>
        <v>0</v>
      </c>
      <c r="AW680" s="147">
        <f t="shared" si="89"/>
        <v>0</v>
      </c>
      <c r="AX680" s="147">
        <f t="shared" si="89"/>
        <v>0</v>
      </c>
      <c r="AY680" s="34" t="s">
        <v>223</v>
      </c>
      <c r="AZ680" s="47"/>
      <c r="BA680" s="63"/>
      <c r="BB680" s="63"/>
      <c r="BC680" s="149"/>
      <c r="BI680" s="42"/>
    </row>
    <row r="681" spans="1:61" s="24" customFormat="1" ht="18" customHeight="1">
      <c r="A681" s="32">
        <f>A677+1</f>
        <v>590</v>
      </c>
      <c r="B681" s="56" t="s">
        <v>186</v>
      </c>
      <c r="C681" s="93" t="s">
        <v>59</v>
      </c>
      <c r="D681" s="35">
        <f t="shared" si="83"/>
        <v>0.3</v>
      </c>
      <c r="E681" s="35"/>
      <c r="F681" s="35">
        <f t="shared" si="84"/>
        <v>0.3</v>
      </c>
      <c r="G681" s="109">
        <v>0.3</v>
      </c>
      <c r="H681" s="109"/>
      <c r="I681" s="109"/>
      <c r="J681" s="109"/>
      <c r="K681" s="109"/>
      <c r="L681" s="109"/>
      <c r="M681" s="109"/>
      <c r="N681" s="109"/>
      <c r="O681" s="109"/>
      <c r="P681" s="109"/>
      <c r="Q681" s="109"/>
      <c r="R681" s="109"/>
      <c r="S681" s="109"/>
      <c r="T681" s="109"/>
      <c r="U681" s="109"/>
      <c r="V681" s="109"/>
      <c r="W681" s="109"/>
      <c r="X681" s="109"/>
      <c r="Y681" s="109"/>
      <c r="Z681" s="109"/>
      <c r="AA681" s="109"/>
      <c r="AB681" s="109"/>
      <c r="AC681" s="109"/>
      <c r="AD681" s="109"/>
      <c r="AE681" s="109"/>
      <c r="AF681" s="109"/>
      <c r="AG681" s="109"/>
      <c r="AH681" s="109"/>
      <c r="AI681" s="109"/>
      <c r="AJ681" s="109"/>
      <c r="AK681" s="109"/>
      <c r="AL681" s="109"/>
      <c r="AM681" s="109"/>
      <c r="AN681" s="109"/>
      <c r="AO681" s="109"/>
      <c r="AP681" s="109"/>
      <c r="AQ681" s="109"/>
      <c r="AR681" s="109"/>
      <c r="AS681" s="109"/>
      <c r="AT681" s="109"/>
      <c r="AU681" s="109"/>
      <c r="AV681" s="109"/>
      <c r="AW681" s="109"/>
      <c r="AX681" s="109"/>
      <c r="AY681" s="34" t="s">
        <v>223</v>
      </c>
      <c r="AZ681" s="47" t="s">
        <v>1315</v>
      </c>
      <c r="BA681" s="63" t="s">
        <v>291</v>
      </c>
      <c r="BB681" s="63"/>
      <c r="BC681" s="149" t="s">
        <v>1316</v>
      </c>
      <c r="BI681" s="42">
        <v>1</v>
      </c>
    </row>
    <row r="682" spans="1:61" s="24" customFormat="1" ht="18" customHeight="1">
      <c r="A682" s="32">
        <f>A681+1</f>
        <v>591</v>
      </c>
      <c r="B682" s="56" t="s">
        <v>186</v>
      </c>
      <c r="C682" s="93" t="s">
        <v>59</v>
      </c>
      <c r="D682" s="35">
        <f t="shared" si="83"/>
        <v>0.23</v>
      </c>
      <c r="E682" s="35"/>
      <c r="F682" s="35">
        <f t="shared" si="84"/>
        <v>0.23</v>
      </c>
      <c r="G682" s="109">
        <v>0.23</v>
      </c>
      <c r="H682" s="109"/>
      <c r="I682" s="109"/>
      <c r="J682" s="109"/>
      <c r="K682" s="109"/>
      <c r="L682" s="109"/>
      <c r="M682" s="109"/>
      <c r="N682" s="109"/>
      <c r="O682" s="109"/>
      <c r="P682" s="109"/>
      <c r="Q682" s="109"/>
      <c r="R682" s="109"/>
      <c r="S682" s="109"/>
      <c r="T682" s="109"/>
      <c r="U682" s="109"/>
      <c r="V682" s="109"/>
      <c r="W682" s="109"/>
      <c r="X682" s="109"/>
      <c r="Y682" s="109"/>
      <c r="Z682" s="109"/>
      <c r="AA682" s="109"/>
      <c r="AB682" s="109"/>
      <c r="AC682" s="109"/>
      <c r="AD682" s="109"/>
      <c r="AE682" s="109"/>
      <c r="AF682" s="109"/>
      <c r="AG682" s="109"/>
      <c r="AH682" s="109"/>
      <c r="AI682" s="109"/>
      <c r="AJ682" s="109"/>
      <c r="AK682" s="109"/>
      <c r="AL682" s="109"/>
      <c r="AM682" s="109"/>
      <c r="AN682" s="109"/>
      <c r="AO682" s="109"/>
      <c r="AP682" s="109"/>
      <c r="AQ682" s="109"/>
      <c r="AR682" s="109"/>
      <c r="AS682" s="109"/>
      <c r="AT682" s="109"/>
      <c r="AU682" s="109"/>
      <c r="AV682" s="109"/>
      <c r="AW682" s="109"/>
      <c r="AX682" s="109"/>
      <c r="AY682" s="34" t="s">
        <v>223</v>
      </c>
      <c r="AZ682" s="34" t="s">
        <v>328</v>
      </c>
      <c r="BA682" s="63" t="s">
        <v>291</v>
      </c>
      <c r="BB682" s="63"/>
      <c r="BC682" s="149" t="s">
        <v>1317</v>
      </c>
      <c r="BI682" s="42">
        <v>1</v>
      </c>
    </row>
    <row r="683" spans="1:61" s="24" customFormat="1" ht="20.100000000000001" customHeight="1">
      <c r="A683" s="32">
        <f>A682+1</f>
        <v>592</v>
      </c>
      <c r="B683" s="56" t="s">
        <v>186</v>
      </c>
      <c r="C683" s="93" t="s">
        <v>59</v>
      </c>
      <c r="D683" s="35">
        <f t="shared" si="83"/>
        <v>0.33</v>
      </c>
      <c r="E683" s="108"/>
      <c r="F683" s="35">
        <f t="shared" si="84"/>
        <v>0.33</v>
      </c>
      <c r="G683" s="109"/>
      <c r="H683" s="109"/>
      <c r="I683" s="109"/>
      <c r="J683" s="109">
        <v>0.33</v>
      </c>
      <c r="K683" s="109"/>
      <c r="L683" s="109"/>
      <c r="M683" s="109"/>
      <c r="N683" s="109"/>
      <c r="O683" s="109"/>
      <c r="P683" s="109"/>
      <c r="Q683" s="109"/>
      <c r="R683" s="109"/>
      <c r="S683" s="109"/>
      <c r="T683" s="109"/>
      <c r="U683" s="109"/>
      <c r="V683" s="109"/>
      <c r="W683" s="109"/>
      <c r="X683" s="109"/>
      <c r="Y683" s="109"/>
      <c r="Z683" s="109"/>
      <c r="AA683" s="109"/>
      <c r="AB683" s="109"/>
      <c r="AC683" s="109"/>
      <c r="AD683" s="109"/>
      <c r="AE683" s="109"/>
      <c r="AF683" s="109"/>
      <c r="AG683" s="109"/>
      <c r="AH683" s="109"/>
      <c r="AI683" s="109"/>
      <c r="AJ683" s="109"/>
      <c r="AK683" s="109"/>
      <c r="AL683" s="109"/>
      <c r="AM683" s="109"/>
      <c r="AN683" s="109"/>
      <c r="AO683" s="109"/>
      <c r="AP683" s="109"/>
      <c r="AQ683" s="109"/>
      <c r="AR683" s="109"/>
      <c r="AS683" s="109"/>
      <c r="AT683" s="109"/>
      <c r="AU683" s="109"/>
      <c r="AV683" s="109"/>
      <c r="AW683" s="109"/>
      <c r="AX683" s="109"/>
      <c r="AY683" s="34" t="s">
        <v>223</v>
      </c>
      <c r="AZ683" s="47" t="s">
        <v>1318</v>
      </c>
      <c r="BA683" s="47" t="s">
        <v>298</v>
      </c>
      <c r="BB683" s="47"/>
      <c r="BC683" s="151" t="s">
        <v>1319</v>
      </c>
      <c r="BI683" s="42">
        <v>1</v>
      </c>
    </row>
    <row r="684" spans="1:61" s="24" customFormat="1" ht="31.5">
      <c r="A684" s="32">
        <f>A683+1</f>
        <v>593</v>
      </c>
      <c r="B684" s="56" t="s">
        <v>186</v>
      </c>
      <c r="C684" s="93" t="s">
        <v>1260</v>
      </c>
      <c r="D684" s="35">
        <f t="shared" si="83"/>
        <v>1.5</v>
      </c>
      <c r="E684" s="108"/>
      <c r="F684" s="35">
        <f t="shared" si="84"/>
        <v>1.5</v>
      </c>
      <c r="G684" s="109"/>
      <c r="H684" s="109"/>
      <c r="I684" s="109"/>
      <c r="J684" s="109">
        <v>0.6</v>
      </c>
      <c r="K684" s="109"/>
      <c r="L684" s="109"/>
      <c r="M684" s="109">
        <v>0.9</v>
      </c>
      <c r="N684" s="109"/>
      <c r="O684" s="109"/>
      <c r="P684" s="109"/>
      <c r="Q684" s="109"/>
      <c r="R684" s="109"/>
      <c r="S684" s="109"/>
      <c r="T684" s="109"/>
      <c r="U684" s="109"/>
      <c r="V684" s="109"/>
      <c r="W684" s="109"/>
      <c r="X684" s="109"/>
      <c r="Y684" s="109"/>
      <c r="Z684" s="109"/>
      <c r="AA684" s="109"/>
      <c r="AB684" s="109"/>
      <c r="AC684" s="109"/>
      <c r="AD684" s="109"/>
      <c r="AE684" s="109"/>
      <c r="AF684" s="109"/>
      <c r="AG684" s="109"/>
      <c r="AH684" s="109"/>
      <c r="AI684" s="109"/>
      <c r="AJ684" s="109"/>
      <c r="AK684" s="109"/>
      <c r="AL684" s="109"/>
      <c r="AM684" s="109"/>
      <c r="AN684" s="109"/>
      <c r="AO684" s="109"/>
      <c r="AP684" s="109"/>
      <c r="AQ684" s="109"/>
      <c r="AR684" s="109"/>
      <c r="AS684" s="109"/>
      <c r="AT684" s="109"/>
      <c r="AU684" s="109"/>
      <c r="AV684" s="109"/>
      <c r="AW684" s="109"/>
      <c r="AX684" s="109"/>
      <c r="AY684" s="34" t="s">
        <v>223</v>
      </c>
      <c r="AZ684" s="47" t="s">
        <v>1320</v>
      </c>
      <c r="BA684" s="47" t="s">
        <v>298</v>
      </c>
      <c r="BB684" s="47"/>
      <c r="BC684" s="151" t="s">
        <v>1319</v>
      </c>
      <c r="BG684" s="135" t="s">
        <v>1321</v>
      </c>
      <c r="BI684" s="42">
        <v>1</v>
      </c>
    </row>
    <row r="685" spans="1:61" s="24" customFormat="1" hidden="1">
      <c r="A685" s="32"/>
      <c r="B685" s="56"/>
      <c r="C685" s="93" t="s">
        <v>59</v>
      </c>
      <c r="D685" s="35">
        <f t="shared" si="83"/>
        <v>0.53</v>
      </c>
      <c r="E685" s="108"/>
      <c r="F685" s="35">
        <f t="shared" si="84"/>
        <v>0.53</v>
      </c>
      <c r="G685" s="109"/>
      <c r="H685" s="109"/>
      <c r="I685" s="109"/>
      <c r="J685" s="109">
        <v>0.25</v>
      </c>
      <c r="K685" s="109"/>
      <c r="L685" s="109"/>
      <c r="M685" s="109">
        <v>0.28000000000000003</v>
      </c>
      <c r="N685" s="109"/>
      <c r="O685" s="109"/>
      <c r="P685" s="109"/>
      <c r="Q685" s="109"/>
      <c r="R685" s="109"/>
      <c r="S685" s="109"/>
      <c r="T685" s="109"/>
      <c r="U685" s="109"/>
      <c r="V685" s="109"/>
      <c r="W685" s="109"/>
      <c r="X685" s="109"/>
      <c r="Y685" s="109"/>
      <c r="Z685" s="109"/>
      <c r="AA685" s="109"/>
      <c r="AB685" s="109"/>
      <c r="AC685" s="109"/>
      <c r="AD685" s="109"/>
      <c r="AE685" s="109"/>
      <c r="AF685" s="109"/>
      <c r="AG685" s="109"/>
      <c r="AH685" s="109"/>
      <c r="AI685" s="109"/>
      <c r="AJ685" s="109"/>
      <c r="AK685" s="109"/>
      <c r="AL685" s="109"/>
      <c r="AM685" s="109"/>
      <c r="AN685" s="109"/>
      <c r="AO685" s="109"/>
      <c r="AP685" s="109"/>
      <c r="AQ685" s="109"/>
      <c r="AR685" s="109"/>
      <c r="AS685" s="109"/>
      <c r="AT685" s="109"/>
      <c r="AU685" s="109"/>
      <c r="AV685" s="109"/>
      <c r="AW685" s="109"/>
      <c r="AX685" s="109"/>
      <c r="AY685" s="34" t="s">
        <v>223</v>
      </c>
      <c r="AZ685" s="47"/>
      <c r="BA685" s="47"/>
      <c r="BB685" s="47"/>
      <c r="BC685" s="151"/>
      <c r="BG685" s="135"/>
      <c r="BI685" s="42"/>
    </row>
    <row r="686" spans="1:61" s="24" customFormat="1" hidden="1">
      <c r="A686" s="32"/>
      <c r="B686" s="56"/>
      <c r="C686" s="93" t="s">
        <v>44</v>
      </c>
      <c r="D686" s="35">
        <f t="shared" si="83"/>
        <v>0.53</v>
      </c>
      <c r="E686" s="108"/>
      <c r="F686" s="35">
        <f t="shared" si="84"/>
        <v>0.53</v>
      </c>
      <c r="G686" s="109"/>
      <c r="H686" s="109"/>
      <c r="I686" s="109"/>
      <c r="J686" s="109">
        <v>0.21</v>
      </c>
      <c r="K686" s="109"/>
      <c r="L686" s="109"/>
      <c r="M686" s="109">
        <v>0.32</v>
      </c>
      <c r="N686" s="109"/>
      <c r="O686" s="109"/>
      <c r="P686" s="109"/>
      <c r="Q686" s="109"/>
      <c r="R686" s="109"/>
      <c r="S686" s="109"/>
      <c r="T686" s="109"/>
      <c r="U686" s="109"/>
      <c r="V686" s="109"/>
      <c r="W686" s="109"/>
      <c r="X686" s="109"/>
      <c r="Y686" s="109"/>
      <c r="Z686" s="109"/>
      <c r="AA686" s="109"/>
      <c r="AB686" s="109"/>
      <c r="AC686" s="109"/>
      <c r="AD686" s="109"/>
      <c r="AE686" s="109"/>
      <c r="AF686" s="109"/>
      <c r="AG686" s="109"/>
      <c r="AH686" s="109"/>
      <c r="AI686" s="109"/>
      <c r="AJ686" s="109"/>
      <c r="AK686" s="109"/>
      <c r="AL686" s="109"/>
      <c r="AM686" s="109"/>
      <c r="AN686" s="109"/>
      <c r="AO686" s="109"/>
      <c r="AP686" s="109"/>
      <c r="AQ686" s="109"/>
      <c r="AR686" s="109"/>
      <c r="AS686" s="109"/>
      <c r="AT686" s="109"/>
      <c r="AU686" s="109"/>
      <c r="AV686" s="109"/>
      <c r="AW686" s="109"/>
      <c r="AX686" s="109"/>
      <c r="AY686" s="34" t="s">
        <v>223</v>
      </c>
      <c r="AZ686" s="47"/>
      <c r="BA686" s="47"/>
      <c r="BB686" s="47"/>
      <c r="BC686" s="151"/>
      <c r="BG686" s="135"/>
      <c r="BI686" s="42"/>
    </row>
    <row r="687" spans="1:61" s="24" customFormat="1" hidden="1">
      <c r="A687" s="32"/>
      <c r="B687" s="56"/>
      <c r="C687" s="93" t="s">
        <v>45</v>
      </c>
      <c r="D687" s="35">
        <f t="shared" si="83"/>
        <v>0.15000000000000002</v>
      </c>
      <c r="E687" s="108"/>
      <c r="F687" s="35">
        <f t="shared" si="84"/>
        <v>0.15000000000000002</v>
      </c>
      <c r="G687" s="109"/>
      <c r="H687" s="109"/>
      <c r="I687" s="109"/>
      <c r="J687" s="109">
        <v>0.05</v>
      </c>
      <c r="K687" s="109"/>
      <c r="L687" s="109"/>
      <c r="M687" s="109">
        <v>0.1</v>
      </c>
      <c r="N687" s="109"/>
      <c r="O687" s="109"/>
      <c r="P687" s="109"/>
      <c r="Q687" s="109"/>
      <c r="R687" s="109"/>
      <c r="S687" s="109"/>
      <c r="T687" s="109"/>
      <c r="U687" s="109"/>
      <c r="V687" s="109"/>
      <c r="W687" s="109"/>
      <c r="X687" s="109"/>
      <c r="Y687" s="109"/>
      <c r="Z687" s="109"/>
      <c r="AA687" s="109"/>
      <c r="AB687" s="109"/>
      <c r="AC687" s="109"/>
      <c r="AD687" s="109"/>
      <c r="AE687" s="109"/>
      <c r="AF687" s="109"/>
      <c r="AG687" s="109"/>
      <c r="AH687" s="109"/>
      <c r="AI687" s="109"/>
      <c r="AJ687" s="109"/>
      <c r="AK687" s="109"/>
      <c r="AL687" s="109"/>
      <c r="AM687" s="109"/>
      <c r="AN687" s="109"/>
      <c r="AO687" s="109"/>
      <c r="AP687" s="109"/>
      <c r="AQ687" s="109"/>
      <c r="AR687" s="109"/>
      <c r="AS687" s="109"/>
      <c r="AT687" s="109"/>
      <c r="AU687" s="109"/>
      <c r="AV687" s="109"/>
      <c r="AW687" s="109"/>
      <c r="AX687" s="109"/>
      <c r="AY687" s="34" t="s">
        <v>223</v>
      </c>
      <c r="AZ687" s="47"/>
      <c r="BA687" s="47"/>
      <c r="BB687" s="47"/>
      <c r="BC687" s="151"/>
      <c r="BG687" s="135"/>
      <c r="BI687" s="42"/>
    </row>
    <row r="688" spans="1:61" s="24" customFormat="1" hidden="1">
      <c r="A688" s="32"/>
      <c r="B688" s="56"/>
      <c r="C688" s="93" t="s">
        <v>138</v>
      </c>
      <c r="D688" s="35">
        <f t="shared" si="83"/>
        <v>0.28999999999999998</v>
      </c>
      <c r="E688" s="108"/>
      <c r="F688" s="35">
        <f t="shared" si="84"/>
        <v>0.28999999999999998</v>
      </c>
      <c r="G688" s="147">
        <f>G684-G685-G686-G687</f>
        <v>0</v>
      </c>
      <c r="H688" s="147">
        <f t="shared" ref="H688:AX688" si="90">H684-H685-H686-H687</f>
        <v>0</v>
      </c>
      <c r="I688" s="147">
        <f t="shared" si="90"/>
        <v>0</v>
      </c>
      <c r="J688" s="147">
        <f t="shared" si="90"/>
        <v>8.9999999999999983E-2</v>
      </c>
      <c r="K688" s="147">
        <f t="shared" si="90"/>
        <v>0</v>
      </c>
      <c r="L688" s="147">
        <f t="shared" si="90"/>
        <v>0</v>
      </c>
      <c r="M688" s="147">
        <f t="shared" si="90"/>
        <v>0.19999999999999998</v>
      </c>
      <c r="N688" s="147">
        <f t="shared" si="90"/>
        <v>0</v>
      </c>
      <c r="O688" s="147">
        <f t="shared" si="90"/>
        <v>0</v>
      </c>
      <c r="P688" s="147">
        <f t="shared" si="90"/>
        <v>0</v>
      </c>
      <c r="Q688" s="147">
        <f t="shared" si="90"/>
        <v>0</v>
      </c>
      <c r="R688" s="147">
        <f t="shared" si="90"/>
        <v>0</v>
      </c>
      <c r="S688" s="147">
        <f t="shared" si="90"/>
        <v>0</v>
      </c>
      <c r="T688" s="147">
        <f t="shared" si="90"/>
        <v>0</v>
      </c>
      <c r="U688" s="147">
        <f t="shared" si="90"/>
        <v>0</v>
      </c>
      <c r="V688" s="147">
        <f t="shared" si="90"/>
        <v>0</v>
      </c>
      <c r="W688" s="147">
        <f t="shared" si="90"/>
        <v>0</v>
      </c>
      <c r="X688" s="147">
        <f t="shared" si="90"/>
        <v>0</v>
      </c>
      <c r="Y688" s="147">
        <f t="shared" si="90"/>
        <v>0</v>
      </c>
      <c r="Z688" s="147">
        <f t="shared" si="90"/>
        <v>0</v>
      </c>
      <c r="AA688" s="147">
        <f t="shared" si="90"/>
        <v>0</v>
      </c>
      <c r="AB688" s="147">
        <f t="shared" si="90"/>
        <v>0</v>
      </c>
      <c r="AC688" s="147">
        <f t="shared" si="90"/>
        <v>0</v>
      </c>
      <c r="AD688" s="147">
        <f t="shared" si="90"/>
        <v>0</v>
      </c>
      <c r="AE688" s="147">
        <f t="shared" si="90"/>
        <v>0</v>
      </c>
      <c r="AF688" s="147">
        <f t="shared" si="90"/>
        <v>0</v>
      </c>
      <c r="AG688" s="147">
        <f t="shared" si="90"/>
        <v>0</v>
      </c>
      <c r="AH688" s="147">
        <f t="shared" si="90"/>
        <v>0</v>
      </c>
      <c r="AI688" s="147">
        <f t="shared" si="90"/>
        <v>0</v>
      </c>
      <c r="AJ688" s="147">
        <f t="shared" si="90"/>
        <v>0</v>
      </c>
      <c r="AK688" s="147">
        <f t="shared" si="90"/>
        <v>0</v>
      </c>
      <c r="AL688" s="147">
        <f t="shared" si="90"/>
        <v>0</v>
      </c>
      <c r="AM688" s="147">
        <f t="shared" si="90"/>
        <v>0</v>
      </c>
      <c r="AN688" s="147">
        <f t="shared" si="90"/>
        <v>0</v>
      </c>
      <c r="AO688" s="147">
        <f t="shared" si="90"/>
        <v>0</v>
      </c>
      <c r="AP688" s="147">
        <f t="shared" si="90"/>
        <v>0</v>
      </c>
      <c r="AQ688" s="147">
        <f t="shared" si="90"/>
        <v>0</v>
      </c>
      <c r="AR688" s="147">
        <f t="shared" si="90"/>
        <v>0</v>
      </c>
      <c r="AS688" s="147">
        <f t="shared" si="90"/>
        <v>0</v>
      </c>
      <c r="AT688" s="147">
        <f t="shared" si="90"/>
        <v>0</v>
      </c>
      <c r="AU688" s="147">
        <f t="shared" si="90"/>
        <v>0</v>
      </c>
      <c r="AV688" s="147">
        <f t="shared" si="90"/>
        <v>0</v>
      </c>
      <c r="AW688" s="147">
        <f t="shared" si="90"/>
        <v>0</v>
      </c>
      <c r="AX688" s="147">
        <f t="shared" si="90"/>
        <v>0</v>
      </c>
      <c r="AY688" s="34" t="s">
        <v>223</v>
      </c>
      <c r="AZ688" s="47"/>
      <c r="BA688" s="47"/>
      <c r="BB688" s="47"/>
      <c r="BC688" s="151"/>
      <c r="BG688" s="135"/>
      <c r="BI688" s="42"/>
    </row>
    <row r="689" spans="1:61" s="24" customFormat="1" ht="20.85" customHeight="1">
      <c r="A689" s="32">
        <f>A684+1</f>
        <v>594</v>
      </c>
      <c r="B689" s="56" t="s">
        <v>186</v>
      </c>
      <c r="C689" s="93" t="s">
        <v>1260</v>
      </c>
      <c r="D689" s="35">
        <f t="shared" si="83"/>
        <v>0.45</v>
      </c>
      <c r="E689" s="108"/>
      <c r="F689" s="35">
        <f t="shared" si="84"/>
        <v>0.45</v>
      </c>
      <c r="G689" s="109"/>
      <c r="H689" s="109"/>
      <c r="I689" s="109"/>
      <c r="J689" s="109">
        <v>0.45</v>
      </c>
      <c r="K689" s="109"/>
      <c r="L689" s="109"/>
      <c r="M689" s="109"/>
      <c r="N689" s="109"/>
      <c r="O689" s="109"/>
      <c r="P689" s="109"/>
      <c r="Q689" s="109"/>
      <c r="R689" s="109"/>
      <c r="S689" s="109"/>
      <c r="T689" s="109"/>
      <c r="U689" s="109"/>
      <c r="V689" s="109"/>
      <c r="W689" s="109"/>
      <c r="X689" s="109"/>
      <c r="Y689" s="109"/>
      <c r="Z689" s="109"/>
      <c r="AA689" s="109"/>
      <c r="AB689" s="109"/>
      <c r="AC689" s="109"/>
      <c r="AD689" s="109"/>
      <c r="AE689" s="109"/>
      <c r="AF689" s="109"/>
      <c r="AG689" s="109"/>
      <c r="AH689" s="109"/>
      <c r="AI689" s="109"/>
      <c r="AJ689" s="109"/>
      <c r="AK689" s="109"/>
      <c r="AL689" s="109"/>
      <c r="AM689" s="109"/>
      <c r="AN689" s="109"/>
      <c r="AO689" s="109"/>
      <c r="AP689" s="109"/>
      <c r="AQ689" s="109"/>
      <c r="AR689" s="109"/>
      <c r="AS689" s="109"/>
      <c r="AT689" s="109"/>
      <c r="AU689" s="109"/>
      <c r="AV689" s="109"/>
      <c r="AW689" s="109"/>
      <c r="AX689" s="109"/>
      <c r="AY689" s="34" t="s">
        <v>223</v>
      </c>
      <c r="AZ689" s="47" t="s">
        <v>1322</v>
      </c>
      <c r="BA689" s="47" t="s">
        <v>298</v>
      </c>
      <c r="BB689" s="47"/>
      <c r="BC689" s="151" t="s">
        <v>1319</v>
      </c>
      <c r="BI689" s="42">
        <v>1</v>
      </c>
    </row>
    <row r="690" spans="1:61" s="24" customFormat="1" ht="20.85" hidden="1" customHeight="1">
      <c r="A690" s="32"/>
      <c r="B690" s="56"/>
      <c r="C690" s="93" t="s">
        <v>59</v>
      </c>
      <c r="D690" s="35">
        <f t="shared" si="83"/>
        <v>0.18</v>
      </c>
      <c r="E690" s="108"/>
      <c r="F690" s="35">
        <f t="shared" si="84"/>
        <v>0.18</v>
      </c>
      <c r="G690" s="109"/>
      <c r="H690" s="109"/>
      <c r="I690" s="109"/>
      <c r="J690" s="109">
        <v>0.18</v>
      </c>
      <c r="K690" s="109"/>
      <c r="L690" s="109"/>
      <c r="M690" s="109"/>
      <c r="N690" s="109"/>
      <c r="O690" s="109"/>
      <c r="P690" s="109"/>
      <c r="Q690" s="109"/>
      <c r="R690" s="109"/>
      <c r="S690" s="109"/>
      <c r="T690" s="109"/>
      <c r="U690" s="109"/>
      <c r="V690" s="109"/>
      <c r="W690" s="109"/>
      <c r="X690" s="109"/>
      <c r="Y690" s="109"/>
      <c r="Z690" s="109"/>
      <c r="AA690" s="109"/>
      <c r="AB690" s="109"/>
      <c r="AC690" s="109"/>
      <c r="AD690" s="109"/>
      <c r="AE690" s="109"/>
      <c r="AF690" s="109"/>
      <c r="AG690" s="109"/>
      <c r="AH690" s="109"/>
      <c r="AI690" s="109"/>
      <c r="AJ690" s="109"/>
      <c r="AK690" s="109"/>
      <c r="AL690" s="109"/>
      <c r="AM690" s="109"/>
      <c r="AN690" s="109"/>
      <c r="AO690" s="109"/>
      <c r="AP690" s="109"/>
      <c r="AQ690" s="109"/>
      <c r="AR690" s="109"/>
      <c r="AS690" s="109"/>
      <c r="AT690" s="109"/>
      <c r="AU690" s="109"/>
      <c r="AV690" s="109"/>
      <c r="AW690" s="109"/>
      <c r="AX690" s="109"/>
      <c r="AY690" s="34" t="s">
        <v>223</v>
      </c>
      <c r="AZ690" s="47"/>
      <c r="BA690" s="47"/>
      <c r="BB690" s="47"/>
      <c r="BC690" s="151"/>
      <c r="BI690" s="42"/>
    </row>
    <row r="691" spans="1:61" s="24" customFormat="1" ht="20.85" hidden="1" customHeight="1">
      <c r="A691" s="32"/>
      <c r="B691" s="56"/>
      <c r="C691" s="93" t="s">
        <v>44</v>
      </c>
      <c r="D691" s="35">
        <f t="shared" si="83"/>
        <v>0.18</v>
      </c>
      <c r="E691" s="108"/>
      <c r="F691" s="35">
        <f t="shared" si="84"/>
        <v>0.18</v>
      </c>
      <c r="G691" s="109"/>
      <c r="H691" s="109"/>
      <c r="I691" s="109"/>
      <c r="J691" s="109">
        <v>0.18</v>
      </c>
      <c r="K691" s="109"/>
      <c r="L691" s="109"/>
      <c r="M691" s="109"/>
      <c r="N691" s="109"/>
      <c r="O691" s="109"/>
      <c r="P691" s="109"/>
      <c r="Q691" s="109"/>
      <c r="R691" s="109"/>
      <c r="S691" s="109"/>
      <c r="T691" s="109"/>
      <c r="U691" s="109"/>
      <c r="V691" s="109"/>
      <c r="W691" s="109"/>
      <c r="X691" s="109"/>
      <c r="Y691" s="109"/>
      <c r="Z691" s="109"/>
      <c r="AA691" s="109"/>
      <c r="AB691" s="109"/>
      <c r="AC691" s="109"/>
      <c r="AD691" s="109"/>
      <c r="AE691" s="109"/>
      <c r="AF691" s="109"/>
      <c r="AG691" s="109"/>
      <c r="AH691" s="109"/>
      <c r="AI691" s="109"/>
      <c r="AJ691" s="109"/>
      <c r="AK691" s="109"/>
      <c r="AL691" s="109"/>
      <c r="AM691" s="109"/>
      <c r="AN691" s="109"/>
      <c r="AO691" s="109"/>
      <c r="AP691" s="109"/>
      <c r="AQ691" s="109"/>
      <c r="AR691" s="109"/>
      <c r="AS691" s="109"/>
      <c r="AT691" s="109"/>
      <c r="AU691" s="109"/>
      <c r="AV691" s="109"/>
      <c r="AW691" s="109"/>
      <c r="AX691" s="109"/>
      <c r="AY691" s="34" t="s">
        <v>223</v>
      </c>
      <c r="AZ691" s="47"/>
      <c r="BA691" s="47"/>
      <c r="BB691" s="47"/>
      <c r="BC691" s="151"/>
      <c r="BI691" s="42"/>
    </row>
    <row r="692" spans="1:61" s="24" customFormat="1" ht="20.85" hidden="1" customHeight="1">
      <c r="A692" s="32"/>
      <c r="B692" s="56"/>
      <c r="C692" s="93" t="s">
        <v>138</v>
      </c>
      <c r="D692" s="35">
        <f t="shared" si="83"/>
        <v>9.0000000000000024E-2</v>
      </c>
      <c r="E692" s="108"/>
      <c r="F692" s="35">
        <f t="shared" si="84"/>
        <v>9.0000000000000024E-2</v>
      </c>
      <c r="G692" s="147">
        <f>G689-G690-G691</f>
        <v>0</v>
      </c>
      <c r="H692" s="147">
        <f t="shared" ref="H692:AX692" si="91">H689-H690-H691</f>
        <v>0</v>
      </c>
      <c r="I692" s="147">
        <f t="shared" si="91"/>
        <v>0</v>
      </c>
      <c r="J692" s="147">
        <f t="shared" si="91"/>
        <v>9.0000000000000024E-2</v>
      </c>
      <c r="K692" s="147">
        <f t="shared" si="91"/>
        <v>0</v>
      </c>
      <c r="L692" s="147">
        <f t="shared" si="91"/>
        <v>0</v>
      </c>
      <c r="M692" s="147">
        <f t="shared" si="91"/>
        <v>0</v>
      </c>
      <c r="N692" s="147">
        <f t="shared" si="91"/>
        <v>0</v>
      </c>
      <c r="O692" s="147">
        <f t="shared" si="91"/>
        <v>0</v>
      </c>
      <c r="P692" s="147">
        <f t="shared" si="91"/>
        <v>0</v>
      </c>
      <c r="Q692" s="147">
        <f t="shared" si="91"/>
        <v>0</v>
      </c>
      <c r="R692" s="147">
        <f t="shared" si="91"/>
        <v>0</v>
      </c>
      <c r="S692" s="147">
        <f t="shared" si="91"/>
        <v>0</v>
      </c>
      <c r="T692" s="147">
        <f t="shared" si="91"/>
        <v>0</v>
      </c>
      <c r="U692" s="147">
        <f t="shared" si="91"/>
        <v>0</v>
      </c>
      <c r="V692" s="147">
        <f t="shared" si="91"/>
        <v>0</v>
      </c>
      <c r="W692" s="147">
        <f t="shared" si="91"/>
        <v>0</v>
      </c>
      <c r="X692" s="147">
        <f t="shared" si="91"/>
        <v>0</v>
      </c>
      <c r="Y692" s="147">
        <f t="shared" si="91"/>
        <v>0</v>
      </c>
      <c r="Z692" s="147">
        <f t="shared" si="91"/>
        <v>0</v>
      </c>
      <c r="AA692" s="147">
        <f t="shared" si="91"/>
        <v>0</v>
      </c>
      <c r="AB692" s="147">
        <f t="shared" si="91"/>
        <v>0</v>
      </c>
      <c r="AC692" s="147">
        <f t="shared" si="91"/>
        <v>0</v>
      </c>
      <c r="AD692" s="147">
        <f t="shared" si="91"/>
        <v>0</v>
      </c>
      <c r="AE692" s="147">
        <f t="shared" si="91"/>
        <v>0</v>
      </c>
      <c r="AF692" s="147">
        <f t="shared" si="91"/>
        <v>0</v>
      </c>
      <c r="AG692" s="147">
        <f t="shared" si="91"/>
        <v>0</v>
      </c>
      <c r="AH692" s="147">
        <f t="shared" si="91"/>
        <v>0</v>
      </c>
      <c r="AI692" s="147">
        <f t="shared" si="91"/>
        <v>0</v>
      </c>
      <c r="AJ692" s="147">
        <f t="shared" si="91"/>
        <v>0</v>
      </c>
      <c r="AK692" s="147">
        <f t="shared" si="91"/>
        <v>0</v>
      </c>
      <c r="AL692" s="147">
        <f t="shared" si="91"/>
        <v>0</v>
      </c>
      <c r="AM692" s="147">
        <f t="shared" si="91"/>
        <v>0</v>
      </c>
      <c r="AN692" s="147">
        <f t="shared" si="91"/>
        <v>0</v>
      </c>
      <c r="AO692" s="147">
        <f t="shared" si="91"/>
        <v>0</v>
      </c>
      <c r="AP692" s="147">
        <f t="shared" si="91"/>
        <v>0</v>
      </c>
      <c r="AQ692" s="147">
        <f t="shared" si="91"/>
        <v>0</v>
      </c>
      <c r="AR692" s="147">
        <f t="shared" si="91"/>
        <v>0</v>
      </c>
      <c r="AS692" s="147">
        <f t="shared" si="91"/>
        <v>0</v>
      </c>
      <c r="AT692" s="147">
        <f t="shared" si="91"/>
        <v>0</v>
      </c>
      <c r="AU692" s="147">
        <f t="shared" si="91"/>
        <v>0</v>
      </c>
      <c r="AV692" s="147">
        <f t="shared" si="91"/>
        <v>0</v>
      </c>
      <c r="AW692" s="147">
        <f t="shared" si="91"/>
        <v>0</v>
      </c>
      <c r="AX692" s="147">
        <f t="shared" si="91"/>
        <v>0</v>
      </c>
      <c r="AY692" s="34" t="s">
        <v>223</v>
      </c>
      <c r="AZ692" s="47"/>
      <c r="BA692" s="47"/>
      <c r="BB692" s="47"/>
      <c r="BC692" s="151"/>
      <c r="BI692" s="42"/>
    </row>
    <row r="693" spans="1:61" s="24" customFormat="1" ht="20.85" customHeight="1">
      <c r="A693" s="32">
        <f>A689+1</f>
        <v>595</v>
      </c>
      <c r="B693" s="56" t="s">
        <v>186</v>
      </c>
      <c r="C693" s="93" t="s">
        <v>1260</v>
      </c>
      <c r="D693" s="35">
        <f t="shared" si="83"/>
        <v>0.42</v>
      </c>
      <c r="E693" s="108"/>
      <c r="F693" s="35">
        <f t="shared" si="84"/>
        <v>0.42</v>
      </c>
      <c r="G693" s="109"/>
      <c r="H693" s="109"/>
      <c r="I693" s="109"/>
      <c r="J693" s="109"/>
      <c r="K693" s="109"/>
      <c r="L693" s="109"/>
      <c r="M693" s="109">
        <v>0.42</v>
      </c>
      <c r="N693" s="109"/>
      <c r="O693" s="109"/>
      <c r="P693" s="109"/>
      <c r="Q693" s="109"/>
      <c r="R693" s="109"/>
      <c r="S693" s="109"/>
      <c r="T693" s="109"/>
      <c r="U693" s="109"/>
      <c r="V693" s="109"/>
      <c r="W693" s="109"/>
      <c r="X693" s="109"/>
      <c r="Y693" s="109"/>
      <c r="Z693" s="109"/>
      <c r="AA693" s="109"/>
      <c r="AB693" s="109"/>
      <c r="AC693" s="109"/>
      <c r="AD693" s="109"/>
      <c r="AE693" s="109"/>
      <c r="AF693" s="109"/>
      <c r="AG693" s="109"/>
      <c r="AH693" s="109"/>
      <c r="AI693" s="109"/>
      <c r="AJ693" s="109"/>
      <c r="AK693" s="109"/>
      <c r="AL693" s="109"/>
      <c r="AM693" s="109"/>
      <c r="AN693" s="109"/>
      <c r="AO693" s="109"/>
      <c r="AP693" s="109"/>
      <c r="AQ693" s="109"/>
      <c r="AR693" s="109"/>
      <c r="AS693" s="109"/>
      <c r="AT693" s="109"/>
      <c r="AU693" s="109"/>
      <c r="AV693" s="109"/>
      <c r="AW693" s="109"/>
      <c r="AX693" s="109"/>
      <c r="AY693" s="34" t="s">
        <v>223</v>
      </c>
      <c r="AZ693" s="47" t="s">
        <v>1323</v>
      </c>
      <c r="BA693" s="47" t="s">
        <v>298</v>
      </c>
      <c r="BB693" s="47"/>
      <c r="BC693" s="151" t="s">
        <v>1319</v>
      </c>
      <c r="BI693" s="42">
        <v>1</v>
      </c>
    </row>
    <row r="694" spans="1:61" s="24" customFormat="1" ht="20.85" hidden="1" customHeight="1">
      <c r="A694" s="32"/>
      <c r="B694" s="56"/>
      <c r="C694" s="93" t="s">
        <v>59</v>
      </c>
      <c r="D694" s="35">
        <f t="shared" si="83"/>
        <v>0.17</v>
      </c>
      <c r="E694" s="108"/>
      <c r="F694" s="35">
        <f t="shared" si="84"/>
        <v>0.17</v>
      </c>
      <c r="G694" s="109"/>
      <c r="H694" s="109"/>
      <c r="I694" s="109"/>
      <c r="J694" s="109"/>
      <c r="K694" s="109"/>
      <c r="L694" s="109"/>
      <c r="M694" s="109">
        <v>0.17</v>
      </c>
      <c r="N694" s="109"/>
      <c r="O694" s="109"/>
      <c r="P694" s="109"/>
      <c r="Q694" s="109"/>
      <c r="R694" s="109"/>
      <c r="S694" s="109"/>
      <c r="T694" s="109"/>
      <c r="U694" s="109"/>
      <c r="V694" s="109"/>
      <c r="W694" s="109"/>
      <c r="X694" s="109"/>
      <c r="Y694" s="109"/>
      <c r="Z694" s="109"/>
      <c r="AA694" s="109"/>
      <c r="AB694" s="109"/>
      <c r="AC694" s="109"/>
      <c r="AD694" s="109"/>
      <c r="AE694" s="109"/>
      <c r="AF694" s="109"/>
      <c r="AG694" s="109"/>
      <c r="AH694" s="109"/>
      <c r="AI694" s="109"/>
      <c r="AJ694" s="109"/>
      <c r="AK694" s="109"/>
      <c r="AL694" s="109"/>
      <c r="AM694" s="109"/>
      <c r="AN694" s="109"/>
      <c r="AO694" s="109"/>
      <c r="AP694" s="109"/>
      <c r="AQ694" s="109"/>
      <c r="AR694" s="109"/>
      <c r="AS694" s="109"/>
      <c r="AT694" s="109"/>
      <c r="AU694" s="109"/>
      <c r="AV694" s="109"/>
      <c r="AW694" s="109"/>
      <c r="AX694" s="109"/>
      <c r="AY694" s="34" t="s">
        <v>223</v>
      </c>
      <c r="AZ694" s="47"/>
      <c r="BA694" s="47"/>
      <c r="BB694" s="47"/>
      <c r="BC694" s="151"/>
      <c r="BI694" s="42"/>
    </row>
    <row r="695" spans="1:61" s="24" customFormat="1" ht="20.85" hidden="1" customHeight="1">
      <c r="A695" s="32"/>
      <c r="B695" s="56"/>
      <c r="C695" s="93" t="s">
        <v>44</v>
      </c>
      <c r="D695" s="35">
        <f t="shared" si="83"/>
        <v>0.16</v>
      </c>
      <c r="E695" s="108"/>
      <c r="F695" s="35">
        <f t="shared" si="84"/>
        <v>0.16</v>
      </c>
      <c r="G695" s="109"/>
      <c r="H695" s="109"/>
      <c r="I695" s="109"/>
      <c r="J695" s="109"/>
      <c r="K695" s="109"/>
      <c r="L695" s="109"/>
      <c r="M695" s="109">
        <v>0.16</v>
      </c>
      <c r="N695" s="109"/>
      <c r="O695" s="109"/>
      <c r="P695" s="109"/>
      <c r="Q695" s="109"/>
      <c r="R695" s="109"/>
      <c r="S695" s="109"/>
      <c r="T695" s="109"/>
      <c r="U695" s="109"/>
      <c r="V695" s="109"/>
      <c r="W695" s="109"/>
      <c r="X695" s="109"/>
      <c r="Y695" s="109"/>
      <c r="Z695" s="109"/>
      <c r="AA695" s="109"/>
      <c r="AB695" s="109"/>
      <c r="AC695" s="109"/>
      <c r="AD695" s="109"/>
      <c r="AE695" s="109"/>
      <c r="AF695" s="109"/>
      <c r="AG695" s="109"/>
      <c r="AH695" s="109"/>
      <c r="AI695" s="109"/>
      <c r="AJ695" s="109"/>
      <c r="AK695" s="109"/>
      <c r="AL695" s="109"/>
      <c r="AM695" s="109"/>
      <c r="AN695" s="109"/>
      <c r="AO695" s="109"/>
      <c r="AP695" s="109"/>
      <c r="AQ695" s="109"/>
      <c r="AR695" s="109"/>
      <c r="AS695" s="109"/>
      <c r="AT695" s="109"/>
      <c r="AU695" s="109"/>
      <c r="AV695" s="109"/>
      <c r="AW695" s="109"/>
      <c r="AX695" s="109"/>
      <c r="AY695" s="34" t="s">
        <v>223</v>
      </c>
      <c r="AZ695" s="47"/>
      <c r="BA695" s="47"/>
      <c r="BB695" s="47"/>
      <c r="BC695" s="151"/>
      <c r="BI695" s="42"/>
    </row>
    <row r="696" spans="1:61" s="24" customFormat="1" ht="20.85" hidden="1" customHeight="1">
      <c r="A696" s="32"/>
      <c r="B696" s="56"/>
      <c r="C696" s="93" t="s">
        <v>138</v>
      </c>
      <c r="D696" s="35">
        <f t="shared" si="83"/>
        <v>8.9999999999999969E-2</v>
      </c>
      <c r="E696" s="108"/>
      <c r="F696" s="35">
        <f t="shared" si="84"/>
        <v>8.9999999999999969E-2</v>
      </c>
      <c r="G696" s="147">
        <f>G693-G694-G695</f>
        <v>0</v>
      </c>
      <c r="H696" s="147">
        <f t="shared" ref="H696:AX696" si="92">H693-H694-H695</f>
        <v>0</v>
      </c>
      <c r="I696" s="147">
        <f t="shared" si="92"/>
        <v>0</v>
      </c>
      <c r="J696" s="147">
        <f t="shared" si="92"/>
        <v>0</v>
      </c>
      <c r="K696" s="147">
        <f t="shared" si="92"/>
        <v>0</v>
      </c>
      <c r="L696" s="147">
        <f t="shared" si="92"/>
        <v>0</v>
      </c>
      <c r="M696" s="147">
        <f t="shared" si="92"/>
        <v>8.9999999999999969E-2</v>
      </c>
      <c r="N696" s="147">
        <f t="shared" si="92"/>
        <v>0</v>
      </c>
      <c r="O696" s="147">
        <f t="shared" si="92"/>
        <v>0</v>
      </c>
      <c r="P696" s="147">
        <f t="shared" si="92"/>
        <v>0</v>
      </c>
      <c r="Q696" s="147">
        <f t="shared" si="92"/>
        <v>0</v>
      </c>
      <c r="R696" s="147">
        <f t="shared" si="92"/>
        <v>0</v>
      </c>
      <c r="S696" s="147">
        <f t="shared" si="92"/>
        <v>0</v>
      </c>
      <c r="T696" s="147">
        <f t="shared" si="92"/>
        <v>0</v>
      </c>
      <c r="U696" s="147">
        <f t="shared" si="92"/>
        <v>0</v>
      </c>
      <c r="V696" s="147">
        <f t="shared" si="92"/>
        <v>0</v>
      </c>
      <c r="W696" s="147">
        <f t="shared" si="92"/>
        <v>0</v>
      </c>
      <c r="X696" s="147">
        <f t="shared" si="92"/>
        <v>0</v>
      </c>
      <c r="Y696" s="147">
        <f t="shared" si="92"/>
        <v>0</v>
      </c>
      <c r="Z696" s="147">
        <f t="shared" si="92"/>
        <v>0</v>
      </c>
      <c r="AA696" s="147">
        <f t="shared" si="92"/>
        <v>0</v>
      </c>
      <c r="AB696" s="147">
        <f t="shared" si="92"/>
        <v>0</v>
      </c>
      <c r="AC696" s="147">
        <f t="shared" si="92"/>
        <v>0</v>
      </c>
      <c r="AD696" s="147">
        <f t="shared" si="92"/>
        <v>0</v>
      </c>
      <c r="AE696" s="147">
        <f t="shared" si="92"/>
        <v>0</v>
      </c>
      <c r="AF696" s="147">
        <f t="shared" si="92"/>
        <v>0</v>
      </c>
      <c r="AG696" s="147">
        <f t="shared" si="92"/>
        <v>0</v>
      </c>
      <c r="AH696" s="147">
        <f t="shared" si="92"/>
        <v>0</v>
      </c>
      <c r="AI696" s="147">
        <f t="shared" si="92"/>
        <v>0</v>
      </c>
      <c r="AJ696" s="147">
        <f t="shared" si="92"/>
        <v>0</v>
      </c>
      <c r="AK696" s="147">
        <f t="shared" si="92"/>
        <v>0</v>
      </c>
      <c r="AL696" s="147">
        <f t="shared" si="92"/>
        <v>0</v>
      </c>
      <c r="AM696" s="147">
        <f t="shared" si="92"/>
        <v>0</v>
      </c>
      <c r="AN696" s="147">
        <f t="shared" si="92"/>
        <v>0</v>
      </c>
      <c r="AO696" s="147">
        <f t="shared" si="92"/>
        <v>0</v>
      </c>
      <c r="AP696" s="147">
        <f t="shared" si="92"/>
        <v>0</v>
      </c>
      <c r="AQ696" s="147">
        <f t="shared" si="92"/>
        <v>0</v>
      </c>
      <c r="AR696" s="147">
        <f t="shared" si="92"/>
        <v>0</v>
      </c>
      <c r="AS696" s="147">
        <f t="shared" si="92"/>
        <v>0</v>
      </c>
      <c r="AT696" s="147">
        <f t="shared" si="92"/>
        <v>0</v>
      </c>
      <c r="AU696" s="147">
        <f t="shared" si="92"/>
        <v>0</v>
      </c>
      <c r="AV696" s="147">
        <f t="shared" si="92"/>
        <v>0</v>
      </c>
      <c r="AW696" s="147">
        <f t="shared" si="92"/>
        <v>0</v>
      </c>
      <c r="AX696" s="147">
        <f t="shared" si="92"/>
        <v>0</v>
      </c>
      <c r="AY696" s="34" t="s">
        <v>223</v>
      </c>
      <c r="AZ696" s="47"/>
      <c r="BA696" s="47"/>
      <c r="BB696" s="47"/>
      <c r="BC696" s="151"/>
      <c r="BI696" s="42"/>
    </row>
    <row r="697" spans="1:61" s="24" customFormat="1" ht="20.85" customHeight="1">
      <c r="A697" s="32">
        <f>A693+1</f>
        <v>596</v>
      </c>
      <c r="B697" s="56" t="s">
        <v>186</v>
      </c>
      <c r="C697" s="93" t="s">
        <v>1260</v>
      </c>
      <c r="D697" s="35">
        <f t="shared" si="83"/>
        <v>0.88</v>
      </c>
      <c r="E697" s="108"/>
      <c r="F697" s="35">
        <f t="shared" si="84"/>
        <v>0.88</v>
      </c>
      <c r="G697" s="109">
        <v>0.74</v>
      </c>
      <c r="H697" s="109"/>
      <c r="I697" s="109"/>
      <c r="J697" s="109">
        <v>0.14000000000000001</v>
      </c>
      <c r="K697" s="109"/>
      <c r="L697" s="109"/>
      <c r="M697" s="109"/>
      <c r="N697" s="109"/>
      <c r="O697" s="109"/>
      <c r="P697" s="109"/>
      <c r="Q697" s="109"/>
      <c r="R697" s="109"/>
      <c r="S697" s="109"/>
      <c r="T697" s="109"/>
      <c r="U697" s="109"/>
      <c r="V697" s="109"/>
      <c r="W697" s="109"/>
      <c r="X697" s="109"/>
      <c r="Y697" s="109"/>
      <c r="Z697" s="109"/>
      <c r="AA697" s="109"/>
      <c r="AB697" s="109"/>
      <c r="AC697" s="109"/>
      <c r="AD697" s="109"/>
      <c r="AE697" s="109"/>
      <c r="AF697" s="109"/>
      <c r="AG697" s="109"/>
      <c r="AH697" s="109"/>
      <c r="AI697" s="109"/>
      <c r="AJ697" s="109"/>
      <c r="AK697" s="109"/>
      <c r="AL697" s="109"/>
      <c r="AM697" s="109"/>
      <c r="AN697" s="109"/>
      <c r="AO697" s="109"/>
      <c r="AP697" s="109"/>
      <c r="AQ697" s="109"/>
      <c r="AR697" s="109"/>
      <c r="AS697" s="109"/>
      <c r="AT697" s="109"/>
      <c r="AU697" s="109"/>
      <c r="AV697" s="109"/>
      <c r="AW697" s="109"/>
      <c r="AX697" s="109"/>
      <c r="AY697" s="34" t="s">
        <v>223</v>
      </c>
      <c r="AZ697" s="47" t="s">
        <v>1324</v>
      </c>
      <c r="BA697" s="47" t="s">
        <v>298</v>
      </c>
      <c r="BB697" s="47"/>
      <c r="BC697" s="151" t="s">
        <v>1319</v>
      </c>
      <c r="BI697" s="42">
        <v>1</v>
      </c>
    </row>
    <row r="698" spans="1:61" s="24" customFormat="1" ht="20.85" hidden="1" customHeight="1">
      <c r="A698" s="32"/>
      <c r="B698" s="56"/>
      <c r="C698" s="93" t="s">
        <v>59</v>
      </c>
      <c r="D698" s="35">
        <f t="shared" si="83"/>
        <v>0.31</v>
      </c>
      <c r="E698" s="108"/>
      <c r="F698" s="35">
        <f t="shared" si="84"/>
        <v>0.31</v>
      </c>
      <c r="G698" s="109">
        <v>0.31</v>
      </c>
      <c r="H698" s="109"/>
      <c r="I698" s="109"/>
      <c r="J698" s="109"/>
      <c r="K698" s="109"/>
      <c r="L698" s="109"/>
      <c r="M698" s="109"/>
      <c r="N698" s="109"/>
      <c r="O698" s="109"/>
      <c r="P698" s="109"/>
      <c r="Q698" s="109"/>
      <c r="R698" s="109"/>
      <c r="S698" s="109"/>
      <c r="T698" s="109"/>
      <c r="U698" s="109"/>
      <c r="V698" s="109"/>
      <c r="W698" s="109"/>
      <c r="X698" s="109"/>
      <c r="Y698" s="109"/>
      <c r="Z698" s="109"/>
      <c r="AA698" s="109"/>
      <c r="AB698" s="109"/>
      <c r="AC698" s="109"/>
      <c r="AD698" s="109"/>
      <c r="AE698" s="109"/>
      <c r="AF698" s="109"/>
      <c r="AG698" s="109"/>
      <c r="AH698" s="109"/>
      <c r="AI698" s="109"/>
      <c r="AJ698" s="109"/>
      <c r="AK698" s="109"/>
      <c r="AL698" s="109"/>
      <c r="AM698" s="109"/>
      <c r="AN698" s="109"/>
      <c r="AO698" s="109"/>
      <c r="AP698" s="109"/>
      <c r="AQ698" s="109"/>
      <c r="AR698" s="109"/>
      <c r="AS698" s="109"/>
      <c r="AT698" s="109"/>
      <c r="AU698" s="109"/>
      <c r="AV698" s="109"/>
      <c r="AW698" s="109"/>
      <c r="AX698" s="109"/>
      <c r="AY698" s="34" t="s">
        <v>223</v>
      </c>
      <c r="AZ698" s="47"/>
      <c r="BA698" s="47"/>
      <c r="BB698" s="47"/>
      <c r="BC698" s="151"/>
      <c r="BI698" s="42"/>
    </row>
    <row r="699" spans="1:61" s="24" customFormat="1" ht="20.85" hidden="1" customHeight="1">
      <c r="A699" s="32"/>
      <c r="B699" s="56"/>
      <c r="C699" s="93" t="s">
        <v>44</v>
      </c>
      <c r="D699" s="35">
        <f t="shared" si="83"/>
        <v>0.35</v>
      </c>
      <c r="E699" s="108"/>
      <c r="F699" s="35">
        <f t="shared" si="84"/>
        <v>0.35</v>
      </c>
      <c r="G699" s="109">
        <v>0.25</v>
      </c>
      <c r="H699" s="109"/>
      <c r="I699" s="109"/>
      <c r="J699" s="109">
        <v>0.1</v>
      </c>
      <c r="K699" s="109"/>
      <c r="L699" s="109"/>
      <c r="M699" s="109"/>
      <c r="N699" s="109"/>
      <c r="O699" s="109"/>
      <c r="P699" s="109"/>
      <c r="Q699" s="109"/>
      <c r="R699" s="109"/>
      <c r="S699" s="109"/>
      <c r="T699" s="109"/>
      <c r="U699" s="109"/>
      <c r="V699" s="109"/>
      <c r="W699" s="109"/>
      <c r="X699" s="109"/>
      <c r="Y699" s="109"/>
      <c r="Z699" s="109"/>
      <c r="AA699" s="109"/>
      <c r="AB699" s="109"/>
      <c r="AC699" s="109"/>
      <c r="AD699" s="109"/>
      <c r="AE699" s="109"/>
      <c r="AF699" s="109"/>
      <c r="AG699" s="109"/>
      <c r="AH699" s="109"/>
      <c r="AI699" s="109"/>
      <c r="AJ699" s="109"/>
      <c r="AK699" s="109"/>
      <c r="AL699" s="109"/>
      <c r="AM699" s="109"/>
      <c r="AN699" s="109"/>
      <c r="AO699" s="109"/>
      <c r="AP699" s="109"/>
      <c r="AQ699" s="109"/>
      <c r="AR699" s="109"/>
      <c r="AS699" s="109"/>
      <c r="AT699" s="109"/>
      <c r="AU699" s="109"/>
      <c r="AV699" s="109"/>
      <c r="AW699" s="109"/>
      <c r="AX699" s="109"/>
      <c r="AY699" s="34" t="s">
        <v>223</v>
      </c>
      <c r="AZ699" s="47"/>
      <c r="BA699" s="47"/>
      <c r="BB699" s="47"/>
      <c r="BC699" s="151"/>
      <c r="BI699" s="42"/>
    </row>
    <row r="700" spans="1:61" s="24" customFormat="1" ht="20.85" hidden="1" customHeight="1">
      <c r="A700" s="32"/>
      <c r="B700" s="56"/>
      <c r="C700" s="93" t="s">
        <v>138</v>
      </c>
      <c r="D700" s="35">
        <f t="shared" si="83"/>
        <v>0.22</v>
      </c>
      <c r="E700" s="108"/>
      <c r="F700" s="35">
        <f t="shared" si="84"/>
        <v>0.22</v>
      </c>
      <c r="G700" s="147">
        <f>G697-G698-G699</f>
        <v>0.18</v>
      </c>
      <c r="H700" s="147">
        <f t="shared" ref="H700:AX700" si="93">H697-H698-H699</f>
        <v>0</v>
      </c>
      <c r="I700" s="147">
        <f t="shared" si="93"/>
        <v>0</v>
      </c>
      <c r="J700" s="147">
        <f t="shared" si="93"/>
        <v>4.0000000000000008E-2</v>
      </c>
      <c r="K700" s="147">
        <f t="shared" si="93"/>
        <v>0</v>
      </c>
      <c r="L700" s="147">
        <f t="shared" si="93"/>
        <v>0</v>
      </c>
      <c r="M700" s="147">
        <f t="shared" si="93"/>
        <v>0</v>
      </c>
      <c r="N700" s="147">
        <f t="shared" si="93"/>
        <v>0</v>
      </c>
      <c r="O700" s="147">
        <f t="shared" si="93"/>
        <v>0</v>
      </c>
      <c r="P700" s="147">
        <f t="shared" si="93"/>
        <v>0</v>
      </c>
      <c r="Q700" s="147">
        <f t="shared" si="93"/>
        <v>0</v>
      </c>
      <c r="R700" s="147">
        <f t="shared" si="93"/>
        <v>0</v>
      </c>
      <c r="S700" s="147">
        <f t="shared" si="93"/>
        <v>0</v>
      </c>
      <c r="T700" s="147">
        <f t="shared" si="93"/>
        <v>0</v>
      </c>
      <c r="U700" s="147">
        <f t="shared" si="93"/>
        <v>0</v>
      </c>
      <c r="V700" s="147">
        <f t="shared" si="93"/>
        <v>0</v>
      </c>
      <c r="W700" s="147">
        <f t="shared" si="93"/>
        <v>0</v>
      </c>
      <c r="X700" s="147">
        <f t="shared" si="93"/>
        <v>0</v>
      </c>
      <c r="Y700" s="147">
        <f t="shared" si="93"/>
        <v>0</v>
      </c>
      <c r="Z700" s="147">
        <f t="shared" si="93"/>
        <v>0</v>
      </c>
      <c r="AA700" s="147">
        <f t="shared" si="93"/>
        <v>0</v>
      </c>
      <c r="AB700" s="147">
        <f t="shared" si="93"/>
        <v>0</v>
      </c>
      <c r="AC700" s="147">
        <f t="shared" si="93"/>
        <v>0</v>
      </c>
      <c r="AD700" s="147">
        <f t="shared" si="93"/>
        <v>0</v>
      </c>
      <c r="AE700" s="147">
        <f t="shared" si="93"/>
        <v>0</v>
      </c>
      <c r="AF700" s="147">
        <f t="shared" si="93"/>
        <v>0</v>
      </c>
      <c r="AG700" s="147">
        <f t="shared" si="93"/>
        <v>0</v>
      </c>
      <c r="AH700" s="147">
        <f t="shared" si="93"/>
        <v>0</v>
      </c>
      <c r="AI700" s="147">
        <f t="shared" si="93"/>
        <v>0</v>
      </c>
      <c r="AJ700" s="147">
        <f t="shared" si="93"/>
        <v>0</v>
      </c>
      <c r="AK700" s="147">
        <f t="shared" si="93"/>
        <v>0</v>
      </c>
      <c r="AL700" s="147">
        <f t="shared" si="93"/>
        <v>0</v>
      </c>
      <c r="AM700" s="147">
        <f t="shared" si="93"/>
        <v>0</v>
      </c>
      <c r="AN700" s="147">
        <f t="shared" si="93"/>
        <v>0</v>
      </c>
      <c r="AO700" s="147">
        <f t="shared" si="93"/>
        <v>0</v>
      </c>
      <c r="AP700" s="147">
        <f t="shared" si="93"/>
        <v>0</v>
      </c>
      <c r="AQ700" s="147">
        <f t="shared" si="93"/>
        <v>0</v>
      </c>
      <c r="AR700" s="147">
        <f t="shared" si="93"/>
        <v>0</v>
      </c>
      <c r="AS700" s="147">
        <f t="shared" si="93"/>
        <v>0</v>
      </c>
      <c r="AT700" s="147">
        <f t="shared" si="93"/>
        <v>0</v>
      </c>
      <c r="AU700" s="147">
        <f t="shared" si="93"/>
        <v>0</v>
      </c>
      <c r="AV700" s="147">
        <f t="shared" si="93"/>
        <v>0</v>
      </c>
      <c r="AW700" s="147">
        <f t="shared" si="93"/>
        <v>0</v>
      </c>
      <c r="AX700" s="147">
        <f t="shared" si="93"/>
        <v>0</v>
      </c>
      <c r="AY700" s="34" t="s">
        <v>223</v>
      </c>
      <c r="AZ700" s="47"/>
      <c r="BA700" s="47"/>
      <c r="BB700" s="47"/>
      <c r="BC700" s="151"/>
      <c r="BI700" s="42"/>
    </row>
    <row r="701" spans="1:61" s="24" customFormat="1" ht="31.5">
      <c r="A701" s="32">
        <f>A697+1</f>
        <v>597</v>
      </c>
      <c r="B701" s="56" t="s">
        <v>186</v>
      </c>
      <c r="C701" s="93" t="s">
        <v>1260</v>
      </c>
      <c r="D701" s="35">
        <f t="shared" si="83"/>
        <v>0.52</v>
      </c>
      <c r="E701" s="108"/>
      <c r="F701" s="35">
        <f t="shared" si="84"/>
        <v>0.52</v>
      </c>
      <c r="G701" s="109">
        <v>0.34</v>
      </c>
      <c r="H701" s="109"/>
      <c r="I701" s="109"/>
      <c r="J701" s="109">
        <v>0.18</v>
      </c>
      <c r="K701" s="109"/>
      <c r="L701" s="109"/>
      <c r="M701" s="109"/>
      <c r="N701" s="109"/>
      <c r="O701" s="109"/>
      <c r="P701" s="109"/>
      <c r="Q701" s="109"/>
      <c r="R701" s="109"/>
      <c r="S701" s="109"/>
      <c r="T701" s="109"/>
      <c r="U701" s="109"/>
      <c r="V701" s="109"/>
      <c r="W701" s="109"/>
      <c r="X701" s="109"/>
      <c r="Y701" s="109"/>
      <c r="Z701" s="109"/>
      <c r="AA701" s="109"/>
      <c r="AB701" s="109"/>
      <c r="AC701" s="109"/>
      <c r="AD701" s="109"/>
      <c r="AE701" s="109"/>
      <c r="AF701" s="109"/>
      <c r="AG701" s="109"/>
      <c r="AH701" s="109"/>
      <c r="AI701" s="109"/>
      <c r="AJ701" s="109"/>
      <c r="AK701" s="109"/>
      <c r="AL701" s="109"/>
      <c r="AM701" s="109"/>
      <c r="AN701" s="109"/>
      <c r="AO701" s="109"/>
      <c r="AP701" s="109"/>
      <c r="AQ701" s="109"/>
      <c r="AR701" s="109"/>
      <c r="AS701" s="109"/>
      <c r="AT701" s="109"/>
      <c r="AU701" s="109"/>
      <c r="AV701" s="109"/>
      <c r="AW701" s="109"/>
      <c r="AX701" s="109"/>
      <c r="AY701" s="34" t="s">
        <v>223</v>
      </c>
      <c r="AZ701" s="47" t="s">
        <v>1325</v>
      </c>
      <c r="BA701" s="47" t="s">
        <v>298</v>
      </c>
      <c r="BB701" s="47"/>
      <c r="BC701" s="151" t="s">
        <v>1319</v>
      </c>
      <c r="BI701" s="42">
        <v>1</v>
      </c>
    </row>
    <row r="702" spans="1:61" s="24" customFormat="1" hidden="1">
      <c r="A702" s="32"/>
      <c r="B702" s="56"/>
      <c r="C702" s="93" t="s">
        <v>59</v>
      </c>
      <c r="D702" s="35">
        <f t="shared" si="83"/>
        <v>0.21</v>
      </c>
      <c r="E702" s="108"/>
      <c r="F702" s="35">
        <f t="shared" si="84"/>
        <v>0.21</v>
      </c>
      <c r="G702" s="109">
        <v>0.21</v>
      </c>
      <c r="H702" s="109"/>
      <c r="I702" s="109"/>
      <c r="J702" s="109"/>
      <c r="K702" s="109"/>
      <c r="L702" s="109"/>
      <c r="M702" s="109"/>
      <c r="N702" s="109"/>
      <c r="O702" s="109"/>
      <c r="P702" s="109"/>
      <c r="Q702" s="109"/>
      <c r="R702" s="109"/>
      <c r="S702" s="109"/>
      <c r="T702" s="109"/>
      <c r="U702" s="109"/>
      <c r="V702" s="109"/>
      <c r="W702" s="109"/>
      <c r="X702" s="109"/>
      <c r="Y702" s="109"/>
      <c r="Z702" s="109"/>
      <c r="AA702" s="109"/>
      <c r="AB702" s="109"/>
      <c r="AC702" s="109"/>
      <c r="AD702" s="109"/>
      <c r="AE702" s="109"/>
      <c r="AF702" s="109"/>
      <c r="AG702" s="109"/>
      <c r="AH702" s="109"/>
      <c r="AI702" s="109"/>
      <c r="AJ702" s="109"/>
      <c r="AK702" s="109"/>
      <c r="AL702" s="109"/>
      <c r="AM702" s="109"/>
      <c r="AN702" s="109"/>
      <c r="AO702" s="109"/>
      <c r="AP702" s="109"/>
      <c r="AQ702" s="109"/>
      <c r="AR702" s="109"/>
      <c r="AS702" s="109"/>
      <c r="AT702" s="109"/>
      <c r="AU702" s="109"/>
      <c r="AV702" s="109"/>
      <c r="AW702" s="109"/>
      <c r="AX702" s="109"/>
      <c r="AY702" s="34" t="s">
        <v>223</v>
      </c>
      <c r="AZ702" s="47"/>
      <c r="BA702" s="47"/>
      <c r="BB702" s="47"/>
      <c r="BC702" s="151"/>
      <c r="BI702" s="42"/>
    </row>
    <row r="703" spans="1:61" s="24" customFormat="1" hidden="1">
      <c r="A703" s="32"/>
      <c r="B703" s="56"/>
      <c r="C703" s="93" t="s">
        <v>44</v>
      </c>
      <c r="D703" s="35">
        <f t="shared" si="83"/>
        <v>0.18</v>
      </c>
      <c r="E703" s="108"/>
      <c r="F703" s="35">
        <f t="shared" si="84"/>
        <v>0.18</v>
      </c>
      <c r="G703" s="109">
        <v>0.1</v>
      </c>
      <c r="H703" s="109"/>
      <c r="I703" s="109"/>
      <c r="J703" s="109">
        <v>0.08</v>
      </c>
      <c r="K703" s="109"/>
      <c r="L703" s="109"/>
      <c r="M703" s="109"/>
      <c r="N703" s="109"/>
      <c r="O703" s="109"/>
      <c r="P703" s="109"/>
      <c r="Q703" s="109"/>
      <c r="R703" s="109"/>
      <c r="S703" s="109"/>
      <c r="T703" s="109"/>
      <c r="U703" s="109"/>
      <c r="V703" s="109"/>
      <c r="W703" s="109"/>
      <c r="X703" s="109"/>
      <c r="Y703" s="109"/>
      <c r="Z703" s="109"/>
      <c r="AA703" s="109"/>
      <c r="AB703" s="109"/>
      <c r="AC703" s="109"/>
      <c r="AD703" s="109"/>
      <c r="AE703" s="109"/>
      <c r="AF703" s="109"/>
      <c r="AG703" s="109"/>
      <c r="AH703" s="109"/>
      <c r="AI703" s="109"/>
      <c r="AJ703" s="109"/>
      <c r="AK703" s="109"/>
      <c r="AL703" s="109"/>
      <c r="AM703" s="109"/>
      <c r="AN703" s="109"/>
      <c r="AO703" s="109"/>
      <c r="AP703" s="109"/>
      <c r="AQ703" s="109"/>
      <c r="AR703" s="109"/>
      <c r="AS703" s="109"/>
      <c r="AT703" s="109"/>
      <c r="AU703" s="109"/>
      <c r="AV703" s="109"/>
      <c r="AW703" s="109"/>
      <c r="AX703" s="109"/>
      <c r="AY703" s="34" t="s">
        <v>223</v>
      </c>
      <c r="AZ703" s="47"/>
      <c r="BA703" s="47"/>
      <c r="BB703" s="47"/>
      <c r="BC703" s="151"/>
      <c r="BI703" s="42"/>
    </row>
    <row r="704" spans="1:61" s="24" customFormat="1" hidden="1">
      <c r="A704" s="32"/>
      <c r="B704" s="56"/>
      <c r="C704" s="93" t="s">
        <v>138</v>
      </c>
      <c r="D704" s="35">
        <f t="shared" si="83"/>
        <v>0.13</v>
      </c>
      <c r="E704" s="108"/>
      <c r="F704" s="35">
        <f t="shared" si="84"/>
        <v>0.13</v>
      </c>
      <c r="G704" s="147">
        <f>G701-G702-G703</f>
        <v>3.0000000000000027E-2</v>
      </c>
      <c r="H704" s="147">
        <f t="shared" ref="H704:AX704" si="94">H701-H702-H703</f>
        <v>0</v>
      </c>
      <c r="I704" s="147">
        <f t="shared" si="94"/>
        <v>0</v>
      </c>
      <c r="J704" s="147">
        <f t="shared" si="94"/>
        <v>9.9999999999999992E-2</v>
      </c>
      <c r="K704" s="147">
        <f t="shared" si="94"/>
        <v>0</v>
      </c>
      <c r="L704" s="147">
        <f t="shared" si="94"/>
        <v>0</v>
      </c>
      <c r="M704" s="147">
        <f t="shared" si="94"/>
        <v>0</v>
      </c>
      <c r="N704" s="147">
        <f t="shared" si="94"/>
        <v>0</v>
      </c>
      <c r="O704" s="147">
        <f t="shared" si="94"/>
        <v>0</v>
      </c>
      <c r="P704" s="147">
        <f t="shared" si="94"/>
        <v>0</v>
      </c>
      <c r="Q704" s="147">
        <f t="shared" si="94"/>
        <v>0</v>
      </c>
      <c r="R704" s="147">
        <f t="shared" si="94"/>
        <v>0</v>
      </c>
      <c r="S704" s="147">
        <f t="shared" si="94"/>
        <v>0</v>
      </c>
      <c r="T704" s="147">
        <f t="shared" si="94"/>
        <v>0</v>
      </c>
      <c r="U704" s="147">
        <f t="shared" si="94"/>
        <v>0</v>
      </c>
      <c r="V704" s="147">
        <f t="shared" si="94"/>
        <v>0</v>
      </c>
      <c r="W704" s="147">
        <f t="shared" si="94"/>
        <v>0</v>
      </c>
      <c r="X704" s="147">
        <f t="shared" si="94"/>
        <v>0</v>
      </c>
      <c r="Y704" s="147">
        <f t="shared" si="94"/>
        <v>0</v>
      </c>
      <c r="Z704" s="147">
        <f t="shared" si="94"/>
        <v>0</v>
      </c>
      <c r="AA704" s="147">
        <f t="shared" si="94"/>
        <v>0</v>
      </c>
      <c r="AB704" s="147">
        <f t="shared" si="94"/>
        <v>0</v>
      </c>
      <c r="AC704" s="147">
        <f t="shared" si="94"/>
        <v>0</v>
      </c>
      <c r="AD704" s="147">
        <f t="shared" si="94"/>
        <v>0</v>
      </c>
      <c r="AE704" s="147">
        <f t="shared" si="94"/>
        <v>0</v>
      </c>
      <c r="AF704" s="147">
        <f t="shared" si="94"/>
        <v>0</v>
      </c>
      <c r="AG704" s="147">
        <f t="shared" si="94"/>
        <v>0</v>
      </c>
      <c r="AH704" s="147">
        <f t="shared" si="94"/>
        <v>0</v>
      </c>
      <c r="AI704" s="147">
        <f t="shared" si="94"/>
        <v>0</v>
      </c>
      <c r="AJ704" s="147">
        <f t="shared" si="94"/>
        <v>0</v>
      </c>
      <c r="AK704" s="147">
        <f t="shared" si="94"/>
        <v>0</v>
      </c>
      <c r="AL704" s="147">
        <f t="shared" si="94"/>
        <v>0</v>
      </c>
      <c r="AM704" s="147">
        <f t="shared" si="94"/>
        <v>0</v>
      </c>
      <c r="AN704" s="147">
        <f t="shared" si="94"/>
        <v>0</v>
      </c>
      <c r="AO704" s="147">
        <f t="shared" si="94"/>
        <v>0</v>
      </c>
      <c r="AP704" s="147">
        <f t="shared" si="94"/>
        <v>0</v>
      </c>
      <c r="AQ704" s="147">
        <f t="shared" si="94"/>
        <v>0</v>
      </c>
      <c r="AR704" s="147">
        <f t="shared" si="94"/>
        <v>0</v>
      </c>
      <c r="AS704" s="147">
        <f t="shared" si="94"/>
        <v>0</v>
      </c>
      <c r="AT704" s="147">
        <f t="shared" si="94"/>
        <v>0</v>
      </c>
      <c r="AU704" s="147">
        <f t="shared" si="94"/>
        <v>0</v>
      </c>
      <c r="AV704" s="147">
        <f t="shared" si="94"/>
        <v>0</v>
      </c>
      <c r="AW704" s="147">
        <f t="shared" si="94"/>
        <v>0</v>
      </c>
      <c r="AX704" s="147">
        <f t="shared" si="94"/>
        <v>0</v>
      </c>
      <c r="AY704" s="34" t="s">
        <v>223</v>
      </c>
      <c r="AZ704" s="47"/>
      <c r="BA704" s="47"/>
      <c r="BB704" s="47"/>
      <c r="BC704" s="151"/>
      <c r="BI704" s="42"/>
    </row>
    <row r="705" spans="1:61" s="24" customFormat="1" ht="21.6" customHeight="1">
      <c r="A705" s="32">
        <f>A701+1</f>
        <v>598</v>
      </c>
      <c r="B705" s="60" t="s">
        <v>1299</v>
      </c>
      <c r="C705" s="93" t="s">
        <v>59</v>
      </c>
      <c r="D705" s="35">
        <f t="shared" si="83"/>
        <v>1.94</v>
      </c>
      <c r="E705" s="108"/>
      <c r="F705" s="35">
        <f t="shared" si="84"/>
        <v>1.94</v>
      </c>
      <c r="G705" s="109"/>
      <c r="H705" s="109"/>
      <c r="I705" s="109"/>
      <c r="J705" s="109">
        <v>1.94</v>
      </c>
      <c r="K705" s="109"/>
      <c r="L705" s="109"/>
      <c r="M705" s="109"/>
      <c r="N705" s="109"/>
      <c r="O705" s="109"/>
      <c r="P705" s="109"/>
      <c r="Q705" s="109"/>
      <c r="R705" s="109"/>
      <c r="S705" s="109"/>
      <c r="T705" s="109"/>
      <c r="U705" s="109"/>
      <c r="V705" s="109"/>
      <c r="W705" s="109"/>
      <c r="X705" s="109"/>
      <c r="Y705" s="109"/>
      <c r="Z705" s="109"/>
      <c r="AA705" s="109"/>
      <c r="AB705" s="109"/>
      <c r="AC705" s="109"/>
      <c r="AD705" s="109"/>
      <c r="AE705" s="109"/>
      <c r="AF705" s="109"/>
      <c r="AG705" s="109"/>
      <c r="AH705" s="109"/>
      <c r="AI705" s="109"/>
      <c r="AJ705" s="109"/>
      <c r="AK705" s="109"/>
      <c r="AL705" s="109"/>
      <c r="AM705" s="109"/>
      <c r="AN705" s="109"/>
      <c r="AO705" s="109"/>
      <c r="AP705" s="109"/>
      <c r="AQ705" s="109"/>
      <c r="AR705" s="109"/>
      <c r="AS705" s="109"/>
      <c r="AT705" s="109"/>
      <c r="AU705" s="109"/>
      <c r="AV705" s="109"/>
      <c r="AW705" s="109"/>
      <c r="AX705" s="109"/>
      <c r="AY705" s="34" t="s">
        <v>223</v>
      </c>
      <c r="AZ705" s="34" t="s">
        <v>615</v>
      </c>
      <c r="BA705" s="63" t="s">
        <v>291</v>
      </c>
      <c r="BB705" s="63"/>
      <c r="BC705" s="60" t="s">
        <v>1299</v>
      </c>
      <c r="BI705" s="42">
        <v>1</v>
      </c>
    </row>
    <row r="706" spans="1:61" s="24" customFormat="1" ht="21.6" customHeight="1">
      <c r="A706" s="32" t="s">
        <v>1326</v>
      </c>
      <c r="B706" s="56" t="s">
        <v>186</v>
      </c>
      <c r="C706" s="93" t="s">
        <v>1260</v>
      </c>
      <c r="D706" s="35">
        <f>E706+F706</f>
        <v>5.4659999999999993</v>
      </c>
      <c r="E706" s="89">
        <f>E707+E712+E716+E720+E721+E733+E725+E726</f>
        <v>0</v>
      </c>
      <c r="F706" s="141">
        <f>F707+F712+F716+F720+F721+F733+F725+F726+F727+F732</f>
        <v>5.4659999999999993</v>
      </c>
      <c r="G706" s="141">
        <f t="shared" ref="G706:AX706" si="95">G707+G712+G716+G720+G721+G733+G725+G726+G727+G732</f>
        <v>1.46</v>
      </c>
      <c r="H706" s="141">
        <f t="shared" si="95"/>
        <v>0.86</v>
      </c>
      <c r="I706" s="141">
        <f t="shared" si="95"/>
        <v>0.79999999999999993</v>
      </c>
      <c r="J706" s="141">
        <f t="shared" si="95"/>
        <v>1.82</v>
      </c>
      <c r="K706" s="141">
        <f t="shared" si="95"/>
        <v>0</v>
      </c>
      <c r="L706" s="141">
        <f t="shared" si="95"/>
        <v>0.15</v>
      </c>
      <c r="M706" s="141">
        <f t="shared" si="95"/>
        <v>0.1</v>
      </c>
      <c r="N706" s="141">
        <f t="shared" si="95"/>
        <v>0</v>
      </c>
      <c r="O706" s="141">
        <f t="shared" si="95"/>
        <v>0</v>
      </c>
      <c r="P706" s="141">
        <f t="shared" si="95"/>
        <v>0.24</v>
      </c>
      <c r="Q706" s="141">
        <f t="shared" si="95"/>
        <v>0</v>
      </c>
      <c r="R706" s="141">
        <f t="shared" si="95"/>
        <v>0</v>
      </c>
      <c r="S706" s="141">
        <f t="shared" si="95"/>
        <v>0</v>
      </c>
      <c r="T706" s="141">
        <f t="shared" si="95"/>
        <v>0</v>
      </c>
      <c r="U706" s="141">
        <f t="shared" si="95"/>
        <v>0</v>
      </c>
      <c r="V706" s="141">
        <f t="shared" si="95"/>
        <v>0</v>
      </c>
      <c r="W706" s="141">
        <f t="shared" si="95"/>
        <v>0</v>
      </c>
      <c r="X706" s="141">
        <f t="shared" si="95"/>
        <v>0</v>
      </c>
      <c r="Y706" s="141">
        <f t="shared" si="95"/>
        <v>0</v>
      </c>
      <c r="Z706" s="141">
        <f t="shared" si="95"/>
        <v>0</v>
      </c>
      <c r="AA706" s="141">
        <f t="shared" si="95"/>
        <v>0</v>
      </c>
      <c r="AB706" s="141">
        <f t="shared" si="95"/>
        <v>0</v>
      </c>
      <c r="AC706" s="141">
        <f t="shared" si="95"/>
        <v>0</v>
      </c>
      <c r="AD706" s="141">
        <f t="shared" si="95"/>
        <v>0</v>
      </c>
      <c r="AE706" s="141">
        <f t="shared" si="95"/>
        <v>0</v>
      </c>
      <c r="AF706" s="141">
        <f t="shared" si="95"/>
        <v>0</v>
      </c>
      <c r="AG706" s="141">
        <f t="shared" si="95"/>
        <v>0</v>
      </c>
      <c r="AH706" s="141">
        <f t="shared" si="95"/>
        <v>0</v>
      </c>
      <c r="AI706" s="141">
        <f t="shared" si="95"/>
        <v>0</v>
      </c>
      <c r="AJ706" s="141">
        <f t="shared" si="95"/>
        <v>0</v>
      </c>
      <c r="AK706" s="141">
        <f t="shared" si="95"/>
        <v>0</v>
      </c>
      <c r="AL706" s="141">
        <f t="shared" si="95"/>
        <v>0</v>
      </c>
      <c r="AM706" s="141">
        <f t="shared" si="95"/>
        <v>0</v>
      </c>
      <c r="AN706" s="141">
        <f t="shared" si="95"/>
        <v>3.5999999999999997E-2</v>
      </c>
      <c r="AO706" s="141">
        <f t="shared" si="95"/>
        <v>0</v>
      </c>
      <c r="AP706" s="141">
        <f t="shared" si="95"/>
        <v>0</v>
      </c>
      <c r="AQ706" s="141">
        <f t="shared" si="95"/>
        <v>0</v>
      </c>
      <c r="AR706" s="141">
        <f t="shared" si="95"/>
        <v>0</v>
      </c>
      <c r="AS706" s="141">
        <f t="shared" si="95"/>
        <v>0</v>
      </c>
      <c r="AT706" s="141">
        <f t="shared" si="95"/>
        <v>0</v>
      </c>
      <c r="AU706" s="141">
        <f t="shared" si="95"/>
        <v>0</v>
      </c>
      <c r="AV706" s="141">
        <f t="shared" si="95"/>
        <v>0</v>
      </c>
      <c r="AW706" s="141">
        <f t="shared" si="95"/>
        <v>0</v>
      </c>
      <c r="AX706" s="141">
        <f t="shared" si="95"/>
        <v>0</v>
      </c>
      <c r="AY706" s="47" t="s">
        <v>224</v>
      </c>
      <c r="AZ706" s="34"/>
      <c r="BA706" s="63"/>
      <c r="BB706" s="64"/>
      <c r="BC706" s="152"/>
      <c r="BI706" s="42"/>
    </row>
    <row r="707" spans="1:61" s="24" customFormat="1" ht="31.5">
      <c r="A707" s="32">
        <f>A705+1</f>
        <v>599</v>
      </c>
      <c r="B707" s="56" t="s">
        <v>186</v>
      </c>
      <c r="C707" s="93" t="s">
        <v>1260</v>
      </c>
      <c r="D707" s="35">
        <f t="shared" ref="D707:D733" si="96">F707+E707</f>
        <v>1.24</v>
      </c>
      <c r="E707" s="45"/>
      <c r="F707" s="35">
        <f t="shared" ref="F707:F733" si="97">SUM(G707:AX707)</f>
        <v>1.24</v>
      </c>
      <c r="G707" s="46"/>
      <c r="H707" s="46"/>
      <c r="I707" s="46"/>
      <c r="J707" s="46">
        <v>1</v>
      </c>
      <c r="K707" s="46"/>
      <c r="L707" s="46"/>
      <c r="M707" s="46"/>
      <c r="N707" s="46"/>
      <c r="O707" s="46"/>
      <c r="P707" s="46">
        <v>0.24</v>
      </c>
      <c r="Q707" s="46"/>
      <c r="R707" s="46"/>
      <c r="S707" s="46"/>
      <c r="T707" s="46"/>
      <c r="U707" s="46"/>
      <c r="V707" s="46"/>
      <c r="W707" s="46"/>
      <c r="X707" s="46"/>
      <c r="Y707" s="46"/>
      <c r="Z707" s="46"/>
      <c r="AA707" s="46"/>
      <c r="AB707" s="46"/>
      <c r="AC707" s="46"/>
      <c r="AD707" s="46"/>
      <c r="AE707" s="46"/>
      <c r="AF707" s="46"/>
      <c r="AG707" s="46"/>
      <c r="AH707" s="46"/>
      <c r="AI707" s="46"/>
      <c r="AJ707" s="46"/>
      <c r="AK707" s="46"/>
      <c r="AL707" s="46"/>
      <c r="AM707" s="46"/>
      <c r="AN707" s="46"/>
      <c r="AO707" s="46"/>
      <c r="AP707" s="46"/>
      <c r="AQ707" s="46"/>
      <c r="AR707" s="46"/>
      <c r="AS707" s="46"/>
      <c r="AT707" s="46"/>
      <c r="AU707" s="46"/>
      <c r="AV707" s="46"/>
      <c r="AW707" s="46"/>
      <c r="AX707" s="46"/>
      <c r="AY707" s="47" t="s">
        <v>224</v>
      </c>
      <c r="AZ707" s="47" t="s">
        <v>1327</v>
      </c>
      <c r="BA707" s="47" t="s">
        <v>291</v>
      </c>
      <c r="BB707" s="48"/>
      <c r="BI707" s="42">
        <v>1</v>
      </c>
    </row>
    <row r="708" spans="1:61" s="24" customFormat="1" hidden="1">
      <c r="A708" s="32"/>
      <c r="B708" s="56"/>
      <c r="C708" s="93" t="s">
        <v>59</v>
      </c>
      <c r="D708" s="35">
        <f t="shared" si="96"/>
        <v>0.43</v>
      </c>
      <c r="E708" s="45"/>
      <c r="F708" s="35">
        <f t="shared" si="97"/>
        <v>0.43</v>
      </c>
      <c r="G708" s="46"/>
      <c r="H708" s="46"/>
      <c r="I708" s="46"/>
      <c r="J708" s="46">
        <v>0.43</v>
      </c>
      <c r="K708" s="46"/>
      <c r="L708" s="46"/>
      <c r="M708" s="46"/>
      <c r="N708" s="46"/>
      <c r="O708" s="46"/>
      <c r="P708" s="46"/>
      <c r="Q708" s="46"/>
      <c r="R708" s="46"/>
      <c r="S708" s="46"/>
      <c r="T708" s="46"/>
      <c r="U708" s="46"/>
      <c r="V708" s="46"/>
      <c r="W708" s="46"/>
      <c r="X708" s="46"/>
      <c r="Y708" s="46"/>
      <c r="Z708" s="46"/>
      <c r="AA708" s="46"/>
      <c r="AB708" s="46"/>
      <c r="AC708" s="46"/>
      <c r="AD708" s="46"/>
      <c r="AE708" s="46"/>
      <c r="AF708" s="46"/>
      <c r="AG708" s="46"/>
      <c r="AH708" s="46"/>
      <c r="AI708" s="46"/>
      <c r="AJ708" s="46"/>
      <c r="AK708" s="46"/>
      <c r="AL708" s="46"/>
      <c r="AM708" s="46"/>
      <c r="AN708" s="46"/>
      <c r="AO708" s="46"/>
      <c r="AP708" s="46"/>
      <c r="AQ708" s="46"/>
      <c r="AR708" s="46"/>
      <c r="AS708" s="46"/>
      <c r="AT708" s="46"/>
      <c r="AU708" s="46"/>
      <c r="AV708" s="46"/>
      <c r="AW708" s="46"/>
      <c r="AX708" s="46"/>
      <c r="AY708" s="47" t="s">
        <v>224</v>
      </c>
      <c r="AZ708" s="47"/>
      <c r="BA708" s="47"/>
      <c r="BB708" s="48"/>
      <c r="BI708" s="42"/>
    </row>
    <row r="709" spans="1:61" s="24" customFormat="1" hidden="1">
      <c r="A709" s="32"/>
      <c r="B709" s="56"/>
      <c r="C709" s="93" t="s">
        <v>44</v>
      </c>
      <c r="D709" s="35">
        <f t="shared" si="96"/>
        <v>0.43000000000000005</v>
      </c>
      <c r="E709" s="45"/>
      <c r="F709" s="35">
        <f t="shared" si="97"/>
        <v>0.43000000000000005</v>
      </c>
      <c r="G709" s="46"/>
      <c r="H709" s="46"/>
      <c r="I709" s="46"/>
      <c r="J709" s="46">
        <v>0.4</v>
      </c>
      <c r="K709" s="46"/>
      <c r="L709" s="46"/>
      <c r="M709" s="46"/>
      <c r="N709" s="46"/>
      <c r="O709" s="46"/>
      <c r="P709" s="46">
        <v>0.03</v>
      </c>
      <c r="Q709" s="46"/>
      <c r="R709" s="46"/>
      <c r="S709" s="46"/>
      <c r="T709" s="46"/>
      <c r="U709" s="46"/>
      <c r="V709" s="46"/>
      <c r="W709" s="46"/>
      <c r="X709" s="46"/>
      <c r="Y709" s="46"/>
      <c r="Z709" s="46"/>
      <c r="AA709" s="46"/>
      <c r="AB709" s="46"/>
      <c r="AC709" s="46"/>
      <c r="AD709" s="46"/>
      <c r="AE709" s="46"/>
      <c r="AF709" s="46"/>
      <c r="AG709" s="46"/>
      <c r="AH709" s="46"/>
      <c r="AI709" s="46"/>
      <c r="AJ709" s="46"/>
      <c r="AK709" s="46"/>
      <c r="AL709" s="46"/>
      <c r="AM709" s="46"/>
      <c r="AN709" s="46"/>
      <c r="AO709" s="46"/>
      <c r="AP709" s="46"/>
      <c r="AQ709" s="46"/>
      <c r="AR709" s="46"/>
      <c r="AS709" s="46"/>
      <c r="AT709" s="46"/>
      <c r="AU709" s="46"/>
      <c r="AV709" s="46"/>
      <c r="AW709" s="46"/>
      <c r="AX709" s="46"/>
      <c r="AY709" s="47" t="s">
        <v>224</v>
      </c>
      <c r="AZ709" s="47"/>
      <c r="BA709" s="47"/>
      <c r="BB709" s="48"/>
      <c r="BI709" s="42"/>
    </row>
    <row r="710" spans="1:61" s="24" customFormat="1" hidden="1">
      <c r="A710" s="32"/>
      <c r="B710" s="56"/>
      <c r="C710" s="93" t="s">
        <v>45</v>
      </c>
      <c r="D710" s="35">
        <f t="shared" si="96"/>
        <v>0.1</v>
      </c>
      <c r="E710" s="45"/>
      <c r="F710" s="35">
        <f t="shared" si="97"/>
        <v>0.1</v>
      </c>
      <c r="G710" s="46"/>
      <c r="H710" s="46"/>
      <c r="I710" s="46"/>
      <c r="J710" s="46"/>
      <c r="K710" s="46"/>
      <c r="L710" s="46"/>
      <c r="M710" s="46"/>
      <c r="N710" s="46"/>
      <c r="O710" s="46"/>
      <c r="P710" s="46">
        <v>0.1</v>
      </c>
      <c r="Q710" s="46"/>
      <c r="R710" s="46"/>
      <c r="S710" s="46"/>
      <c r="T710" s="46"/>
      <c r="U710" s="46"/>
      <c r="V710" s="46"/>
      <c r="W710" s="46"/>
      <c r="X710" s="46"/>
      <c r="Y710" s="46"/>
      <c r="Z710" s="46"/>
      <c r="AA710" s="46"/>
      <c r="AB710" s="46"/>
      <c r="AC710" s="46"/>
      <c r="AD710" s="46"/>
      <c r="AE710" s="46"/>
      <c r="AF710" s="46"/>
      <c r="AG710" s="46"/>
      <c r="AH710" s="46"/>
      <c r="AI710" s="46"/>
      <c r="AJ710" s="46"/>
      <c r="AK710" s="46"/>
      <c r="AL710" s="46"/>
      <c r="AM710" s="46"/>
      <c r="AN710" s="46"/>
      <c r="AO710" s="46"/>
      <c r="AP710" s="46"/>
      <c r="AQ710" s="46"/>
      <c r="AR710" s="46"/>
      <c r="AS710" s="46"/>
      <c r="AT710" s="46"/>
      <c r="AU710" s="46"/>
      <c r="AV710" s="46"/>
      <c r="AW710" s="46"/>
      <c r="AX710" s="46"/>
      <c r="AY710" s="47" t="s">
        <v>224</v>
      </c>
      <c r="AZ710" s="47"/>
      <c r="BA710" s="47"/>
      <c r="BB710" s="48"/>
      <c r="BI710" s="42"/>
    </row>
    <row r="711" spans="1:61" s="24" customFormat="1" hidden="1">
      <c r="A711" s="32"/>
      <c r="B711" s="56"/>
      <c r="C711" s="93" t="s">
        <v>138</v>
      </c>
      <c r="D711" s="35">
        <f t="shared" si="96"/>
        <v>0.28000000000000003</v>
      </c>
      <c r="E711" s="45"/>
      <c r="F711" s="35">
        <f t="shared" si="97"/>
        <v>0.28000000000000003</v>
      </c>
      <c r="G711" s="153">
        <f>G707-G708-G709-G710</f>
        <v>0</v>
      </c>
      <c r="H711" s="153">
        <f t="shared" ref="H711:AX711" si="98">H707-H708-H709-H710</f>
        <v>0</v>
      </c>
      <c r="I711" s="153">
        <f t="shared" si="98"/>
        <v>0</v>
      </c>
      <c r="J711" s="153">
        <f t="shared" si="98"/>
        <v>0.17000000000000004</v>
      </c>
      <c r="K711" s="153">
        <f t="shared" si="98"/>
        <v>0</v>
      </c>
      <c r="L711" s="153">
        <f t="shared" si="98"/>
        <v>0</v>
      </c>
      <c r="M711" s="153">
        <f t="shared" si="98"/>
        <v>0</v>
      </c>
      <c r="N711" s="153">
        <f t="shared" si="98"/>
        <v>0</v>
      </c>
      <c r="O711" s="153">
        <f t="shared" si="98"/>
        <v>0</v>
      </c>
      <c r="P711" s="154">
        <f t="shared" si="98"/>
        <v>0.10999999999999999</v>
      </c>
      <c r="Q711" s="153">
        <f t="shared" si="98"/>
        <v>0</v>
      </c>
      <c r="R711" s="153">
        <f t="shared" si="98"/>
        <v>0</v>
      </c>
      <c r="S711" s="153">
        <f t="shared" si="98"/>
        <v>0</v>
      </c>
      <c r="T711" s="153">
        <f t="shared" si="98"/>
        <v>0</v>
      </c>
      <c r="U711" s="153">
        <f t="shared" si="98"/>
        <v>0</v>
      </c>
      <c r="V711" s="153">
        <f t="shared" si="98"/>
        <v>0</v>
      </c>
      <c r="W711" s="153">
        <f t="shared" si="98"/>
        <v>0</v>
      </c>
      <c r="X711" s="153">
        <f t="shared" si="98"/>
        <v>0</v>
      </c>
      <c r="Y711" s="153">
        <f t="shared" si="98"/>
        <v>0</v>
      </c>
      <c r="Z711" s="153">
        <f t="shared" si="98"/>
        <v>0</v>
      </c>
      <c r="AA711" s="153">
        <f t="shared" si="98"/>
        <v>0</v>
      </c>
      <c r="AB711" s="153">
        <f t="shared" si="98"/>
        <v>0</v>
      </c>
      <c r="AC711" s="153">
        <f t="shared" si="98"/>
        <v>0</v>
      </c>
      <c r="AD711" s="153">
        <f t="shared" si="98"/>
        <v>0</v>
      </c>
      <c r="AE711" s="153">
        <f t="shared" si="98"/>
        <v>0</v>
      </c>
      <c r="AF711" s="153">
        <f t="shared" si="98"/>
        <v>0</v>
      </c>
      <c r="AG711" s="153">
        <f t="shared" si="98"/>
        <v>0</v>
      </c>
      <c r="AH711" s="153">
        <f t="shared" si="98"/>
        <v>0</v>
      </c>
      <c r="AI711" s="153">
        <f t="shared" si="98"/>
        <v>0</v>
      </c>
      <c r="AJ711" s="153">
        <f t="shared" si="98"/>
        <v>0</v>
      </c>
      <c r="AK711" s="153">
        <f t="shared" si="98"/>
        <v>0</v>
      </c>
      <c r="AL711" s="153">
        <f t="shared" si="98"/>
        <v>0</v>
      </c>
      <c r="AM711" s="153">
        <f t="shared" si="98"/>
        <v>0</v>
      </c>
      <c r="AN711" s="153">
        <f t="shared" si="98"/>
        <v>0</v>
      </c>
      <c r="AO711" s="153">
        <f t="shared" si="98"/>
        <v>0</v>
      </c>
      <c r="AP711" s="153">
        <f t="shared" si="98"/>
        <v>0</v>
      </c>
      <c r="AQ711" s="153">
        <f t="shared" si="98"/>
        <v>0</v>
      </c>
      <c r="AR711" s="153">
        <f t="shared" si="98"/>
        <v>0</v>
      </c>
      <c r="AS711" s="153">
        <f t="shared" si="98"/>
        <v>0</v>
      </c>
      <c r="AT711" s="153">
        <f t="shared" si="98"/>
        <v>0</v>
      </c>
      <c r="AU711" s="153">
        <f t="shared" si="98"/>
        <v>0</v>
      </c>
      <c r="AV711" s="153">
        <f t="shared" si="98"/>
        <v>0</v>
      </c>
      <c r="AW711" s="153">
        <f t="shared" si="98"/>
        <v>0</v>
      </c>
      <c r="AX711" s="153">
        <f t="shared" si="98"/>
        <v>0</v>
      </c>
      <c r="AY711" s="47" t="s">
        <v>224</v>
      </c>
      <c r="AZ711" s="47"/>
      <c r="BA711" s="47"/>
      <c r="BB711" s="48"/>
      <c r="BI711" s="42"/>
    </row>
    <row r="712" spans="1:61" s="24" customFormat="1" ht="26.45" customHeight="1">
      <c r="A712" s="32">
        <f>A707+1</f>
        <v>600</v>
      </c>
      <c r="B712" s="56" t="s">
        <v>186</v>
      </c>
      <c r="C712" s="93" t="s">
        <v>1260</v>
      </c>
      <c r="D712" s="35">
        <f t="shared" si="96"/>
        <v>0.89999999999999991</v>
      </c>
      <c r="E712" s="45"/>
      <c r="F712" s="35">
        <f t="shared" si="97"/>
        <v>0.89999999999999991</v>
      </c>
      <c r="G712" s="46">
        <v>0.48</v>
      </c>
      <c r="H712" s="46"/>
      <c r="I712" s="46">
        <v>0.42</v>
      </c>
      <c r="J712" s="46"/>
      <c r="K712" s="46"/>
      <c r="L712" s="46"/>
      <c r="M712" s="46"/>
      <c r="N712" s="46"/>
      <c r="O712" s="46"/>
      <c r="P712" s="46"/>
      <c r="Q712" s="46"/>
      <c r="R712" s="46"/>
      <c r="S712" s="46"/>
      <c r="T712" s="46"/>
      <c r="U712" s="46"/>
      <c r="V712" s="46"/>
      <c r="W712" s="46"/>
      <c r="X712" s="46"/>
      <c r="Y712" s="46"/>
      <c r="Z712" s="46"/>
      <c r="AA712" s="46"/>
      <c r="AB712" s="46"/>
      <c r="AC712" s="46"/>
      <c r="AD712" s="46"/>
      <c r="AE712" s="46"/>
      <c r="AF712" s="46"/>
      <c r="AG712" s="46"/>
      <c r="AH712" s="46"/>
      <c r="AI712" s="46"/>
      <c r="AJ712" s="46"/>
      <c r="AK712" s="46"/>
      <c r="AL712" s="46"/>
      <c r="AM712" s="46"/>
      <c r="AN712" s="46"/>
      <c r="AO712" s="46"/>
      <c r="AP712" s="46"/>
      <c r="AQ712" s="46"/>
      <c r="AR712" s="46"/>
      <c r="AS712" s="46"/>
      <c r="AT712" s="46"/>
      <c r="AU712" s="46"/>
      <c r="AV712" s="46"/>
      <c r="AW712" s="46"/>
      <c r="AX712" s="46"/>
      <c r="AY712" s="47" t="s">
        <v>224</v>
      </c>
      <c r="AZ712" s="47" t="s">
        <v>1328</v>
      </c>
      <c r="BA712" s="47" t="s">
        <v>291</v>
      </c>
      <c r="BB712" s="48" t="s">
        <v>1329</v>
      </c>
      <c r="BI712" s="42">
        <v>1</v>
      </c>
    </row>
    <row r="713" spans="1:61" s="24" customFormat="1" ht="18.600000000000001" hidden="1" customHeight="1">
      <c r="A713" s="32"/>
      <c r="B713" s="56"/>
      <c r="C713" s="93" t="s">
        <v>59</v>
      </c>
      <c r="D713" s="35">
        <f t="shared" si="96"/>
        <v>0.32</v>
      </c>
      <c r="E713" s="45"/>
      <c r="F713" s="35">
        <f t="shared" si="97"/>
        <v>0.32</v>
      </c>
      <c r="G713" s="46">
        <v>0.32</v>
      </c>
      <c r="H713" s="46"/>
      <c r="I713" s="46"/>
      <c r="J713" s="46"/>
      <c r="K713" s="46"/>
      <c r="L713" s="46"/>
      <c r="M713" s="46"/>
      <c r="N713" s="46"/>
      <c r="O713" s="46"/>
      <c r="P713" s="46"/>
      <c r="Q713" s="46"/>
      <c r="R713" s="46"/>
      <c r="S713" s="46"/>
      <c r="T713" s="46"/>
      <c r="U713" s="46"/>
      <c r="V713" s="46"/>
      <c r="W713" s="46"/>
      <c r="X713" s="46"/>
      <c r="Y713" s="46"/>
      <c r="Z713" s="46"/>
      <c r="AA713" s="46"/>
      <c r="AB713" s="46"/>
      <c r="AC713" s="46"/>
      <c r="AD713" s="46"/>
      <c r="AE713" s="46"/>
      <c r="AF713" s="46"/>
      <c r="AG713" s="46"/>
      <c r="AH713" s="46"/>
      <c r="AI713" s="46"/>
      <c r="AJ713" s="46"/>
      <c r="AK713" s="46"/>
      <c r="AL713" s="46"/>
      <c r="AM713" s="46"/>
      <c r="AN713" s="46"/>
      <c r="AO713" s="46"/>
      <c r="AP713" s="46"/>
      <c r="AQ713" s="46"/>
      <c r="AR713" s="46"/>
      <c r="AS713" s="46"/>
      <c r="AT713" s="46"/>
      <c r="AU713" s="46"/>
      <c r="AV713" s="46"/>
      <c r="AW713" s="46"/>
      <c r="AX713" s="46"/>
      <c r="AY713" s="47" t="s">
        <v>224</v>
      </c>
      <c r="AZ713" s="47"/>
      <c r="BA713" s="47"/>
      <c r="BB713" s="48"/>
      <c r="BI713" s="42"/>
    </row>
    <row r="714" spans="1:61" s="24" customFormat="1" ht="18.600000000000001" hidden="1" customHeight="1">
      <c r="A714" s="32"/>
      <c r="B714" s="56"/>
      <c r="C714" s="93" t="s">
        <v>44</v>
      </c>
      <c r="D714" s="35">
        <f t="shared" si="96"/>
        <v>0.36</v>
      </c>
      <c r="E714" s="45"/>
      <c r="F714" s="35">
        <f t="shared" si="97"/>
        <v>0.36</v>
      </c>
      <c r="G714" s="46">
        <v>0.1</v>
      </c>
      <c r="H714" s="46"/>
      <c r="I714" s="46">
        <v>0.26</v>
      </c>
      <c r="J714" s="46"/>
      <c r="K714" s="46"/>
      <c r="L714" s="46"/>
      <c r="M714" s="46"/>
      <c r="N714" s="46"/>
      <c r="O714" s="46"/>
      <c r="P714" s="46"/>
      <c r="Q714" s="46"/>
      <c r="R714" s="46"/>
      <c r="S714" s="46"/>
      <c r="T714" s="46"/>
      <c r="U714" s="46"/>
      <c r="V714" s="46"/>
      <c r="W714" s="46"/>
      <c r="X714" s="46"/>
      <c r="Y714" s="46"/>
      <c r="Z714" s="46"/>
      <c r="AA714" s="46"/>
      <c r="AB714" s="46"/>
      <c r="AC714" s="46"/>
      <c r="AD714" s="46"/>
      <c r="AE714" s="46"/>
      <c r="AF714" s="46"/>
      <c r="AG714" s="46"/>
      <c r="AH714" s="46"/>
      <c r="AI714" s="46"/>
      <c r="AJ714" s="46"/>
      <c r="AK714" s="46"/>
      <c r="AL714" s="46"/>
      <c r="AM714" s="46"/>
      <c r="AN714" s="46"/>
      <c r="AO714" s="46"/>
      <c r="AP714" s="46"/>
      <c r="AQ714" s="46"/>
      <c r="AR714" s="46"/>
      <c r="AS714" s="46"/>
      <c r="AT714" s="46"/>
      <c r="AU714" s="46"/>
      <c r="AV714" s="46"/>
      <c r="AW714" s="46"/>
      <c r="AX714" s="46"/>
      <c r="AY714" s="47" t="s">
        <v>224</v>
      </c>
      <c r="AZ714" s="47"/>
      <c r="BA714" s="47"/>
      <c r="BB714" s="48"/>
      <c r="BI714" s="42"/>
    </row>
    <row r="715" spans="1:61" s="24" customFormat="1" ht="18.600000000000001" hidden="1" customHeight="1">
      <c r="A715" s="32"/>
      <c r="B715" s="56"/>
      <c r="C715" s="93" t="s">
        <v>138</v>
      </c>
      <c r="D715" s="35">
        <f t="shared" si="96"/>
        <v>0.21999999999999995</v>
      </c>
      <c r="E715" s="45"/>
      <c r="F715" s="35">
        <f t="shared" si="97"/>
        <v>0.21999999999999995</v>
      </c>
      <c r="G715" s="153">
        <f t="shared" ref="G715:AW715" si="99">G712-G713-G714</f>
        <v>5.999999999999997E-2</v>
      </c>
      <c r="H715" s="153">
        <f t="shared" si="99"/>
        <v>0</v>
      </c>
      <c r="I715" s="153">
        <f t="shared" si="99"/>
        <v>0.15999999999999998</v>
      </c>
      <c r="J715" s="153">
        <f t="shared" si="99"/>
        <v>0</v>
      </c>
      <c r="K715" s="153">
        <f t="shared" si="99"/>
        <v>0</v>
      </c>
      <c r="L715" s="153">
        <f t="shared" si="99"/>
        <v>0</v>
      </c>
      <c r="M715" s="153">
        <f t="shared" si="99"/>
        <v>0</v>
      </c>
      <c r="N715" s="153">
        <f t="shared" si="99"/>
        <v>0</v>
      </c>
      <c r="O715" s="153">
        <f t="shared" si="99"/>
        <v>0</v>
      </c>
      <c r="P715" s="153">
        <f t="shared" si="99"/>
        <v>0</v>
      </c>
      <c r="Q715" s="153">
        <f t="shared" si="99"/>
        <v>0</v>
      </c>
      <c r="R715" s="153">
        <f t="shared" si="99"/>
        <v>0</v>
      </c>
      <c r="S715" s="153">
        <f t="shared" si="99"/>
        <v>0</v>
      </c>
      <c r="T715" s="153">
        <f t="shared" si="99"/>
        <v>0</v>
      </c>
      <c r="U715" s="153">
        <f t="shared" si="99"/>
        <v>0</v>
      </c>
      <c r="V715" s="153">
        <f t="shared" si="99"/>
        <v>0</v>
      </c>
      <c r="W715" s="153">
        <f t="shared" si="99"/>
        <v>0</v>
      </c>
      <c r="X715" s="153">
        <f t="shared" si="99"/>
        <v>0</v>
      </c>
      <c r="Y715" s="153">
        <f t="shared" si="99"/>
        <v>0</v>
      </c>
      <c r="Z715" s="153">
        <f t="shared" si="99"/>
        <v>0</v>
      </c>
      <c r="AA715" s="153">
        <f t="shared" si="99"/>
        <v>0</v>
      </c>
      <c r="AB715" s="153">
        <f t="shared" si="99"/>
        <v>0</v>
      </c>
      <c r="AC715" s="153">
        <f t="shared" si="99"/>
        <v>0</v>
      </c>
      <c r="AD715" s="153">
        <f t="shared" si="99"/>
        <v>0</v>
      </c>
      <c r="AE715" s="153">
        <f t="shared" si="99"/>
        <v>0</v>
      </c>
      <c r="AF715" s="153">
        <f t="shared" si="99"/>
        <v>0</v>
      </c>
      <c r="AG715" s="153">
        <f t="shared" si="99"/>
        <v>0</v>
      </c>
      <c r="AH715" s="153">
        <f t="shared" si="99"/>
        <v>0</v>
      </c>
      <c r="AI715" s="153">
        <f t="shared" si="99"/>
        <v>0</v>
      </c>
      <c r="AJ715" s="153">
        <f t="shared" si="99"/>
        <v>0</v>
      </c>
      <c r="AK715" s="153">
        <f t="shared" si="99"/>
        <v>0</v>
      </c>
      <c r="AL715" s="153">
        <f t="shared" si="99"/>
        <v>0</v>
      </c>
      <c r="AM715" s="153">
        <f t="shared" si="99"/>
        <v>0</v>
      </c>
      <c r="AN715" s="153">
        <f t="shared" si="99"/>
        <v>0</v>
      </c>
      <c r="AO715" s="153">
        <f t="shared" si="99"/>
        <v>0</v>
      </c>
      <c r="AP715" s="153">
        <f t="shared" si="99"/>
        <v>0</v>
      </c>
      <c r="AQ715" s="153">
        <f t="shared" si="99"/>
        <v>0</v>
      </c>
      <c r="AR715" s="153">
        <f t="shared" si="99"/>
        <v>0</v>
      </c>
      <c r="AS715" s="153">
        <f t="shared" si="99"/>
        <v>0</v>
      </c>
      <c r="AT715" s="153">
        <f t="shared" si="99"/>
        <v>0</v>
      </c>
      <c r="AU715" s="153">
        <f t="shared" si="99"/>
        <v>0</v>
      </c>
      <c r="AV715" s="153">
        <f t="shared" si="99"/>
        <v>0</v>
      </c>
      <c r="AW715" s="153">
        <f t="shared" si="99"/>
        <v>0</v>
      </c>
      <c r="AX715" s="153">
        <f>AX712-AX713-AX714</f>
        <v>0</v>
      </c>
      <c r="AY715" s="47" t="s">
        <v>224</v>
      </c>
      <c r="AZ715" s="47"/>
      <c r="BA715" s="47"/>
      <c r="BB715" s="48"/>
      <c r="BI715" s="42"/>
    </row>
    <row r="716" spans="1:61" s="24" customFormat="1" ht="31.5">
      <c r="A716" s="32">
        <f>A712+1</f>
        <v>601</v>
      </c>
      <c r="B716" s="56" t="s">
        <v>186</v>
      </c>
      <c r="C716" s="93" t="s">
        <v>1260</v>
      </c>
      <c r="D716" s="35">
        <f t="shared" si="96"/>
        <v>0.88</v>
      </c>
      <c r="E716" s="45"/>
      <c r="F716" s="35">
        <f t="shared" si="97"/>
        <v>0.88</v>
      </c>
      <c r="G716" s="46">
        <v>0.88</v>
      </c>
      <c r="H716" s="46"/>
      <c r="I716" s="46"/>
      <c r="J716" s="46"/>
      <c r="K716" s="46"/>
      <c r="L716" s="46"/>
      <c r="M716" s="46"/>
      <c r="N716" s="46"/>
      <c r="O716" s="46"/>
      <c r="P716" s="46"/>
      <c r="Q716" s="46"/>
      <c r="R716" s="46"/>
      <c r="S716" s="46"/>
      <c r="T716" s="46"/>
      <c r="U716" s="46"/>
      <c r="V716" s="46"/>
      <c r="W716" s="46"/>
      <c r="X716" s="46"/>
      <c r="Y716" s="46"/>
      <c r="Z716" s="46"/>
      <c r="AA716" s="46"/>
      <c r="AB716" s="46"/>
      <c r="AC716" s="46"/>
      <c r="AD716" s="46"/>
      <c r="AE716" s="46"/>
      <c r="AF716" s="46"/>
      <c r="AG716" s="46"/>
      <c r="AH716" s="46"/>
      <c r="AI716" s="46"/>
      <c r="AJ716" s="46"/>
      <c r="AK716" s="46"/>
      <c r="AL716" s="46"/>
      <c r="AM716" s="46"/>
      <c r="AN716" s="46"/>
      <c r="AO716" s="46"/>
      <c r="AP716" s="46"/>
      <c r="AQ716" s="46"/>
      <c r="AR716" s="46"/>
      <c r="AS716" s="46"/>
      <c r="AT716" s="46"/>
      <c r="AU716" s="46"/>
      <c r="AV716" s="46"/>
      <c r="AW716" s="46"/>
      <c r="AX716" s="46"/>
      <c r="AY716" s="47" t="s">
        <v>224</v>
      </c>
      <c r="AZ716" s="47" t="s">
        <v>1330</v>
      </c>
      <c r="BA716" s="47" t="s">
        <v>291</v>
      </c>
      <c r="BB716" s="48"/>
      <c r="BI716" s="42">
        <v>1</v>
      </c>
    </row>
    <row r="717" spans="1:61" s="24" customFormat="1" hidden="1">
      <c r="A717" s="32"/>
      <c r="B717" s="56"/>
      <c r="C717" s="93" t="s">
        <v>59</v>
      </c>
      <c r="D717" s="35">
        <f t="shared" si="96"/>
        <v>0.31</v>
      </c>
      <c r="E717" s="45"/>
      <c r="F717" s="35">
        <f t="shared" si="97"/>
        <v>0.31</v>
      </c>
      <c r="G717" s="46">
        <v>0.31</v>
      </c>
      <c r="H717" s="46"/>
      <c r="I717" s="46"/>
      <c r="J717" s="46"/>
      <c r="K717" s="46"/>
      <c r="L717" s="46"/>
      <c r="M717" s="46"/>
      <c r="N717" s="46"/>
      <c r="O717" s="46"/>
      <c r="P717" s="46"/>
      <c r="Q717" s="46"/>
      <c r="R717" s="46"/>
      <c r="S717" s="46"/>
      <c r="T717" s="46"/>
      <c r="U717" s="46"/>
      <c r="V717" s="46"/>
      <c r="W717" s="46"/>
      <c r="X717" s="46"/>
      <c r="Y717" s="46"/>
      <c r="Z717" s="46"/>
      <c r="AA717" s="46"/>
      <c r="AB717" s="46"/>
      <c r="AC717" s="46"/>
      <c r="AD717" s="46"/>
      <c r="AE717" s="46"/>
      <c r="AF717" s="46"/>
      <c r="AG717" s="46"/>
      <c r="AH717" s="46"/>
      <c r="AI717" s="46"/>
      <c r="AJ717" s="46"/>
      <c r="AK717" s="46"/>
      <c r="AL717" s="46"/>
      <c r="AM717" s="46"/>
      <c r="AN717" s="46"/>
      <c r="AO717" s="46"/>
      <c r="AP717" s="46"/>
      <c r="AQ717" s="46"/>
      <c r="AR717" s="46"/>
      <c r="AS717" s="46"/>
      <c r="AT717" s="46"/>
      <c r="AU717" s="46"/>
      <c r="AV717" s="46"/>
      <c r="AW717" s="46"/>
      <c r="AX717" s="46"/>
      <c r="AY717" s="47" t="s">
        <v>224</v>
      </c>
      <c r="AZ717" s="47"/>
      <c r="BA717" s="47"/>
      <c r="BB717" s="48"/>
      <c r="BI717" s="42"/>
    </row>
    <row r="718" spans="1:61" s="24" customFormat="1" hidden="1">
      <c r="A718" s="32"/>
      <c r="B718" s="56"/>
      <c r="C718" s="93" t="s">
        <v>44</v>
      </c>
      <c r="D718" s="35">
        <f t="shared" si="96"/>
        <v>0.35</v>
      </c>
      <c r="E718" s="45"/>
      <c r="F718" s="35">
        <f t="shared" si="97"/>
        <v>0.35</v>
      </c>
      <c r="G718" s="46">
        <v>0.35</v>
      </c>
      <c r="H718" s="46"/>
      <c r="I718" s="46"/>
      <c r="J718" s="46"/>
      <c r="K718" s="46"/>
      <c r="L718" s="46"/>
      <c r="M718" s="46"/>
      <c r="N718" s="46"/>
      <c r="O718" s="46"/>
      <c r="P718" s="46"/>
      <c r="Q718" s="46"/>
      <c r="R718" s="46"/>
      <c r="S718" s="46"/>
      <c r="T718" s="46"/>
      <c r="U718" s="46"/>
      <c r="V718" s="46"/>
      <c r="W718" s="46"/>
      <c r="X718" s="46"/>
      <c r="Y718" s="46"/>
      <c r="Z718" s="46"/>
      <c r="AA718" s="46"/>
      <c r="AB718" s="46"/>
      <c r="AC718" s="46"/>
      <c r="AD718" s="46"/>
      <c r="AE718" s="46"/>
      <c r="AF718" s="46"/>
      <c r="AG718" s="46"/>
      <c r="AH718" s="46"/>
      <c r="AI718" s="46"/>
      <c r="AJ718" s="46"/>
      <c r="AK718" s="46"/>
      <c r="AL718" s="46"/>
      <c r="AM718" s="46"/>
      <c r="AN718" s="46"/>
      <c r="AO718" s="46"/>
      <c r="AP718" s="46"/>
      <c r="AQ718" s="46"/>
      <c r="AR718" s="46"/>
      <c r="AS718" s="46"/>
      <c r="AT718" s="46"/>
      <c r="AU718" s="46"/>
      <c r="AV718" s="46"/>
      <c r="AW718" s="46"/>
      <c r="AX718" s="46"/>
      <c r="AY718" s="47" t="s">
        <v>224</v>
      </c>
      <c r="AZ718" s="47"/>
      <c r="BA718" s="47"/>
      <c r="BB718" s="48"/>
      <c r="BI718" s="42"/>
    </row>
    <row r="719" spans="1:61" s="24" customFormat="1" hidden="1">
      <c r="A719" s="32"/>
      <c r="B719" s="56"/>
      <c r="C719" s="93" t="s">
        <v>138</v>
      </c>
      <c r="D719" s="35">
        <f t="shared" si="96"/>
        <v>0.22000000000000008</v>
      </c>
      <c r="E719" s="45"/>
      <c r="F719" s="35">
        <f t="shared" si="97"/>
        <v>0.22000000000000008</v>
      </c>
      <c r="G719" s="153">
        <f>G716-G717-G718</f>
        <v>0.22000000000000008</v>
      </c>
      <c r="H719" s="153">
        <f t="shared" ref="H719:AX719" si="100">H716-H717-H718</f>
        <v>0</v>
      </c>
      <c r="I719" s="153">
        <f t="shared" si="100"/>
        <v>0</v>
      </c>
      <c r="J719" s="153">
        <f t="shared" si="100"/>
        <v>0</v>
      </c>
      <c r="K719" s="153">
        <f t="shared" si="100"/>
        <v>0</v>
      </c>
      <c r="L719" s="153">
        <f t="shared" si="100"/>
        <v>0</v>
      </c>
      <c r="M719" s="153">
        <f t="shared" si="100"/>
        <v>0</v>
      </c>
      <c r="N719" s="153">
        <f t="shared" si="100"/>
        <v>0</v>
      </c>
      <c r="O719" s="153">
        <f t="shared" si="100"/>
        <v>0</v>
      </c>
      <c r="P719" s="153">
        <f t="shared" si="100"/>
        <v>0</v>
      </c>
      <c r="Q719" s="153">
        <f t="shared" si="100"/>
        <v>0</v>
      </c>
      <c r="R719" s="153">
        <f t="shared" si="100"/>
        <v>0</v>
      </c>
      <c r="S719" s="153">
        <f t="shared" si="100"/>
        <v>0</v>
      </c>
      <c r="T719" s="153">
        <f t="shared" si="100"/>
        <v>0</v>
      </c>
      <c r="U719" s="153">
        <f t="shared" si="100"/>
        <v>0</v>
      </c>
      <c r="V719" s="153">
        <f t="shared" si="100"/>
        <v>0</v>
      </c>
      <c r="W719" s="153">
        <f t="shared" si="100"/>
        <v>0</v>
      </c>
      <c r="X719" s="153">
        <f t="shared" si="100"/>
        <v>0</v>
      </c>
      <c r="Y719" s="153">
        <f t="shared" si="100"/>
        <v>0</v>
      </c>
      <c r="Z719" s="153">
        <f t="shared" si="100"/>
        <v>0</v>
      </c>
      <c r="AA719" s="153">
        <f t="shared" si="100"/>
        <v>0</v>
      </c>
      <c r="AB719" s="153">
        <f t="shared" si="100"/>
        <v>0</v>
      </c>
      <c r="AC719" s="153">
        <f t="shared" si="100"/>
        <v>0</v>
      </c>
      <c r="AD719" s="153">
        <f t="shared" si="100"/>
        <v>0</v>
      </c>
      <c r="AE719" s="153">
        <f t="shared" si="100"/>
        <v>0</v>
      </c>
      <c r="AF719" s="153">
        <f t="shared" si="100"/>
        <v>0</v>
      </c>
      <c r="AG719" s="153">
        <f t="shared" si="100"/>
        <v>0</v>
      </c>
      <c r="AH719" s="153">
        <f t="shared" si="100"/>
        <v>0</v>
      </c>
      <c r="AI719" s="153">
        <f t="shared" si="100"/>
        <v>0</v>
      </c>
      <c r="AJ719" s="153">
        <f t="shared" si="100"/>
        <v>0</v>
      </c>
      <c r="AK719" s="153">
        <f t="shared" si="100"/>
        <v>0</v>
      </c>
      <c r="AL719" s="153">
        <f t="shared" si="100"/>
        <v>0</v>
      </c>
      <c r="AM719" s="153">
        <f t="shared" si="100"/>
        <v>0</v>
      </c>
      <c r="AN719" s="153">
        <f t="shared" si="100"/>
        <v>0</v>
      </c>
      <c r="AO719" s="153">
        <f t="shared" si="100"/>
        <v>0</v>
      </c>
      <c r="AP719" s="153">
        <f t="shared" si="100"/>
        <v>0</v>
      </c>
      <c r="AQ719" s="153">
        <f t="shared" si="100"/>
        <v>0</v>
      </c>
      <c r="AR719" s="153">
        <f t="shared" si="100"/>
        <v>0</v>
      </c>
      <c r="AS719" s="153">
        <f t="shared" si="100"/>
        <v>0</v>
      </c>
      <c r="AT719" s="153">
        <f t="shared" si="100"/>
        <v>0</v>
      </c>
      <c r="AU719" s="153">
        <f t="shared" si="100"/>
        <v>0</v>
      </c>
      <c r="AV719" s="153">
        <f t="shared" si="100"/>
        <v>0</v>
      </c>
      <c r="AW719" s="153">
        <f t="shared" si="100"/>
        <v>0</v>
      </c>
      <c r="AX719" s="153">
        <f t="shared" si="100"/>
        <v>0</v>
      </c>
      <c r="AY719" s="47" t="s">
        <v>224</v>
      </c>
      <c r="AZ719" s="47"/>
      <c r="BA719" s="47"/>
      <c r="BB719" s="48"/>
      <c r="BI719" s="42"/>
    </row>
    <row r="720" spans="1:61" s="24" customFormat="1" ht="19.350000000000001" customHeight="1">
      <c r="A720" s="32">
        <f>A716+1</f>
        <v>602</v>
      </c>
      <c r="B720" s="56" t="s">
        <v>186</v>
      </c>
      <c r="C720" s="93" t="s">
        <v>59</v>
      </c>
      <c r="D720" s="35">
        <f t="shared" si="96"/>
        <v>0.28000000000000003</v>
      </c>
      <c r="E720" s="45"/>
      <c r="F720" s="35">
        <f t="shared" si="97"/>
        <v>0.28000000000000003</v>
      </c>
      <c r="G720" s="46"/>
      <c r="H720" s="46"/>
      <c r="I720" s="46">
        <v>0.28000000000000003</v>
      </c>
      <c r="J720" s="46"/>
      <c r="K720" s="46"/>
      <c r="L720" s="46"/>
      <c r="M720" s="46"/>
      <c r="N720" s="46"/>
      <c r="O720" s="46"/>
      <c r="P720" s="46"/>
      <c r="Q720" s="46"/>
      <c r="R720" s="46"/>
      <c r="S720" s="46"/>
      <c r="T720" s="46"/>
      <c r="U720" s="46"/>
      <c r="V720" s="46"/>
      <c r="W720" s="46"/>
      <c r="X720" s="46"/>
      <c r="Y720" s="46"/>
      <c r="Z720" s="46"/>
      <c r="AA720" s="46"/>
      <c r="AB720" s="46"/>
      <c r="AC720" s="46"/>
      <c r="AD720" s="46"/>
      <c r="AE720" s="46"/>
      <c r="AF720" s="46"/>
      <c r="AG720" s="46"/>
      <c r="AH720" s="46"/>
      <c r="AI720" s="46"/>
      <c r="AJ720" s="46"/>
      <c r="AK720" s="46"/>
      <c r="AL720" s="46"/>
      <c r="AM720" s="46"/>
      <c r="AN720" s="46"/>
      <c r="AO720" s="46"/>
      <c r="AP720" s="46"/>
      <c r="AQ720" s="46"/>
      <c r="AR720" s="46"/>
      <c r="AS720" s="46"/>
      <c r="AT720" s="46"/>
      <c r="AU720" s="46"/>
      <c r="AV720" s="46"/>
      <c r="AW720" s="46"/>
      <c r="AX720" s="46"/>
      <c r="AY720" s="47" t="s">
        <v>224</v>
      </c>
      <c r="AZ720" s="47" t="s">
        <v>1331</v>
      </c>
      <c r="BA720" s="47" t="s">
        <v>291</v>
      </c>
      <c r="BB720" s="48"/>
      <c r="BI720" s="42">
        <v>1</v>
      </c>
    </row>
    <row r="721" spans="1:64" s="24" customFormat="1" ht="75" customHeight="1">
      <c r="A721" s="32">
        <f>A720+1</f>
        <v>603</v>
      </c>
      <c r="B721" s="60" t="s">
        <v>1332</v>
      </c>
      <c r="C721" s="93" t="s">
        <v>1260</v>
      </c>
      <c r="D721" s="35">
        <f t="shared" si="96"/>
        <v>0.4</v>
      </c>
      <c r="E721" s="45"/>
      <c r="F721" s="35">
        <f t="shared" si="97"/>
        <v>0.4</v>
      </c>
      <c r="G721" s="46">
        <v>0.1</v>
      </c>
      <c r="H721" s="46"/>
      <c r="I721" s="46">
        <v>0.1</v>
      </c>
      <c r="J721" s="46">
        <v>0.1</v>
      </c>
      <c r="K721" s="46"/>
      <c r="L721" s="46"/>
      <c r="M721" s="46">
        <v>0.1</v>
      </c>
      <c r="N721" s="46"/>
      <c r="O721" s="46"/>
      <c r="P721" s="46"/>
      <c r="Q721" s="46"/>
      <c r="R721" s="46"/>
      <c r="S721" s="46"/>
      <c r="T721" s="46"/>
      <c r="U721" s="46"/>
      <c r="V721" s="46"/>
      <c r="W721" s="46"/>
      <c r="X721" s="46"/>
      <c r="Y721" s="46"/>
      <c r="Z721" s="46"/>
      <c r="AA721" s="46"/>
      <c r="AB721" s="46"/>
      <c r="AC721" s="46"/>
      <c r="AD721" s="46"/>
      <c r="AE721" s="46"/>
      <c r="AF721" s="46"/>
      <c r="AG721" s="46"/>
      <c r="AH721" s="46"/>
      <c r="AI721" s="46"/>
      <c r="AJ721" s="46"/>
      <c r="AK721" s="46"/>
      <c r="AL721" s="46"/>
      <c r="AM721" s="46"/>
      <c r="AN721" s="46"/>
      <c r="AO721" s="46"/>
      <c r="AP721" s="46"/>
      <c r="AQ721" s="46"/>
      <c r="AR721" s="46"/>
      <c r="AS721" s="46"/>
      <c r="AT721" s="46"/>
      <c r="AU721" s="46"/>
      <c r="AV721" s="46"/>
      <c r="AW721" s="46"/>
      <c r="AX721" s="46"/>
      <c r="AY721" s="47" t="s">
        <v>224</v>
      </c>
      <c r="AZ721" s="47" t="s">
        <v>389</v>
      </c>
      <c r="BA721" s="47" t="s">
        <v>291</v>
      </c>
      <c r="BB721" s="48"/>
      <c r="BI721" s="42">
        <v>1</v>
      </c>
    </row>
    <row r="722" spans="1:64" s="24" customFormat="1" ht="26.1" hidden="1" customHeight="1">
      <c r="A722" s="32"/>
      <c r="B722" s="60"/>
      <c r="C722" s="93" t="s">
        <v>59</v>
      </c>
      <c r="D722" s="35">
        <f t="shared" si="96"/>
        <v>0.16</v>
      </c>
      <c r="E722" s="45"/>
      <c r="F722" s="35">
        <f t="shared" si="97"/>
        <v>0.16</v>
      </c>
      <c r="G722" s="46">
        <v>0.1</v>
      </c>
      <c r="H722" s="46"/>
      <c r="I722" s="46">
        <v>0.06</v>
      </c>
      <c r="J722" s="46"/>
      <c r="K722" s="46"/>
      <c r="L722" s="46"/>
      <c r="M722" s="46"/>
      <c r="N722" s="46"/>
      <c r="O722" s="46"/>
      <c r="P722" s="46"/>
      <c r="Q722" s="46"/>
      <c r="R722" s="46"/>
      <c r="S722" s="46"/>
      <c r="T722" s="46"/>
      <c r="U722" s="46"/>
      <c r="V722" s="46"/>
      <c r="W722" s="46"/>
      <c r="X722" s="46"/>
      <c r="Y722" s="46"/>
      <c r="Z722" s="46"/>
      <c r="AA722" s="46"/>
      <c r="AB722" s="46"/>
      <c r="AC722" s="46"/>
      <c r="AD722" s="46"/>
      <c r="AE722" s="46"/>
      <c r="AF722" s="46"/>
      <c r="AG722" s="46"/>
      <c r="AH722" s="46"/>
      <c r="AI722" s="46"/>
      <c r="AJ722" s="46"/>
      <c r="AK722" s="46"/>
      <c r="AL722" s="46"/>
      <c r="AM722" s="46"/>
      <c r="AN722" s="46"/>
      <c r="AO722" s="46"/>
      <c r="AP722" s="46"/>
      <c r="AQ722" s="46"/>
      <c r="AR722" s="46"/>
      <c r="AS722" s="46"/>
      <c r="AT722" s="46"/>
      <c r="AU722" s="46"/>
      <c r="AV722" s="46"/>
      <c r="AW722" s="46"/>
      <c r="AX722" s="46"/>
      <c r="AY722" s="47" t="s">
        <v>224</v>
      </c>
      <c r="AZ722" s="47"/>
      <c r="BA722" s="47"/>
      <c r="BB722" s="48"/>
      <c r="BI722" s="42"/>
    </row>
    <row r="723" spans="1:64" s="24" customFormat="1" ht="26.1" hidden="1" customHeight="1">
      <c r="A723" s="32"/>
      <c r="B723" s="60"/>
      <c r="C723" s="93" t="s">
        <v>44</v>
      </c>
      <c r="D723" s="35">
        <f t="shared" si="96"/>
        <v>0.16</v>
      </c>
      <c r="E723" s="45"/>
      <c r="F723" s="35">
        <f t="shared" si="97"/>
        <v>0.16</v>
      </c>
      <c r="G723" s="46"/>
      <c r="H723" s="46"/>
      <c r="I723" s="46"/>
      <c r="J723" s="46">
        <v>0.1</v>
      </c>
      <c r="K723" s="46"/>
      <c r="L723" s="46"/>
      <c r="M723" s="46">
        <v>0.06</v>
      </c>
      <c r="N723" s="46"/>
      <c r="O723" s="46"/>
      <c r="P723" s="46"/>
      <c r="Q723" s="46"/>
      <c r="R723" s="46"/>
      <c r="S723" s="46"/>
      <c r="T723" s="46"/>
      <c r="U723" s="46"/>
      <c r="V723" s="46"/>
      <c r="W723" s="46"/>
      <c r="X723" s="46"/>
      <c r="Y723" s="46"/>
      <c r="Z723" s="46"/>
      <c r="AA723" s="46"/>
      <c r="AB723" s="46"/>
      <c r="AC723" s="46"/>
      <c r="AD723" s="46"/>
      <c r="AE723" s="46"/>
      <c r="AF723" s="46"/>
      <c r="AG723" s="46"/>
      <c r="AH723" s="46"/>
      <c r="AI723" s="46"/>
      <c r="AJ723" s="46"/>
      <c r="AK723" s="46"/>
      <c r="AL723" s="46"/>
      <c r="AM723" s="46"/>
      <c r="AN723" s="46"/>
      <c r="AO723" s="46"/>
      <c r="AP723" s="46"/>
      <c r="AQ723" s="46"/>
      <c r="AR723" s="46"/>
      <c r="AS723" s="46"/>
      <c r="AT723" s="46"/>
      <c r="AU723" s="46"/>
      <c r="AV723" s="46"/>
      <c r="AW723" s="46"/>
      <c r="AX723" s="46"/>
      <c r="AY723" s="47" t="s">
        <v>224</v>
      </c>
      <c r="AZ723" s="47"/>
      <c r="BA723" s="47"/>
      <c r="BB723" s="48"/>
      <c r="BI723" s="42"/>
    </row>
    <row r="724" spans="1:64" s="24" customFormat="1" ht="26.1" hidden="1" customHeight="1">
      <c r="A724" s="32"/>
      <c r="B724" s="60"/>
      <c r="C724" s="93" t="s">
        <v>138</v>
      </c>
      <c r="D724" s="35">
        <f t="shared" si="96"/>
        <v>8.0000000000000016E-2</v>
      </c>
      <c r="E724" s="45"/>
      <c r="F724" s="35">
        <f t="shared" si="97"/>
        <v>8.0000000000000016E-2</v>
      </c>
      <c r="G724" s="153">
        <f>G721-G722-G723</f>
        <v>0</v>
      </c>
      <c r="H724" s="153">
        <f t="shared" ref="H724:AX724" si="101">H721-H722-H723</f>
        <v>0</v>
      </c>
      <c r="I724" s="153">
        <f t="shared" si="101"/>
        <v>4.0000000000000008E-2</v>
      </c>
      <c r="J724" s="153">
        <f t="shared" si="101"/>
        <v>0</v>
      </c>
      <c r="K724" s="153">
        <f t="shared" si="101"/>
        <v>0</v>
      </c>
      <c r="L724" s="153">
        <f t="shared" si="101"/>
        <v>0</v>
      </c>
      <c r="M724" s="153">
        <f t="shared" si="101"/>
        <v>4.0000000000000008E-2</v>
      </c>
      <c r="N724" s="153">
        <f t="shared" si="101"/>
        <v>0</v>
      </c>
      <c r="O724" s="153">
        <f t="shared" si="101"/>
        <v>0</v>
      </c>
      <c r="P724" s="153">
        <f t="shared" si="101"/>
        <v>0</v>
      </c>
      <c r="Q724" s="153">
        <f t="shared" si="101"/>
        <v>0</v>
      </c>
      <c r="R724" s="153">
        <f t="shared" si="101"/>
        <v>0</v>
      </c>
      <c r="S724" s="153">
        <f t="shared" si="101"/>
        <v>0</v>
      </c>
      <c r="T724" s="153">
        <f t="shared" si="101"/>
        <v>0</v>
      </c>
      <c r="U724" s="153">
        <f t="shared" si="101"/>
        <v>0</v>
      </c>
      <c r="V724" s="153">
        <f t="shared" si="101"/>
        <v>0</v>
      </c>
      <c r="W724" s="153">
        <f t="shared" si="101"/>
        <v>0</v>
      </c>
      <c r="X724" s="153">
        <f t="shared" si="101"/>
        <v>0</v>
      </c>
      <c r="Y724" s="153">
        <f t="shared" si="101"/>
        <v>0</v>
      </c>
      <c r="Z724" s="153">
        <f t="shared" si="101"/>
        <v>0</v>
      </c>
      <c r="AA724" s="153">
        <f t="shared" si="101"/>
        <v>0</v>
      </c>
      <c r="AB724" s="153">
        <f t="shared" si="101"/>
        <v>0</v>
      </c>
      <c r="AC724" s="153">
        <f t="shared" si="101"/>
        <v>0</v>
      </c>
      <c r="AD724" s="153">
        <f t="shared" si="101"/>
        <v>0</v>
      </c>
      <c r="AE724" s="153">
        <f t="shared" si="101"/>
        <v>0</v>
      </c>
      <c r="AF724" s="153">
        <f t="shared" si="101"/>
        <v>0</v>
      </c>
      <c r="AG724" s="153">
        <f t="shared" si="101"/>
        <v>0</v>
      </c>
      <c r="AH724" s="153">
        <f t="shared" si="101"/>
        <v>0</v>
      </c>
      <c r="AI724" s="153">
        <f t="shared" si="101"/>
        <v>0</v>
      </c>
      <c r="AJ724" s="153">
        <f t="shared" si="101"/>
        <v>0</v>
      </c>
      <c r="AK724" s="153">
        <f t="shared" si="101"/>
        <v>0</v>
      </c>
      <c r="AL724" s="153">
        <f t="shared" si="101"/>
        <v>0</v>
      </c>
      <c r="AM724" s="153">
        <f t="shared" si="101"/>
        <v>0</v>
      </c>
      <c r="AN724" s="153">
        <f t="shared" si="101"/>
        <v>0</v>
      </c>
      <c r="AO724" s="153">
        <f t="shared" si="101"/>
        <v>0</v>
      </c>
      <c r="AP724" s="153">
        <f t="shared" si="101"/>
        <v>0</v>
      </c>
      <c r="AQ724" s="153">
        <f t="shared" si="101"/>
        <v>0</v>
      </c>
      <c r="AR724" s="153">
        <f t="shared" si="101"/>
        <v>0</v>
      </c>
      <c r="AS724" s="153">
        <f t="shared" si="101"/>
        <v>0</v>
      </c>
      <c r="AT724" s="153">
        <f t="shared" si="101"/>
        <v>0</v>
      </c>
      <c r="AU724" s="153">
        <f t="shared" si="101"/>
        <v>0</v>
      </c>
      <c r="AV724" s="153">
        <f t="shared" si="101"/>
        <v>0</v>
      </c>
      <c r="AW724" s="153">
        <f t="shared" si="101"/>
        <v>0</v>
      </c>
      <c r="AX724" s="153">
        <f t="shared" si="101"/>
        <v>0</v>
      </c>
      <c r="AY724" s="47" t="s">
        <v>224</v>
      </c>
      <c r="AZ724" s="47"/>
      <c r="BA724" s="47"/>
      <c r="BB724" s="48"/>
      <c r="BI724" s="42"/>
    </row>
    <row r="725" spans="1:64" s="24" customFormat="1" ht="31.5">
      <c r="A725" s="32">
        <f>A721+1</f>
        <v>604</v>
      </c>
      <c r="B725" s="33" t="s">
        <v>186</v>
      </c>
      <c r="C725" s="93" t="s">
        <v>59</v>
      </c>
      <c r="D725" s="35">
        <f t="shared" si="96"/>
        <v>3.5999999999999997E-2</v>
      </c>
      <c r="E725" s="45"/>
      <c r="F725" s="35">
        <f t="shared" si="97"/>
        <v>3.5999999999999997E-2</v>
      </c>
      <c r="G725" s="155"/>
      <c r="H725" s="155"/>
      <c r="I725" s="155"/>
      <c r="J725" s="155"/>
      <c r="K725" s="155"/>
      <c r="L725" s="155"/>
      <c r="M725" s="155"/>
      <c r="N725" s="155"/>
      <c r="O725" s="155"/>
      <c r="P725" s="155"/>
      <c r="Q725" s="155"/>
      <c r="R725" s="155"/>
      <c r="S725" s="155"/>
      <c r="T725" s="155"/>
      <c r="U725" s="155"/>
      <c r="V725" s="155"/>
      <c r="W725" s="155"/>
      <c r="X725" s="155"/>
      <c r="Y725" s="155"/>
      <c r="Z725" s="155"/>
      <c r="AA725" s="155"/>
      <c r="AB725" s="155"/>
      <c r="AC725" s="155"/>
      <c r="AD725" s="155"/>
      <c r="AE725" s="155"/>
      <c r="AF725" s="155"/>
      <c r="AG725" s="155"/>
      <c r="AH725" s="155"/>
      <c r="AI725" s="155"/>
      <c r="AJ725" s="155"/>
      <c r="AK725" s="155"/>
      <c r="AL725" s="155"/>
      <c r="AM725" s="155"/>
      <c r="AN725" s="155">
        <v>3.5999999999999997E-2</v>
      </c>
      <c r="AO725" s="155"/>
      <c r="AP725" s="155"/>
      <c r="AQ725" s="155"/>
      <c r="AR725" s="155"/>
      <c r="AS725" s="155"/>
      <c r="AT725" s="155"/>
      <c r="AU725" s="155"/>
      <c r="AV725" s="155"/>
      <c r="AW725" s="155"/>
      <c r="AX725" s="155"/>
      <c r="AY725" s="47" t="s">
        <v>224</v>
      </c>
      <c r="AZ725" s="34" t="s">
        <v>1333</v>
      </c>
      <c r="BA725" s="47" t="s">
        <v>298</v>
      </c>
      <c r="BB725" s="15" t="s">
        <v>381</v>
      </c>
      <c r="BI725" s="42">
        <v>1</v>
      </c>
    </row>
    <row r="726" spans="1:64" s="24" customFormat="1" ht="21.6" customHeight="1">
      <c r="A726" s="32">
        <f>A725+1</f>
        <v>605</v>
      </c>
      <c r="B726" s="33" t="s">
        <v>186</v>
      </c>
      <c r="C726" s="93" t="s">
        <v>59</v>
      </c>
      <c r="D726" s="35">
        <f t="shared" si="96"/>
        <v>0.11</v>
      </c>
      <c r="E726" s="45"/>
      <c r="F726" s="35">
        <f t="shared" si="97"/>
        <v>0.11</v>
      </c>
      <c r="G726" s="155"/>
      <c r="H726" s="155">
        <v>0.11</v>
      </c>
      <c r="I726" s="155"/>
      <c r="J726" s="155"/>
      <c r="K726" s="155"/>
      <c r="L726" s="155"/>
      <c r="M726" s="155"/>
      <c r="N726" s="155"/>
      <c r="O726" s="155"/>
      <c r="P726" s="155"/>
      <c r="Q726" s="155"/>
      <c r="R726" s="155"/>
      <c r="S726" s="155"/>
      <c r="T726" s="155"/>
      <c r="U726" s="155"/>
      <c r="V726" s="155"/>
      <c r="W726" s="155"/>
      <c r="X726" s="155"/>
      <c r="Y726" s="155"/>
      <c r="Z726" s="155"/>
      <c r="AA726" s="155"/>
      <c r="AB726" s="155"/>
      <c r="AC726" s="155"/>
      <c r="AD726" s="155"/>
      <c r="AE726" s="155"/>
      <c r="AF726" s="155"/>
      <c r="AG726" s="155"/>
      <c r="AH726" s="155"/>
      <c r="AI726" s="155"/>
      <c r="AJ726" s="155"/>
      <c r="AK726" s="155"/>
      <c r="AL726" s="155"/>
      <c r="AM726" s="155"/>
      <c r="AN726" s="155"/>
      <c r="AO726" s="155"/>
      <c r="AP726" s="155"/>
      <c r="AQ726" s="155"/>
      <c r="AR726" s="155"/>
      <c r="AS726" s="155"/>
      <c r="AT726" s="155"/>
      <c r="AU726" s="155"/>
      <c r="AV726" s="155"/>
      <c r="AW726" s="155"/>
      <c r="AX726" s="155"/>
      <c r="AY726" s="47" t="s">
        <v>224</v>
      </c>
      <c r="AZ726" s="34" t="s">
        <v>1334</v>
      </c>
      <c r="BA726" s="156" t="s">
        <v>291</v>
      </c>
      <c r="BB726" s="15" t="s">
        <v>381</v>
      </c>
      <c r="BI726" s="42">
        <v>1</v>
      </c>
    </row>
    <row r="727" spans="1:64" s="24" customFormat="1" ht="21.6" customHeight="1">
      <c r="A727" s="32">
        <f>A726+1</f>
        <v>606</v>
      </c>
      <c r="B727" s="33" t="s">
        <v>186</v>
      </c>
      <c r="C727" s="38" t="s">
        <v>1260</v>
      </c>
      <c r="D727" s="35">
        <f t="shared" si="96"/>
        <v>0.75</v>
      </c>
      <c r="E727" s="45"/>
      <c r="F727" s="35">
        <f t="shared" si="97"/>
        <v>0.75</v>
      </c>
      <c r="G727" s="155"/>
      <c r="H727" s="155">
        <v>0.75</v>
      </c>
      <c r="I727" s="155"/>
      <c r="J727" s="155"/>
      <c r="K727" s="155"/>
      <c r="L727" s="155"/>
      <c r="M727" s="155"/>
      <c r="N727" s="155"/>
      <c r="O727" s="155"/>
      <c r="P727" s="155"/>
      <c r="Q727" s="155"/>
      <c r="R727" s="155"/>
      <c r="S727" s="155"/>
      <c r="T727" s="155"/>
      <c r="U727" s="155"/>
      <c r="V727" s="155"/>
      <c r="W727" s="155"/>
      <c r="X727" s="155"/>
      <c r="Y727" s="155"/>
      <c r="Z727" s="155"/>
      <c r="AA727" s="155"/>
      <c r="AB727" s="155"/>
      <c r="AC727" s="155"/>
      <c r="AD727" s="155"/>
      <c r="AE727" s="155"/>
      <c r="AF727" s="155"/>
      <c r="AG727" s="155"/>
      <c r="AH727" s="155"/>
      <c r="AI727" s="155"/>
      <c r="AJ727" s="155"/>
      <c r="AK727" s="155"/>
      <c r="AL727" s="155"/>
      <c r="AM727" s="155"/>
      <c r="AN727" s="155"/>
      <c r="AO727" s="155"/>
      <c r="AP727" s="155"/>
      <c r="AQ727" s="155"/>
      <c r="AR727" s="155"/>
      <c r="AS727" s="155"/>
      <c r="AT727" s="155"/>
      <c r="AU727" s="155"/>
      <c r="AV727" s="155"/>
      <c r="AW727" s="155"/>
      <c r="AX727" s="155"/>
      <c r="AY727" s="47" t="s">
        <v>224</v>
      </c>
      <c r="AZ727" s="34" t="s">
        <v>1335</v>
      </c>
      <c r="BA727" s="47" t="s">
        <v>298</v>
      </c>
      <c r="BB727" s="15"/>
      <c r="BG727" s="24" t="s">
        <v>311</v>
      </c>
      <c r="BI727" s="42"/>
      <c r="BL727" s="24" t="s">
        <v>1336</v>
      </c>
    </row>
    <row r="728" spans="1:64" s="24" customFormat="1" ht="21.6" hidden="1" customHeight="1">
      <c r="A728" s="32"/>
      <c r="B728" s="33"/>
      <c r="C728" s="93" t="s">
        <v>59</v>
      </c>
      <c r="D728" s="35">
        <f t="shared" si="96"/>
        <v>0.3</v>
      </c>
      <c r="E728" s="45"/>
      <c r="F728" s="35">
        <f t="shared" si="97"/>
        <v>0.3</v>
      </c>
      <c r="G728" s="155"/>
      <c r="H728" s="155">
        <v>0.3</v>
      </c>
      <c r="I728" s="155"/>
      <c r="J728" s="155"/>
      <c r="K728" s="155"/>
      <c r="L728" s="155"/>
      <c r="M728" s="155"/>
      <c r="N728" s="155"/>
      <c r="O728" s="155"/>
      <c r="P728" s="155"/>
      <c r="Q728" s="155"/>
      <c r="R728" s="155"/>
      <c r="S728" s="155"/>
      <c r="T728" s="155"/>
      <c r="U728" s="155"/>
      <c r="V728" s="155"/>
      <c r="W728" s="155"/>
      <c r="X728" s="155"/>
      <c r="Y728" s="155"/>
      <c r="Z728" s="155"/>
      <c r="AA728" s="155"/>
      <c r="AB728" s="155"/>
      <c r="AC728" s="155"/>
      <c r="AD728" s="155"/>
      <c r="AE728" s="155"/>
      <c r="AF728" s="155"/>
      <c r="AG728" s="155"/>
      <c r="AH728" s="155"/>
      <c r="AI728" s="155"/>
      <c r="AJ728" s="155"/>
      <c r="AK728" s="155"/>
      <c r="AL728" s="155"/>
      <c r="AM728" s="155"/>
      <c r="AN728" s="155"/>
      <c r="AO728" s="155"/>
      <c r="AP728" s="155"/>
      <c r="AQ728" s="155"/>
      <c r="AR728" s="155"/>
      <c r="AS728" s="155"/>
      <c r="AT728" s="155"/>
      <c r="AU728" s="155"/>
      <c r="AV728" s="155"/>
      <c r="AW728" s="155"/>
      <c r="AX728" s="155"/>
      <c r="AY728" s="47" t="s">
        <v>224</v>
      </c>
      <c r="AZ728" s="34"/>
      <c r="BA728" s="47"/>
      <c r="BB728" s="15"/>
      <c r="BI728" s="42"/>
    </row>
    <row r="729" spans="1:64" s="24" customFormat="1" ht="21.6" hidden="1" customHeight="1">
      <c r="A729" s="32"/>
      <c r="B729" s="33"/>
      <c r="C729" s="93" t="s">
        <v>44</v>
      </c>
      <c r="D729" s="35">
        <f t="shared" si="96"/>
        <v>0.2</v>
      </c>
      <c r="E729" s="45"/>
      <c r="F729" s="35">
        <f t="shared" si="97"/>
        <v>0.2</v>
      </c>
      <c r="G729" s="155"/>
      <c r="H729" s="155">
        <v>0.2</v>
      </c>
      <c r="I729" s="155"/>
      <c r="J729" s="155"/>
      <c r="K729" s="155"/>
      <c r="L729" s="155"/>
      <c r="M729" s="155"/>
      <c r="N729" s="155"/>
      <c r="O729" s="155"/>
      <c r="P729" s="155"/>
      <c r="Q729" s="155"/>
      <c r="R729" s="155"/>
      <c r="S729" s="155"/>
      <c r="T729" s="155"/>
      <c r="U729" s="155"/>
      <c r="V729" s="155"/>
      <c r="W729" s="155"/>
      <c r="X729" s="155"/>
      <c r="Y729" s="155"/>
      <c r="Z729" s="155"/>
      <c r="AA729" s="155"/>
      <c r="AB729" s="155"/>
      <c r="AC729" s="155"/>
      <c r="AD729" s="155"/>
      <c r="AE729" s="155"/>
      <c r="AF729" s="155"/>
      <c r="AG729" s="155"/>
      <c r="AH729" s="155"/>
      <c r="AI729" s="155"/>
      <c r="AJ729" s="155"/>
      <c r="AK729" s="155"/>
      <c r="AL729" s="155"/>
      <c r="AM729" s="155"/>
      <c r="AN729" s="155"/>
      <c r="AO729" s="155"/>
      <c r="AP729" s="155"/>
      <c r="AQ729" s="155"/>
      <c r="AR729" s="155"/>
      <c r="AS729" s="155"/>
      <c r="AT729" s="155"/>
      <c r="AU729" s="155"/>
      <c r="AV729" s="155"/>
      <c r="AW729" s="155"/>
      <c r="AX729" s="155"/>
      <c r="AY729" s="47" t="s">
        <v>224</v>
      </c>
      <c r="AZ729" s="34"/>
      <c r="BA729" s="47"/>
      <c r="BB729" s="15"/>
      <c r="BI729" s="42"/>
    </row>
    <row r="730" spans="1:64" s="24" customFormat="1" ht="21.6" hidden="1" customHeight="1">
      <c r="A730" s="32"/>
      <c r="B730" s="33"/>
      <c r="C730" s="93" t="s">
        <v>45</v>
      </c>
      <c r="D730" s="35">
        <f t="shared" si="96"/>
        <v>0.15</v>
      </c>
      <c r="E730" s="45"/>
      <c r="F730" s="35">
        <f t="shared" si="97"/>
        <v>0.15</v>
      </c>
      <c r="G730" s="155"/>
      <c r="H730" s="155">
        <v>0.15</v>
      </c>
      <c r="I730" s="155"/>
      <c r="J730" s="155"/>
      <c r="K730" s="155"/>
      <c r="L730" s="155"/>
      <c r="M730" s="155"/>
      <c r="N730" s="155"/>
      <c r="O730" s="155"/>
      <c r="P730" s="155"/>
      <c r="Q730" s="155"/>
      <c r="R730" s="155"/>
      <c r="S730" s="155"/>
      <c r="T730" s="155"/>
      <c r="U730" s="155"/>
      <c r="V730" s="155"/>
      <c r="W730" s="155"/>
      <c r="X730" s="155"/>
      <c r="Y730" s="155"/>
      <c r="Z730" s="155"/>
      <c r="AA730" s="155"/>
      <c r="AB730" s="155"/>
      <c r="AC730" s="155"/>
      <c r="AD730" s="155"/>
      <c r="AE730" s="155"/>
      <c r="AF730" s="155"/>
      <c r="AG730" s="155"/>
      <c r="AH730" s="155"/>
      <c r="AI730" s="155"/>
      <c r="AJ730" s="155"/>
      <c r="AK730" s="155"/>
      <c r="AL730" s="155"/>
      <c r="AM730" s="155"/>
      <c r="AN730" s="155"/>
      <c r="AO730" s="155"/>
      <c r="AP730" s="155"/>
      <c r="AQ730" s="155"/>
      <c r="AR730" s="155"/>
      <c r="AS730" s="155"/>
      <c r="AT730" s="155"/>
      <c r="AU730" s="155"/>
      <c r="AV730" s="155"/>
      <c r="AW730" s="155"/>
      <c r="AX730" s="155"/>
      <c r="AY730" s="47" t="s">
        <v>224</v>
      </c>
      <c r="AZ730" s="34"/>
      <c r="BA730" s="47"/>
      <c r="BB730" s="15"/>
      <c r="BI730" s="42"/>
    </row>
    <row r="731" spans="1:64" s="24" customFormat="1" ht="21.6" hidden="1" customHeight="1">
      <c r="A731" s="32"/>
      <c r="B731" s="33"/>
      <c r="C731" s="93" t="s">
        <v>138</v>
      </c>
      <c r="D731" s="35">
        <f t="shared" si="96"/>
        <v>0.1</v>
      </c>
      <c r="E731" s="45"/>
      <c r="F731" s="35">
        <f t="shared" si="97"/>
        <v>0.1</v>
      </c>
      <c r="G731" s="153">
        <f>G727-G728-G729-G730</f>
        <v>0</v>
      </c>
      <c r="H731" s="153">
        <f t="shared" ref="H731:AX731" si="102">H727-H728-H729-H730</f>
        <v>0.1</v>
      </c>
      <c r="I731" s="153">
        <f t="shared" si="102"/>
        <v>0</v>
      </c>
      <c r="J731" s="153">
        <f t="shared" si="102"/>
        <v>0</v>
      </c>
      <c r="K731" s="153">
        <f t="shared" si="102"/>
        <v>0</v>
      </c>
      <c r="L731" s="153">
        <f t="shared" si="102"/>
        <v>0</v>
      </c>
      <c r="M731" s="153">
        <f t="shared" si="102"/>
        <v>0</v>
      </c>
      <c r="N731" s="153">
        <f t="shared" si="102"/>
        <v>0</v>
      </c>
      <c r="O731" s="153">
        <f t="shared" si="102"/>
        <v>0</v>
      </c>
      <c r="P731" s="153">
        <f t="shared" si="102"/>
        <v>0</v>
      </c>
      <c r="Q731" s="153">
        <f t="shared" si="102"/>
        <v>0</v>
      </c>
      <c r="R731" s="153">
        <f t="shared" si="102"/>
        <v>0</v>
      </c>
      <c r="S731" s="153">
        <f t="shared" si="102"/>
        <v>0</v>
      </c>
      <c r="T731" s="153">
        <f t="shared" si="102"/>
        <v>0</v>
      </c>
      <c r="U731" s="153">
        <f t="shared" si="102"/>
        <v>0</v>
      </c>
      <c r="V731" s="153">
        <f t="shared" si="102"/>
        <v>0</v>
      </c>
      <c r="W731" s="153">
        <f t="shared" si="102"/>
        <v>0</v>
      </c>
      <c r="X731" s="153">
        <f t="shared" si="102"/>
        <v>0</v>
      </c>
      <c r="Y731" s="153">
        <f t="shared" si="102"/>
        <v>0</v>
      </c>
      <c r="Z731" s="153">
        <f t="shared" si="102"/>
        <v>0</v>
      </c>
      <c r="AA731" s="153">
        <f t="shared" si="102"/>
        <v>0</v>
      </c>
      <c r="AB731" s="153">
        <f t="shared" si="102"/>
        <v>0</v>
      </c>
      <c r="AC731" s="153">
        <f t="shared" si="102"/>
        <v>0</v>
      </c>
      <c r="AD731" s="153">
        <f t="shared" si="102"/>
        <v>0</v>
      </c>
      <c r="AE731" s="153">
        <f t="shared" si="102"/>
        <v>0</v>
      </c>
      <c r="AF731" s="153">
        <f t="shared" si="102"/>
        <v>0</v>
      </c>
      <c r="AG731" s="153">
        <f t="shared" si="102"/>
        <v>0</v>
      </c>
      <c r="AH731" s="153">
        <f t="shared" si="102"/>
        <v>0</v>
      </c>
      <c r="AI731" s="153">
        <f t="shared" si="102"/>
        <v>0</v>
      </c>
      <c r="AJ731" s="153">
        <f t="shared" si="102"/>
        <v>0</v>
      </c>
      <c r="AK731" s="153">
        <f t="shared" si="102"/>
        <v>0</v>
      </c>
      <c r="AL731" s="153">
        <f t="shared" si="102"/>
        <v>0</v>
      </c>
      <c r="AM731" s="153">
        <f t="shared" si="102"/>
        <v>0</v>
      </c>
      <c r="AN731" s="153">
        <f t="shared" si="102"/>
        <v>0</v>
      </c>
      <c r="AO731" s="153">
        <f t="shared" si="102"/>
        <v>0</v>
      </c>
      <c r="AP731" s="153">
        <f t="shared" si="102"/>
        <v>0</v>
      </c>
      <c r="AQ731" s="153">
        <f t="shared" si="102"/>
        <v>0</v>
      </c>
      <c r="AR731" s="153">
        <f t="shared" si="102"/>
        <v>0</v>
      </c>
      <c r="AS731" s="153">
        <f t="shared" si="102"/>
        <v>0</v>
      </c>
      <c r="AT731" s="153">
        <f t="shared" si="102"/>
        <v>0</v>
      </c>
      <c r="AU731" s="153">
        <f t="shared" si="102"/>
        <v>0</v>
      </c>
      <c r="AV731" s="153">
        <f t="shared" si="102"/>
        <v>0</v>
      </c>
      <c r="AW731" s="153">
        <f t="shared" si="102"/>
        <v>0</v>
      </c>
      <c r="AX731" s="153">
        <f t="shared" si="102"/>
        <v>0</v>
      </c>
      <c r="AY731" s="47" t="s">
        <v>224</v>
      </c>
      <c r="AZ731" s="34"/>
      <c r="BA731" s="47"/>
      <c r="BB731" s="15"/>
      <c r="BI731" s="42"/>
    </row>
    <row r="732" spans="1:64" s="24" customFormat="1" ht="21.6" customHeight="1">
      <c r="A732" s="32">
        <f>A727+1</f>
        <v>607</v>
      </c>
      <c r="B732" s="33" t="s">
        <v>1337</v>
      </c>
      <c r="C732" s="93" t="s">
        <v>59</v>
      </c>
      <c r="D732" s="35">
        <f t="shared" si="96"/>
        <v>0.16999999999999998</v>
      </c>
      <c r="E732" s="45"/>
      <c r="F732" s="35">
        <f t="shared" si="97"/>
        <v>0.16999999999999998</v>
      </c>
      <c r="G732" s="153"/>
      <c r="H732" s="153"/>
      <c r="I732" s="153"/>
      <c r="J732" s="157">
        <v>0.02</v>
      </c>
      <c r="K732" s="153"/>
      <c r="L732" s="154">
        <v>0.15</v>
      </c>
      <c r="M732" s="153"/>
      <c r="N732" s="153"/>
      <c r="O732" s="153"/>
      <c r="P732" s="153"/>
      <c r="Q732" s="153"/>
      <c r="R732" s="153"/>
      <c r="S732" s="153"/>
      <c r="T732" s="153"/>
      <c r="U732" s="153"/>
      <c r="V732" s="153"/>
      <c r="W732" s="153"/>
      <c r="X732" s="153"/>
      <c r="Y732" s="153"/>
      <c r="Z732" s="153"/>
      <c r="AA732" s="153"/>
      <c r="AB732" s="153"/>
      <c r="AC732" s="153"/>
      <c r="AD732" s="153"/>
      <c r="AE732" s="153"/>
      <c r="AF732" s="153"/>
      <c r="AG732" s="153"/>
      <c r="AH732" s="153"/>
      <c r="AI732" s="153"/>
      <c r="AJ732" s="153"/>
      <c r="AK732" s="153"/>
      <c r="AL732" s="153"/>
      <c r="AM732" s="153"/>
      <c r="AN732" s="153"/>
      <c r="AO732" s="153"/>
      <c r="AP732" s="153"/>
      <c r="AQ732" s="153"/>
      <c r="AR732" s="153"/>
      <c r="AS732" s="153"/>
      <c r="AT732" s="153"/>
      <c r="AU732" s="153"/>
      <c r="AV732" s="153"/>
      <c r="AW732" s="153"/>
      <c r="AX732" s="153"/>
      <c r="AY732" s="47" t="s">
        <v>224</v>
      </c>
      <c r="AZ732" s="34" t="s">
        <v>1338</v>
      </c>
      <c r="BA732" s="47" t="s">
        <v>298</v>
      </c>
      <c r="BB732" s="15"/>
      <c r="BG732" s="24" t="s">
        <v>311</v>
      </c>
      <c r="BI732" s="42"/>
    </row>
    <row r="733" spans="1:64" s="24" customFormat="1" ht="25.35" customHeight="1">
      <c r="A733" s="32">
        <f>A732+1</f>
        <v>608</v>
      </c>
      <c r="B733" s="60" t="s">
        <v>1299</v>
      </c>
      <c r="C733" s="93" t="s">
        <v>59</v>
      </c>
      <c r="D733" s="35">
        <f t="shared" si="96"/>
        <v>0.7</v>
      </c>
      <c r="E733" s="45"/>
      <c r="F733" s="35">
        <f t="shared" si="97"/>
        <v>0.7</v>
      </c>
      <c r="G733" s="46"/>
      <c r="H733" s="46"/>
      <c r="I733" s="46"/>
      <c r="J733" s="46">
        <v>0.7</v>
      </c>
      <c r="K733" s="46"/>
      <c r="L733" s="46"/>
      <c r="M733" s="46"/>
      <c r="N733" s="46"/>
      <c r="O733" s="46"/>
      <c r="P733" s="46"/>
      <c r="Q733" s="46"/>
      <c r="R733" s="46"/>
      <c r="S733" s="46"/>
      <c r="T733" s="46"/>
      <c r="U733" s="46"/>
      <c r="V733" s="46"/>
      <c r="W733" s="46"/>
      <c r="X733" s="46"/>
      <c r="Y733" s="46"/>
      <c r="Z733" s="46"/>
      <c r="AA733" s="46"/>
      <c r="AB733" s="46"/>
      <c r="AC733" s="46"/>
      <c r="AD733" s="46"/>
      <c r="AE733" s="46"/>
      <c r="AF733" s="46"/>
      <c r="AG733" s="46"/>
      <c r="AH733" s="46"/>
      <c r="AI733" s="46"/>
      <c r="AJ733" s="46"/>
      <c r="AK733" s="46"/>
      <c r="AL733" s="46"/>
      <c r="AM733" s="46"/>
      <c r="AN733" s="46"/>
      <c r="AO733" s="46"/>
      <c r="AP733" s="46"/>
      <c r="AQ733" s="46"/>
      <c r="AR733" s="46"/>
      <c r="AS733" s="46"/>
      <c r="AT733" s="46"/>
      <c r="AU733" s="46"/>
      <c r="AV733" s="46"/>
      <c r="AW733" s="46"/>
      <c r="AX733" s="46"/>
      <c r="AY733" s="47" t="s">
        <v>224</v>
      </c>
      <c r="AZ733" s="47" t="s">
        <v>615</v>
      </c>
      <c r="BA733" s="47" t="s">
        <v>291</v>
      </c>
      <c r="BB733" s="48"/>
      <c r="BI733" s="42">
        <v>1</v>
      </c>
    </row>
    <row r="734" spans="1:64" s="24" customFormat="1" ht="21.6" customHeight="1">
      <c r="A734" s="32" t="s">
        <v>1339</v>
      </c>
      <c r="B734" s="158" t="s">
        <v>186</v>
      </c>
      <c r="C734" s="93" t="s">
        <v>1260</v>
      </c>
      <c r="D734" s="35">
        <f>E734+F734</f>
        <v>33.439999999999991</v>
      </c>
      <c r="E734" s="141">
        <f t="shared" ref="E734:AX734" si="103">E735+E742+E747+E752+E757+E762+E767+E771+E776+E780+E788+E789+E801+E797+E805+E809+E810+E814+E818+E819+E784+E793</f>
        <v>0</v>
      </c>
      <c r="F734" s="141">
        <f t="shared" si="103"/>
        <v>33.439999999999991</v>
      </c>
      <c r="G734" s="141">
        <f t="shared" si="103"/>
        <v>8.1800000000000015</v>
      </c>
      <c r="H734" s="141">
        <f t="shared" si="103"/>
        <v>6.0600000000000005</v>
      </c>
      <c r="I734" s="141">
        <f t="shared" si="103"/>
        <v>6.99</v>
      </c>
      <c r="J734" s="141">
        <f t="shared" si="103"/>
        <v>4.3</v>
      </c>
      <c r="K734" s="141">
        <f t="shared" si="103"/>
        <v>0</v>
      </c>
      <c r="L734" s="141">
        <f t="shared" si="103"/>
        <v>0</v>
      </c>
      <c r="M734" s="141">
        <f t="shared" si="103"/>
        <v>2.6200000000000006</v>
      </c>
      <c r="N734" s="141">
        <f t="shared" si="103"/>
        <v>0</v>
      </c>
      <c r="O734" s="141">
        <f t="shared" si="103"/>
        <v>0</v>
      </c>
      <c r="P734" s="141">
        <f t="shared" si="103"/>
        <v>0.98</v>
      </c>
      <c r="Q734" s="141">
        <f t="shared" si="103"/>
        <v>0</v>
      </c>
      <c r="R734" s="141">
        <f t="shared" si="103"/>
        <v>2.31</v>
      </c>
      <c r="S734" s="141">
        <f t="shared" si="103"/>
        <v>0</v>
      </c>
      <c r="T734" s="141">
        <f t="shared" si="103"/>
        <v>0</v>
      </c>
      <c r="U734" s="141">
        <f t="shared" si="103"/>
        <v>0</v>
      </c>
      <c r="V734" s="141">
        <f t="shared" si="103"/>
        <v>0</v>
      </c>
      <c r="W734" s="141">
        <f t="shared" si="103"/>
        <v>0</v>
      </c>
      <c r="X734" s="141">
        <f t="shared" si="103"/>
        <v>0</v>
      </c>
      <c r="Y734" s="141">
        <f t="shared" si="103"/>
        <v>0</v>
      </c>
      <c r="Z734" s="141">
        <f t="shared" si="103"/>
        <v>1.29</v>
      </c>
      <c r="AA734" s="141">
        <f t="shared" si="103"/>
        <v>0.16999999999999998</v>
      </c>
      <c r="AB734" s="141">
        <f t="shared" si="103"/>
        <v>0</v>
      </c>
      <c r="AC734" s="141">
        <f t="shared" si="103"/>
        <v>0</v>
      </c>
      <c r="AD734" s="141">
        <f t="shared" si="103"/>
        <v>0</v>
      </c>
      <c r="AE734" s="141">
        <f t="shared" si="103"/>
        <v>0</v>
      </c>
      <c r="AF734" s="141">
        <f t="shared" si="103"/>
        <v>0</v>
      </c>
      <c r="AG734" s="141">
        <f t="shared" si="103"/>
        <v>0</v>
      </c>
      <c r="AH734" s="141">
        <f t="shared" si="103"/>
        <v>0</v>
      </c>
      <c r="AI734" s="141">
        <f t="shared" si="103"/>
        <v>0</v>
      </c>
      <c r="AJ734" s="141">
        <f t="shared" si="103"/>
        <v>0</v>
      </c>
      <c r="AK734" s="141">
        <f t="shared" si="103"/>
        <v>0</v>
      </c>
      <c r="AL734" s="141">
        <f t="shared" si="103"/>
        <v>0</v>
      </c>
      <c r="AM734" s="141">
        <f t="shared" si="103"/>
        <v>0</v>
      </c>
      <c r="AN734" s="141">
        <f t="shared" si="103"/>
        <v>0</v>
      </c>
      <c r="AO734" s="141">
        <f t="shared" si="103"/>
        <v>0</v>
      </c>
      <c r="AP734" s="141">
        <f t="shared" si="103"/>
        <v>0.54</v>
      </c>
      <c r="AQ734" s="141">
        <f t="shared" si="103"/>
        <v>0</v>
      </c>
      <c r="AR734" s="141">
        <f t="shared" si="103"/>
        <v>0</v>
      </c>
      <c r="AS734" s="141">
        <f t="shared" si="103"/>
        <v>0</v>
      </c>
      <c r="AT734" s="141">
        <f t="shared" si="103"/>
        <v>0</v>
      </c>
      <c r="AU734" s="141">
        <f t="shared" si="103"/>
        <v>0</v>
      </c>
      <c r="AV734" s="141">
        <f t="shared" si="103"/>
        <v>0</v>
      </c>
      <c r="AW734" s="141">
        <f t="shared" si="103"/>
        <v>0</v>
      </c>
      <c r="AX734" s="141">
        <f t="shared" si="103"/>
        <v>0</v>
      </c>
      <c r="AY734" s="34" t="s">
        <v>225</v>
      </c>
      <c r="AZ734" s="34"/>
      <c r="BA734" s="156"/>
      <c r="BB734" s="15"/>
      <c r="BI734" s="42"/>
    </row>
    <row r="735" spans="1:64" s="24" customFormat="1" ht="22.35" customHeight="1">
      <c r="A735" s="32">
        <f>A733+1</f>
        <v>609</v>
      </c>
      <c r="B735" s="158" t="s">
        <v>1340</v>
      </c>
      <c r="C735" s="38" t="s">
        <v>1260</v>
      </c>
      <c r="D735" s="35">
        <f t="shared" ref="D735:D741" si="104">E735+F735</f>
        <v>13.399999999999999</v>
      </c>
      <c r="E735" s="89"/>
      <c r="F735" s="35">
        <f t="shared" ref="F735:F741" si="105">SUM(G735:AX735)</f>
        <v>13.399999999999999</v>
      </c>
      <c r="G735" s="141">
        <v>1.96</v>
      </c>
      <c r="H735" s="141">
        <v>2.71</v>
      </c>
      <c r="I735" s="141">
        <v>4.8899999999999997</v>
      </c>
      <c r="J735" s="141">
        <v>1.5699999999999998</v>
      </c>
      <c r="K735" s="141"/>
      <c r="L735" s="141"/>
      <c r="M735" s="141"/>
      <c r="N735" s="141"/>
      <c r="O735" s="141"/>
      <c r="P735" s="141">
        <v>0.47000000000000003</v>
      </c>
      <c r="Q735" s="141"/>
      <c r="R735" s="141"/>
      <c r="S735" s="141"/>
      <c r="T735" s="141"/>
      <c r="U735" s="141"/>
      <c r="V735" s="141"/>
      <c r="W735" s="141"/>
      <c r="X735" s="141"/>
      <c r="Y735" s="141"/>
      <c r="Z735" s="141">
        <v>1.0900000000000001</v>
      </c>
      <c r="AA735" s="141">
        <v>0.16999999999999998</v>
      </c>
      <c r="AB735" s="141"/>
      <c r="AC735" s="141"/>
      <c r="AD735" s="141"/>
      <c r="AE735" s="141"/>
      <c r="AF735" s="141"/>
      <c r="AG735" s="141"/>
      <c r="AH735" s="141"/>
      <c r="AI735" s="141"/>
      <c r="AJ735" s="141"/>
      <c r="AK735" s="141"/>
      <c r="AL735" s="141"/>
      <c r="AM735" s="141"/>
      <c r="AN735" s="141"/>
      <c r="AO735" s="141"/>
      <c r="AP735" s="141">
        <v>0.54</v>
      </c>
      <c r="AQ735" s="141"/>
      <c r="AR735" s="141"/>
      <c r="AS735" s="141"/>
      <c r="AT735" s="141"/>
      <c r="AU735" s="141"/>
      <c r="AV735" s="141"/>
      <c r="AW735" s="141"/>
      <c r="AX735" s="141"/>
      <c r="AY735" s="34" t="s">
        <v>225</v>
      </c>
      <c r="AZ735" s="34" t="s">
        <v>939</v>
      </c>
      <c r="BA735" s="63" t="s">
        <v>291</v>
      </c>
      <c r="BB735" s="64"/>
      <c r="BI735" s="42">
        <v>1</v>
      </c>
    </row>
    <row r="736" spans="1:64" s="24" customFormat="1" hidden="1">
      <c r="A736" s="32"/>
      <c r="B736" s="158"/>
      <c r="C736" s="158" t="s">
        <v>59</v>
      </c>
      <c r="D736" s="35">
        <f t="shared" si="104"/>
        <v>4.0199999999999996</v>
      </c>
      <c r="E736" s="89"/>
      <c r="F736" s="35">
        <f t="shared" si="105"/>
        <v>4.0199999999999996</v>
      </c>
      <c r="G736" s="109">
        <v>0.5</v>
      </c>
      <c r="H736" s="109">
        <v>0.67</v>
      </c>
      <c r="I736" s="109">
        <v>1.3</v>
      </c>
      <c r="J736" s="109">
        <v>0.87</v>
      </c>
      <c r="K736" s="109"/>
      <c r="L736" s="109"/>
      <c r="M736" s="109"/>
      <c r="N736" s="109"/>
      <c r="O736" s="109"/>
      <c r="P736" s="109">
        <v>0.4</v>
      </c>
      <c r="Q736" s="109"/>
      <c r="R736" s="109"/>
      <c r="S736" s="109"/>
      <c r="T736" s="109"/>
      <c r="U736" s="109"/>
      <c r="V736" s="109"/>
      <c r="W736" s="109"/>
      <c r="X736" s="109"/>
      <c r="Y736" s="109"/>
      <c r="Z736" s="109">
        <v>0.23</v>
      </c>
      <c r="AA736" s="109"/>
      <c r="AB736" s="109"/>
      <c r="AC736" s="109"/>
      <c r="AD736" s="109"/>
      <c r="AE736" s="109"/>
      <c r="AF736" s="109"/>
      <c r="AG736" s="109"/>
      <c r="AH736" s="109"/>
      <c r="AI736" s="109"/>
      <c r="AJ736" s="109"/>
      <c r="AK736" s="109"/>
      <c r="AL736" s="109"/>
      <c r="AM736" s="109"/>
      <c r="AN736" s="109"/>
      <c r="AO736" s="109"/>
      <c r="AP736" s="109">
        <v>0.05</v>
      </c>
      <c r="AQ736" s="109"/>
      <c r="AR736" s="109"/>
      <c r="AS736" s="109"/>
      <c r="AT736" s="109"/>
      <c r="AU736" s="109"/>
      <c r="AV736" s="109"/>
      <c r="AW736" s="109"/>
      <c r="AX736" s="109"/>
      <c r="AY736" s="34" t="s">
        <v>225</v>
      </c>
      <c r="AZ736" s="34"/>
      <c r="BA736" s="63"/>
      <c r="BB736" s="64"/>
      <c r="BI736" s="42">
        <v>1</v>
      </c>
    </row>
    <row r="737" spans="1:61" s="24" customFormat="1" hidden="1">
      <c r="A737" s="32"/>
      <c r="B737" s="158"/>
      <c r="C737" s="158" t="s">
        <v>48</v>
      </c>
      <c r="D737" s="35">
        <f t="shared" si="104"/>
        <v>0.12</v>
      </c>
      <c r="E737" s="89"/>
      <c r="F737" s="35">
        <f t="shared" si="105"/>
        <v>0.12</v>
      </c>
      <c r="G737" s="109"/>
      <c r="H737" s="109">
        <v>0.12</v>
      </c>
      <c r="I737" s="109"/>
      <c r="J737" s="109"/>
      <c r="K737" s="109"/>
      <c r="L737" s="109"/>
      <c r="M737" s="109"/>
      <c r="N737" s="109"/>
      <c r="O737" s="109"/>
      <c r="P737" s="109"/>
      <c r="Q737" s="109"/>
      <c r="R737" s="109"/>
      <c r="S737" s="109"/>
      <c r="T737" s="109"/>
      <c r="U737" s="109"/>
      <c r="V737" s="109"/>
      <c r="W737" s="109"/>
      <c r="X737" s="109"/>
      <c r="Y737" s="109"/>
      <c r="Z737" s="109"/>
      <c r="AA737" s="109"/>
      <c r="AB737" s="109"/>
      <c r="AC737" s="109"/>
      <c r="AD737" s="109"/>
      <c r="AE737" s="109"/>
      <c r="AF737" s="109"/>
      <c r="AG737" s="109"/>
      <c r="AH737" s="109"/>
      <c r="AI737" s="109"/>
      <c r="AJ737" s="109"/>
      <c r="AK737" s="109"/>
      <c r="AL737" s="109"/>
      <c r="AM737" s="109"/>
      <c r="AN737" s="109"/>
      <c r="AO737" s="109"/>
      <c r="AP737" s="109"/>
      <c r="AQ737" s="109"/>
      <c r="AR737" s="109"/>
      <c r="AS737" s="109"/>
      <c r="AT737" s="109"/>
      <c r="AU737" s="109"/>
      <c r="AV737" s="109"/>
      <c r="AW737" s="109"/>
      <c r="AX737" s="109"/>
      <c r="AY737" s="34" t="s">
        <v>225</v>
      </c>
      <c r="AZ737" s="34"/>
      <c r="BA737" s="63"/>
      <c r="BB737" s="64"/>
      <c r="BI737" s="42">
        <v>1</v>
      </c>
    </row>
    <row r="738" spans="1:61" s="24" customFormat="1" hidden="1">
      <c r="A738" s="32"/>
      <c r="B738" s="158"/>
      <c r="C738" s="158" t="s">
        <v>93</v>
      </c>
      <c r="D738" s="35">
        <f t="shared" si="104"/>
        <v>2.5</v>
      </c>
      <c r="E738" s="89"/>
      <c r="F738" s="35">
        <f t="shared" si="105"/>
        <v>2.5</v>
      </c>
      <c r="G738" s="109"/>
      <c r="H738" s="109"/>
      <c r="I738" s="109">
        <v>1.9</v>
      </c>
      <c r="J738" s="109"/>
      <c r="K738" s="109"/>
      <c r="L738" s="109"/>
      <c r="M738" s="109"/>
      <c r="N738" s="109"/>
      <c r="O738" s="109"/>
      <c r="P738" s="109"/>
      <c r="Q738" s="109"/>
      <c r="R738" s="109"/>
      <c r="S738" s="109"/>
      <c r="T738" s="109"/>
      <c r="U738" s="109"/>
      <c r="V738" s="109"/>
      <c r="W738" s="109"/>
      <c r="X738" s="109"/>
      <c r="Y738" s="109"/>
      <c r="Z738" s="109">
        <v>0.5</v>
      </c>
      <c r="AA738" s="109"/>
      <c r="AB738" s="109"/>
      <c r="AC738" s="109"/>
      <c r="AD738" s="109"/>
      <c r="AE738" s="109"/>
      <c r="AF738" s="109"/>
      <c r="AG738" s="109"/>
      <c r="AH738" s="109"/>
      <c r="AI738" s="109"/>
      <c r="AJ738" s="109"/>
      <c r="AK738" s="109"/>
      <c r="AL738" s="109"/>
      <c r="AM738" s="109"/>
      <c r="AN738" s="109"/>
      <c r="AO738" s="109"/>
      <c r="AP738" s="109">
        <v>0.1</v>
      </c>
      <c r="AQ738" s="109"/>
      <c r="AR738" s="109"/>
      <c r="AS738" s="109"/>
      <c r="AT738" s="109"/>
      <c r="AU738" s="109"/>
      <c r="AV738" s="109"/>
      <c r="AW738" s="109"/>
      <c r="AX738" s="109"/>
      <c r="AY738" s="34" t="s">
        <v>225</v>
      </c>
      <c r="AZ738" s="34"/>
      <c r="BA738" s="63"/>
      <c r="BB738" s="64"/>
      <c r="BI738" s="42">
        <v>1</v>
      </c>
    </row>
    <row r="739" spans="1:61" s="24" customFormat="1" hidden="1">
      <c r="A739" s="32"/>
      <c r="B739" s="158"/>
      <c r="C739" s="158" t="s">
        <v>50</v>
      </c>
      <c r="D739" s="35">
        <f t="shared" si="104"/>
        <v>0.26</v>
      </c>
      <c r="E739" s="89"/>
      <c r="F739" s="35">
        <f t="shared" si="105"/>
        <v>0.26</v>
      </c>
      <c r="G739" s="109">
        <v>0.26</v>
      </c>
      <c r="H739" s="109"/>
      <c r="I739" s="109"/>
      <c r="J739" s="109"/>
      <c r="K739" s="109"/>
      <c r="L739" s="109"/>
      <c r="M739" s="109"/>
      <c r="N739" s="109"/>
      <c r="O739" s="109"/>
      <c r="P739" s="109"/>
      <c r="Q739" s="109"/>
      <c r="R739" s="109"/>
      <c r="S739" s="109"/>
      <c r="T739" s="109"/>
      <c r="U739" s="109"/>
      <c r="V739" s="109"/>
      <c r="W739" s="109"/>
      <c r="X739" s="109"/>
      <c r="Y739" s="109"/>
      <c r="Z739" s="109"/>
      <c r="AA739" s="109"/>
      <c r="AB739" s="109"/>
      <c r="AC739" s="109"/>
      <c r="AD739" s="109"/>
      <c r="AE739" s="109"/>
      <c r="AF739" s="109"/>
      <c r="AG739" s="109"/>
      <c r="AH739" s="109"/>
      <c r="AI739" s="109"/>
      <c r="AJ739" s="109"/>
      <c r="AK739" s="109"/>
      <c r="AL739" s="109"/>
      <c r="AM739" s="109"/>
      <c r="AN739" s="109"/>
      <c r="AO739" s="109"/>
      <c r="AP739" s="109"/>
      <c r="AQ739" s="109"/>
      <c r="AR739" s="109"/>
      <c r="AS739" s="109"/>
      <c r="AT739" s="109"/>
      <c r="AU739" s="109"/>
      <c r="AV739" s="109"/>
      <c r="AW739" s="109"/>
      <c r="AX739" s="109"/>
      <c r="AY739" s="34" t="s">
        <v>225</v>
      </c>
      <c r="AZ739" s="34"/>
      <c r="BA739" s="63"/>
      <c r="BB739" s="64"/>
      <c r="BI739" s="42">
        <v>1</v>
      </c>
    </row>
    <row r="740" spans="1:61" s="24" customFormat="1" hidden="1">
      <c r="A740" s="32"/>
      <c r="B740" s="158"/>
      <c r="C740" s="158" t="s">
        <v>44</v>
      </c>
      <c r="D740" s="35">
        <f t="shared" si="104"/>
        <v>5.5600000000000005</v>
      </c>
      <c r="E740" s="89"/>
      <c r="F740" s="35">
        <f t="shared" si="105"/>
        <v>5.5600000000000005</v>
      </c>
      <c r="G740" s="109">
        <v>1.0900000000000001</v>
      </c>
      <c r="H740" s="109">
        <v>1.7</v>
      </c>
      <c r="I740" s="109">
        <v>1.33</v>
      </c>
      <c r="J740" s="109">
        <v>0.7</v>
      </c>
      <c r="K740" s="109"/>
      <c r="L740" s="109"/>
      <c r="M740" s="109"/>
      <c r="N740" s="109"/>
      <c r="O740" s="109"/>
      <c r="P740" s="109"/>
      <c r="Q740" s="109"/>
      <c r="R740" s="109"/>
      <c r="S740" s="109"/>
      <c r="T740" s="109"/>
      <c r="U740" s="109"/>
      <c r="V740" s="109"/>
      <c r="W740" s="109"/>
      <c r="X740" s="109"/>
      <c r="Y740" s="109"/>
      <c r="Z740" s="109">
        <v>0.36</v>
      </c>
      <c r="AA740" s="109">
        <v>0.08</v>
      </c>
      <c r="AB740" s="109"/>
      <c r="AC740" s="109"/>
      <c r="AD740" s="109"/>
      <c r="AE740" s="109"/>
      <c r="AF740" s="109"/>
      <c r="AG740" s="109"/>
      <c r="AH740" s="109"/>
      <c r="AI740" s="109"/>
      <c r="AJ740" s="109"/>
      <c r="AK740" s="109"/>
      <c r="AL740" s="109"/>
      <c r="AM740" s="109"/>
      <c r="AN740" s="109"/>
      <c r="AO740" s="109"/>
      <c r="AP740" s="109">
        <v>0.3</v>
      </c>
      <c r="AQ740" s="109"/>
      <c r="AR740" s="109"/>
      <c r="AS740" s="109"/>
      <c r="AT740" s="109"/>
      <c r="AU740" s="109"/>
      <c r="AV740" s="109"/>
      <c r="AW740" s="109"/>
      <c r="AX740" s="109"/>
      <c r="AY740" s="34" t="s">
        <v>225</v>
      </c>
      <c r="AZ740" s="34"/>
      <c r="BA740" s="63"/>
      <c r="BB740" s="64"/>
      <c r="BI740" s="42">
        <v>1</v>
      </c>
    </row>
    <row r="741" spans="1:61" s="24" customFormat="1" hidden="1">
      <c r="A741" s="32"/>
      <c r="B741" s="158"/>
      <c r="C741" s="158" t="s">
        <v>138</v>
      </c>
      <c r="D741" s="35">
        <f t="shared" si="104"/>
        <v>0.93999999999999972</v>
      </c>
      <c r="E741" s="89"/>
      <c r="F741" s="35">
        <f t="shared" si="105"/>
        <v>0.93999999999999972</v>
      </c>
      <c r="G741" s="147">
        <f>G735-G736-G737-G738-G739-G740</f>
        <v>0.10999999999999988</v>
      </c>
      <c r="H741" s="147">
        <f t="shared" ref="H741:AX741" si="106">H735-H736-H737-H738-H739-H740</f>
        <v>0.21999999999999997</v>
      </c>
      <c r="I741" s="147">
        <f t="shared" si="106"/>
        <v>0.35999999999999988</v>
      </c>
      <c r="J741" s="147">
        <f t="shared" si="106"/>
        <v>0</v>
      </c>
      <c r="K741" s="147">
        <f t="shared" si="106"/>
        <v>0</v>
      </c>
      <c r="L741" s="147">
        <f t="shared" si="106"/>
        <v>0</v>
      </c>
      <c r="M741" s="147">
        <f t="shared" si="106"/>
        <v>0</v>
      </c>
      <c r="N741" s="147">
        <f t="shared" si="106"/>
        <v>0</v>
      </c>
      <c r="O741" s="147">
        <f t="shared" si="106"/>
        <v>0</v>
      </c>
      <c r="P741" s="147">
        <f t="shared" si="106"/>
        <v>7.0000000000000007E-2</v>
      </c>
      <c r="Q741" s="147">
        <f t="shared" si="106"/>
        <v>0</v>
      </c>
      <c r="R741" s="147">
        <f t="shared" si="106"/>
        <v>0</v>
      </c>
      <c r="S741" s="147">
        <f t="shared" si="106"/>
        <v>0</v>
      </c>
      <c r="T741" s="147">
        <f t="shared" si="106"/>
        <v>0</v>
      </c>
      <c r="U741" s="147">
        <f t="shared" si="106"/>
        <v>0</v>
      </c>
      <c r="V741" s="147">
        <f t="shared" si="106"/>
        <v>0</v>
      </c>
      <c r="W741" s="147">
        <f t="shared" si="106"/>
        <v>0</v>
      </c>
      <c r="X741" s="147">
        <f t="shared" si="106"/>
        <v>0</v>
      </c>
      <c r="Y741" s="147">
        <f t="shared" si="106"/>
        <v>0</v>
      </c>
      <c r="Z741" s="147">
        <f t="shared" si="106"/>
        <v>0</v>
      </c>
      <c r="AA741" s="147">
        <f t="shared" si="106"/>
        <v>8.9999999999999983E-2</v>
      </c>
      <c r="AB741" s="147">
        <f t="shared" si="106"/>
        <v>0</v>
      </c>
      <c r="AC741" s="147">
        <f t="shared" si="106"/>
        <v>0</v>
      </c>
      <c r="AD741" s="147">
        <f t="shared" si="106"/>
        <v>0</v>
      </c>
      <c r="AE741" s="147">
        <f t="shared" si="106"/>
        <v>0</v>
      </c>
      <c r="AF741" s="147">
        <f t="shared" si="106"/>
        <v>0</v>
      </c>
      <c r="AG741" s="147">
        <f t="shared" si="106"/>
        <v>0</v>
      </c>
      <c r="AH741" s="147">
        <f t="shared" si="106"/>
        <v>0</v>
      </c>
      <c r="AI741" s="147">
        <f t="shared" si="106"/>
        <v>0</v>
      </c>
      <c r="AJ741" s="147">
        <f t="shared" si="106"/>
        <v>0</v>
      </c>
      <c r="AK741" s="147">
        <f t="shared" si="106"/>
        <v>0</v>
      </c>
      <c r="AL741" s="147">
        <f t="shared" si="106"/>
        <v>0</v>
      </c>
      <c r="AM741" s="147">
        <f t="shared" si="106"/>
        <v>0</v>
      </c>
      <c r="AN741" s="147">
        <f t="shared" si="106"/>
        <v>0</v>
      </c>
      <c r="AO741" s="147">
        <f t="shared" si="106"/>
        <v>0</v>
      </c>
      <c r="AP741" s="147">
        <f t="shared" si="106"/>
        <v>9.0000000000000024E-2</v>
      </c>
      <c r="AQ741" s="147">
        <f t="shared" si="106"/>
        <v>0</v>
      </c>
      <c r="AR741" s="147">
        <f t="shared" si="106"/>
        <v>0</v>
      </c>
      <c r="AS741" s="147">
        <f t="shared" si="106"/>
        <v>0</v>
      </c>
      <c r="AT741" s="147">
        <f t="shared" si="106"/>
        <v>0</v>
      </c>
      <c r="AU741" s="147">
        <f t="shared" si="106"/>
        <v>0</v>
      </c>
      <c r="AV741" s="147">
        <f t="shared" si="106"/>
        <v>0</v>
      </c>
      <c r="AW741" s="147">
        <f t="shared" si="106"/>
        <v>0</v>
      </c>
      <c r="AX741" s="147">
        <f t="shared" si="106"/>
        <v>0</v>
      </c>
      <c r="AY741" s="34" t="s">
        <v>225</v>
      </c>
      <c r="AZ741" s="34"/>
      <c r="BA741" s="63"/>
      <c r="BB741" s="64"/>
      <c r="BI741" s="42">
        <v>1</v>
      </c>
    </row>
    <row r="742" spans="1:61" s="24" customFormat="1" ht="34.35" customHeight="1">
      <c r="A742" s="32">
        <f>A735+1</f>
        <v>610</v>
      </c>
      <c r="B742" s="158" t="s">
        <v>186</v>
      </c>
      <c r="C742" s="78" t="s">
        <v>1260</v>
      </c>
      <c r="D742" s="35">
        <f t="shared" ref="D742:D805" si="107">F742+E742</f>
        <v>3.3200000000000003</v>
      </c>
      <c r="E742" s="108"/>
      <c r="F742" s="35">
        <f t="shared" ref="F742:F805" si="108">SUM(G742:AX742)</f>
        <v>3.3200000000000003</v>
      </c>
      <c r="G742" s="109">
        <v>1.1499999999999999</v>
      </c>
      <c r="H742" s="109">
        <v>0.39</v>
      </c>
      <c r="I742" s="109">
        <f>1.35+0.06</f>
        <v>1.4100000000000001</v>
      </c>
      <c r="J742" s="109"/>
      <c r="K742" s="109"/>
      <c r="L742" s="109"/>
      <c r="M742" s="109"/>
      <c r="N742" s="109"/>
      <c r="O742" s="109"/>
      <c r="P742" s="109">
        <v>0.17</v>
      </c>
      <c r="Q742" s="109"/>
      <c r="R742" s="109"/>
      <c r="S742" s="109"/>
      <c r="T742" s="109"/>
      <c r="U742" s="109"/>
      <c r="V742" s="109"/>
      <c r="W742" s="109"/>
      <c r="X742" s="109"/>
      <c r="Y742" s="109"/>
      <c r="Z742" s="109">
        <v>0.2</v>
      </c>
      <c r="AA742" s="109"/>
      <c r="AB742" s="109"/>
      <c r="AC742" s="109"/>
      <c r="AD742" s="109"/>
      <c r="AE742" s="109"/>
      <c r="AF742" s="109"/>
      <c r="AG742" s="109"/>
      <c r="AH742" s="109"/>
      <c r="AI742" s="109"/>
      <c r="AJ742" s="109"/>
      <c r="AK742" s="109"/>
      <c r="AL742" s="109"/>
      <c r="AM742" s="109"/>
      <c r="AN742" s="109"/>
      <c r="AO742" s="109"/>
      <c r="AP742" s="109"/>
      <c r="AQ742" s="109"/>
      <c r="AR742" s="109"/>
      <c r="AS742" s="109"/>
      <c r="AT742" s="109"/>
      <c r="AU742" s="109"/>
      <c r="AV742" s="109"/>
      <c r="AW742" s="109"/>
      <c r="AX742" s="109"/>
      <c r="AY742" s="34" t="s">
        <v>225</v>
      </c>
      <c r="AZ742" s="34" t="s">
        <v>1341</v>
      </c>
      <c r="BA742" s="63" t="s">
        <v>291</v>
      </c>
      <c r="BB742" s="64"/>
      <c r="BG742" s="24" t="s">
        <v>351</v>
      </c>
      <c r="BI742" s="42">
        <v>1</v>
      </c>
    </row>
    <row r="743" spans="1:61" s="24" customFormat="1" ht="24" hidden="1" customHeight="1">
      <c r="A743" s="32"/>
      <c r="B743" s="158"/>
      <c r="C743" s="93" t="s">
        <v>59</v>
      </c>
      <c r="D743" s="35">
        <f t="shared" si="107"/>
        <v>1.1600000000000001</v>
      </c>
      <c r="E743" s="108"/>
      <c r="F743" s="35">
        <f t="shared" si="108"/>
        <v>1.1600000000000001</v>
      </c>
      <c r="G743" s="109">
        <v>0.5</v>
      </c>
      <c r="H743" s="109">
        <v>0.06</v>
      </c>
      <c r="I743" s="109">
        <v>0.5</v>
      </c>
      <c r="J743" s="109"/>
      <c r="K743" s="109"/>
      <c r="L743" s="109"/>
      <c r="M743" s="109"/>
      <c r="N743" s="109"/>
      <c r="O743" s="109"/>
      <c r="P743" s="109"/>
      <c r="Q743" s="109"/>
      <c r="R743" s="109"/>
      <c r="S743" s="109"/>
      <c r="T743" s="109"/>
      <c r="U743" s="109"/>
      <c r="V743" s="109"/>
      <c r="W743" s="109"/>
      <c r="X743" s="109"/>
      <c r="Y743" s="109"/>
      <c r="Z743" s="109">
        <v>0.1</v>
      </c>
      <c r="AA743" s="109"/>
      <c r="AB743" s="109"/>
      <c r="AC743" s="109"/>
      <c r="AD743" s="109"/>
      <c r="AE743" s="109"/>
      <c r="AF743" s="109"/>
      <c r="AG743" s="109"/>
      <c r="AH743" s="109"/>
      <c r="AI743" s="109"/>
      <c r="AJ743" s="109"/>
      <c r="AK743" s="109"/>
      <c r="AL743" s="109"/>
      <c r="AM743" s="109"/>
      <c r="AN743" s="109"/>
      <c r="AO743" s="109"/>
      <c r="AP743" s="109"/>
      <c r="AQ743" s="109"/>
      <c r="AR743" s="109"/>
      <c r="AS743" s="109"/>
      <c r="AT743" s="109"/>
      <c r="AU743" s="109"/>
      <c r="AV743" s="109"/>
      <c r="AW743" s="109"/>
      <c r="AX743" s="109"/>
      <c r="AY743" s="34" t="s">
        <v>225</v>
      </c>
      <c r="AZ743" s="34"/>
      <c r="BA743" s="63"/>
      <c r="BB743" s="64"/>
      <c r="BI743" s="42"/>
    </row>
    <row r="744" spans="1:61" s="24" customFormat="1" ht="24" hidden="1" customHeight="1">
      <c r="A744" s="32"/>
      <c r="B744" s="158"/>
      <c r="C744" s="93" t="s">
        <v>44</v>
      </c>
      <c r="D744" s="35">
        <f t="shared" si="107"/>
        <v>1.1600000000000001</v>
      </c>
      <c r="E744" s="108"/>
      <c r="F744" s="35">
        <f t="shared" si="108"/>
        <v>1.1600000000000001</v>
      </c>
      <c r="G744" s="109">
        <v>0.3</v>
      </c>
      <c r="H744" s="109">
        <v>0.1</v>
      </c>
      <c r="I744" s="109">
        <v>0.66</v>
      </c>
      <c r="J744" s="109"/>
      <c r="K744" s="109"/>
      <c r="L744" s="109"/>
      <c r="M744" s="109"/>
      <c r="N744" s="109"/>
      <c r="O744" s="109"/>
      <c r="P744" s="109">
        <v>0.1</v>
      </c>
      <c r="Q744" s="109"/>
      <c r="R744" s="109"/>
      <c r="S744" s="109"/>
      <c r="T744" s="109"/>
      <c r="U744" s="109"/>
      <c r="V744" s="109"/>
      <c r="W744" s="109"/>
      <c r="X744" s="109"/>
      <c r="Y744" s="109"/>
      <c r="Z744" s="109"/>
      <c r="AA744" s="109"/>
      <c r="AB744" s="109"/>
      <c r="AC744" s="109"/>
      <c r="AD744" s="109"/>
      <c r="AE744" s="109"/>
      <c r="AF744" s="109"/>
      <c r="AG744" s="109"/>
      <c r="AH744" s="109"/>
      <c r="AI744" s="109"/>
      <c r="AJ744" s="109"/>
      <c r="AK744" s="109"/>
      <c r="AL744" s="109"/>
      <c r="AM744" s="109"/>
      <c r="AN744" s="109"/>
      <c r="AO744" s="109"/>
      <c r="AP744" s="109"/>
      <c r="AQ744" s="109"/>
      <c r="AR744" s="109"/>
      <c r="AS744" s="109"/>
      <c r="AT744" s="109"/>
      <c r="AU744" s="109"/>
      <c r="AV744" s="109"/>
      <c r="AW744" s="109"/>
      <c r="AX744" s="109"/>
      <c r="AY744" s="34" t="s">
        <v>225</v>
      </c>
      <c r="AZ744" s="34"/>
      <c r="BA744" s="63"/>
      <c r="BB744" s="64"/>
      <c r="BI744" s="42"/>
    </row>
    <row r="745" spans="1:61" s="24" customFormat="1" ht="24" hidden="1" customHeight="1">
      <c r="A745" s="32"/>
      <c r="B745" s="158"/>
      <c r="C745" s="93" t="s">
        <v>45</v>
      </c>
      <c r="D745" s="35">
        <f t="shared" si="107"/>
        <v>0.33</v>
      </c>
      <c r="E745" s="108"/>
      <c r="F745" s="35">
        <f t="shared" si="108"/>
        <v>0.33</v>
      </c>
      <c r="G745" s="109">
        <v>0.1</v>
      </c>
      <c r="H745" s="109">
        <v>0.1</v>
      </c>
      <c r="I745" s="109">
        <v>0.03</v>
      </c>
      <c r="J745" s="109"/>
      <c r="K745" s="109"/>
      <c r="L745" s="109"/>
      <c r="M745" s="109"/>
      <c r="N745" s="109"/>
      <c r="O745" s="109"/>
      <c r="P745" s="109"/>
      <c r="Q745" s="109"/>
      <c r="R745" s="109"/>
      <c r="S745" s="109"/>
      <c r="T745" s="109"/>
      <c r="U745" s="109"/>
      <c r="V745" s="109"/>
      <c r="W745" s="109"/>
      <c r="X745" s="109"/>
      <c r="Y745" s="109"/>
      <c r="Z745" s="109">
        <v>0.1</v>
      </c>
      <c r="AA745" s="109"/>
      <c r="AB745" s="109"/>
      <c r="AC745" s="109"/>
      <c r="AD745" s="109"/>
      <c r="AE745" s="109"/>
      <c r="AF745" s="109"/>
      <c r="AG745" s="109"/>
      <c r="AH745" s="109"/>
      <c r="AI745" s="109"/>
      <c r="AJ745" s="109"/>
      <c r="AK745" s="109"/>
      <c r="AL745" s="109"/>
      <c r="AM745" s="109"/>
      <c r="AN745" s="109"/>
      <c r="AO745" s="109"/>
      <c r="AP745" s="109"/>
      <c r="AQ745" s="109"/>
      <c r="AR745" s="109"/>
      <c r="AS745" s="109"/>
      <c r="AT745" s="109"/>
      <c r="AU745" s="109"/>
      <c r="AV745" s="109"/>
      <c r="AW745" s="109"/>
      <c r="AX745" s="109"/>
      <c r="AY745" s="34" t="s">
        <v>225</v>
      </c>
      <c r="AZ745" s="34"/>
      <c r="BA745" s="63"/>
      <c r="BB745" s="64"/>
      <c r="BI745" s="42"/>
    </row>
    <row r="746" spans="1:61" s="24" customFormat="1" ht="24" hidden="1" customHeight="1">
      <c r="A746" s="32"/>
      <c r="B746" s="158"/>
      <c r="C746" s="93" t="s">
        <v>138</v>
      </c>
      <c r="D746" s="35">
        <f t="shared" si="107"/>
        <v>0.66999999999999993</v>
      </c>
      <c r="E746" s="108"/>
      <c r="F746" s="35">
        <f t="shared" si="108"/>
        <v>0.66999999999999993</v>
      </c>
      <c r="G746" s="147">
        <f>G742-G743-G744-G745</f>
        <v>0.24999999999999992</v>
      </c>
      <c r="H746" s="147">
        <f t="shared" ref="H746:AX746" si="109">H742-H743-H744-H745</f>
        <v>0.13</v>
      </c>
      <c r="I746" s="147">
        <f t="shared" si="109"/>
        <v>0.22000000000000011</v>
      </c>
      <c r="J746" s="147">
        <f t="shared" si="109"/>
        <v>0</v>
      </c>
      <c r="K746" s="147">
        <f t="shared" si="109"/>
        <v>0</v>
      </c>
      <c r="L746" s="147">
        <f t="shared" si="109"/>
        <v>0</v>
      </c>
      <c r="M746" s="147">
        <f t="shared" si="109"/>
        <v>0</v>
      </c>
      <c r="N746" s="147">
        <f t="shared" si="109"/>
        <v>0</v>
      </c>
      <c r="O746" s="147">
        <f t="shared" si="109"/>
        <v>0</v>
      </c>
      <c r="P746" s="147">
        <f t="shared" si="109"/>
        <v>7.0000000000000007E-2</v>
      </c>
      <c r="Q746" s="147">
        <f t="shared" si="109"/>
        <v>0</v>
      </c>
      <c r="R746" s="147">
        <f t="shared" si="109"/>
        <v>0</v>
      </c>
      <c r="S746" s="147">
        <f t="shared" si="109"/>
        <v>0</v>
      </c>
      <c r="T746" s="147">
        <f t="shared" si="109"/>
        <v>0</v>
      </c>
      <c r="U746" s="147">
        <f t="shared" si="109"/>
        <v>0</v>
      </c>
      <c r="V746" s="147">
        <f t="shared" si="109"/>
        <v>0</v>
      </c>
      <c r="W746" s="147">
        <f t="shared" si="109"/>
        <v>0</v>
      </c>
      <c r="X746" s="147">
        <f t="shared" si="109"/>
        <v>0</v>
      </c>
      <c r="Y746" s="147">
        <f t="shared" si="109"/>
        <v>0</v>
      </c>
      <c r="Z746" s="147">
        <f t="shared" si="109"/>
        <v>0</v>
      </c>
      <c r="AA746" s="147">
        <f t="shared" si="109"/>
        <v>0</v>
      </c>
      <c r="AB746" s="147">
        <f t="shared" si="109"/>
        <v>0</v>
      </c>
      <c r="AC746" s="147">
        <f t="shared" si="109"/>
        <v>0</v>
      </c>
      <c r="AD746" s="147">
        <f t="shared" si="109"/>
        <v>0</v>
      </c>
      <c r="AE746" s="147">
        <f t="shared" si="109"/>
        <v>0</v>
      </c>
      <c r="AF746" s="147">
        <f t="shared" si="109"/>
        <v>0</v>
      </c>
      <c r="AG746" s="147">
        <f t="shared" si="109"/>
        <v>0</v>
      </c>
      <c r="AH746" s="147">
        <f t="shared" si="109"/>
        <v>0</v>
      </c>
      <c r="AI746" s="147">
        <f t="shared" si="109"/>
        <v>0</v>
      </c>
      <c r="AJ746" s="147">
        <f t="shared" si="109"/>
        <v>0</v>
      </c>
      <c r="AK746" s="147">
        <f t="shared" si="109"/>
        <v>0</v>
      </c>
      <c r="AL746" s="147">
        <f t="shared" si="109"/>
        <v>0</v>
      </c>
      <c r="AM746" s="147">
        <f t="shared" si="109"/>
        <v>0</v>
      </c>
      <c r="AN746" s="147">
        <f t="shared" si="109"/>
        <v>0</v>
      </c>
      <c r="AO746" s="147">
        <f t="shared" si="109"/>
        <v>0</v>
      </c>
      <c r="AP746" s="147">
        <f t="shared" si="109"/>
        <v>0</v>
      </c>
      <c r="AQ746" s="147">
        <f t="shared" si="109"/>
        <v>0</v>
      </c>
      <c r="AR746" s="147">
        <f t="shared" si="109"/>
        <v>0</v>
      </c>
      <c r="AS746" s="147">
        <f t="shared" si="109"/>
        <v>0</v>
      </c>
      <c r="AT746" s="147">
        <f t="shared" si="109"/>
        <v>0</v>
      </c>
      <c r="AU746" s="147">
        <f t="shared" si="109"/>
        <v>0</v>
      </c>
      <c r="AV746" s="147">
        <f t="shared" si="109"/>
        <v>0</v>
      </c>
      <c r="AW746" s="147">
        <f t="shared" si="109"/>
        <v>0</v>
      </c>
      <c r="AX746" s="147">
        <f t="shared" si="109"/>
        <v>0</v>
      </c>
      <c r="AY746" s="34" t="s">
        <v>225</v>
      </c>
      <c r="AZ746" s="34"/>
      <c r="BA746" s="63"/>
      <c r="BB746" s="64"/>
      <c r="BI746" s="42"/>
    </row>
    <row r="747" spans="1:61" s="24" customFormat="1" ht="23.1" customHeight="1">
      <c r="A747" s="32">
        <f>A742+1</f>
        <v>611</v>
      </c>
      <c r="B747" s="158" t="s">
        <v>186</v>
      </c>
      <c r="C747" s="78" t="s">
        <v>1260</v>
      </c>
      <c r="D747" s="35">
        <f t="shared" si="107"/>
        <v>1.55</v>
      </c>
      <c r="E747" s="35"/>
      <c r="F747" s="35">
        <f t="shared" si="108"/>
        <v>1.55</v>
      </c>
      <c r="G747" s="109">
        <v>1.55</v>
      </c>
      <c r="H747" s="109"/>
      <c r="I747" s="109"/>
      <c r="J747" s="109"/>
      <c r="K747" s="109"/>
      <c r="L747" s="109"/>
      <c r="M747" s="109"/>
      <c r="N747" s="109"/>
      <c r="O747" s="109"/>
      <c r="P747" s="109"/>
      <c r="Q747" s="109"/>
      <c r="R747" s="109"/>
      <c r="S747" s="109"/>
      <c r="T747" s="109"/>
      <c r="U747" s="109"/>
      <c r="V747" s="109"/>
      <c r="W747" s="109"/>
      <c r="X747" s="109"/>
      <c r="Y747" s="109"/>
      <c r="Z747" s="109"/>
      <c r="AA747" s="109"/>
      <c r="AB747" s="109"/>
      <c r="AC747" s="109"/>
      <c r="AD747" s="109"/>
      <c r="AE747" s="109"/>
      <c r="AF747" s="109"/>
      <c r="AG747" s="109"/>
      <c r="AH747" s="109"/>
      <c r="AI747" s="109"/>
      <c r="AJ747" s="109"/>
      <c r="AK747" s="109"/>
      <c r="AL747" s="109"/>
      <c r="AM747" s="109"/>
      <c r="AN747" s="109"/>
      <c r="AO747" s="109"/>
      <c r="AP747" s="109"/>
      <c r="AQ747" s="109"/>
      <c r="AR747" s="109"/>
      <c r="AS747" s="109"/>
      <c r="AT747" s="109"/>
      <c r="AU747" s="109"/>
      <c r="AV747" s="109"/>
      <c r="AW747" s="109"/>
      <c r="AX747" s="109"/>
      <c r="AY747" s="34" t="s">
        <v>225</v>
      </c>
      <c r="AZ747" s="34" t="s">
        <v>1342</v>
      </c>
      <c r="BA747" s="63" t="s">
        <v>291</v>
      </c>
      <c r="BB747" s="64"/>
      <c r="BI747" s="42">
        <v>1</v>
      </c>
    </row>
    <row r="748" spans="1:61" s="24" customFormat="1" ht="23.1" hidden="1" customHeight="1">
      <c r="A748" s="32"/>
      <c r="B748" s="158"/>
      <c r="C748" s="93" t="s">
        <v>59</v>
      </c>
      <c r="D748" s="35">
        <f t="shared" si="107"/>
        <v>0.54</v>
      </c>
      <c r="E748" s="35"/>
      <c r="F748" s="35">
        <f t="shared" si="108"/>
        <v>0.54</v>
      </c>
      <c r="G748" s="109">
        <v>0.54</v>
      </c>
      <c r="H748" s="109"/>
      <c r="I748" s="109"/>
      <c r="J748" s="109"/>
      <c r="K748" s="109"/>
      <c r="L748" s="109"/>
      <c r="M748" s="109"/>
      <c r="N748" s="109"/>
      <c r="O748" s="109"/>
      <c r="P748" s="109"/>
      <c r="Q748" s="109"/>
      <c r="R748" s="109"/>
      <c r="S748" s="109"/>
      <c r="T748" s="109"/>
      <c r="U748" s="109"/>
      <c r="V748" s="109"/>
      <c r="W748" s="109"/>
      <c r="X748" s="109"/>
      <c r="Y748" s="109"/>
      <c r="Z748" s="109"/>
      <c r="AA748" s="109"/>
      <c r="AB748" s="109"/>
      <c r="AC748" s="109"/>
      <c r="AD748" s="109"/>
      <c r="AE748" s="109"/>
      <c r="AF748" s="109"/>
      <c r="AG748" s="109"/>
      <c r="AH748" s="109"/>
      <c r="AI748" s="109"/>
      <c r="AJ748" s="109"/>
      <c r="AK748" s="109"/>
      <c r="AL748" s="109"/>
      <c r="AM748" s="109"/>
      <c r="AN748" s="109"/>
      <c r="AO748" s="109"/>
      <c r="AP748" s="109"/>
      <c r="AQ748" s="109"/>
      <c r="AR748" s="109"/>
      <c r="AS748" s="109"/>
      <c r="AT748" s="109"/>
      <c r="AU748" s="109"/>
      <c r="AV748" s="109"/>
      <c r="AW748" s="109"/>
      <c r="AX748" s="109"/>
      <c r="AY748" s="34" t="s">
        <v>225</v>
      </c>
      <c r="AZ748" s="34"/>
      <c r="BA748" s="63"/>
      <c r="BB748" s="64"/>
      <c r="BI748" s="42"/>
    </row>
    <row r="749" spans="1:61" s="24" customFormat="1" ht="23.1" hidden="1" customHeight="1">
      <c r="A749" s="32"/>
      <c r="B749" s="158"/>
      <c r="C749" s="93" t="s">
        <v>44</v>
      </c>
      <c r="D749" s="35">
        <f t="shared" si="107"/>
        <v>0.54</v>
      </c>
      <c r="E749" s="35"/>
      <c r="F749" s="35">
        <f t="shared" si="108"/>
        <v>0.54</v>
      </c>
      <c r="G749" s="109">
        <v>0.54</v>
      </c>
      <c r="H749" s="109"/>
      <c r="I749" s="109"/>
      <c r="J749" s="109"/>
      <c r="K749" s="109"/>
      <c r="L749" s="109"/>
      <c r="M749" s="109"/>
      <c r="N749" s="109"/>
      <c r="O749" s="109"/>
      <c r="P749" s="109"/>
      <c r="Q749" s="109"/>
      <c r="R749" s="109"/>
      <c r="S749" s="109"/>
      <c r="T749" s="109"/>
      <c r="U749" s="109"/>
      <c r="V749" s="109"/>
      <c r="W749" s="109"/>
      <c r="X749" s="109"/>
      <c r="Y749" s="109"/>
      <c r="Z749" s="109"/>
      <c r="AA749" s="109"/>
      <c r="AB749" s="109"/>
      <c r="AC749" s="109"/>
      <c r="AD749" s="109"/>
      <c r="AE749" s="109"/>
      <c r="AF749" s="109"/>
      <c r="AG749" s="109"/>
      <c r="AH749" s="109"/>
      <c r="AI749" s="109"/>
      <c r="AJ749" s="109"/>
      <c r="AK749" s="109"/>
      <c r="AL749" s="109"/>
      <c r="AM749" s="109"/>
      <c r="AN749" s="109"/>
      <c r="AO749" s="109"/>
      <c r="AP749" s="109"/>
      <c r="AQ749" s="109"/>
      <c r="AR749" s="109"/>
      <c r="AS749" s="109"/>
      <c r="AT749" s="109"/>
      <c r="AU749" s="109"/>
      <c r="AV749" s="109"/>
      <c r="AW749" s="109"/>
      <c r="AX749" s="109"/>
      <c r="AY749" s="34" t="s">
        <v>225</v>
      </c>
      <c r="AZ749" s="34"/>
      <c r="BA749" s="63"/>
      <c r="BB749" s="64"/>
      <c r="BI749" s="42"/>
    </row>
    <row r="750" spans="1:61" s="24" customFormat="1" ht="23.1" hidden="1" customHeight="1">
      <c r="A750" s="32"/>
      <c r="B750" s="158"/>
      <c r="C750" s="93" t="s">
        <v>45</v>
      </c>
      <c r="D750" s="35">
        <f t="shared" si="107"/>
        <v>0.15</v>
      </c>
      <c r="E750" s="35"/>
      <c r="F750" s="35">
        <f t="shared" si="108"/>
        <v>0.15</v>
      </c>
      <c r="G750" s="109">
        <v>0.15</v>
      </c>
      <c r="H750" s="109"/>
      <c r="I750" s="109"/>
      <c r="J750" s="109"/>
      <c r="K750" s="109"/>
      <c r="L750" s="109"/>
      <c r="M750" s="109"/>
      <c r="N750" s="109"/>
      <c r="O750" s="109"/>
      <c r="P750" s="109"/>
      <c r="Q750" s="109"/>
      <c r="R750" s="109"/>
      <c r="S750" s="109"/>
      <c r="T750" s="109"/>
      <c r="U750" s="109"/>
      <c r="V750" s="109"/>
      <c r="W750" s="109"/>
      <c r="X750" s="109"/>
      <c r="Y750" s="109"/>
      <c r="Z750" s="109"/>
      <c r="AA750" s="109"/>
      <c r="AB750" s="109"/>
      <c r="AC750" s="109"/>
      <c r="AD750" s="109"/>
      <c r="AE750" s="109"/>
      <c r="AF750" s="109"/>
      <c r="AG750" s="109"/>
      <c r="AH750" s="109"/>
      <c r="AI750" s="109"/>
      <c r="AJ750" s="109"/>
      <c r="AK750" s="109"/>
      <c r="AL750" s="109"/>
      <c r="AM750" s="109"/>
      <c r="AN750" s="109"/>
      <c r="AO750" s="109"/>
      <c r="AP750" s="109"/>
      <c r="AQ750" s="109"/>
      <c r="AR750" s="109"/>
      <c r="AS750" s="109"/>
      <c r="AT750" s="109"/>
      <c r="AU750" s="109"/>
      <c r="AV750" s="109"/>
      <c r="AW750" s="109"/>
      <c r="AX750" s="109"/>
      <c r="AY750" s="34" t="s">
        <v>225</v>
      </c>
      <c r="AZ750" s="34"/>
      <c r="BA750" s="63"/>
      <c r="BB750" s="64"/>
      <c r="BI750" s="42"/>
    </row>
    <row r="751" spans="1:61" s="24" customFormat="1" ht="23.1" hidden="1" customHeight="1">
      <c r="A751" s="32"/>
      <c r="B751" s="158"/>
      <c r="C751" s="93" t="s">
        <v>138</v>
      </c>
      <c r="D751" s="35">
        <f t="shared" si="107"/>
        <v>0.31999999999999995</v>
      </c>
      <c r="E751" s="35"/>
      <c r="F751" s="35">
        <f t="shared" si="108"/>
        <v>0.31999999999999995</v>
      </c>
      <c r="G751" s="147">
        <f>G747-G748-G749-G750</f>
        <v>0.31999999999999995</v>
      </c>
      <c r="H751" s="147">
        <f t="shared" ref="H751:AX751" si="110">H747-H748-H749-H750</f>
        <v>0</v>
      </c>
      <c r="I751" s="147">
        <f t="shared" si="110"/>
        <v>0</v>
      </c>
      <c r="J751" s="147">
        <f t="shared" si="110"/>
        <v>0</v>
      </c>
      <c r="K751" s="147">
        <f t="shared" si="110"/>
        <v>0</v>
      </c>
      <c r="L751" s="147">
        <f t="shared" si="110"/>
        <v>0</v>
      </c>
      <c r="M751" s="147">
        <f t="shared" si="110"/>
        <v>0</v>
      </c>
      <c r="N751" s="147">
        <f t="shared" si="110"/>
        <v>0</v>
      </c>
      <c r="O751" s="147">
        <f t="shared" si="110"/>
        <v>0</v>
      </c>
      <c r="P751" s="147">
        <f t="shared" si="110"/>
        <v>0</v>
      </c>
      <c r="Q751" s="147">
        <f t="shared" si="110"/>
        <v>0</v>
      </c>
      <c r="R751" s="147">
        <f t="shared" si="110"/>
        <v>0</v>
      </c>
      <c r="S751" s="147">
        <f t="shared" si="110"/>
        <v>0</v>
      </c>
      <c r="T751" s="147">
        <f t="shared" si="110"/>
        <v>0</v>
      </c>
      <c r="U751" s="147">
        <f t="shared" si="110"/>
        <v>0</v>
      </c>
      <c r="V751" s="147">
        <f t="shared" si="110"/>
        <v>0</v>
      </c>
      <c r="W751" s="147">
        <f t="shared" si="110"/>
        <v>0</v>
      </c>
      <c r="X751" s="147">
        <f t="shared" si="110"/>
        <v>0</v>
      </c>
      <c r="Y751" s="147">
        <f t="shared" si="110"/>
        <v>0</v>
      </c>
      <c r="Z751" s="147">
        <f t="shared" si="110"/>
        <v>0</v>
      </c>
      <c r="AA751" s="147">
        <f t="shared" si="110"/>
        <v>0</v>
      </c>
      <c r="AB751" s="147">
        <f t="shared" si="110"/>
        <v>0</v>
      </c>
      <c r="AC751" s="147">
        <f t="shared" si="110"/>
        <v>0</v>
      </c>
      <c r="AD751" s="147">
        <f t="shared" si="110"/>
        <v>0</v>
      </c>
      <c r="AE751" s="147">
        <f t="shared" si="110"/>
        <v>0</v>
      </c>
      <c r="AF751" s="147">
        <f t="shared" si="110"/>
        <v>0</v>
      </c>
      <c r="AG751" s="147">
        <f t="shared" si="110"/>
        <v>0</v>
      </c>
      <c r="AH751" s="147">
        <f t="shared" si="110"/>
        <v>0</v>
      </c>
      <c r="AI751" s="147">
        <f t="shared" si="110"/>
        <v>0</v>
      </c>
      <c r="AJ751" s="147">
        <f t="shared" si="110"/>
        <v>0</v>
      </c>
      <c r="AK751" s="147">
        <f t="shared" si="110"/>
        <v>0</v>
      </c>
      <c r="AL751" s="147">
        <f t="shared" si="110"/>
        <v>0</v>
      </c>
      <c r="AM751" s="147">
        <f t="shared" si="110"/>
        <v>0</v>
      </c>
      <c r="AN751" s="147">
        <f t="shared" si="110"/>
        <v>0</v>
      </c>
      <c r="AO751" s="147">
        <f t="shared" si="110"/>
        <v>0</v>
      </c>
      <c r="AP751" s="147">
        <f t="shared" si="110"/>
        <v>0</v>
      </c>
      <c r="AQ751" s="147">
        <f t="shared" si="110"/>
        <v>0</v>
      </c>
      <c r="AR751" s="147">
        <f t="shared" si="110"/>
        <v>0</v>
      </c>
      <c r="AS751" s="147">
        <f t="shared" si="110"/>
        <v>0</v>
      </c>
      <c r="AT751" s="147">
        <f t="shared" si="110"/>
        <v>0</v>
      </c>
      <c r="AU751" s="147">
        <f t="shared" si="110"/>
        <v>0</v>
      </c>
      <c r="AV751" s="147">
        <f t="shared" si="110"/>
        <v>0</v>
      </c>
      <c r="AW751" s="147">
        <f t="shared" si="110"/>
        <v>0</v>
      </c>
      <c r="AX751" s="147">
        <f t="shared" si="110"/>
        <v>0</v>
      </c>
      <c r="AY751" s="34" t="s">
        <v>225</v>
      </c>
      <c r="AZ751" s="34"/>
      <c r="BA751" s="63"/>
      <c r="BB751" s="64"/>
      <c r="BI751" s="42"/>
    </row>
    <row r="752" spans="1:61" s="24" customFormat="1" ht="23.1" customHeight="1">
      <c r="A752" s="32">
        <f>A747+1</f>
        <v>612</v>
      </c>
      <c r="B752" s="158" t="s">
        <v>186</v>
      </c>
      <c r="C752" s="78" t="s">
        <v>1260</v>
      </c>
      <c r="D752" s="35">
        <f t="shared" si="107"/>
        <v>1.3</v>
      </c>
      <c r="E752" s="35"/>
      <c r="F752" s="35">
        <f t="shared" si="108"/>
        <v>1.3</v>
      </c>
      <c r="G752" s="109"/>
      <c r="H752" s="109"/>
      <c r="I752" s="109"/>
      <c r="J752" s="109"/>
      <c r="K752" s="109"/>
      <c r="L752" s="109"/>
      <c r="M752" s="109">
        <v>1.3</v>
      </c>
      <c r="N752" s="109"/>
      <c r="O752" s="109"/>
      <c r="P752" s="109"/>
      <c r="Q752" s="109"/>
      <c r="R752" s="109"/>
      <c r="S752" s="109"/>
      <c r="T752" s="109"/>
      <c r="U752" s="109"/>
      <c r="V752" s="109"/>
      <c r="W752" s="109"/>
      <c r="X752" s="109"/>
      <c r="Y752" s="109"/>
      <c r="Z752" s="109"/>
      <c r="AA752" s="109"/>
      <c r="AB752" s="109"/>
      <c r="AC752" s="109"/>
      <c r="AD752" s="109"/>
      <c r="AE752" s="109"/>
      <c r="AF752" s="109"/>
      <c r="AG752" s="109"/>
      <c r="AH752" s="109"/>
      <c r="AI752" s="109"/>
      <c r="AJ752" s="109"/>
      <c r="AK752" s="109"/>
      <c r="AL752" s="109"/>
      <c r="AM752" s="109"/>
      <c r="AN752" s="109"/>
      <c r="AO752" s="109"/>
      <c r="AP752" s="109"/>
      <c r="AQ752" s="109"/>
      <c r="AR752" s="109"/>
      <c r="AS752" s="109"/>
      <c r="AT752" s="109"/>
      <c r="AU752" s="109"/>
      <c r="AV752" s="109"/>
      <c r="AW752" s="109"/>
      <c r="AX752" s="109"/>
      <c r="AY752" s="34" t="s">
        <v>225</v>
      </c>
      <c r="AZ752" s="34" t="s">
        <v>1343</v>
      </c>
      <c r="BA752" s="63" t="s">
        <v>291</v>
      </c>
      <c r="BB752" s="64"/>
      <c r="BI752" s="42">
        <v>1</v>
      </c>
    </row>
    <row r="753" spans="1:61" s="24" customFormat="1" ht="23.1" hidden="1" customHeight="1">
      <c r="A753" s="32"/>
      <c r="B753" s="158"/>
      <c r="C753" s="93" t="s">
        <v>59</v>
      </c>
      <c r="D753" s="35">
        <f t="shared" si="107"/>
        <v>0.46</v>
      </c>
      <c r="E753" s="35"/>
      <c r="F753" s="35">
        <f t="shared" si="108"/>
        <v>0.46</v>
      </c>
      <c r="G753" s="109"/>
      <c r="H753" s="109"/>
      <c r="I753" s="109"/>
      <c r="J753" s="109"/>
      <c r="K753" s="109"/>
      <c r="L753" s="109"/>
      <c r="M753" s="109">
        <v>0.46</v>
      </c>
      <c r="N753" s="109"/>
      <c r="O753" s="109"/>
      <c r="P753" s="109"/>
      <c r="Q753" s="109"/>
      <c r="R753" s="109"/>
      <c r="S753" s="109"/>
      <c r="T753" s="109"/>
      <c r="U753" s="109"/>
      <c r="V753" s="109"/>
      <c r="W753" s="109"/>
      <c r="X753" s="109"/>
      <c r="Y753" s="109"/>
      <c r="Z753" s="109"/>
      <c r="AA753" s="109"/>
      <c r="AB753" s="109"/>
      <c r="AC753" s="109"/>
      <c r="AD753" s="109"/>
      <c r="AE753" s="109"/>
      <c r="AF753" s="109"/>
      <c r="AG753" s="109"/>
      <c r="AH753" s="109"/>
      <c r="AI753" s="109"/>
      <c r="AJ753" s="109"/>
      <c r="AK753" s="109"/>
      <c r="AL753" s="109"/>
      <c r="AM753" s="109"/>
      <c r="AN753" s="109"/>
      <c r="AO753" s="109"/>
      <c r="AP753" s="109"/>
      <c r="AQ753" s="109"/>
      <c r="AR753" s="109"/>
      <c r="AS753" s="109"/>
      <c r="AT753" s="109"/>
      <c r="AU753" s="109"/>
      <c r="AV753" s="109"/>
      <c r="AW753" s="109"/>
      <c r="AX753" s="109"/>
      <c r="AY753" s="34" t="s">
        <v>225</v>
      </c>
      <c r="AZ753" s="34"/>
      <c r="BA753" s="63"/>
      <c r="BB753" s="64"/>
      <c r="BI753" s="42"/>
    </row>
    <row r="754" spans="1:61" s="24" customFormat="1" ht="23.1" hidden="1" customHeight="1">
      <c r="A754" s="32"/>
      <c r="B754" s="158"/>
      <c r="C754" s="93" t="s">
        <v>44</v>
      </c>
      <c r="D754" s="35">
        <f t="shared" si="107"/>
        <v>0.46</v>
      </c>
      <c r="E754" s="35"/>
      <c r="F754" s="35">
        <f t="shared" si="108"/>
        <v>0.46</v>
      </c>
      <c r="G754" s="109"/>
      <c r="H754" s="109"/>
      <c r="I754" s="109"/>
      <c r="J754" s="109"/>
      <c r="K754" s="109"/>
      <c r="L754" s="109"/>
      <c r="M754" s="109">
        <v>0.46</v>
      </c>
      <c r="N754" s="109"/>
      <c r="O754" s="109"/>
      <c r="P754" s="109"/>
      <c r="Q754" s="109"/>
      <c r="R754" s="109"/>
      <c r="S754" s="109"/>
      <c r="T754" s="109"/>
      <c r="U754" s="109"/>
      <c r="V754" s="109"/>
      <c r="W754" s="109"/>
      <c r="X754" s="109"/>
      <c r="Y754" s="109"/>
      <c r="Z754" s="109"/>
      <c r="AA754" s="109"/>
      <c r="AB754" s="109"/>
      <c r="AC754" s="109"/>
      <c r="AD754" s="109"/>
      <c r="AE754" s="109"/>
      <c r="AF754" s="109"/>
      <c r="AG754" s="109"/>
      <c r="AH754" s="109"/>
      <c r="AI754" s="109"/>
      <c r="AJ754" s="109"/>
      <c r="AK754" s="109"/>
      <c r="AL754" s="109"/>
      <c r="AM754" s="109"/>
      <c r="AN754" s="109"/>
      <c r="AO754" s="109"/>
      <c r="AP754" s="109"/>
      <c r="AQ754" s="109"/>
      <c r="AR754" s="109"/>
      <c r="AS754" s="109"/>
      <c r="AT754" s="109"/>
      <c r="AU754" s="109"/>
      <c r="AV754" s="109"/>
      <c r="AW754" s="109"/>
      <c r="AX754" s="109"/>
      <c r="AY754" s="34" t="s">
        <v>225</v>
      </c>
      <c r="AZ754" s="34"/>
      <c r="BA754" s="63"/>
      <c r="BB754" s="64"/>
      <c r="BI754" s="42"/>
    </row>
    <row r="755" spans="1:61" s="24" customFormat="1" ht="23.1" hidden="1" customHeight="1">
      <c r="A755" s="32"/>
      <c r="B755" s="158"/>
      <c r="C755" s="93" t="s">
        <v>45</v>
      </c>
      <c r="D755" s="35">
        <f t="shared" si="107"/>
        <v>0.13</v>
      </c>
      <c r="E755" s="35"/>
      <c r="F755" s="35">
        <f t="shared" si="108"/>
        <v>0.13</v>
      </c>
      <c r="G755" s="109"/>
      <c r="H755" s="109"/>
      <c r="I755" s="109"/>
      <c r="J755" s="109"/>
      <c r="K755" s="109"/>
      <c r="L755" s="109"/>
      <c r="M755" s="109">
        <v>0.13</v>
      </c>
      <c r="N755" s="109"/>
      <c r="O755" s="109"/>
      <c r="P755" s="109"/>
      <c r="Q755" s="109"/>
      <c r="R755" s="109"/>
      <c r="S755" s="109"/>
      <c r="T755" s="109"/>
      <c r="U755" s="109"/>
      <c r="V755" s="109"/>
      <c r="W755" s="109"/>
      <c r="X755" s="109"/>
      <c r="Y755" s="109"/>
      <c r="Z755" s="109"/>
      <c r="AA755" s="109"/>
      <c r="AB755" s="109"/>
      <c r="AC755" s="109"/>
      <c r="AD755" s="109"/>
      <c r="AE755" s="109"/>
      <c r="AF755" s="109"/>
      <c r="AG755" s="109"/>
      <c r="AH755" s="109"/>
      <c r="AI755" s="109"/>
      <c r="AJ755" s="109"/>
      <c r="AK755" s="109"/>
      <c r="AL755" s="109"/>
      <c r="AM755" s="109"/>
      <c r="AN755" s="109"/>
      <c r="AO755" s="109"/>
      <c r="AP755" s="109"/>
      <c r="AQ755" s="109"/>
      <c r="AR755" s="109"/>
      <c r="AS755" s="109"/>
      <c r="AT755" s="109"/>
      <c r="AU755" s="109"/>
      <c r="AV755" s="109"/>
      <c r="AW755" s="109"/>
      <c r="AX755" s="109"/>
      <c r="AY755" s="34" t="s">
        <v>225</v>
      </c>
      <c r="AZ755" s="34"/>
      <c r="BA755" s="63"/>
      <c r="BB755" s="64"/>
      <c r="BI755" s="42"/>
    </row>
    <row r="756" spans="1:61" s="24" customFormat="1" ht="23.1" hidden="1" customHeight="1">
      <c r="A756" s="32"/>
      <c r="B756" s="158"/>
      <c r="C756" s="93" t="s">
        <v>138</v>
      </c>
      <c r="D756" s="35">
        <f t="shared" si="107"/>
        <v>0.25000000000000006</v>
      </c>
      <c r="E756" s="35"/>
      <c r="F756" s="35">
        <f t="shared" si="108"/>
        <v>0.25000000000000006</v>
      </c>
      <c r="G756" s="147">
        <f>G752-G753-G754-G755</f>
        <v>0</v>
      </c>
      <c r="H756" s="147">
        <f t="shared" ref="H756:AX756" si="111">H752-H753-H754-H755</f>
        <v>0</v>
      </c>
      <c r="I756" s="147">
        <f t="shared" si="111"/>
        <v>0</v>
      </c>
      <c r="J756" s="147">
        <f t="shared" si="111"/>
        <v>0</v>
      </c>
      <c r="K756" s="147">
        <f t="shared" si="111"/>
        <v>0</v>
      </c>
      <c r="L756" s="147">
        <f t="shared" si="111"/>
        <v>0</v>
      </c>
      <c r="M756" s="147">
        <f t="shared" si="111"/>
        <v>0.25000000000000006</v>
      </c>
      <c r="N756" s="147">
        <f t="shared" si="111"/>
        <v>0</v>
      </c>
      <c r="O756" s="147">
        <f t="shared" si="111"/>
        <v>0</v>
      </c>
      <c r="P756" s="147">
        <f t="shared" si="111"/>
        <v>0</v>
      </c>
      <c r="Q756" s="147">
        <f t="shared" si="111"/>
        <v>0</v>
      </c>
      <c r="R756" s="147">
        <f t="shared" si="111"/>
        <v>0</v>
      </c>
      <c r="S756" s="147">
        <f t="shared" si="111"/>
        <v>0</v>
      </c>
      <c r="T756" s="147">
        <f t="shared" si="111"/>
        <v>0</v>
      </c>
      <c r="U756" s="147">
        <f t="shared" si="111"/>
        <v>0</v>
      </c>
      <c r="V756" s="147">
        <f t="shared" si="111"/>
        <v>0</v>
      </c>
      <c r="W756" s="147">
        <f t="shared" si="111"/>
        <v>0</v>
      </c>
      <c r="X756" s="147">
        <f t="shared" si="111"/>
        <v>0</v>
      </c>
      <c r="Y756" s="147">
        <f t="shared" si="111"/>
        <v>0</v>
      </c>
      <c r="Z756" s="147">
        <f t="shared" si="111"/>
        <v>0</v>
      </c>
      <c r="AA756" s="147">
        <f t="shared" si="111"/>
        <v>0</v>
      </c>
      <c r="AB756" s="147">
        <f t="shared" si="111"/>
        <v>0</v>
      </c>
      <c r="AC756" s="147">
        <f t="shared" si="111"/>
        <v>0</v>
      </c>
      <c r="AD756" s="147">
        <f t="shared" si="111"/>
        <v>0</v>
      </c>
      <c r="AE756" s="147">
        <f t="shared" si="111"/>
        <v>0</v>
      </c>
      <c r="AF756" s="147">
        <f t="shared" si="111"/>
        <v>0</v>
      </c>
      <c r="AG756" s="147">
        <f t="shared" si="111"/>
        <v>0</v>
      </c>
      <c r="AH756" s="147">
        <f t="shared" si="111"/>
        <v>0</v>
      </c>
      <c r="AI756" s="147">
        <f t="shared" si="111"/>
        <v>0</v>
      </c>
      <c r="AJ756" s="147">
        <f t="shared" si="111"/>
        <v>0</v>
      </c>
      <c r="AK756" s="147">
        <f t="shared" si="111"/>
        <v>0</v>
      </c>
      <c r="AL756" s="147">
        <f t="shared" si="111"/>
        <v>0</v>
      </c>
      <c r="AM756" s="147">
        <f t="shared" si="111"/>
        <v>0</v>
      </c>
      <c r="AN756" s="147">
        <f t="shared" si="111"/>
        <v>0</v>
      </c>
      <c r="AO756" s="147">
        <f t="shared" si="111"/>
        <v>0</v>
      </c>
      <c r="AP756" s="147">
        <f t="shared" si="111"/>
        <v>0</v>
      </c>
      <c r="AQ756" s="147">
        <f t="shared" si="111"/>
        <v>0</v>
      </c>
      <c r="AR756" s="147">
        <f t="shared" si="111"/>
        <v>0</v>
      </c>
      <c r="AS756" s="147">
        <f t="shared" si="111"/>
        <v>0</v>
      </c>
      <c r="AT756" s="147">
        <f t="shared" si="111"/>
        <v>0</v>
      </c>
      <c r="AU756" s="147">
        <f t="shared" si="111"/>
        <v>0</v>
      </c>
      <c r="AV756" s="147">
        <f t="shared" si="111"/>
        <v>0</v>
      </c>
      <c r="AW756" s="147">
        <f t="shared" si="111"/>
        <v>0</v>
      </c>
      <c r="AX756" s="147">
        <f t="shared" si="111"/>
        <v>0</v>
      </c>
      <c r="AY756" s="34" t="s">
        <v>225</v>
      </c>
      <c r="AZ756" s="34"/>
      <c r="BA756" s="63"/>
      <c r="BB756" s="64"/>
      <c r="BI756" s="42"/>
    </row>
    <row r="757" spans="1:61" s="24" customFormat="1" ht="33.6" customHeight="1">
      <c r="A757" s="32">
        <f>A752+1</f>
        <v>613</v>
      </c>
      <c r="B757" s="158" t="s">
        <v>186</v>
      </c>
      <c r="C757" s="78" t="s">
        <v>1260</v>
      </c>
      <c r="D757" s="35">
        <f t="shared" si="107"/>
        <v>1.3800000000000001</v>
      </c>
      <c r="E757" s="108"/>
      <c r="F757" s="35">
        <f t="shared" si="108"/>
        <v>1.3800000000000001</v>
      </c>
      <c r="G757" s="109">
        <v>0.08</v>
      </c>
      <c r="H757" s="109"/>
      <c r="I757" s="109"/>
      <c r="J757" s="109">
        <v>0.2</v>
      </c>
      <c r="K757" s="109"/>
      <c r="L757" s="109"/>
      <c r="M757" s="109">
        <v>1.1000000000000001</v>
      </c>
      <c r="N757" s="109"/>
      <c r="O757" s="109"/>
      <c r="P757" s="109"/>
      <c r="Q757" s="109"/>
      <c r="R757" s="109"/>
      <c r="S757" s="109"/>
      <c r="T757" s="109"/>
      <c r="U757" s="109"/>
      <c r="V757" s="109"/>
      <c r="W757" s="109"/>
      <c r="X757" s="109"/>
      <c r="Y757" s="109"/>
      <c r="Z757" s="109"/>
      <c r="AA757" s="109"/>
      <c r="AB757" s="109"/>
      <c r="AC757" s="109"/>
      <c r="AD757" s="109"/>
      <c r="AE757" s="109"/>
      <c r="AF757" s="109"/>
      <c r="AG757" s="109"/>
      <c r="AH757" s="109"/>
      <c r="AI757" s="109"/>
      <c r="AJ757" s="109"/>
      <c r="AK757" s="109"/>
      <c r="AL757" s="109"/>
      <c r="AM757" s="109"/>
      <c r="AN757" s="109"/>
      <c r="AO757" s="109"/>
      <c r="AP757" s="109"/>
      <c r="AQ757" s="109"/>
      <c r="AR757" s="109"/>
      <c r="AS757" s="109"/>
      <c r="AT757" s="109"/>
      <c r="AU757" s="109"/>
      <c r="AV757" s="109"/>
      <c r="AW757" s="109"/>
      <c r="AX757" s="109"/>
      <c r="AY757" s="34" t="s">
        <v>225</v>
      </c>
      <c r="AZ757" s="34" t="s">
        <v>1344</v>
      </c>
      <c r="BA757" s="63" t="s">
        <v>291</v>
      </c>
      <c r="BB757" s="64"/>
      <c r="BI757" s="42">
        <v>1</v>
      </c>
    </row>
    <row r="758" spans="1:61" s="24" customFormat="1" ht="25.35" hidden="1" customHeight="1">
      <c r="A758" s="32"/>
      <c r="B758" s="158"/>
      <c r="C758" s="93" t="s">
        <v>59</v>
      </c>
      <c r="D758" s="35">
        <f t="shared" si="107"/>
        <v>0.47</v>
      </c>
      <c r="E758" s="108"/>
      <c r="F758" s="35">
        <f t="shared" si="108"/>
        <v>0.47</v>
      </c>
      <c r="G758" s="109"/>
      <c r="H758" s="109"/>
      <c r="I758" s="109"/>
      <c r="J758" s="109"/>
      <c r="K758" s="109"/>
      <c r="L758" s="109"/>
      <c r="M758" s="109">
        <v>0.47</v>
      </c>
      <c r="N758" s="109"/>
      <c r="O758" s="109"/>
      <c r="P758" s="109"/>
      <c r="Q758" s="109"/>
      <c r="R758" s="109"/>
      <c r="S758" s="109"/>
      <c r="T758" s="109"/>
      <c r="U758" s="109"/>
      <c r="V758" s="109"/>
      <c r="W758" s="109"/>
      <c r="X758" s="109"/>
      <c r="Y758" s="109"/>
      <c r="Z758" s="109"/>
      <c r="AA758" s="109"/>
      <c r="AB758" s="109"/>
      <c r="AC758" s="109"/>
      <c r="AD758" s="109"/>
      <c r="AE758" s="109"/>
      <c r="AF758" s="109"/>
      <c r="AG758" s="109"/>
      <c r="AH758" s="109"/>
      <c r="AI758" s="109"/>
      <c r="AJ758" s="109"/>
      <c r="AK758" s="109"/>
      <c r="AL758" s="109"/>
      <c r="AM758" s="109"/>
      <c r="AN758" s="109"/>
      <c r="AO758" s="109"/>
      <c r="AP758" s="109"/>
      <c r="AQ758" s="109"/>
      <c r="AR758" s="109"/>
      <c r="AS758" s="109"/>
      <c r="AT758" s="109"/>
      <c r="AU758" s="109"/>
      <c r="AV758" s="109"/>
      <c r="AW758" s="109"/>
      <c r="AX758" s="109"/>
      <c r="AY758" s="34" t="s">
        <v>225</v>
      </c>
      <c r="AZ758" s="34"/>
      <c r="BA758" s="63"/>
      <c r="BB758" s="64"/>
      <c r="BI758" s="42"/>
    </row>
    <row r="759" spans="1:61" s="24" customFormat="1" ht="25.35" hidden="1" customHeight="1">
      <c r="A759" s="32"/>
      <c r="B759" s="158"/>
      <c r="C759" s="93" t="s">
        <v>44</v>
      </c>
      <c r="D759" s="35">
        <f t="shared" si="107"/>
        <v>0.47</v>
      </c>
      <c r="E759" s="108"/>
      <c r="F759" s="35">
        <f t="shared" si="108"/>
        <v>0.47</v>
      </c>
      <c r="G759" s="109"/>
      <c r="H759" s="109"/>
      <c r="I759" s="109"/>
      <c r="J759" s="109"/>
      <c r="K759" s="109"/>
      <c r="L759" s="109"/>
      <c r="M759" s="109">
        <v>0.47</v>
      </c>
      <c r="N759" s="109"/>
      <c r="O759" s="109"/>
      <c r="P759" s="109"/>
      <c r="Q759" s="109"/>
      <c r="R759" s="109"/>
      <c r="S759" s="109"/>
      <c r="T759" s="109"/>
      <c r="U759" s="109"/>
      <c r="V759" s="109"/>
      <c r="W759" s="109"/>
      <c r="X759" s="109"/>
      <c r="Y759" s="109"/>
      <c r="Z759" s="109"/>
      <c r="AA759" s="109"/>
      <c r="AB759" s="109"/>
      <c r="AC759" s="109"/>
      <c r="AD759" s="109"/>
      <c r="AE759" s="109"/>
      <c r="AF759" s="109"/>
      <c r="AG759" s="109"/>
      <c r="AH759" s="109"/>
      <c r="AI759" s="109"/>
      <c r="AJ759" s="109"/>
      <c r="AK759" s="109"/>
      <c r="AL759" s="109"/>
      <c r="AM759" s="109"/>
      <c r="AN759" s="109"/>
      <c r="AO759" s="109"/>
      <c r="AP759" s="109"/>
      <c r="AQ759" s="109"/>
      <c r="AR759" s="109"/>
      <c r="AS759" s="109"/>
      <c r="AT759" s="109"/>
      <c r="AU759" s="109"/>
      <c r="AV759" s="109"/>
      <c r="AW759" s="109"/>
      <c r="AX759" s="109"/>
      <c r="AY759" s="34" t="s">
        <v>225</v>
      </c>
      <c r="AZ759" s="34"/>
      <c r="BA759" s="63"/>
      <c r="BB759" s="64"/>
      <c r="BI759" s="42"/>
    </row>
    <row r="760" spans="1:61" s="24" customFormat="1" ht="25.35" hidden="1" customHeight="1">
      <c r="A760" s="32"/>
      <c r="B760" s="158"/>
      <c r="C760" s="93" t="s">
        <v>45</v>
      </c>
      <c r="D760" s="35">
        <f t="shared" si="107"/>
        <v>0.13</v>
      </c>
      <c r="E760" s="108"/>
      <c r="F760" s="35">
        <f t="shared" si="108"/>
        <v>0.13</v>
      </c>
      <c r="G760" s="109">
        <v>0.08</v>
      </c>
      <c r="H760" s="109"/>
      <c r="I760" s="109"/>
      <c r="J760" s="109"/>
      <c r="K760" s="109"/>
      <c r="L760" s="109"/>
      <c r="M760" s="109">
        <v>0.05</v>
      </c>
      <c r="N760" s="109"/>
      <c r="O760" s="109"/>
      <c r="P760" s="109"/>
      <c r="Q760" s="109"/>
      <c r="R760" s="109"/>
      <c r="S760" s="109"/>
      <c r="T760" s="109"/>
      <c r="U760" s="109"/>
      <c r="V760" s="109"/>
      <c r="W760" s="109"/>
      <c r="X760" s="109"/>
      <c r="Y760" s="109"/>
      <c r="Z760" s="109"/>
      <c r="AA760" s="109"/>
      <c r="AB760" s="109"/>
      <c r="AC760" s="109"/>
      <c r="AD760" s="109"/>
      <c r="AE760" s="109"/>
      <c r="AF760" s="109"/>
      <c r="AG760" s="109"/>
      <c r="AH760" s="109"/>
      <c r="AI760" s="109"/>
      <c r="AJ760" s="109"/>
      <c r="AK760" s="109"/>
      <c r="AL760" s="109"/>
      <c r="AM760" s="109"/>
      <c r="AN760" s="109"/>
      <c r="AO760" s="109"/>
      <c r="AP760" s="109"/>
      <c r="AQ760" s="109"/>
      <c r="AR760" s="109"/>
      <c r="AS760" s="109"/>
      <c r="AT760" s="109"/>
      <c r="AU760" s="109"/>
      <c r="AV760" s="109"/>
      <c r="AW760" s="109"/>
      <c r="AX760" s="109"/>
      <c r="AY760" s="34" t="s">
        <v>225</v>
      </c>
      <c r="AZ760" s="34"/>
      <c r="BA760" s="63"/>
      <c r="BB760" s="64"/>
      <c r="BI760" s="42"/>
    </row>
    <row r="761" spans="1:61" s="24" customFormat="1" ht="25.35" hidden="1" customHeight="1">
      <c r="A761" s="32"/>
      <c r="B761" s="158"/>
      <c r="C761" s="93" t="s">
        <v>138</v>
      </c>
      <c r="D761" s="35">
        <f t="shared" si="107"/>
        <v>0.31000000000000016</v>
      </c>
      <c r="E761" s="108"/>
      <c r="F761" s="35">
        <f t="shared" si="108"/>
        <v>0.31000000000000016</v>
      </c>
      <c r="G761" s="147">
        <f>G757-G758-G759-G760</f>
        <v>0</v>
      </c>
      <c r="H761" s="147">
        <f t="shared" ref="H761:AX761" si="112">H757-H758-H759-H760</f>
        <v>0</v>
      </c>
      <c r="I761" s="147">
        <f t="shared" si="112"/>
        <v>0</v>
      </c>
      <c r="J761" s="147">
        <f t="shared" si="112"/>
        <v>0.2</v>
      </c>
      <c r="K761" s="147">
        <f t="shared" si="112"/>
        <v>0</v>
      </c>
      <c r="L761" s="147">
        <f t="shared" si="112"/>
        <v>0</v>
      </c>
      <c r="M761" s="147">
        <f t="shared" si="112"/>
        <v>0.11000000000000014</v>
      </c>
      <c r="N761" s="147">
        <f t="shared" si="112"/>
        <v>0</v>
      </c>
      <c r="O761" s="147">
        <f t="shared" si="112"/>
        <v>0</v>
      </c>
      <c r="P761" s="147">
        <f t="shared" si="112"/>
        <v>0</v>
      </c>
      <c r="Q761" s="147">
        <f t="shared" si="112"/>
        <v>0</v>
      </c>
      <c r="R761" s="147">
        <f t="shared" si="112"/>
        <v>0</v>
      </c>
      <c r="S761" s="147">
        <f t="shared" si="112"/>
        <v>0</v>
      </c>
      <c r="T761" s="147">
        <f t="shared" si="112"/>
        <v>0</v>
      </c>
      <c r="U761" s="147">
        <f t="shared" si="112"/>
        <v>0</v>
      </c>
      <c r="V761" s="147">
        <f t="shared" si="112"/>
        <v>0</v>
      </c>
      <c r="W761" s="147">
        <f t="shared" si="112"/>
        <v>0</v>
      </c>
      <c r="X761" s="147">
        <f t="shared" si="112"/>
        <v>0</v>
      </c>
      <c r="Y761" s="147">
        <f t="shared" si="112"/>
        <v>0</v>
      </c>
      <c r="Z761" s="147">
        <f t="shared" si="112"/>
        <v>0</v>
      </c>
      <c r="AA761" s="147">
        <f t="shared" si="112"/>
        <v>0</v>
      </c>
      <c r="AB761" s="147">
        <f t="shared" si="112"/>
        <v>0</v>
      </c>
      <c r="AC761" s="147">
        <f t="shared" si="112"/>
        <v>0</v>
      </c>
      <c r="AD761" s="147">
        <f t="shared" si="112"/>
        <v>0</v>
      </c>
      <c r="AE761" s="147">
        <f t="shared" si="112"/>
        <v>0</v>
      </c>
      <c r="AF761" s="147">
        <f t="shared" si="112"/>
        <v>0</v>
      </c>
      <c r="AG761" s="147">
        <f t="shared" si="112"/>
        <v>0</v>
      </c>
      <c r="AH761" s="147">
        <f t="shared" si="112"/>
        <v>0</v>
      </c>
      <c r="AI761" s="147">
        <f t="shared" si="112"/>
        <v>0</v>
      </c>
      <c r="AJ761" s="147">
        <f t="shared" si="112"/>
        <v>0</v>
      </c>
      <c r="AK761" s="147">
        <f t="shared" si="112"/>
        <v>0</v>
      </c>
      <c r="AL761" s="147">
        <f t="shared" si="112"/>
        <v>0</v>
      </c>
      <c r="AM761" s="147">
        <f t="shared" si="112"/>
        <v>0</v>
      </c>
      <c r="AN761" s="147">
        <f t="shared" si="112"/>
        <v>0</v>
      </c>
      <c r="AO761" s="147">
        <f t="shared" si="112"/>
        <v>0</v>
      </c>
      <c r="AP761" s="147">
        <f t="shared" si="112"/>
        <v>0</v>
      </c>
      <c r="AQ761" s="147">
        <f t="shared" si="112"/>
        <v>0</v>
      </c>
      <c r="AR761" s="147">
        <f t="shared" si="112"/>
        <v>0</v>
      </c>
      <c r="AS761" s="147">
        <f t="shared" si="112"/>
        <v>0</v>
      </c>
      <c r="AT761" s="147">
        <f t="shared" si="112"/>
        <v>0</v>
      </c>
      <c r="AU761" s="147">
        <f t="shared" si="112"/>
        <v>0</v>
      </c>
      <c r="AV761" s="147">
        <f t="shared" si="112"/>
        <v>0</v>
      </c>
      <c r="AW761" s="147">
        <f t="shared" si="112"/>
        <v>0</v>
      </c>
      <c r="AX761" s="147">
        <f t="shared" si="112"/>
        <v>0</v>
      </c>
      <c r="AY761" s="34" t="s">
        <v>225</v>
      </c>
      <c r="AZ761" s="34"/>
      <c r="BA761" s="63"/>
      <c r="BB761" s="64"/>
      <c r="BI761" s="42"/>
    </row>
    <row r="762" spans="1:61" s="24" customFormat="1" ht="21.6" customHeight="1">
      <c r="A762" s="32">
        <f>A757+1</f>
        <v>614</v>
      </c>
      <c r="B762" s="158" t="s">
        <v>186</v>
      </c>
      <c r="C762" s="78" t="s">
        <v>1260</v>
      </c>
      <c r="D762" s="35">
        <f t="shared" si="107"/>
        <v>1.3099999999999998</v>
      </c>
      <c r="E762" s="35"/>
      <c r="F762" s="35">
        <f t="shared" si="108"/>
        <v>1.3099999999999998</v>
      </c>
      <c r="G762" s="109">
        <v>0.71</v>
      </c>
      <c r="H762" s="109">
        <v>0.38</v>
      </c>
      <c r="I762" s="109">
        <v>0.22</v>
      </c>
      <c r="J762" s="109"/>
      <c r="K762" s="109"/>
      <c r="L762" s="109"/>
      <c r="M762" s="109"/>
      <c r="N762" s="109"/>
      <c r="O762" s="109"/>
      <c r="P762" s="109"/>
      <c r="Q762" s="109"/>
      <c r="R762" s="109"/>
      <c r="S762" s="109"/>
      <c r="T762" s="109"/>
      <c r="U762" s="109"/>
      <c r="V762" s="109"/>
      <c r="W762" s="109"/>
      <c r="X762" s="109"/>
      <c r="Y762" s="109"/>
      <c r="Z762" s="109"/>
      <c r="AA762" s="109"/>
      <c r="AB762" s="109"/>
      <c r="AC762" s="109"/>
      <c r="AD762" s="109"/>
      <c r="AE762" s="109"/>
      <c r="AF762" s="109"/>
      <c r="AG762" s="109"/>
      <c r="AH762" s="109"/>
      <c r="AI762" s="109"/>
      <c r="AJ762" s="109"/>
      <c r="AK762" s="109"/>
      <c r="AL762" s="109"/>
      <c r="AM762" s="109"/>
      <c r="AN762" s="109"/>
      <c r="AO762" s="109"/>
      <c r="AP762" s="109"/>
      <c r="AQ762" s="109"/>
      <c r="AR762" s="109"/>
      <c r="AS762" s="109"/>
      <c r="AT762" s="109"/>
      <c r="AU762" s="109"/>
      <c r="AV762" s="109"/>
      <c r="AW762" s="109"/>
      <c r="AX762" s="109"/>
      <c r="AY762" s="34" t="s">
        <v>225</v>
      </c>
      <c r="AZ762" s="34" t="s">
        <v>981</v>
      </c>
      <c r="BA762" s="63" t="s">
        <v>291</v>
      </c>
      <c r="BB762" s="64"/>
      <c r="BI762" s="42">
        <v>1</v>
      </c>
    </row>
    <row r="763" spans="1:61" s="24" customFormat="1" ht="21.6" hidden="1" customHeight="1">
      <c r="A763" s="32"/>
      <c r="B763" s="158"/>
      <c r="C763" s="93" t="s">
        <v>59</v>
      </c>
      <c r="D763" s="35">
        <f t="shared" si="107"/>
        <v>0.45999999999999996</v>
      </c>
      <c r="E763" s="35"/>
      <c r="F763" s="35">
        <f t="shared" si="108"/>
        <v>0.45999999999999996</v>
      </c>
      <c r="G763" s="109">
        <v>0.26</v>
      </c>
      <c r="H763" s="109">
        <v>0.1</v>
      </c>
      <c r="I763" s="109">
        <v>0.1</v>
      </c>
      <c r="J763" s="109"/>
      <c r="K763" s="109"/>
      <c r="L763" s="109"/>
      <c r="M763" s="109"/>
      <c r="N763" s="109"/>
      <c r="O763" s="109"/>
      <c r="P763" s="109"/>
      <c r="Q763" s="109"/>
      <c r="R763" s="109"/>
      <c r="S763" s="109"/>
      <c r="T763" s="109"/>
      <c r="U763" s="109"/>
      <c r="V763" s="109"/>
      <c r="W763" s="109"/>
      <c r="X763" s="109"/>
      <c r="Y763" s="109"/>
      <c r="Z763" s="109"/>
      <c r="AA763" s="109"/>
      <c r="AB763" s="109"/>
      <c r="AC763" s="109"/>
      <c r="AD763" s="109"/>
      <c r="AE763" s="109"/>
      <c r="AF763" s="109"/>
      <c r="AG763" s="109"/>
      <c r="AH763" s="109"/>
      <c r="AI763" s="109"/>
      <c r="AJ763" s="109"/>
      <c r="AK763" s="109"/>
      <c r="AL763" s="109"/>
      <c r="AM763" s="109"/>
      <c r="AN763" s="109"/>
      <c r="AO763" s="109"/>
      <c r="AP763" s="109"/>
      <c r="AQ763" s="109"/>
      <c r="AR763" s="109"/>
      <c r="AS763" s="109"/>
      <c r="AT763" s="109"/>
      <c r="AU763" s="109"/>
      <c r="AV763" s="109"/>
      <c r="AW763" s="109"/>
      <c r="AX763" s="109"/>
      <c r="AY763" s="34" t="s">
        <v>225</v>
      </c>
      <c r="AZ763" s="34"/>
      <c r="BA763" s="63"/>
      <c r="BB763" s="64"/>
      <c r="BI763" s="42"/>
    </row>
    <row r="764" spans="1:61" s="24" customFormat="1" ht="21.6" hidden="1" customHeight="1">
      <c r="A764" s="32"/>
      <c r="B764" s="158"/>
      <c r="C764" s="93" t="s">
        <v>44</v>
      </c>
      <c r="D764" s="35">
        <f t="shared" si="107"/>
        <v>0.46</v>
      </c>
      <c r="E764" s="35"/>
      <c r="F764" s="35">
        <f t="shared" si="108"/>
        <v>0.46</v>
      </c>
      <c r="G764" s="109">
        <v>0.31</v>
      </c>
      <c r="H764" s="109">
        <v>0.1</v>
      </c>
      <c r="I764" s="109">
        <v>0.05</v>
      </c>
      <c r="J764" s="109"/>
      <c r="K764" s="109"/>
      <c r="L764" s="109"/>
      <c r="M764" s="109"/>
      <c r="N764" s="109"/>
      <c r="O764" s="109"/>
      <c r="P764" s="109"/>
      <c r="Q764" s="109"/>
      <c r="R764" s="109"/>
      <c r="S764" s="109"/>
      <c r="T764" s="109"/>
      <c r="U764" s="109"/>
      <c r="V764" s="109"/>
      <c r="W764" s="109"/>
      <c r="X764" s="109"/>
      <c r="Y764" s="109"/>
      <c r="Z764" s="109"/>
      <c r="AA764" s="109"/>
      <c r="AB764" s="109"/>
      <c r="AC764" s="109"/>
      <c r="AD764" s="109"/>
      <c r="AE764" s="109"/>
      <c r="AF764" s="109"/>
      <c r="AG764" s="109"/>
      <c r="AH764" s="109"/>
      <c r="AI764" s="109"/>
      <c r="AJ764" s="109"/>
      <c r="AK764" s="109"/>
      <c r="AL764" s="109"/>
      <c r="AM764" s="109"/>
      <c r="AN764" s="109"/>
      <c r="AO764" s="109"/>
      <c r="AP764" s="109"/>
      <c r="AQ764" s="109"/>
      <c r="AR764" s="109"/>
      <c r="AS764" s="109"/>
      <c r="AT764" s="109"/>
      <c r="AU764" s="109"/>
      <c r="AV764" s="109"/>
      <c r="AW764" s="109"/>
      <c r="AX764" s="109"/>
      <c r="AY764" s="34" t="s">
        <v>225</v>
      </c>
      <c r="AZ764" s="34"/>
      <c r="BA764" s="63"/>
      <c r="BB764" s="64"/>
      <c r="BI764" s="42"/>
    </row>
    <row r="765" spans="1:61" s="24" customFormat="1" ht="21.6" hidden="1" customHeight="1">
      <c r="A765" s="32"/>
      <c r="B765" s="158"/>
      <c r="C765" s="93" t="s">
        <v>45</v>
      </c>
      <c r="D765" s="35">
        <f t="shared" si="107"/>
        <v>0.13999999999999999</v>
      </c>
      <c r="E765" s="35"/>
      <c r="F765" s="35">
        <f t="shared" si="108"/>
        <v>0.13999999999999999</v>
      </c>
      <c r="G765" s="109">
        <v>0.04</v>
      </c>
      <c r="H765" s="109">
        <v>0.08</v>
      </c>
      <c r="I765" s="109">
        <v>0.02</v>
      </c>
      <c r="J765" s="109"/>
      <c r="K765" s="109"/>
      <c r="L765" s="109"/>
      <c r="M765" s="109"/>
      <c r="N765" s="109"/>
      <c r="O765" s="109"/>
      <c r="P765" s="109"/>
      <c r="Q765" s="109"/>
      <c r="R765" s="109"/>
      <c r="S765" s="109"/>
      <c r="T765" s="109"/>
      <c r="U765" s="109"/>
      <c r="V765" s="109"/>
      <c r="W765" s="109"/>
      <c r="X765" s="109"/>
      <c r="Y765" s="109"/>
      <c r="Z765" s="109"/>
      <c r="AA765" s="109"/>
      <c r="AB765" s="109"/>
      <c r="AC765" s="109"/>
      <c r="AD765" s="109"/>
      <c r="AE765" s="109"/>
      <c r="AF765" s="109"/>
      <c r="AG765" s="109"/>
      <c r="AH765" s="109"/>
      <c r="AI765" s="109"/>
      <c r="AJ765" s="109"/>
      <c r="AK765" s="109"/>
      <c r="AL765" s="109"/>
      <c r="AM765" s="109"/>
      <c r="AN765" s="109"/>
      <c r="AO765" s="109"/>
      <c r="AP765" s="109"/>
      <c r="AQ765" s="109"/>
      <c r="AR765" s="109"/>
      <c r="AS765" s="109"/>
      <c r="AT765" s="109"/>
      <c r="AU765" s="109"/>
      <c r="AV765" s="109"/>
      <c r="AW765" s="109"/>
      <c r="AX765" s="109"/>
      <c r="AY765" s="34" t="s">
        <v>225</v>
      </c>
      <c r="AZ765" s="34"/>
      <c r="BA765" s="63"/>
      <c r="BB765" s="64"/>
      <c r="BI765" s="42"/>
    </row>
    <row r="766" spans="1:61" s="24" customFormat="1" ht="21.6" hidden="1" customHeight="1">
      <c r="A766" s="32"/>
      <c r="B766" s="158"/>
      <c r="C766" s="93" t="s">
        <v>138</v>
      </c>
      <c r="D766" s="35">
        <f t="shared" si="107"/>
        <v>0.24999999999999994</v>
      </c>
      <c r="E766" s="35"/>
      <c r="F766" s="35">
        <f t="shared" si="108"/>
        <v>0.24999999999999994</v>
      </c>
      <c r="G766" s="147">
        <f>G762-G763-G764-G765</f>
        <v>9.999999999999995E-2</v>
      </c>
      <c r="H766" s="147">
        <f t="shared" ref="H766:AX766" si="113">H762-H763-H764-H765</f>
        <v>0.10000000000000002</v>
      </c>
      <c r="I766" s="147">
        <f t="shared" si="113"/>
        <v>4.9999999999999989E-2</v>
      </c>
      <c r="J766" s="147">
        <f t="shared" si="113"/>
        <v>0</v>
      </c>
      <c r="K766" s="147">
        <f t="shared" si="113"/>
        <v>0</v>
      </c>
      <c r="L766" s="147">
        <f t="shared" si="113"/>
        <v>0</v>
      </c>
      <c r="M766" s="147">
        <f t="shared" si="113"/>
        <v>0</v>
      </c>
      <c r="N766" s="147">
        <f t="shared" si="113"/>
        <v>0</v>
      </c>
      <c r="O766" s="147">
        <f t="shared" si="113"/>
        <v>0</v>
      </c>
      <c r="P766" s="147">
        <f t="shared" si="113"/>
        <v>0</v>
      </c>
      <c r="Q766" s="147">
        <f t="shared" si="113"/>
        <v>0</v>
      </c>
      <c r="R766" s="147">
        <f t="shared" si="113"/>
        <v>0</v>
      </c>
      <c r="S766" s="147">
        <f t="shared" si="113"/>
        <v>0</v>
      </c>
      <c r="T766" s="147">
        <f t="shared" si="113"/>
        <v>0</v>
      </c>
      <c r="U766" s="147">
        <f t="shared" si="113"/>
        <v>0</v>
      </c>
      <c r="V766" s="147">
        <f t="shared" si="113"/>
        <v>0</v>
      </c>
      <c r="W766" s="147">
        <f t="shared" si="113"/>
        <v>0</v>
      </c>
      <c r="X766" s="147">
        <f t="shared" si="113"/>
        <v>0</v>
      </c>
      <c r="Y766" s="147">
        <f t="shared" si="113"/>
        <v>0</v>
      </c>
      <c r="Z766" s="147">
        <f t="shared" si="113"/>
        <v>0</v>
      </c>
      <c r="AA766" s="147">
        <f t="shared" si="113"/>
        <v>0</v>
      </c>
      <c r="AB766" s="147">
        <f t="shared" si="113"/>
        <v>0</v>
      </c>
      <c r="AC766" s="147">
        <f t="shared" si="113"/>
        <v>0</v>
      </c>
      <c r="AD766" s="147">
        <f t="shared" si="113"/>
        <v>0</v>
      </c>
      <c r="AE766" s="147">
        <f t="shared" si="113"/>
        <v>0</v>
      </c>
      <c r="AF766" s="147">
        <f t="shared" si="113"/>
        <v>0</v>
      </c>
      <c r="AG766" s="147">
        <f t="shared" si="113"/>
        <v>0</v>
      </c>
      <c r="AH766" s="147">
        <f t="shared" si="113"/>
        <v>0</v>
      </c>
      <c r="AI766" s="147">
        <f t="shared" si="113"/>
        <v>0</v>
      </c>
      <c r="AJ766" s="147">
        <f t="shared" si="113"/>
        <v>0</v>
      </c>
      <c r="AK766" s="147">
        <f t="shared" si="113"/>
        <v>0</v>
      </c>
      <c r="AL766" s="147">
        <f t="shared" si="113"/>
        <v>0</v>
      </c>
      <c r="AM766" s="147">
        <f t="shared" si="113"/>
        <v>0</v>
      </c>
      <c r="AN766" s="147">
        <f t="shared" si="113"/>
        <v>0</v>
      </c>
      <c r="AO766" s="147">
        <f t="shared" si="113"/>
        <v>0</v>
      </c>
      <c r="AP766" s="147">
        <f t="shared" si="113"/>
        <v>0</v>
      </c>
      <c r="AQ766" s="147">
        <f t="shared" si="113"/>
        <v>0</v>
      </c>
      <c r="AR766" s="147">
        <f t="shared" si="113"/>
        <v>0</v>
      </c>
      <c r="AS766" s="147">
        <f t="shared" si="113"/>
        <v>0</v>
      </c>
      <c r="AT766" s="147">
        <f t="shared" si="113"/>
        <v>0</v>
      </c>
      <c r="AU766" s="147">
        <f t="shared" si="113"/>
        <v>0</v>
      </c>
      <c r="AV766" s="147">
        <f t="shared" si="113"/>
        <v>0</v>
      </c>
      <c r="AW766" s="147">
        <f t="shared" si="113"/>
        <v>0</v>
      </c>
      <c r="AX766" s="147">
        <f t="shared" si="113"/>
        <v>0</v>
      </c>
      <c r="AY766" s="34" t="s">
        <v>225</v>
      </c>
      <c r="AZ766" s="34"/>
      <c r="BA766" s="63"/>
      <c r="BB766" s="64"/>
      <c r="BI766" s="42"/>
    </row>
    <row r="767" spans="1:61" s="24" customFormat="1" ht="31.5">
      <c r="A767" s="32">
        <f>A762+1</f>
        <v>615</v>
      </c>
      <c r="B767" s="158" t="s">
        <v>186</v>
      </c>
      <c r="C767" s="78" t="s">
        <v>1260</v>
      </c>
      <c r="D767" s="35">
        <f t="shared" si="107"/>
        <v>1</v>
      </c>
      <c r="E767" s="35"/>
      <c r="F767" s="35">
        <f t="shared" si="108"/>
        <v>1</v>
      </c>
      <c r="G767" s="109">
        <v>1</v>
      </c>
      <c r="H767" s="109"/>
      <c r="I767" s="109"/>
      <c r="J767" s="109"/>
      <c r="K767" s="109"/>
      <c r="L767" s="109"/>
      <c r="M767" s="109"/>
      <c r="N767" s="109"/>
      <c r="O767" s="109"/>
      <c r="P767" s="109"/>
      <c r="Q767" s="109"/>
      <c r="R767" s="109"/>
      <c r="S767" s="109"/>
      <c r="T767" s="109"/>
      <c r="U767" s="109"/>
      <c r="V767" s="109"/>
      <c r="W767" s="109"/>
      <c r="X767" s="109"/>
      <c r="Y767" s="109"/>
      <c r="Z767" s="109"/>
      <c r="AA767" s="109"/>
      <c r="AB767" s="109"/>
      <c r="AC767" s="109"/>
      <c r="AD767" s="109"/>
      <c r="AE767" s="109"/>
      <c r="AF767" s="109"/>
      <c r="AG767" s="109"/>
      <c r="AH767" s="109"/>
      <c r="AI767" s="109"/>
      <c r="AJ767" s="109"/>
      <c r="AK767" s="109"/>
      <c r="AL767" s="109"/>
      <c r="AM767" s="109"/>
      <c r="AN767" s="109"/>
      <c r="AO767" s="109"/>
      <c r="AP767" s="109"/>
      <c r="AQ767" s="109"/>
      <c r="AR767" s="109"/>
      <c r="AS767" s="109"/>
      <c r="AT767" s="109"/>
      <c r="AU767" s="109"/>
      <c r="AV767" s="109"/>
      <c r="AW767" s="109"/>
      <c r="AX767" s="109"/>
      <c r="AY767" s="34" t="s">
        <v>225</v>
      </c>
      <c r="AZ767" s="34" t="s">
        <v>1345</v>
      </c>
      <c r="BA767" s="47" t="s">
        <v>298</v>
      </c>
      <c r="BB767" s="48"/>
      <c r="BI767" s="42">
        <v>1</v>
      </c>
    </row>
    <row r="768" spans="1:61" s="24" customFormat="1" hidden="1">
      <c r="A768" s="32"/>
      <c r="B768" s="158"/>
      <c r="C768" s="93" t="s">
        <v>59</v>
      </c>
      <c r="D768" s="35">
        <f t="shared" si="107"/>
        <v>0.35</v>
      </c>
      <c r="E768" s="35"/>
      <c r="F768" s="35">
        <f t="shared" si="108"/>
        <v>0.35</v>
      </c>
      <c r="G768" s="109">
        <v>0.35</v>
      </c>
      <c r="H768" s="109"/>
      <c r="I768" s="109"/>
      <c r="J768" s="109"/>
      <c r="K768" s="109"/>
      <c r="L768" s="109"/>
      <c r="M768" s="109"/>
      <c r="N768" s="109"/>
      <c r="O768" s="109"/>
      <c r="P768" s="109"/>
      <c r="Q768" s="109"/>
      <c r="R768" s="109"/>
      <c r="S768" s="109"/>
      <c r="T768" s="109"/>
      <c r="U768" s="109"/>
      <c r="V768" s="109"/>
      <c r="W768" s="109"/>
      <c r="X768" s="109"/>
      <c r="Y768" s="109"/>
      <c r="Z768" s="109"/>
      <c r="AA768" s="109"/>
      <c r="AB768" s="109"/>
      <c r="AC768" s="109"/>
      <c r="AD768" s="109"/>
      <c r="AE768" s="109"/>
      <c r="AF768" s="109"/>
      <c r="AG768" s="109"/>
      <c r="AH768" s="109"/>
      <c r="AI768" s="109"/>
      <c r="AJ768" s="109"/>
      <c r="AK768" s="109"/>
      <c r="AL768" s="109"/>
      <c r="AM768" s="109"/>
      <c r="AN768" s="109"/>
      <c r="AO768" s="109"/>
      <c r="AP768" s="109"/>
      <c r="AQ768" s="109"/>
      <c r="AR768" s="109"/>
      <c r="AS768" s="109"/>
      <c r="AT768" s="109"/>
      <c r="AU768" s="109"/>
      <c r="AV768" s="109"/>
      <c r="AW768" s="109"/>
      <c r="AX768" s="109"/>
      <c r="AY768" s="34" t="s">
        <v>225</v>
      </c>
      <c r="AZ768" s="34"/>
      <c r="BA768" s="47"/>
      <c r="BB768" s="48"/>
      <c r="BI768" s="42"/>
    </row>
    <row r="769" spans="1:61" s="24" customFormat="1" hidden="1">
      <c r="A769" s="32"/>
      <c r="B769" s="158"/>
      <c r="C769" s="93" t="s">
        <v>44</v>
      </c>
      <c r="D769" s="35">
        <f t="shared" si="107"/>
        <v>0.4</v>
      </c>
      <c r="E769" s="35"/>
      <c r="F769" s="35">
        <f t="shared" si="108"/>
        <v>0.4</v>
      </c>
      <c r="G769" s="109">
        <v>0.4</v>
      </c>
      <c r="H769" s="109"/>
      <c r="I769" s="109"/>
      <c r="J769" s="109"/>
      <c r="K769" s="109"/>
      <c r="L769" s="109"/>
      <c r="M769" s="109"/>
      <c r="N769" s="109"/>
      <c r="O769" s="109"/>
      <c r="P769" s="109"/>
      <c r="Q769" s="109"/>
      <c r="R769" s="109"/>
      <c r="S769" s="109"/>
      <c r="T769" s="109"/>
      <c r="U769" s="109"/>
      <c r="V769" s="109"/>
      <c r="W769" s="109"/>
      <c r="X769" s="109"/>
      <c r="Y769" s="109"/>
      <c r="Z769" s="109"/>
      <c r="AA769" s="109"/>
      <c r="AB769" s="109"/>
      <c r="AC769" s="109"/>
      <c r="AD769" s="109"/>
      <c r="AE769" s="109"/>
      <c r="AF769" s="109"/>
      <c r="AG769" s="109"/>
      <c r="AH769" s="109"/>
      <c r="AI769" s="109"/>
      <c r="AJ769" s="109"/>
      <c r="AK769" s="109"/>
      <c r="AL769" s="109"/>
      <c r="AM769" s="109"/>
      <c r="AN769" s="109"/>
      <c r="AO769" s="109"/>
      <c r="AP769" s="109"/>
      <c r="AQ769" s="109"/>
      <c r="AR769" s="109"/>
      <c r="AS769" s="109"/>
      <c r="AT769" s="109"/>
      <c r="AU769" s="109"/>
      <c r="AV769" s="109"/>
      <c r="AW769" s="109"/>
      <c r="AX769" s="109"/>
      <c r="AY769" s="34" t="s">
        <v>225</v>
      </c>
      <c r="AZ769" s="34"/>
      <c r="BA769" s="47"/>
      <c r="BB769" s="48"/>
      <c r="BI769" s="42"/>
    </row>
    <row r="770" spans="1:61" s="24" customFormat="1" hidden="1">
      <c r="A770" s="32"/>
      <c r="B770" s="158"/>
      <c r="C770" s="93" t="s">
        <v>138</v>
      </c>
      <c r="D770" s="35">
        <f t="shared" si="107"/>
        <v>0.25</v>
      </c>
      <c r="E770" s="35"/>
      <c r="F770" s="35">
        <f t="shared" si="108"/>
        <v>0.25</v>
      </c>
      <c r="G770" s="147">
        <f>G767-G768-G769</f>
        <v>0.25</v>
      </c>
      <c r="H770" s="147">
        <f t="shared" ref="H770:AX770" si="114">H767-H768-H769</f>
        <v>0</v>
      </c>
      <c r="I770" s="147">
        <f t="shared" si="114"/>
        <v>0</v>
      </c>
      <c r="J770" s="147">
        <f t="shared" si="114"/>
        <v>0</v>
      </c>
      <c r="K770" s="147">
        <f t="shared" si="114"/>
        <v>0</v>
      </c>
      <c r="L770" s="147">
        <f t="shared" si="114"/>
        <v>0</v>
      </c>
      <c r="M770" s="147">
        <f t="shared" si="114"/>
        <v>0</v>
      </c>
      <c r="N770" s="147">
        <f t="shared" si="114"/>
        <v>0</v>
      </c>
      <c r="O770" s="147">
        <f t="shared" si="114"/>
        <v>0</v>
      </c>
      <c r="P770" s="147">
        <f t="shared" si="114"/>
        <v>0</v>
      </c>
      <c r="Q770" s="147">
        <f t="shared" si="114"/>
        <v>0</v>
      </c>
      <c r="R770" s="147">
        <f t="shared" si="114"/>
        <v>0</v>
      </c>
      <c r="S770" s="147">
        <f t="shared" si="114"/>
        <v>0</v>
      </c>
      <c r="T770" s="147">
        <f t="shared" si="114"/>
        <v>0</v>
      </c>
      <c r="U770" s="147">
        <f t="shared" si="114"/>
        <v>0</v>
      </c>
      <c r="V770" s="147">
        <f t="shared" si="114"/>
        <v>0</v>
      </c>
      <c r="W770" s="147">
        <f t="shared" si="114"/>
        <v>0</v>
      </c>
      <c r="X770" s="147">
        <f t="shared" si="114"/>
        <v>0</v>
      </c>
      <c r="Y770" s="147">
        <f t="shared" si="114"/>
        <v>0</v>
      </c>
      <c r="Z770" s="147">
        <f t="shared" si="114"/>
        <v>0</v>
      </c>
      <c r="AA770" s="147">
        <f t="shared" si="114"/>
        <v>0</v>
      </c>
      <c r="AB770" s="147">
        <f t="shared" si="114"/>
        <v>0</v>
      </c>
      <c r="AC770" s="147">
        <f t="shared" si="114"/>
        <v>0</v>
      </c>
      <c r="AD770" s="147">
        <f t="shared" si="114"/>
        <v>0</v>
      </c>
      <c r="AE770" s="147">
        <f t="shared" si="114"/>
        <v>0</v>
      </c>
      <c r="AF770" s="147">
        <f t="shared" si="114"/>
        <v>0</v>
      </c>
      <c r="AG770" s="147">
        <f t="shared" si="114"/>
        <v>0</v>
      </c>
      <c r="AH770" s="147">
        <f t="shared" si="114"/>
        <v>0</v>
      </c>
      <c r="AI770" s="147">
        <f t="shared" si="114"/>
        <v>0</v>
      </c>
      <c r="AJ770" s="147">
        <f t="shared" si="114"/>
        <v>0</v>
      </c>
      <c r="AK770" s="147">
        <f t="shared" si="114"/>
        <v>0</v>
      </c>
      <c r="AL770" s="147">
        <f t="shared" si="114"/>
        <v>0</v>
      </c>
      <c r="AM770" s="147">
        <f t="shared" si="114"/>
        <v>0</v>
      </c>
      <c r="AN770" s="147">
        <f t="shared" si="114"/>
        <v>0</v>
      </c>
      <c r="AO770" s="147">
        <f t="shared" si="114"/>
        <v>0</v>
      </c>
      <c r="AP770" s="147">
        <f t="shared" si="114"/>
        <v>0</v>
      </c>
      <c r="AQ770" s="147">
        <f t="shared" si="114"/>
        <v>0</v>
      </c>
      <c r="AR770" s="147">
        <f t="shared" si="114"/>
        <v>0</v>
      </c>
      <c r="AS770" s="147">
        <f t="shared" si="114"/>
        <v>0</v>
      </c>
      <c r="AT770" s="147">
        <f t="shared" si="114"/>
        <v>0</v>
      </c>
      <c r="AU770" s="147">
        <f t="shared" si="114"/>
        <v>0</v>
      </c>
      <c r="AV770" s="147">
        <f t="shared" si="114"/>
        <v>0</v>
      </c>
      <c r="AW770" s="147">
        <f t="shared" si="114"/>
        <v>0</v>
      </c>
      <c r="AX770" s="147">
        <f t="shared" si="114"/>
        <v>0</v>
      </c>
      <c r="AY770" s="34" t="s">
        <v>225</v>
      </c>
      <c r="AZ770" s="34"/>
      <c r="BA770" s="47"/>
      <c r="BB770" s="48"/>
      <c r="BI770" s="42"/>
    </row>
    <row r="771" spans="1:61" s="24" customFormat="1" ht="21.6" customHeight="1">
      <c r="A771" s="32">
        <f>A767+1</f>
        <v>616</v>
      </c>
      <c r="B771" s="33" t="s">
        <v>1346</v>
      </c>
      <c r="C771" s="78" t="s">
        <v>1260</v>
      </c>
      <c r="D771" s="35">
        <f t="shared" si="107"/>
        <v>2.31</v>
      </c>
      <c r="E771" s="108"/>
      <c r="F771" s="35">
        <f t="shared" si="108"/>
        <v>2.31</v>
      </c>
      <c r="G771" s="109"/>
      <c r="H771" s="109"/>
      <c r="I771" s="109"/>
      <c r="J771" s="109"/>
      <c r="K771" s="109"/>
      <c r="L771" s="109"/>
      <c r="M771" s="109"/>
      <c r="N771" s="109"/>
      <c r="O771" s="109"/>
      <c r="P771" s="109"/>
      <c r="Q771" s="109"/>
      <c r="R771" s="109">
        <v>2.31</v>
      </c>
      <c r="S771" s="109"/>
      <c r="T771" s="109"/>
      <c r="U771" s="109"/>
      <c r="V771" s="109"/>
      <c r="W771" s="109"/>
      <c r="X771" s="109"/>
      <c r="Y771" s="109"/>
      <c r="Z771" s="109"/>
      <c r="AA771" s="109"/>
      <c r="AB771" s="109"/>
      <c r="AC771" s="109"/>
      <c r="AD771" s="109"/>
      <c r="AE771" s="109"/>
      <c r="AF771" s="109"/>
      <c r="AG771" s="109"/>
      <c r="AH771" s="109"/>
      <c r="AI771" s="109"/>
      <c r="AJ771" s="109"/>
      <c r="AK771" s="109"/>
      <c r="AL771" s="109"/>
      <c r="AM771" s="109"/>
      <c r="AN771" s="109"/>
      <c r="AO771" s="109"/>
      <c r="AP771" s="109"/>
      <c r="AQ771" s="109"/>
      <c r="AR771" s="109"/>
      <c r="AS771" s="109"/>
      <c r="AT771" s="109"/>
      <c r="AU771" s="109"/>
      <c r="AV771" s="109"/>
      <c r="AW771" s="109"/>
      <c r="AX771" s="109"/>
      <c r="AY771" s="34" t="s">
        <v>225</v>
      </c>
      <c r="AZ771" s="34" t="s">
        <v>1342</v>
      </c>
      <c r="BA771" s="63" t="s">
        <v>291</v>
      </c>
      <c r="BB771" s="64"/>
      <c r="BI771" s="42">
        <v>1</v>
      </c>
    </row>
    <row r="772" spans="1:61" s="24" customFormat="1" ht="21.6" hidden="1" customHeight="1">
      <c r="A772" s="32"/>
      <c r="B772" s="33"/>
      <c r="C772" s="93" t="s">
        <v>59</v>
      </c>
      <c r="D772" s="35">
        <f t="shared" si="107"/>
        <v>0.81</v>
      </c>
      <c r="E772" s="108"/>
      <c r="F772" s="35">
        <f t="shared" si="108"/>
        <v>0.81</v>
      </c>
      <c r="G772" s="109"/>
      <c r="H772" s="109"/>
      <c r="I772" s="109"/>
      <c r="J772" s="109"/>
      <c r="K772" s="109"/>
      <c r="L772" s="109"/>
      <c r="M772" s="109"/>
      <c r="N772" s="109"/>
      <c r="O772" s="109"/>
      <c r="P772" s="109"/>
      <c r="Q772" s="109"/>
      <c r="R772" s="109">
        <v>0.81</v>
      </c>
      <c r="S772" s="109"/>
      <c r="T772" s="109"/>
      <c r="U772" s="109"/>
      <c r="V772" s="109"/>
      <c r="W772" s="109"/>
      <c r="X772" s="109"/>
      <c r="Y772" s="109"/>
      <c r="Z772" s="109"/>
      <c r="AA772" s="109"/>
      <c r="AB772" s="109"/>
      <c r="AC772" s="109"/>
      <c r="AD772" s="109"/>
      <c r="AE772" s="109"/>
      <c r="AF772" s="109"/>
      <c r="AG772" s="109"/>
      <c r="AH772" s="109"/>
      <c r="AI772" s="109"/>
      <c r="AJ772" s="109"/>
      <c r="AK772" s="109"/>
      <c r="AL772" s="109"/>
      <c r="AM772" s="109"/>
      <c r="AN772" s="109"/>
      <c r="AO772" s="109"/>
      <c r="AP772" s="109"/>
      <c r="AQ772" s="109"/>
      <c r="AR772" s="109"/>
      <c r="AS772" s="109"/>
      <c r="AT772" s="109"/>
      <c r="AU772" s="109"/>
      <c r="AV772" s="109"/>
      <c r="AW772" s="109"/>
      <c r="AX772" s="109"/>
      <c r="AY772" s="34" t="s">
        <v>225</v>
      </c>
      <c r="AZ772" s="34"/>
      <c r="BA772" s="63"/>
      <c r="BB772" s="64"/>
      <c r="BI772" s="42"/>
    </row>
    <row r="773" spans="1:61" s="24" customFormat="1" ht="21.6" hidden="1" customHeight="1">
      <c r="A773" s="32"/>
      <c r="B773" s="33"/>
      <c r="C773" s="93" t="s">
        <v>44</v>
      </c>
      <c r="D773" s="35">
        <f t="shared" si="107"/>
        <v>0.81</v>
      </c>
      <c r="E773" s="108"/>
      <c r="F773" s="35">
        <f t="shared" si="108"/>
        <v>0.81</v>
      </c>
      <c r="G773" s="109"/>
      <c r="H773" s="109"/>
      <c r="I773" s="109"/>
      <c r="J773" s="109"/>
      <c r="K773" s="109"/>
      <c r="L773" s="109"/>
      <c r="M773" s="109"/>
      <c r="N773" s="109"/>
      <c r="O773" s="109"/>
      <c r="P773" s="109"/>
      <c r="Q773" s="109"/>
      <c r="R773" s="109">
        <v>0.81</v>
      </c>
      <c r="S773" s="109"/>
      <c r="T773" s="109"/>
      <c r="U773" s="109"/>
      <c r="V773" s="109"/>
      <c r="W773" s="109"/>
      <c r="X773" s="109"/>
      <c r="Y773" s="109"/>
      <c r="Z773" s="109"/>
      <c r="AA773" s="109"/>
      <c r="AB773" s="109"/>
      <c r="AC773" s="109"/>
      <c r="AD773" s="109"/>
      <c r="AE773" s="109"/>
      <c r="AF773" s="109"/>
      <c r="AG773" s="109"/>
      <c r="AH773" s="109"/>
      <c r="AI773" s="109"/>
      <c r="AJ773" s="109"/>
      <c r="AK773" s="109"/>
      <c r="AL773" s="109"/>
      <c r="AM773" s="109"/>
      <c r="AN773" s="109"/>
      <c r="AO773" s="109"/>
      <c r="AP773" s="109"/>
      <c r="AQ773" s="109"/>
      <c r="AR773" s="109"/>
      <c r="AS773" s="109"/>
      <c r="AT773" s="109"/>
      <c r="AU773" s="109"/>
      <c r="AV773" s="109"/>
      <c r="AW773" s="109"/>
      <c r="AX773" s="109"/>
      <c r="AY773" s="34" t="s">
        <v>225</v>
      </c>
      <c r="AZ773" s="34"/>
      <c r="BA773" s="63"/>
      <c r="BB773" s="64"/>
      <c r="BI773" s="42"/>
    </row>
    <row r="774" spans="1:61" s="24" customFormat="1" ht="21.6" hidden="1" customHeight="1">
      <c r="A774" s="32"/>
      <c r="B774" s="33"/>
      <c r="C774" s="93" t="s">
        <v>45</v>
      </c>
      <c r="D774" s="35">
        <f t="shared" si="107"/>
        <v>0.23</v>
      </c>
      <c r="E774" s="108"/>
      <c r="F774" s="35">
        <f t="shared" si="108"/>
        <v>0.23</v>
      </c>
      <c r="G774" s="109"/>
      <c r="H774" s="109"/>
      <c r="I774" s="109"/>
      <c r="J774" s="109"/>
      <c r="K774" s="109"/>
      <c r="L774" s="109"/>
      <c r="M774" s="109"/>
      <c r="N774" s="109"/>
      <c r="O774" s="109"/>
      <c r="P774" s="109"/>
      <c r="Q774" s="109"/>
      <c r="R774" s="109">
        <v>0.23</v>
      </c>
      <c r="S774" s="109"/>
      <c r="T774" s="109"/>
      <c r="U774" s="109"/>
      <c r="V774" s="109"/>
      <c r="W774" s="109"/>
      <c r="X774" s="109"/>
      <c r="Y774" s="109"/>
      <c r="Z774" s="109"/>
      <c r="AA774" s="109"/>
      <c r="AB774" s="109"/>
      <c r="AC774" s="109"/>
      <c r="AD774" s="109"/>
      <c r="AE774" s="109"/>
      <c r="AF774" s="109"/>
      <c r="AG774" s="109"/>
      <c r="AH774" s="109"/>
      <c r="AI774" s="109"/>
      <c r="AJ774" s="109"/>
      <c r="AK774" s="109"/>
      <c r="AL774" s="109"/>
      <c r="AM774" s="109"/>
      <c r="AN774" s="109"/>
      <c r="AO774" s="109"/>
      <c r="AP774" s="109"/>
      <c r="AQ774" s="109"/>
      <c r="AR774" s="109"/>
      <c r="AS774" s="109"/>
      <c r="AT774" s="109"/>
      <c r="AU774" s="109"/>
      <c r="AV774" s="109"/>
      <c r="AW774" s="109"/>
      <c r="AX774" s="109"/>
      <c r="AY774" s="34" t="s">
        <v>225</v>
      </c>
      <c r="AZ774" s="34"/>
      <c r="BA774" s="63"/>
      <c r="BB774" s="64"/>
      <c r="BI774" s="42"/>
    </row>
    <row r="775" spans="1:61" s="24" customFormat="1" ht="21.6" hidden="1" customHeight="1">
      <c r="A775" s="32"/>
      <c r="B775" s="33"/>
      <c r="C775" s="93" t="s">
        <v>138</v>
      </c>
      <c r="D775" s="35">
        <f t="shared" si="107"/>
        <v>0.45999999999999996</v>
      </c>
      <c r="E775" s="108"/>
      <c r="F775" s="35">
        <f t="shared" si="108"/>
        <v>0.45999999999999996</v>
      </c>
      <c r="G775" s="147">
        <f>G771-G772-G773-G774</f>
        <v>0</v>
      </c>
      <c r="H775" s="147">
        <f t="shared" ref="H775:AX775" si="115">H771-H772-H773-H774</f>
        <v>0</v>
      </c>
      <c r="I775" s="147">
        <f t="shared" si="115"/>
        <v>0</v>
      </c>
      <c r="J775" s="147">
        <f t="shared" si="115"/>
        <v>0</v>
      </c>
      <c r="K775" s="147">
        <f t="shared" si="115"/>
        <v>0</v>
      </c>
      <c r="L775" s="147">
        <f t="shared" si="115"/>
        <v>0</v>
      </c>
      <c r="M775" s="147">
        <f t="shared" si="115"/>
        <v>0</v>
      </c>
      <c r="N775" s="147">
        <f t="shared" si="115"/>
        <v>0</v>
      </c>
      <c r="O775" s="147">
        <f t="shared" si="115"/>
        <v>0</v>
      </c>
      <c r="P775" s="147">
        <f t="shared" si="115"/>
        <v>0</v>
      </c>
      <c r="Q775" s="147">
        <f t="shared" si="115"/>
        <v>0</v>
      </c>
      <c r="R775" s="147">
        <f t="shared" si="115"/>
        <v>0.45999999999999996</v>
      </c>
      <c r="S775" s="147">
        <f t="shared" si="115"/>
        <v>0</v>
      </c>
      <c r="T775" s="147">
        <f t="shared" si="115"/>
        <v>0</v>
      </c>
      <c r="U775" s="147">
        <f t="shared" si="115"/>
        <v>0</v>
      </c>
      <c r="V775" s="147">
        <f t="shared" si="115"/>
        <v>0</v>
      </c>
      <c r="W775" s="147">
        <f t="shared" si="115"/>
        <v>0</v>
      </c>
      <c r="X775" s="147">
        <f t="shared" si="115"/>
        <v>0</v>
      </c>
      <c r="Y775" s="147">
        <f t="shared" si="115"/>
        <v>0</v>
      </c>
      <c r="Z775" s="147">
        <f t="shared" si="115"/>
        <v>0</v>
      </c>
      <c r="AA775" s="147">
        <f t="shared" si="115"/>
        <v>0</v>
      </c>
      <c r="AB775" s="147">
        <f t="shared" si="115"/>
        <v>0</v>
      </c>
      <c r="AC775" s="147">
        <f t="shared" si="115"/>
        <v>0</v>
      </c>
      <c r="AD775" s="147">
        <f t="shared" si="115"/>
        <v>0</v>
      </c>
      <c r="AE775" s="147">
        <f t="shared" si="115"/>
        <v>0</v>
      </c>
      <c r="AF775" s="147">
        <f t="shared" si="115"/>
        <v>0</v>
      </c>
      <c r="AG775" s="147">
        <f t="shared" si="115"/>
        <v>0</v>
      </c>
      <c r="AH775" s="147">
        <f t="shared" si="115"/>
        <v>0</v>
      </c>
      <c r="AI775" s="147">
        <f t="shared" si="115"/>
        <v>0</v>
      </c>
      <c r="AJ775" s="147">
        <f t="shared" si="115"/>
        <v>0</v>
      </c>
      <c r="AK775" s="147">
        <f t="shared" si="115"/>
        <v>0</v>
      </c>
      <c r="AL775" s="147">
        <f t="shared" si="115"/>
        <v>0</v>
      </c>
      <c r="AM775" s="147">
        <f t="shared" si="115"/>
        <v>0</v>
      </c>
      <c r="AN775" s="147">
        <f t="shared" si="115"/>
        <v>0</v>
      </c>
      <c r="AO775" s="147">
        <f t="shared" si="115"/>
        <v>0</v>
      </c>
      <c r="AP775" s="147">
        <f t="shared" si="115"/>
        <v>0</v>
      </c>
      <c r="AQ775" s="147">
        <f t="shared" si="115"/>
        <v>0</v>
      </c>
      <c r="AR775" s="147">
        <f t="shared" si="115"/>
        <v>0</v>
      </c>
      <c r="AS775" s="147">
        <f t="shared" si="115"/>
        <v>0</v>
      </c>
      <c r="AT775" s="147">
        <f t="shared" si="115"/>
        <v>0</v>
      </c>
      <c r="AU775" s="147">
        <f t="shared" si="115"/>
        <v>0</v>
      </c>
      <c r="AV775" s="147">
        <f t="shared" si="115"/>
        <v>0</v>
      </c>
      <c r="AW775" s="147">
        <f t="shared" si="115"/>
        <v>0</v>
      </c>
      <c r="AX775" s="147">
        <f t="shared" si="115"/>
        <v>0</v>
      </c>
      <c r="AY775" s="34" t="s">
        <v>225</v>
      </c>
      <c r="AZ775" s="34"/>
      <c r="BA775" s="63"/>
      <c r="BB775" s="64"/>
      <c r="BI775" s="42"/>
    </row>
    <row r="776" spans="1:61" s="24" customFormat="1" ht="21.6" customHeight="1">
      <c r="A776" s="32">
        <f>A771+1</f>
        <v>617</v>
      </c>
      <c r="B776" s="158" t="s">
        <v>186</v>
      </c>
      <c r="C776" s="78" t="s">
        <v>1260</v>
      </c>
      <c r="D776" s="35">
        <f t="shared" si="107"/>
        <v>0.98000000000000009</v>
      </c>
      <c r="E776" s="35"/>
      <c r="F776" s="35">
        <f t="shared" si="108"/>
        <v>0.98000000000000009</v>
      </c>
      <c r="G776" s="109">
        <v>0.67</v>
      </c>
      <c r="H776" s="109">
        <v>0.2</v>
      </c>
      <c r="I776" s="109">
        <v>0.11</v>
      </c>
      <c r="J776" s="109"/>
      <c r="K776" s="109"/>
      <c r="L776" s="109"/>
      <c r="M776" s="109"/>
      <c r="N776" s="109"/>
      <c r="O776" s="109"/>
      <c r="P776" s="109"/>
      <c r="Q776" s="109"/>
      <c r="R776" s="109"/>
      <c r="S776" s="109"/>
      <c r="T776" s="109"/>
      <c r="U776" s="109"/>
      <c r="V776" s="109"/>
      <c r="W776" s="109"/>
      <c r="X776" s="109"/>
      <c r="Y776" s="109"/>
      <c r="Z776" s="109"/>
      <c r="AA776" s="109"/>
      <c r="AB776" s="109"/>
      <c r="AC776" s="109"/>
      <c r="AD776" s="109"/>
      <c r="AE776" s="109"/>
      <c r="AF776" s="109"/>
      <c r="AG776" s="109"/>
      <c r="AH776" s="109"/>
      <c r="AI776" s="109"/>
      <c r="AJ776" s="109"/>
      <c r="AK776" s="109"/>
      <c r="AL776" s="109"/>
      <c r="AM776" s="109"/>
      <c r="AN776" s="109"/>
      <c r="AO776" s="109"/>
      <c r="AP776" s="109"/>
      <c r="AQ776" s="109"/>
      <c r="AR776" s="109"/>
      <c r="AS776" s="109"/>
      <c r="AT776" s="109"/>
      <c r="AU776" s="109"/>
      <c r="AV776" s="109"/>
      <c r="AW776" s="109"/>
      <c r="AX776" s="109"/>
      <c r="AY776" s="34" t="s">
        <v>225</v>
      </c>
      <c r="AZ776" s="34" t="s">
        <v>915</v>
      </c>
      <c r="BA776" s="63" t="s">
        <v>291</v>
      </c>
      <c r="BB776" s="64"/>
      <c r="BG776" s="24" t="s">
        <v>1347</v>
      </c>
      <c r="BI776" s="42">
        <v>1</v>
      </c>
    </row>
    <row r="777" spans="1:61" s="24" customFormat="1" ht="21.6" hidden="1" customHeight="1">
      <c r="A777" s="32"/>
      <c r="B777" s="158"/>
      <c r="C777" s="93" t="s">
        <v>59</v>
      </c>
      <c r="D777" s="35">
        <f t="shared" si="107"/>
        <v>0.34</v>
      </c>
      <c r="E777" s="35"/>
      <c r="F777" s="35">
        <f t="shared" si="108"/>
        <v>0.34</v>
      </c>
      <c r="G777" s="109">
        <v>0.34</v>
      </c>
      <c r="H777" s="109"/>
      <c r="I777" s="109"/>
      <c r="J777" s="109"/>
      <c r="K777" s="109"/>
      <c r="L777" s="109"/>
      <c r="M777" s="109"/>
      <c r="N777" s="109"/>
      <c r="O777" s="109"/>
      <c r="P777" s="109"/>
      <c r="Q777" s="109"/>
      <c r="R777" s="109"/>
      <c r="S777" s="109"/>
      <c r="T777" s="109"/>
      <c r="U777" s="109"/>
      <c r="V777" s="109"/>
      <c r="W777" s="109"/>
      <c r="X777" s="109"/>
      <c r="Y777" s="109"/>
      <c r="Z777" s="109"/>
      <c r="AA777" s="109"/>
      <c r="AB777" s="109"/>
      <c r="AC777" s="109"/>
      <c r="AD777" s="109"/>
      <c r="AE777" s="109"/>
      <c r="AF777" s="109"/>
      <c r="AG777" s="109"/>
      <c r="AH777" s="109"/>
      <c r="AI777" s="109"/>
      <c r="AJ777" s="109"/>
      <c r="AK777" s="109"/>
      <c r="AL777" s="109"/>
      <c r="AM777" s="109"/>
      <c r="AN777" s="109"/>
      <c r="AO777" s="109"/>
      <c r="AP777" s="109"/>
      <c r="AQ777" s="109"/>
      <c r="AR777" s="109"/>
      <c r="AS777" s="109"/>
      <c r="AT777" s="109"/>
      <c r="AU777" s="109"/>
      <c r="AV777" s="109"/>
      <c r="AW777" s="109"/>
      <c r="AX777" s="109"/>
      <c r="AY777" s="34" t="s">
        <v>225</v>
      </c>
      <c r="AZ777" s="34"/>
      <c r="BA777" s="63"/>
      <c r="BB777" s="64"/>
      <c r="BI777" s="42"/>
    </row>
    <row r="778" spans="1:61" s="24" customFormat="1" ht="21.6" hidden="1" customHeight="1">
      <c r="A778" s="32"/>
      <c r="B778" s="158"/>
      <c r="C778" s="93" t="s">
        <v>44</v>
      </c>
      <c r="D778" s="35">
        <f t="shared" si="107"/>
        <v>0.38999999999999996</v>
      </c>
      <c r="E778" s="35"/>
      <c r="F778" s="35">
        <f t="shared" si="108"/>
        <v>0.38999999999999996</v>
      </c>
      <c r="G778" s="109">
        <v>0.25</v>
      </c>
      <c r="H778" s="109">
        <v>0.1</v>
      </c>
      <c r="I778" s="109">
        <v>0.04</v>
      </c>
      <c r="J778" s="109"/>
      <c r="K778" s="109"/>
      <c r="L778" s="109"/>
      <c r="M778" s="109"/>
      <c r="N778" s="109"/>
      <c r="O778" s="109"/>
      <c r="P778" s="109"/>
      <c r="Q778" s="109"/>
      <c r="R778" s="109"/>
      <c r="S778" s="109"/>
      <c r="T778" s="109"/>
      <c r="U778" s="109"/>
      <c r="V778" s="109"/>
      <c r="W778" s="109"/>
      <c r="X778" s="109"/>
      <c r="Y778" s="109"/>
      <c r="Z778" s="109"/>
      <c r="AA778" s="109"/>
      <c r="AB778" s="109"/>
      <c r="AC778" s="109"/>
      <c r="AD778" s="109"/>
      <c r="AE778" s="109"/>
      <c r="AF778" s="109"/>
      <c r="AG778" s="109"/>
      <c r="AH778" s="109"/>
      <c r="AI778" s="109"/>
      <c r="AJ778" s="109"/>
      <c r="AK778" s="109"/>
      <c r="AL778" s="109"/>
      <c r="AM778" s="109"/>
      <c r="AN778" s="109"/>
      <c r="AO778" s="109"/>
      <c r="AP778" s="109"/>
      <c r="AQ778" s="109"/>
      <c r="AR778" s="109"/>
      <c r="AS778" s="109"/>
      <c r="AT778" s="109"/>
      <c r="AU778" s="109"/>
      <c r="AV778" s="109"/>
      <c r="AW778" s="109"/>
      <c r="AX778" s="109"/>
      <c r="AY778" s="34" t="s">
        <v>225</v>
      </c>
      <c r="AZ778" s="34"/>
      <c r="BA778" s="63"/>
      <c r="BB778" s="64"/>
      <c r="BI778" s="42"/>
    </row>
    <row r="779" spans="1:61" s="24" customFormat="1" ht="21.6" hidden="1" customHeight="1">
      <c r="A779" s="32"/>
      <c r="B779" s="158"/>
      <c r="C779" s="93" t="s">
        <v>138</v>
      </c>
      <c r="D779" s="35">
        <f t="shared" si="107"/>
        <v>0.25</v>
      </c>
      <c r="E779" s="35"/>
      <c r="F779" s="35">
        <f t="shared" si="108"/>
        <v>0.25</v>
      </c>
      <c r="G779" s="147">
        <f t="shared" ref="G779:AW779" si="116">G776-G777-G778</f>
        <v>8.0000000000000016E-2</v>
      </c>
      <c r="H779" s="147">
        <f t="shared" si="116"/>
        <v>0.1</v>
      </c>
      <c r="I779" s="147">
        <f t="shared" si="116"/>
        <v>7.0000000000000007E-2</v>
      </c>
      <c r="J779" s="147">
        <f t="shared" si="116"/>
        <v>0</v>
      </c>
      <c r="K779" s="147">
        <f t="shared" si="116"/>
        <v>0</v>
      </c>
      <c r="L779" s="147">
        <f t="shared" si="116"/>
        <v>0</v>
      </c>
      <c r="M779" s="147">
        <f t="shared" si="116"/>
        <v>0</v>
      </c>
      <c r="N779" s="147">
        <f t="shared" si="116"/>
        <v>0</v>
      </c>
      <c r="O779" s="147">
        <f t="shared" si="116"/>
        <v>0</v>
      </c>
      <c r="P779" s="147">
        <f t="shared" si="116"/>
        <v>0</v>
      </c>
      <c r="Q779" s="147">
        <f t="shared" si="116"/>
        <v>0</v>
      </c>
      <c r="R779" s="147">
        <f t="shared" si="116"/>
        <v>0</v>
      </c>
      <c r="S779" s="147">
        <f t="shared" si="116"/>
        <v>0</v>
      </c>
      <c r="T779" s="147">
        <f t="shared" si="116"/>
        <v>0</v>
      </c>
      <c r="U779" s="147">
        <f t="shared" si="116"/>
        <v>0</v>
      </c>
      <c r="V779" s="147">
        <f t="shared" si="116"/>
        <v>0</v>
      </c>
      <c r="W779" s="147">
        <f t="shared" si="116"/>
        <v>0</v>
      </c>
      <c r="X779" s="147">
        <f t="shared" si="116"/>
        <v>0</v>
      </c>
      <c r="Y779" s="147">
        <f t="shared" si="116"/>
        <v>0</v>
      </c>
      <c r="Z779" s="147">
        <f t="shared" si="116"/>
        <v>0</v>
      </c>
      <c r="AA779" s="147">
        <f t="shared" si="116"/>
        <v>0</v>
      </c>
      <c r="AB779" s="147">
        <f t="shared" si="116"/>
        <v>0</v>
      </c>
      <c r="AC779" s="147">
        <f t="shared" si="116"/>
        <v>0</v>
      </c>
      <c r="AD779" s="147">
        <f t="shared" si="116"/>
        <v>0</v>
      </c>
      <c r="AE779" s="147">
        <f t="shared" si="116"/>
        <v>0</v>
      </c>
      <c r="AF779" s="147">
        <f t="shared" si="116"/>
        <v>0</v>
      </c>
      <c r="AG779" s="147">
        <f t="shared" si="116"/>
        <v>0</v>
      </c>
      <c r="AH779" s="147">
        <f t="shared" si="116"/>
        <v>0</v>
      </c>
      <c r="AI779" s="147">
        <f t="shared" si="116"/>
        <v>0</v>
      </c>
      <c r="AJ779" s="147">
        <f t="shared" si="116"/>
        <v>0</v>
      </c>
      <c r="AK779" s="147">
        <f t="shared" si="116"/>
        <v>0</v>
      </c>
      <c r="AL779" s="147">
        <f t="shared" si="116"/>
        <v>0</v>
      </c>
      <c r="AM779" s="147">
        <f t="shared" si="116"/>
        <v>0</v>
      </c>
      <c r="AN779" s="147">
        <f t="shared" si="116"/>
        <v>0</v>
      </c>
      <c r="AO779" s="147">
        <f t="shared" si="116"/>
        <v>0</v>
      </c>
      <c r="AP779" s="147">
        <f t="shared" si="116"/>
        <v>0</v>
      </c>
      <c r="AQ779" s="147">
        <f t="shared" si="116"/>
        <v>0</v>
      </c>
      <c r="AR779" s="147">
        <f t="shared" si="116"/>
        <v>0</v>
      </c>
      <c r="AS779" s="147">
        <f t="shared" si="116"/>
        <v>0</v>
      </c>
      <c r="AT779" s="147">
        <f t="shared" si="116"/>
        <v>0</v>
      </c>
      <c r="AU779" s="147">
        <f t="shared" si="116"/>
        <v>0</v>
      </c>
      <c r="AV779" s="147">
        <f t="shared" si="116"/>
        <v>0</v>
      </c>
      <c r="AW779" s="147">
        <f t="shared" si="116"/>
        <v>0</v>
      </c>
      <c r="AX779" s="147">
        <f>AX776-AX777-AX778</f>
        <v>0</v>
      </c>
      <c r="AY779" s="34" t="s">
        <v>225</v>
      </c>
      <c r="AZ779" s="34"/>
      <c r="BA779" s="63"/>
      <c r="BB779" s="64"/>
      <c r="BI779" s="42"/>
    </row>
    <row r="780" spans="1:61" s="24" customFormat="1" ht="21.6" customHeight="1">
      <c r="A780" s="32">
        <f>A776+1</f>
        <v>618</v>
      </c>
      <c r="B780" s="158" t="s">
        <v>186</v>
      </c>
      <c r="C780" s="78" t="s">
        <v>1260</v>
      </c>
      <c r="D780" s="35">
        <f t="shared" si="107"/>
        <v>0.45</v>
      </c>
      <c r="E780" s="35"/>
      <c r="F780" s="35">
        <f t="shared" si="108"/>
        <v>0.45</v>
      </c>
      <c r="G780" s="109">
        <v>0.11</v>
      </c>
      <c r="H780" s="109">
        <v>0.15</v>
      </c>
      <c r="I780" s="109"/>
      <c r="J780" s="109">
        <v>0.19</v>
      </c>
      <c r="K780" s="109"/>
      <c r="L780" s="109"/>
      <c r="M780" s="109"/>
      <c r="N780" s="109"/>
      <c r="O780" s="109"/>
      <c r="P780" s="109"/>
      <c r="Q780" s="109"/>
      <c r="R780" s="109"/>
      <c r="S780" s="109"/>
      <c r="T780" s="109"/>
      <c r="U780" s="109"/>
      <c r="V780" s="109"/>
      <c r="W780" s="109"/>
      <c r="X780" s="109"/>
      <c r="Y780" s="109"/>
      <c r="Z780" s="109"/>
      <c r="AA780" s="109"/>
      <c r="AB780" s="109"/>
      <c r="AC780" s="109"/>
      <c r="AD780" s="109"/>
      <c r="AE780" s="109"/>
      <c r="AF780" s="109"/>
      <c r="AG780" s="109"/>
      <c r="AH780" s="109"/>
      <c r="AI780" s="109"/>
      <c r="AJ780" s="109"/>
      <c r="AK780" s="109"/>
      <c r="AL780" s="109"/>
      <c r="AM780" s="109"/>
      <c r="AN780" s="109"/>
      <c r="AO780" s="109"/>
      <c r="AP780" s="109"/>
      <c r="AQ780" s="109"/>
      <c r="AR780" s="109"/>
      <c r="AS780" s="109"/>
      <c r="AT780" s="109"/>
      <c r="AU780" s="109"/>
      <c r="AV780" s="109"/>
      <c r="AW780" s="109"/>
      <c r="AX780" s="109"/>
      <c r="AY780" s="34" t="s">
        <v>225</v>
      </c>
      <c r="AZ780" s="34" t="s">
        <v>390</v>
      </c>
      <c r="BA780" s="63" t="s">
        <v>291</v>
      </c>
      <c r="BB780" s="64"/>
      <c r="BI780" s="42">
        <v>1</v>
      </c>
    </row>
    <row r="781" spans="1:61" s="24" customFormat="1" ht="21.6" hidden="1" customHeight="1">
      <c r="A781" s="32"/>
      <c r="B781" s="158"/>
      <c r="C781" s="93" t="s">
        <v>59</v>
      </c>
      <c r="D781" s="35">
        <f t="shared" si="107"/>
        <v>0.18</v>
      </c>
      <c r="E781" s="35"/>
      <c r="F781" s="35">
        <f t="shared" si="108"/>
        <v>0.18</v>
      </c>
      <c r="G781" s="109">
        <v>0.05</v>
      </c>
      <c r="H781" s="109"/>
      <c r="I781" s="109"/>
      <c r="J781" s="109">
        <v>0.13</v>
      </c>
      <c r="K781" s="109"/>
      <c r="L781" s="109"/>
      <c r="M781" s="109"/>
      <c r="N781" s="109"/>
      <c r="O781" s="109"/>
      <c r="P781" s="109"/>
      <c r="Q781" s="109"/>
      <c r="R781" s="109"/>
      <c r="S781" s="109"/>
      <c r="T781" s="109"/>
      <c r="U781" s="109"/>
      <c r="V781" s="109"/>
      <c r="W781" s="109"/>
      <c r="X781" s="109"/>
      <c r="Y781" s="109"/>
      <c r="Z781" s="109"/>
      <c r="AA781" s="109"/>
      <c r="AB781" s="109"/>
      <c r="AC781" s="109"/>
      <c r="AD781" s="109"/>
      <c r="AE781" s="109"/>
      <c r="AF781" s="109"/>
      <c r="AG781" s="109"/>
      <c r="AH781" s="109"/>
      <c r="AI781" s="109"/>
      <c r="AJ781" s="109"/>
      <c r="AK781" s="109"/>
      <c r="AL781" s="109"/>
      <c r="AM781" s="109"/>
      <c r="AN781" s="109"/>
      <c r="AO781" s="109"/>
      <c r="AP781" s="109"/>
      <c r="AQ781" s="109"/>
      <c r="AR781" s="109"/>
      <c r="AS781" s="109"/>
      <c r="AT781" s="109"/>
      <c r="AU781" s="109"/>
      <c r="AV781" s="109"/>
      <c r="AW781" s="109"/>
      <c r="AX781" s="109"/>
      <c r="AY781" s="34" t="s">
        <v>225</v>
      </c>
      <c r="AZ781" s="34"/>
      <c r="BA781" s="63"/>
      <c r="BB781" s="64"/>
      <c r="BI781" s="42"/>
    </row>
    <row r="782" spans="1:61" s="24" customFormat="1" ht="21.6" hidden="1" customHeight="1">
      <c r="A782" s="32"/>
      <c r="B782" s="158"/>
      <c r="C782" s="93" t="s">
        <v>44</v>
      </c>
      <c r="D782" s="35">
        <f t="shared" si="107"/>
        <v>0.16</v>
      </c>
      <c r="E782" s="35"/>
      <c r="F782" s="35">
        <f t="shared" si="108"/>
        <v>0.16</v>
      </c>
      <c r="G782" s="109">
        <v>0.03</v>
      </c>
      <c r="H782" s="109">
        <v>0.1</v>
      </c>
      <c r="I782" s="109"/>
      <c r="J782" s="109">
        <v>0.03</v>
      </c>
      <c r="K782" s="109"/>
      <c r="L782" s="109"/>
      <c r="M782" s="109"/>
      <c r="N782" s="109"/>
      <c r="O782" s="109"/>
      <c r="P782" s="109"/>
      <c r="Q782" s="109"/>
      <c r="R782" s="109"/>
      <c r="S782" s="109"/>
      <c r="T782" s="109"/>
      <c r="U782" s="109"/>
      <c r="V782" s="109"/>
      <c r="W782" s="109"/>
      <c r="X782" s="109"/>
      <c r="Y782" s="109"/>
      <c r="Z782" s="109"/>
      <c r="AA782" s="109"/>
      <c r="AB782" s="109"/>
      <c r="AC782" s="109"/>
      <c r="AD782" s="109"/>
      <c r="AE782" s="109"/>
      <c r="AF782" s="109"/>
      <c r="AG782" s="109"/>
      <c r="AH782" s="109"/>
      <c r="AI782" s="109"/>
      <c r="AJ782" s="109"/>
      <c r="AK782" s="109"/>
      <c r="AL782" s="109"/>
      <c r="AM782" s="109"/>
      <c r="AN782" s="109"/>
      <c r="AO782" s="109"/>
      <c r="AP782" s="109"/>
      <c r="AQ782" s="109"/>
      <c r="AR782" s="109"/>
      <c r="AS782" s="109"/>
      <c r="AT782" s="109"/>
      <c r="AU782" s="109"/>
      <c r="AV782" s="109"/>
      <c r="AW782" s="109"/>
      <c r="AX782" s="109"/>
      <c r="AY782" s="34" t="s">
        <v>225</v>
      </c>
      <c r="AZ782" s="34"/>
      <c r="BA782" s="63"/>
      <c r="BB782" s="64"/>
      <c r="BI782" s="42"/>
    </row>
    <row r="783" spans="1:61" s="24" customFormat="1" ht="21.6" hidden="1" customHeight="1">
      <c r="A783" s="32"/>
      <c r="B783" s="158"/>
      <c r="C783" s="93" t="s">
        <v>138</v>
      </c>
      <c r="D783" s="35">
        <f t="shared" si="107"/>
        <v>0.10999999999999999</v>
      </c>
      <c r="E783" s="35"/>
      <c r="F783" s="35">
        <f t="shared" si="108"/>
        <v>0.10999999999999999</v>
      </c>
      <c r="G783" s="147">
        <f>G780-G781-G782</f>
        <v>0.03</v>
      </c>
      <c r="H783" s="147">
        <f t="shared" ref="H783:AX783" si="117">H780-H781-H782</f>
        <v>4.9999999999999989E-2</v>
      </c>
      <c r="I783" s="147">
        <f t="shared" si="117"/>
        <v>0</v>
      </c>
      <c r="J783" s="147">
        <f t="shared" si="117"/>
        <v>0.03</v>
      </c>
      <c r="K783" s="147">
        <f t="shared" si="117"/>
        <v>0</v>
      </c>
      <c r="L783" s="147">
        <f t="shared" si="117"/>
        <v>0</v>
      </c>
      <c r="M783" s="147">
        <f t="shared" si="117"/>
        <v>0</v>
      </c>
      <c r="N783" s="147">
        <f t="shared" si="117"/>
        <v>0</v>
      </c>
      <c r="O783" s="147">
        <f t="shared" si="117"/>
        <v>0</v>
      </c>
      <c r="P783" s="147">
        <f t="shared" si="117"/>
        <v>0</v>
      </c>
      <c r="Q783" s="147">
        <f t="shared" si="117"/>
        <v>0</v>
      </c>
      <c r="R783" s="147">
        <f t="shared" si="117"/>
        <v>0</v>
      </c>
      <c r="S783" s="147">
        <f t="shared" si="117"/>
        <v>0</v>
      </c>
      <c r="T783" s="147">
        <f t="shared" si="117"/>
        <v>0</v>
      </c>
      <c r="U783" s="147">
        <f t="shared" si="117"/>
        <v>0</v>
      </c>
      <c r="V783" s="147">
        <f t="shared" si="117"/>
        <v>0</v>
      </c>
      <c r="W783" s="147">
        <f t="shared" si="117"/>
        <v>0</v>
      </c>
      <c r="X783" s="147">
        <f t="shared" si="117"/>
        <v>0</v>
      </c>
      <c r="Y783" s="147">
        <f t="shared" si="117"/>
        <v>0</v>
      </c>
      <c r="Z783" s="147">
        <f t="shared" si="117"/>
        <v>0</v>
      </c>
      <c r="AA783" s="147">
        <f t="shared" si="117"/>
        <v>0</v>
      </c>
      <c r="AB783" s="147">
        <f t="shared" si="117"/>
        <v>0</v>
      </c>
      <c r="AC783" s="147">
        <f t="shared" si="117"/>
        <v>0</v>
      </c>
      <c r="AD783" s="147">
        <f t="shared" si="117"/>
        <v>0</v>
      </c>
      <c r="AE783" s="147">
        <f t="shared" si="117"/>
        <v>0</v>
      </c>
      <c r="AF783" s="147">
        <f t="shared" si="117"/>
        <v>0</v>
      </c>
      <c r="AG783" s="147">
        <f t="shared" si="117"/>
        <v>0</v>
      </c>
      <c r="AH783" s="147">
        <f t="shared" si="117"/>
        <v>0</v>
      </c>
      <c r="AI783" s="147">
        <f t="shared" si="117"/>
        <v>0</v>
      </c>
      <c r="AJ783" s="147">
        <f t="shared" si="117"/>
        <v>0</v>
      </c>
      <c r="AK783" s="147">
        <f t="shared" si="117"/>
        <v>0</v>
      </c>
      <c r="AL783" s="147">
        <f t="shared" si="117"/>
        <v>0</v>
      </c>
      <c r="AM783" s="147">
        <f t="shared" si="117"/>
        <v>0</v>
      </c>
      <c r="AN783" s="147">
        <f t="shared" si="117"/>
        <v>0</v>
      </c>
      <c r="AO783" s="147">
        <f t="shared" si="117"/>
        <v>0</v>
      </c>
      <c r="AP783" s="147">
        <f t="shared" si="117"/>
        <v>0</v>
      </c>
      <c r="AQ783" s="147">
        <f t="shared" si="117"/>
        <v>0</v>
      </c>
      <c r="AR783" s="147">
        <f t="shared" si="117"/>
        <v>0</v>
      </c>
      <c r="AS783" s="147">
        <f t="shared" si="117"/>
        <v>0</v>
      </c>
      <c r="AT783" s="147">
        <f t="shared" si="117"/>
        <v>0</v>
      </c>
      <c r="AU783" s="147">
        <f t="shared" si="117"/>
        <v>0</v>
      </c>
      <c r="AV783" s="147">
        <f t="shared" si="117"/>
        <v>0</v>
      </c>
      <c r="AW783" s="147">
        <f t="shared" si="117"/>
        <v>0</v>
      </c>
      <c r="AX783" s="147">
        <f t="shared" si="117"/>
        <v>0</v>
      </c>
      <c r="AY783" s="34" t="s">
        <v>225</v>
      </c>
      <c r="AZ783" s="34"/>
      <c r="BA783" s="63"/>
      <c r="BB783" s="64"/>
      <c r="BI783" s="42"/>
    </row>
    <row r="784" spans="1:61" s="24" customFormat="1" ht="21.6" customHeight="1">
      <c r="A784" s="32">
        <f>A780+1</f>
        <v>619</v>
      </c>
      <c r="B784" s="158" t="s">
        <v>186</v>
      </c>
      <c r="C784" s="93" t="s">
        <v>1260</v>
      </c>
      <c r="D784" s="35">
        <f>F784+E784</f>
        <v>0.6</v>
      </c>
      <c r="E784" s="35"/>
      <c r="F784" s="35">
        <f>SUM(G784:AX784)</f>
        <v>0.6</v>
      </c>
      <c r="G784" s="147"/>
      <c r="H784" s="147"/>
      <c r="I784" s="147"/>
      <c r="J784" s="147">
        <v>0.6</v>
      </c>
      <c r="K784" s="147"/>
      <c r="L784" s="147"/>
      <c r="M784" s="147"/>
      <c r="N784" s="147"/>
      <c r="O784" s="147"/>
      <c r="P784" s="147"/>
      <c r="Q784" s="147"/>
      <c r="R784" s="147"/>
      <c r="S784" s="147"/>
      <c r="T784" s="147"/>
      <c r="U784" s="147"/>
      <c r="V784" s="147"/>
      <c r="W784" s="147"/>
      <c r="X784" s="147"/>
      <c r="Y784" s="147"/>
      <c r="Z784" s="147"/>
      <c r="AA784" s="147"/>
      <c r="AB784" s="147"/>
      <c r="AC784" s="147"/>
      <c r="AD784" s="147"/>
      <c r="AE784" s="147"/>
      <c r="AF784" s="147"/>
      <c r="AG784" s="147"/>
      <c r="AH784" s="147"/>
      <c r="AI784" s="147"/>
      <c r="AJ784" s="147"/>
      <c r="AK784" s="147"/>
      <c r="AL784" s="147"/>
      <c r="AM784" s="147"/>
      <c r="AN784" s="147"/>
      <c r="AO784" s="147"/>
      <c r="AP784" s="147"/>
      <c r="AQ784" s="147"/>
      <c r="AR784" s="147"/>
      <c r="AS784" s="147"/>
      <c r="AT784" s="147"/>
      <c r="AU784" s="147"/>
      <c r="AV784" s="147"/>
      <c r="AW784" s="147"/>
      <c r="AX784" s="147"/>
      <c r="AY784" s="34" t="s">
        <v>225</v>
      </c>
      <c r="AZ784" s="34" t="s">
        <v>1348</v>
      </c>
      <c r="BA784" s="63" t="s">
        <v>298</v>
      </c>
      <c r="BB784" s="64"/>
      <c r="BG784" s="24" t="s">
        <v>311</v>
      </c>
      <c r="BI784" s="42"/>
    </row>
    <row r="785" spans="1:61" s="24" customFormat="1" ht="21.6" hidden="1" customHeight="1">
      <c r="A785" s="32"/>
      <c r="B785" s="158"/>
      <c r="C785" s="93" t="s">
        <v>59</v>
      </c>
      <c r="D785" s="35">
        <f>F785+E785</f>
        <v>0.21</v>
      </c>
      <c r="E785" s="35"/>
      <c r="F785" s="35">
        <f>SUM(G785:AX785)</f>
        <v>0.21</v>
      </c>
      <c r="G785" s="147"/>
      <c r="H785" s="147"/>
      <c r="I785" s="147"/>
      <c r="J785" s="147">
        <v>0.21</v>
      </c>
      <c r="K785" s="147"/>
      <c r="L785" s="147"/>
      <c r="M785" s="147"/>
      <c r="N785" s="147"/>
      <c r="O785" s="147"/>
      <c r="P785" s="147"/>
      <c r="Q785" s="147"/>
      <c r="R785" s="147"/>
      <c r="S785" s="147"/>
      <c r="T785" s="147"/>
      <c r="U785" s="147"/>
      <c r="V785" s="147"/>
      <c r="W785" s="147"/>
      <c r="X785" s="147"/>
      <c r="Y785" s="147"/>
      <c r="Z785" s="147"/>
      <c r="AA785" s="147"/>
      <c r="AB785" s="147"/>
      <c r="AC785" s="147"/>
      <c r="AD785" s="147"/>
      <c r="AE785" s="147"/>
      <c r="AF785" s="147"/>
      <c r="AG785" s="147"/>
      <c r="AH785" s="147"/>
      <c r="AI785" s="147"/>
      <c r="AJ785" s="147"/>
      <c r="AK785" s="147"/>
      <c r="AL785" s="147"/>
      <c r="AM785" s="147"/>
      <c r="AN785" s="147"/>
      <c r="AO785" s="147"/>
      <c r="AP785" s="147"/>
      <c r="AQ785" s="147"/>
      <c r="AR785" s="147"/>
      <c r="AS785" s="147"/>
      <c r="AT785" s="147"/>
      <c r="AU785" s="147"/>
      <c r="AV785" s="147"/>
      <c r="AW785" s="147"/>
      <c r="AX785" s="147"/>
      <c r="AY785" s="34" t="s">
        <v>225</v>
      </c>
      <c r="AZ785" s="34"/>
      <c r="BA785" s="63"/>
      <c r="BB785" s="64"/>
      <c r="BI785" s="42"/>
    </row>
    <row r="786" spans="1:61" s="24" customFormat="1" ht="21.6" hidden="1" customHeight="1">
      <c r="A786" s="32"/>
      <c r="B786" s="158"/>
      <c r="C786" s="93" t="s">
        <v>44</v>
      </c>
      <c r="D786" s="35">
        <f>F786+E786</f>
        <v>0.24</v>
      </c>
      <c r="E786" s="35"/>
      <c r="F786" s="35">
        <f>SUM(G786:AX786)</f>
        <v>0.24</v>
      </c>
      <c r="G786" s="147"/>
      <c r="H786" s="147"/>
      <c r="I786" s="147"/>
      <c r="J786" s="147">
        <v>0.24</v>
      </c>
      <c r="K786" s="147"/>
      <c r="L786" s="147"/>
      <c r="M786" s="147"/>
      <c r="N786" s="147"/>
      <c r="O786" s="147"/>
      <c r="P786" s="147"/>
      <c r="Q786" s="147"/>
      <c r="R786" s="147"/>
      <c r="S786" s="147"/>
      <c r="T786" s="147"/>
      <c r="U786" s="147"/>
      <c r="V786" s="147"/>
      <c r="W786" s="147"/>
      <c r="X786" s="147"/>
      <c r="Y786" s="147"/>
      <c r="Z786" s="147"/>
      <c r="AA786" s="147"/>
      <c r="AB786" s="147"/>
      <c r="AC786" s="147"/>
      <c r="AD786" s="147"/>
      <c r="AE786" s="147"/>
      <c r="AF786" s="147"/>
      <c r="AG786" s="147"/>
      <c r="AH786" s="147"/>
      <c r="AI786" s="147"/>
      <c r="AJ786" s="147"/>
      <c r="AK786" s="147"/>
      <c r="AL786" s="147"/>
      <c r="AM786" s="147"/>
      <c r="AN786" s="147"/>
      <c r="AO786" s="147"/>
      <c r="AP786" s="147"/>
      <c r="AQ786" s="147"/>
      <c r="AR786" s="147"/>
      <c r="AS786" s="147"/>
      <c r="AT786" s="147"/>
      <c r="AU786" s="147"/>
      <c r="AV786" s="147"/>
      <c r="AW786" s="147"/>
      <c r="AX786" s="147"/>
      <c r="AY786" s="34" t="s">
        <v>225</v>
      </c>
      <c r="AZ786" s="34"/>
      <c r="BA786" s="63"/>
      <c r="BB786" s="64"/>
      <c r="BI786" s="42"/>
    </row>
    <row r="787" spans="1:61" s="24" customFormat="1" ht="21.6" hidden="1" customHeight="1">
      <c r="A787" s="32"/>
      <c r="B787" s="158"/>
      <c r="C787" s="93" t="s">
        <v>138</v>
      </c>
      <c r="D787" s="35">
        <f>F787+E787</f>
        <v>0.15000000000000002</v>
      </c>
      <c r="E787" s="35"/>
      <c r="F787" s="35">
        <f>SUM(G787:AX787)</f>
        <v>0.15000000000000002</v>
      </c>
      <c r="G787" s="147">
        <f>G784-G785-G786</f>
        <v>0</v>
      </c>
      <c r="H787" s="147">
        <f t="shared" ref="H787:AX787" si="118">H784-H785-H786</f>
        <v>0</v>
      </c>
      <c r="I787" s="147">
        <f t="shared" si="118"/>
        <v>0</v>
      </c>
      <c r="J787" s="147">
        <f t="shared" si="118"/>
        <v>0.15000000000000002</v>
      </c>
      <c r="K787" s="147">
        <f t="shared" si="118"/>
        <v>0</v>
      </c>
      <c r="L787" s="147">
        <f t="shared" si="118"/>
        <v>0</v>
      </c>
      <c r="M787" s="147">
        <f t="shared" si="118"/>
        <v>0</v>
      </c>
      <c r="N787" s="147">
        <f t="shared" si="118"/>
        <v>0</v>
      </c>
      <c r="O787" s="147">
        <f t="shared" si="118"/>
        <v>0</v>
      </c>
      <c r="P787" s="147">
        <f t="shared" si="118"/>
        <v>0</v>
      </c>
      <c r="Q787" s="147">
        <f t="shared" si="118"/>
        <v>0</v>
      </c>
      <c r="R787" s="147">
        <f t="shared" si="118"/>
        <v>0</v>
      </c>
      <c r="S787" s="147">
        <f t="shared" si="118"/>
        <v>0</v>
      </c>
      <c r="T787" s="147">
        <f t="shared" si="118"/>
        <v>0</v>
      </c>
      <c r="U787" s="147">
        <f t="shared" si="118"/>
        <v>0</v>
      </c>
      <c r="V787" s="147">
        <f t="shared" si="118"/>
        <v>0</v>
      </c>
      <c r="W787" s="147">
        <f t="shared" si="118"/>
        <v>0</v>
      </c>
      <c r="X787" s="147">
        <f t="shared" si="118"/>
        <v>0</v>
      </c>
      <c r="Y787" s="147">
        <f t="shared" si="118"/>
        <v>0</v>
      </c>
      <c r="Z787" s="147">
        <f t="shared" si="118"/>
        <v>0</v>
      </c>
      <c r="AA787" s="147">
        <f t="shared" si="118"/>
        <v>0</v>
      </c>
      <c r="AB787" s="147">
        <f t="shared" si="118"/>
        <v>0</v>
      </c>
      <c r="AC787" s="147">
        <f t="shared" si="118"/>
        <v>0</v>
      </c>
      <c r="AD787" s="147">
        <f t="shared" si="118"/>
        <v>0</v>
      </c>
      <c r="AE787" s="147">
        <f t="shared" si="118"/>
        <v>0</v>
      </c>
      <c r="AF787" s="147">
        <f t="shared" si="118"/>
        <v>0</v>
      </c>
      <c r="AG787" s="147">
        <f t="shared" si="118"/>
        <v>0</v>
      </c>
      <c r="AH787" s="147">
        <f t="shared" si="118"/>
        <v>0</v>
      </c>
      <c r="AI787" s="147">
        <f t="shared" si="118"/>
        <v>0</v>
      </c>
      <c r="AJ787" s="147">
        <f t="shared" si="118"/>
        <v>0</v>
      </c>
      <c r="AK787" s="147">
        <f t="shared" si="118"/>
        <v>0</v>
      </c>
      <c r="AL787" s="147">
        <f t="shared" si="118"/>
        <v>0</v>
      </c>
      <c r="AM787" s="147">
        <f t="shared" si="118"/>
        <v>0</v>
      </c>
      <c r="AN787" s="147">
        <f t="shared" si="118"/>
        <v>0</v>
      </c>
      <c r="AO787" s="147">
        <f t="shared" si="118"/>
        <v>0</v>
      </c>
      <c r="AP787" s="147">
        <f t="shared" si="118"/>
        <v>0</v>
      </c>
      <c r="AQ787" s="147">
        <f t="shared" si="118"/>
        <v>0</v>
      </c>
      <c r="AR787" s="147">
        <f t="shared" si="118"/>
        <v>0</v>
      </c>
      <c r="AS787" s="147">
        <f t="shared" si="118"/>
        <v>0</v>
      </c>
      <c r="AT787" s="147">
        <f t="shared" si="118"/>
        <v>0</v>
      </c>
      <c r="AU787" s="147">
        <f t="shared" si="118"/>
        <v>0</v>
      </c>
      <c r="AV787" s="147">
        <f t="shared" si="118"/>
        <v>0</v>
      </c>
      <c r="AW787" s="147">
        <f t="shared" si="118"/>
        <v>0</v>
      </c>
      <c r="AX787" s="147">
        <f t="shared" si="118"/>
        <v>0</v>
      </c>
      <c r="AY787" s="34" t="s">
        <v>225</v>
      </c>
      <c r="AZ787" s="34"/>
      <c r="BA787" s="63"/>
      <c r="BB787" s="64"/>
      <c r="BI787" s="42"/>
    </row>
    <row r="788" spans="1:61" s="24" customFormat="1" ht="21.6" customHeight="1">
      <c r="A788" s="32">
        <f>A784+1</f>
        <v>620</v>
      </c>
      <c r="B788" s="158" t="s">
        <v>186</v>
      </c>
      <c r="C788" s="78" t="s">
        <v>59</v>
      </c>
      <c r="D788" s="35">
        <f t="shared" si="107"/>
        <v>0.35</v>
      </c>
      <c r="E788" s="35"/>
      <c r="F788" s="35">
        <f t="shared" si="108"/>
        <v>0.35</v>
      </c>
      <c r="G788" s="109">
        <v>0.15</v>
      </c>
      <c r="H788" s="109">
        <v>0.2</v>
      </c>
      <c r="I788" s="109"/>
      <c r="J788" s="109"/>
      <c r="K788" s="109"/>
      <c r="L788" s="109"/>
      <c r="M788" s="109"/>
      <c r="N788" s="109"/>
      <c r="O788" s="109"/>
      <c r="P788" s="109"/>
      <c r="Q788" s="109"/>
      <c r="R788" s="109"/>
      <c r="S788" s="109"/>
      <c r="T788" s="109"/>
      <c r="U788" s="109"/>
      <c r="V788" s="109"/>
      <c r="W788" s="109"/>
      <c r="X788" s="109"/>
      <c r="Y788" s="109"/>
      <c r="Z788" s="109"/>
      <c r="AA788" s="109"/>
      <c r="AB788" s="109"/>
      <c r="AC788" s="109"/>
      <c r="AD788" s="109"/>
      <c r="AE788" s="109"/>
      <c r="AF788" s="109"/>
      <c r="AG788" s="109"/>
      <c r="AH788" s="109"/>
      <c r="AI788" s="109"/>
      <c r="AJ788" s="109"/>
      <c r="AK788" s="109"/>
      <c r="AL788" s="109"/>
      <c r="AM788" s="109"/>
      <c r="AN788" s="109"/>
      <c r="AO788" s="109"/>
      <c r="AP788" s="109"/>
      <c r="AQ788" s="109"/>
      <c r="AR788" s="109"/>
      <c r="AS788" s="109"/>
      <c r="AT788" s="109"/>
      <c r="AU788" s="109"/>
      <c r="AV788" s="109"/>
      <c r="AW788" s="109"/>
      <c r="AX788" s="109"/>
      <c r="AY788" s="34" t="s">
        <v>225</v>
      </c>
      <c r="AZ788" s="34" t="s">
        <v>1349</v>
      </c>
      <c r="BA788" s="63" t="s">
        <v>291</v>
      </c>
      <c r="BB788" s="64"/>
      <c r="BI788" s="42">
        <v>1</v>
      </c>
    </row>
    <row r="789" spans="1:61" s="24" customFormat="1" ht="23.1" customHeight="1">
      <c r="A789" s="32">
        <f>A788+1</f>
        <v>621</v>
      </c>
      <c r="B789" s="158" t="s">
        <v>186</v>
      </c>
      <c r="C789" s="78" t="s">
        <v>1260</v>
      </c>
      <c r="D789" s="35">
        <f t="shared" si="107"/>
        <v>0.74</v>
      </c>
      <c r="E789" s="35"/>
      <c r="F789" s="35">
        <f t="shared" si="108"/>
        <v>0.74</v>
      </c>
      <c r="G789" s="109"/>
      <c r="H789" s="109"/>
      <c r="I789" s="109"/>
      <c r="J789" s="109">
        <v>0.74</v>
      </c>
      <c r="K789" s="109"/>
      <c r="L789" s="109"/>
      <c r="M789" s="109"/>
      <c r="N789" s="109"/>
      <c r="O789" s="109"/>
      <c r="P789" s="109"/>
      <c r="Q789" s="109"/>
      <c r="R789" s="109"/>
      <c r="S789" s="109"/>
      <c r="T789" s="109"/>
      <c r="U789" s="109"/>
      <c r="V789" s="109"/>
      <c r="W789" s="109"/>
      <c r="X789" s="109"/>
      <c r="Y789" s="109"/>
      <c r="Z789" s="109"/>
      <c r="AA789" s="109"/>
      <c r="AB789" s="109"/>
      <c r="AC789" s="109"/>
      <c r="AD789" s="109"/>
      <c r="AE789" s="109"/>
      <c r="AF789" s="109"/>
      <c r="AG789" s="109"/>
      <c r="AH789" s="109"/>
      <c r="AI789" s="109"/>
      <c r="AJ789" s="109"/>
      <c r="AK789" s="109"/>
      <c r="AL789" s="109"/>
      <c r="AM789" s="109"/>
      <c r="AN789" s="109"/>
      <c r="AO789" s="109"/>
      <c r="AP789" s="109"/>
      <c r="AQ789" s="109"/>
      <c r="AR789" s="109"/>
      <c r="AS789" s="109"/>
      <c r="AT789" s="109"/>
      <c r="AU789" s="109"/>
      <c r="AV789" s="109"/>
      <c r="AW789" s="109"/>
      <c r="AX789" s="109"/>
      <c r="AY789" s="34" t="s">
        <v>225</v>
      </c>
      <c r="AZ789" s="34" t="s">
        <v>1350</v>
      </c>
      <c r="BA789" s="63" t="s">
        <v>291</v>
      </c>
      <c r="BB789" s="64"/>
      <c r="BI789" s="42">
        <v>1</v>
      </c>
    </row>
    <row r="790" spans="1:61" s="24" customFormat="1" ht="23.1" hidden="1" customHeight="1">
      <c r="A790" s="32"/>
      <c r="B790" s="158"/>
      <c r="C790" s="93" t="s">
        <v>59</v>
      </c>
      <c r="D790" s="35">
        <f t="shared" si="107"/>
        <v>0.28000000000000003</v>
      </c>
      <c r="E790" s="35"/>
      <c r="F790" s="35">
        <f t="shared" si="108"/>
        <v>0.28000000000000003</v>
      </c>
      <c r="G790" s="109"/>
      <c r="H790" s="109"/>
      <c r="I790" s="109"/>
      <c r="J790" s="109">
        <v>0.28000000000000003</v>
      </c>
      <c r="K790" s="109"/>
      <c r="L790" s="109"/>
      <c r="M790" s="109"/>
      <c r="N790" s="109"/>
      <c r="O790" s="109"/>
      <c r="P790" s="109"/>
      <c r="Q790" s="109"/>
      <c r="R790" s="109"/>
      <c r="S790" s="109"/>
      <c r="T790" s="109"/>
      <c r="U790" s="109"/>
      <c r="V790" s="109"/>
      <c r="W790" s="109"/>
      <c r="X790" s="109"/>
      <c r="Y790" s="109"/>
      <c r="Z790" s="109"/>
      <c r="AA790" s="109"/>
      <c r="AB790" s="109"/>
      <c r="AC790" s="109"/>
      <c r="AD790" s="109"/>
      <c r="AE790" s="109"/>
      <c r="AF790" s="109"/>
      <c r="AG790" s="109"/>
      <c r="AH790" s="109"/>
      <c r="AI790" s="109"/>
      <c r="AJ790" s="109"/>
      <c r="AK790" s="109"/>
      <c r="AL790" s="109"/>
      <c r="AM790" s="109"/>
      <c r="AN790" s="109"/>
      <c r="AO790" s="109"/>
      <c r="AP790" s="109"/>
      <c r="AQ790" s="109"/>
      <c r="AR790" s="109"/>
      <c r="AS790" s="109"/>
      <c r="AT790" s="109"/>
      <c r="AU790" s="109"/>
      <c r="AV790" s="109"/>
      <c r="AW790" s="109"/>
      <c r="AX790" s="109"/>
      <c r="AY790" s="34" t="s">
        <v>225</v>
      </c>
      <c r="AZ790" s="34"/>
      <c r="BA790" s="63"/>
      <c r="BB790" s="64"/>
      <c r="BI790" s="42"/>
    </row>
    <row r="791" spans="1:61" s="24" customFormat="1" ht="23.1" hidden="1" customHeight="1">
      <c r="A791" s="32"/>
      <c r="B791" s="158"/>
      <c r="C791" s="93" t="s">
        <v>44</v>
      </c>
      <c r="D791" s="35">
        <f t="shared" si="107"/>
        <v>0.3</v>
      </c>
      <c r="E791" s="35"/>
      <c r="F791" s="35">
        <f t="shared" si="108"/>
        <v>0.3</v>
      </c>
      <c r="G791" s="109"/>
      <c r="H791" s="109"/>
      <c r="I791" s="109"/>
      <c r="J791" s="109">
        <v>0.3</v>
      </c>
      <c r="K791" s="109"/>
      <c r="L791" s="109"/>
      <c r="M791" s="109"/>
      <c r="N791" s="109"/>
      <c r="O791" s="109"/>
      <c r="P791" s="109"/>
      <c r="Q791" s="109"/>
      <c r="R791" s="109"/>
      <c r="S791" s="109"/>
      <c r="T791" s="109"/>
      <c r="U791" s="109"/>
      <c r="V791" s="109"/>
      <c r="W791" s="109"/>
      <c r="X791" s="109"/>
      <c r="Y791" s="109"/>
      <c r="Z791" s="109"/>
      <c r="AA791" s="109"/>
      <c r="AB791" s="109"/>
      <c r="AC791" s="109"/>
      <c r="AD791" s="109"/>
      <c r="AE791" s="109"/>
      <c r="AF791" s="109"/>
      <c r="AG791" s="109"/>
      <c r="AH791" s="109"/>
      <c r="AI791" s="109"/>
      <c r="AJ791" s="109"/>
      <c r="AK791" s="109"/>
      <c r="AL791" s="109"/>
      <c r="AM791" s="109"/>
      <c r="AN791" s="109"/>
      <c r="AO791" s="109"/>
      <c r="AP791" s="109"/>
      <c r="AQ791" s="109"/>
      <c r="AR791" s="109"/>
      <c r="AS791" s="109"/>
      <c r="AT791" s="109"/>
      <c r="AU791" s="109"/>
      <c r="AV791" s="109"/>
      <c r="AW791" s="109"/>
      <c r="AX791" s="109"/>
      <c r="AY791" s="34" t="s">
        <v>225</v>
      </c>
      <c r="AZ791" s="34"/>
      <c r="BA791" s="63"/>
      <c r="BB791" s="64"/>
      <c r="BI791" s="42"/>
    </row>
    <row r="792" spans="1:61" s="24" customFormat="1" ht="23.1" hidden="1" customHeight="1">
      <c r="A792" s="32"/>
      <c r="B792" s="158"/>
      <c r="C792" s="93" t="s">
        <v>138</v>
      </c>
      <c r="D792" s="35">
        <f t="shared" si="107"/>
        <v>0.15999999999999998</v>
      </c>
      <c r="E792" s="35"/>
      <c r="F792" s="35">
        <f t="shared" si="108"/>
        <v>0.15999999999999998</v>
      </c>
      <c r="G792" s="147">
        <f>G789-G790-G791</f>
        <v>0</v>
      </c>
      <c r="H792" s="147">
        <f t="shared" ref="H792:AX792" si="119">H789-H790-H791</f>
        <v>0</v>
      </c>
      <c r="I792" s="147">
        <f t="shared" si="119"/>
        <v>0</v>
      </c>
      <c r="J792" s="147">
        <f t="shared" si="119"/>
        <v>0.15999999999999998</v>
      </c>
      <c r="K792" s="147">
        <f t="shared" si="119"/>
        <v>0</v>
      </c>
      <c r="L792" s="147">
        <f t="shared" si="119"/>
        <v>0</v>
      </c>
      <c r="M792" s="147">
        <f t="shared" si="119"/>
        <v>0</v>
      </c>
      <c r="N792" s="147">
        <f t="shared" si="119"/>
        <v>0</v>
      </c>
      <c r="O792" s="147">
        <f t="shared" si="119"/>
        <v>0</v>
      </c>
      <c r="P792" s="147">
        <f t="shared" si="119"/>
        <v>0</v>
      </c>
      <c r="Q792" s="147">
        <f t="shared" si="119"/>
        <v>0</v>
      </c>
      <c r="R792" s="147">
        <f t="shared" si="119"/>
        <v>0</v>
      </c>
      <c r="S792" s="147">
        <f t="shared" si="119"/>
        <v>0</v>
      </c>
      <c r="T792" s="147">
        <f t="shared" si="119"/>
        <v>0</v>
      </c>
      <c r="U792" s="147">
        <f t="shared" si="119"/>
        <v>0</v>
      </c>
      <c r="V792" s="147">
        <f t="shared" si="119"/>
        <v>0</v>
      </c>
      <c r="W792" s="147">
        <f t="shared" si="119"/>
        <v>0</v>
      </c>
      <c r="X792" s="147">
        <f t="shared" si="119"/>
        <v>0</v>
      </c>
      <c r="Y792" s="147">
        <f t="shared" si="119"/>
        <v>0</v>
      </c>
      <c r="Z792" s="147">
        <f t="shared" si="119"/>
        <v>0</v>
      </c>
      <c r="AA792" s="147">
        <f t="shared" si="119"/>
        <v>0</v>
      </c>
      <c r="AB792" s="147">
        <f t="shared" si="119"/>
        <v>0</v>
      </c>
      <c r="AC792" s="147">
        <f t="shared" si="119"/>
        <v>0</v>
      </c>
      <c r="AD792" s="147">
        <f t="shared" si="119"/>
        <v>0</v>
      </c>
      <c r="AE792" s="147">
        <f t="shared" si="119"/>
        <v>0</v>
      </c>
      <c r="AF792" s="147">
        <f t="shared" si="119"/>
        <v>0</v>
      </c>
      <c r="AG792" s="147">
        <f t="shared" si="119"/>
        <v>0</v>
      </c>
      <c r="AH792" s="147">
        <f t="shared" si="119"/>
        <v>0</v>
      </c>
      <c r="AI792" s="147">
        <f t="shared" si="119"/>
        <v>0</v>
      </c>
      <c r="AJ792" s="147">
        <f t="shared" si="119"/>
        <v>0</v>
      </c>
      <c r="AK792" s="147">
        <f t="shared" si="119"/>
        <v>0</v>
      </c>
      <c r="AL792" s="147">
        <f t="shared" si="119"/>
        <v>0</v>
      </c>
      <c r="AM792" s="147">
        <f t="shared" si="119"/>
        <v>0</v>
      </c>
      <c r="AN792" s="147">
        <f t="shared" si="119"/>
        <v>0</v>
      </c>
      <c r="AO792" s="147">
        <f t="shared" si="119"/>
        <v>0</v>
      </c>
      <c r="AP792" s="147">
        <f t="shared" si="119"/>
        <v>0</v>
      </c>
      <c r="AQ792" s="147">
        <f t="shared" si="119"/>
        <v>0</v>
      </c>
      <c r="AR792" s="147">
        <f t="shared" si="119"/>
        <v>0</v>
      </c>
      <c r="AS792" s="147">
        <f t="shared" si="119"/>
        <v>0</v>
      </c>
      <c r="AT792" s="147">
        <f t="shared" si="119"/>
        <v>0</v>
      </c>
      <c r="AU792" s="147">
        <f t="shared" si="119"/>
        <v>0</v>
      </c>
      <c r="AV792" s="147">
        <f t="shared" si="119"/>
        <v>0</v>
      </c>
      <c r="AW792" s="147">
        <f t="shared" si="119"/>
        <v>0</v>
      </c>
      <c r="AX792" s="147">
        <f t="shared" si="119"/>
        <v>0</v>
      </c>
      <c r="AY792" s="34" t="s">
        <v>225</v>
      </c>
      <c r="AZ792" s="34"/>
      <c r="BA792" s="63"/>
      <c r="BB792" s="64"/>
      <c r="BI792" s="42"/>
    </row>
    <row r="793" spans="1:61" s="24" customFormat="1" ht="33" customHeight="1">
      <c r="A793" s="32">
        <f>A789+1</f>
        <v>622</v>
      </c>
      <c r="B793" s="158" t="s">
        <v>186</v>
      </c>
      <c r="C793" s="78" t="s">
        <v>1260</v>
      </c>
      <c r="D793" s="35">
        <f>F793+E793</f>
        <v>0.41</v>
      </c>
      <c r="E793" s="35"/>
      <c r="F793" s="35">
        <f>SUM(G793:AX793)</f>
        <v>0.41</v>
      </c>
      <c r="G793" s="109"/>
      <c r="H793" s="109">
        <v>0.41</v>
      </c>
      <c r="I793" s="109"/>
      <c r="J793" s="109"/>
      <c r="K793" s="109"/>
      <c r="L793" s="109"/>
      <c r="M793" s="109"/>
      <c r="N793" s="109"/>
      <c r="O793" s="109"/>
      <c r="P793" s="109"/>
      <c r="Q793" s="109"/>
      <c r="R793" s="109"/>
      <c r="S793" s="109"/>
      <c r="T793" s="109"/>
      <c r="U793" s="109"/>
      <c r="V793" s="109"/>
      <c r="W793" s="109"/>
      <c r="X793" s="109"/>
      <c r="Y793" s="109"/>
      <c r="Z793" s="109"/>
      <c r="AA793" s="109"/>
      <c r="AB793" s="109"/>
      <c r="AC793" s="109"/>
      <c r="AD793" s="109"/>
      <c r="AE793" s="109"/>
      <c r="AF793" s="109"/>
      <c r="AG793" s="109"/>
      <c r="AH793" s="109"/>
      <c r="AI793" s="109"/>
      <c r="AJ793" s="109"/>
      <c r="AK793" s="109"/>
      <c r="AL793" s="109"/>
      <c r="AM793" s="109"/>
      <c r="AN793" s="109"/>
      <c r="AO793" s="109"/>
      <c r="AP793" s="109"/>
      <c r="AQ793" s="109"/>
      <c r="AR793" s="109"/>
      <c r="AS793" s="109"/>
      <c r="AT793" s="109"/>
      <c r="AU793" s="109"/>
      <c r="AV793" s="109"/>
      <c r="AW793" s="109"/>
      <c r="AX793" s="109"/>
      <c r="AY793" s="34" t="s">
        <v>225</v>
      </c>
      <c r="AZ793" s="34" t="s">
        <v>1351</v>
      </c>
      <c r="BA793" s="63" t="s">
        <v>298</v>
      </c>
      <c r="BB793" s="64"/>
      <c r="BG793" s="24" t="s">
        <v>311</v>
      </c>
      <c r="BI793" s="42">
        <v>1</v>
      </c>
    </row>
    <row r="794" spans="1:61" s="24" customFormat="1" ht="23.1" hidden="1" customHeight="1">
      <c r="A794" s="32"/>
      <c r="B794" s="158"/>
      <c r="C794" s="93" t="s">
        <v>59</v>
      </c>
      <c r="D794" s="35">
        <f>F794+E794</f>
        <v>0.16</v>
      </c>
      <c r="E794" s="35"/>
      <c r="F794" s="35">
        <f>SUM(G794:AX794)</f>
        <v>0.16</v>
      </c>
      <c r="G794" s="109"/>
      <c r="H794" s="109">
        <v>0.16</v>
      </c>
      <c r="I794" s="109"/>
      <c r="J794" s="109"/>
      <c r="K794" s="109"/>
      <c r="L794" s="109"/>
      <c r="M794" s="109"/>
      <c r="N794" s="109"/>
      <c r="O794" s="109"/>
      <c r="P794" s="109"/>
      <c r="Q794" s="109"/>
      <c r="R794" s="109"/>
      <c r="S794" s="109"/>
      <c r="T794" s="109"/>
      <c r="U794" s="109"/>
      <c r="V794" s="109"/>
      <c r="W794" s="109"/>
      <c r="X794" s="109"/>
      <c r="Y794" s="109"/>
      <c r="Z794" s="109"/>
      <c r="AA794" s="109"/>
      <c r="AB794" s="109"/>
      <c r="AC794" s="109"/>
      <c r="AD794" s="109"/>
      <c r="AE794" s="109"/>
      <c r="AF794" s="109"/>
      <c r="AG794" s="109"/>
      <c r="AH794" s="109"/>
      <c r="AI794" s="109"/>
      <c r="AJ794" s="109"/>
      <c r="AK794" s="109"/>
      <c r="AL794" s="109"/>
      <c r="AM794" s="109"/>
      <c r="AN794" s="109"/>
      <c r="AO794" s="109"/>
      <c r="AP794" s="109"/>
      <c r="AQ794" s="109"/>
      <c r="AR794" s="109"/>
      <c r="AS794" s="109"/>
      <c r="AT794" s="109"/>
      <c r="AU794" s="109"/>
      <c r="AV794" s="109"/>
      <c r="AW794" s="109"/>
      <c r="AX794" s="109"/>
      <c r="AY794" s="34" t="s">
        <v>225</v>
      </c>
      <c r="AZ794" s="34"/>
      <c r="BA794" s="63"/>
      <c r="BB794" s="64"/>
      <c r="BI794" s="42"/>
    </row>
    <row r="795" spans="1:61" s="24" customFormat="1" ht="23.1" hidden="1" customHeight="1">
      <c r="A795" s="32"/>
      <c r="B795" s="158"/>
      <c r="C795" s="93" t="s">
        <v>44</v>
      </c>
      <c r="D795" s="35">
        <f>F795+E795</f>
        <v>0.16</v>
      </c>
      <c r="E795" s="35"/>
      <c r="F795" s="35">
        <f>SUM(G795:AX795)</f>
        <v>0.16</v>
      </c>
      <c r="G795" s="109"/>
      <c r="H795" s="109">
        <v>0.16</v>
      </c>
      <c r="I795" s="109"/>
      <c r="J795" s="109"/>
      <c r="K795" s="109"/>
      <c r="L795" s="109"/>
      <c r="M795" s="109"/>
      <c r="N795" s="109"/>
      <c r="O795" s="109"/>
      <c r="P795" s="109"/>
      <c r="Q795" s="109"/>
      <c r="R795" s="109"/>
      <c r="S795" s="109"/>
      <c r="T795" s="109"/>
      <c r="U795" s="109"/>
      <c r="V795" s="109"/>
      <c r="W795" s="109"/>
      <c r="X795" s="109"/>
      <c r="Y795" s="109"/>
      <c r="Z795" s="109"/>
      <c r="AA795" s="109"/>
      <c r="AB795" s="109"/>
      <c r="AC795" s="109"/>
      <c r="AD795" s="109"/>
      <c r="AE795" s="109"/>
      <c r="AF795" s="109"/>
      <c r="AG795" s="109"/>
      <c r="AH795" s="109"/>
      <c r="AI795" s="109"/>
      <c r="AJ795" s="109"/>
      <c r="AK795" s="109"/>
      <c r="AL795" s="109"/>
      <c r="AM795" s="109"/>
      <c r="AN795" s="109"/>
      <c r="AO795" s="109"/>
      <c r="AP795" s="109"/>
      <c r="AQ795" s="109"/>
      <c r="AR795" s="109"/>
      <c r="AS795" s="109"/>
      <c r="AT795" s="109"/>
      <c r="AU795" s="109"/>
      <c r="AV795" s="109"/>
      <c r="AW795" s="109"/>
      <c r="AX795" s="109"/>
      <c r="AY795" s="34" t="s">
        <v>225</v>
      </c>
      <c r="AZ795" s="34"/>
      <c r="BA795" s="63"/>
      <c r="BB795" s="64"/>
      <c r="BI795" s="42"/>
    </row>
    <row r="796" spans="1:61" s="24" customFormat="1" ht="23.1" hidden="1" customHeight="1">
      <c r="A796" s="32"/>
      <c r="B796" s="158"/>
      <c r="C796" s="93" t="s">
        <v>138</v>
      </c>
      <c r="D796" s="35">
        <f>F796+E796</f>
        <v>8.9999999999999969E-2</v>
      </c>
      <c r="E796" s="35"/>
      <c r="F796" s="35">
        <f>SUM(G796:AX796)</f>
        <v>8.9999999999999969E-2</v>
      </c>
      <c r="G796" s="147">
        <f>G793-G794-G795</f>
        <v>0</v>
      </c>
      <c r="H796" s="147">
        <f t="shared" ref="H796:AX796" si="120">H793-H794-H795</f>
        <v>8.9999999999999969E-2</v>
      </c>
      <c r="I796" s="147">
        <f t="shared" si="120"/>
        <v>0</v>
      </c>
      <c r="J796" s="147">
        <f t="shared" si="120"/>
        <v>0</v>
      </c>
      <c r="K796" s="147">
        <f t="shared" si="120"/>
        <v>0</v>
      </c>
      <c r="L796" s="147">
        <f t="shared" si="120"/>
        <v>0</v>
      </c>
      <c r="M796" s="147">
        <f t="shared" si="120"/>
        <v>0</v>
      </c>
      <c r="N796" s="147">
        <f t="shared" si="120"/>
        <v>0</v>
      </c>
      <c r="O796" s="147">
        <f t="shared" si="120"/>
        <v>0</v>
      </c>
      <c r="P796" s="147">
        <f t="shared" si="120"/>
        <v>0</v>
      </c>
      <c r="Q796" s="147">
        <f t="shared" si="120"/>
        <v>0</v>
      </c>
      <c r="R796" s="147">
        <f t="shared" si="120"/>
        <v>0</v>
      </c>
      <c r="S796" s="147">
        <f t="shared" si="120"/>
        <v>0</v>
      </c>
      <c r="T796" s="147">
        <f t="shared" si="120"/>
        <v>0</v>
      </c>
      <c r="U796" s="147">
        <f t="shared" si="120"/>
        <v>0</v>
      </c>
      <c r="V796" s="147">
        <f t="shared" si="120"/>
        <v>0</v>
      </c>
      <c r="W796" s="147">
        <f t="shared" si="120"/>
        <v>0</v>
      </c>
      <c r="X796" s="147">
        <f t="shared" si="120"/>
        <v>0</v>
      </c>
      <c r="Y796" s="147">
        <f t="shared" si="120"/>
        <v>0</v>
      </c>
      <c r="Z796" s="147">
        <f t="shared" si="120"/>
        <v>0</v>
      </c>
      <c r="AA796" s="147">
        <f t="shared" si="120"/>
        <v>0</v>
      </c>
      <c r="AB796" s="147">
        <f t="shared" si="120"/>
        <v>0</v>
      </c>
      <c r="AC796" s="147">
        <f t="shared" si="120"/>
        <v>0</v>
      </c>
      <c r="AD796" s="147">
        <f t="shared" si="120"/>
        <v>0</v>
      </c>
      <c r="AE796" s="147">
        <f t="shared" si="120"/>
        <v>0</v>
      </c>
      <c r="AF796" s="147">
        <f t="shared" si="120"/>
        <v>0</v>
      </c>
      <c r="AG796" s="147">
        <f t="shared" si="120"/>
        <v>0</v>
      </c>
      <c r="AH796" s="147">
        <f t="shared" si="120"/>
        <v>0</v>
      </c>
      <c r="AI796" s="147">
        <f t="shared" si="120"/>
        <v>0</v>
      </c>
      <c r="AJ796" s="147">
        <f t="shared" si="120"/>
        <v>0</v>
      </c>
      <c r="AK796" s="147">
        <f t="shared" si="120"/>
        <v>0</v>
      </c>
      <c r="AL796" s="147">
        <f t="shared" si="120"/>
        <v>0</v>
      </c>
      <c r="AM796" s="147">
        <f t="shared" si="120"/>
        <v>0</v>
      </c>
      <c r="AN796" s="147">
        <f t="shared" si="120"/>
        <v>0</v>
      </c>
      <c r="AO796" s="147">
        <f t="shared" si="120"/>
        <v>0</v>
      </c>
      <c r="AP796" s="147">
        <f t="shared" si="120"/>
        <v>0</v>
      </c>
      <c r="AQ796" s="147">
        <f t="shared" si="120"/>
        <v>0</v>
      </c>
      <c r="AR796" s="147">
        <f t="shared" si="120"/>
        <v>0</v>
      </c>
      <c r="AS796" s="147">
        <f t="shared" si="120"/>
        <v>0</v>
      </c>
      <c r="AT796" s="147">
        <f t="shared" si="120"/>
        <v>0</v>
      </c>
      <c r="AU796" s="147">
        <f t="shared" si="120"/>
        <v>0</v>
      </c>
      <c r="AV796" s="147">
        <f t="shared" si="120"/>
        <v>0</v>
      </c>
      <c r="AW796" s="147">
        <f t="shared" si="120"/>
        <v>0</v>
      </c>
      <c r="AX796" s="147">
        <f t="shared" si="120"/>
        <v>0</v>
      </c>
      <c r="AY796" s="34" t="s">
        <v>225</v>
      </c>
      <c r="AZ796" s="34"/>
      <c r="BA796" s="63"/>
      <c r="BB796" s="64"/>
      <c r="BI796" s="42"/>
    </row>
    <row r="797" spans="1:61" s="24" customFormat="1" ht="23.1" customHeight="1">
      <c r="A797" s="32">
        <f>A793+1</f>
        <v>623</v>
      </c>
      <c r="B797" s="158" t="s">
        <v>186</v>
      </c>
      <c r="C797" s="78" t="s">
        <v>1260</v>
      </c>
      <c r="D797" s="35">
        <f t="shared" si="107"/>
        <v>0.54</v>
      </c>
      <c r="E797" s="35"/>
      <c r="F797" s="35">
        <f t="shared" si="108"/>
        <v>0.54</v>
      </c>
      <c r="G797" s="109">
        <v>0.32</v>
      </c>
      <c r="H797" s="109"/>
      <c r="I797" s="109"/>
      <c r="J797" s="109"/>
      <c r="K797" s="109"/>
      <c r="L797" s="109"/>
      <c r="M797" s="109">
        <v>0.22</v>
      </c>
      <c r="N797" s="109"/>
      <c r="O797" s="109"/>
      <c r="P797" s="109"/>
      <c r="Q797" s="109"/>
      <c r="R797" s="109"/>
      <c r="S797" s="109"/>
      <c r="T797" s="109"/>
      <c r="U797" s="109"/>
      <c r="V797" s="109"/>
      <c r="W797" s="109"/>
      <c r="X797" s="109"/>
      <c r="Y797" s="109"/>
      <c r="Z797" s="109"/>
      <c r="AA797" s="109"/>
      <c r="AB797" s="109"/>
      <c r="AC797" s="109"/>
      <c r="AD797" s="109"/>
      <c r="AE797" s="109"/>
      <c r="AF797" s="109"/>
      <c r="AG797" s="109"/>
      <c r="AH797" s="109"/>
      <c r="AI797" s="109"/>
      <c r="AJ797" s="109"/>
      <c r="AK797" s="109"/>
      <c r="AL797" s="109"/>
      <c r="AM797" s="109"/>
      <c r="AN797" s="109"/>
      <c r="AO797" s="109"/>
      <c r="AP797" s="109"/>
      <c r="AQ797" s="109"/>
      <c r="AR797" s="109"/>
      <c r="AS797" s="109"/>
      <c r="AT797" s="109"/>
      <c r="AU797" s="109"/>
      <c r="AV797" s="109"/>
      <c r="AW797" s="109"/>
      <c r="AX797" s="109"/>
      <c r="AY797" s="34" t="s">
        <v>225</v>
      </c>
      <c r="AZ797" s="34" t="s">
        <v>754</v>
      </c>
      <c r="BA797" s="63" t="s">
        <v>291</v>
      </c>
      <c r="BB797" s="64"/>
      <c r="BI797" s="42">
        <v>1</v>
      </c>
    </row>
    <row r="798" spans="1:61" s="24" customFormat="1" ht="23.1" hidden="1" customHeight="1">
      <c r="A798" s="32"/>
      <c r="B798" s="158"/>
      <c r="C798" s="93" t="s">
        <v>59</v>
      </c>
      <c r="D798" s="35">
        <f t="shared" si="107"/>
        <v>0.22</v>
      </c>
      <c r="E798" s="35"/>
      <c r="F798" s="35">
        <f t="shared" si="108"/>
        <v>0.22</v>
      </c>
      <c r="G798" s="109">
        <v>0.22</v>
      </c>
      <c r="H798" s="109"/>
      <c r="I798" s="109"/>
      <c r="J798" s="109"/>
      <c r="K798" s="109"/>
      <c r="L798" s="109"/>
      <c r="M798" s="109"/>
      <c r="N798" s="109"/>
      <c r="O798" s="109"/>
      <c r="P798" s="109"/>
      <c r="Q798" s="109"/>
      <c r="R798" s="109"/>
      <c r="S798" s="109"/>
      <c r="T798" s="109"/>
      <c r="U798" s="109"/>
      <c r="V798" s="109"/>
      <c r="W798" s="109"/>
      <c r="X798" s="109"/>
      <c r="Y798" s="109"/>
      <c r="Z798" s="109"/>
      <c r="AA798" s="109"/>
      <c r="AB798" s="109"/>
      <c r="AC798" s="109"/>
      <c r="AD798" s="109"/>
      <c r="AE798" s="109"/>
      <c r="AF798" s="109"/>
      <c r="AG798" s="109"/>
      <c r="AH798" s="109"/>
      <c r="AI798" s="109"/>
      <c r="AJ798" s="109"/>
      <c r="AK798" s="109"/>
      <c r="AL798" s="109"/>
      <c r="AM798" s="109"/>
      <c r="AN798" s="109"/>
      <c r="AO798" s="109"/>
      <c r="AP798" s="109"/>
      <c r="AQ798" s="109"/>
      <c r="AR798" s="109"/>
      <c r="AS798" s="109"/>
      <c r="AT798" s="109"/>
      <c r="AU798" s="109"/>
      <c r="AV798" s="109"/>
      <c r="AW798" s="109"/>
      <c r="AX798" s="109"/>
      <c r="AY798" s="34" t="s">
        <v>225</v>
      </c>
      <c r="AZ798" s="34"/>
      <c r="BA798" s="63"/>
      <c r="BB798" s="64"/>
      <c r="BI798" s="42"/>
    </row>
    <row r="799" spans="1:61" s="24" customFormat="1" ht="23.1" hidden="1" customHeight="1">
      <c r="A799" s="32"/>
      <c r="B799" s="158"/>
      <c r="C799" s="93" t="s">
        <v>44</v>
      </c>
      <c r="D799" s="35">
        <f t="shared" si="107"/>
        <v>0.19</v>
      </c>
      <c r="E799" s="35"/>
      <c r="F799" s="35">
        <f t="shared" si="108"/>
        <v>0.19</v>
      </c>
      <c r="G799" s="109">
        <v>0.05</v>
      </c>
      <c r="H799" s="109"/>
      <c r="I799" s="109"/>
      <c r="J799" s="109"/>
      <c r="K799" s="109"/>
      <c r="L799" s="109"/>
      <c r="M799" s="109">
        <v>0.14000000000000001</v>
      </c>
      <c r="N799" s="109"/>
      <c r="O799" s="109"/>
      <c r="P799" s="109"/>
      <c r="Q799" s="109"/>
      <c r="R799" s="109"/>
      <c r="S799" s="109"/>
      <c r="T799" s="109"/>
      <c r="U799" s="109"/>
      <c r="V799" s="109"/>
      <c r="W799" s="109"/>
      <c r="X799" s="109"/>
      <c r="Y799" s="109"/>
      <c r="Z799" s="109"/>
      <c r="AA799" s="109"/>
      <c r="AB799" s="109"/>
      <c r="AC799" s="109"/>
      <c r="AD799" s="109"/>
      <c r="AE799" s="109"/>
      <c r="AF799" s="109"/>
      <c r="AG799" s="109"/>
      <c r="AH799" s="109"/>
      <c r="AI799" s="109"/>
      <c r="AJ799" s="109"/>
      <c r="AK799" s="109"/>
      <c r="AL799" s="109"/>
      <c r="AM799" s="109"/>
      <c r="AN799" s="109"/>
      <c r="AO799" s="109"/>
      <c r="AP799" s="109"/>
      <c r="AQ799" s="109"/>
      <c r="AR799" s="109"/>
      <c r="AS799" s="109"/>
      <c r="AT799" s="109"/>
      <c r="AU799" s="109"/>
      <c r="AV799" s="109"/>
      <c r="AW799" s="109"/>
      <c r="AX799" s="109"/>
      <c r="AY799" s="34" t="s">
        <v>225</v>
      </c>
      <c r="AZ799" s="34"/>
      <c r="BA799" s="63"/>
      <c r="BB799" s="64"/>
      <c r="BI799" s="42"/>
    </row>
    <row r="800" spans="1:61" s="24" customFormat="1" ht="23.1" hidden="1" customHeight="1">
      <c r="A800" s="32"/>
      <c r="B800" s="158"/>
      <c r="C800" s="93" t="s">
        <v>138</v>
      </c>
      <c r="D800" s="35">
        <f t="shared" si="107"/>
        <v>0.13</v>
      </c>
      <c r="E800" s="35"/>
      <c r="F800" s="35">
        <f t="shared" si="108"/>
        <v>0.13</v>
      </c>
      <c r="G800" s="147">
        <f>G797-G798-G799</f>
        <v>0.05</v>
      </c>
      <c r="H800" s="147">
        <f t="shared" ref="H800:AX800" si="121">H797-H798-H799</f>
        <v>0</v>
      </c>
      <c r="I800" s="147">
        <f t="shared" si="121"/>
        <v>0</v>
      </c>
      <c r="J800" s="147">
        <f t="shared" si="121"/>
        <v>0</v>
      </c>
      <c r="K800" s="147">
        <f t="shared" si="121"/>
        <v>0</v>
      </c>
      <c r="L800" s="147">
        <f t="shared" si="121"/>
        <v>0</v>
      </c>
      <c r="M800" s="147">
        <f t="shared" si="121"/>
        <v>7.9999999999999988E-2</v>
      </c>
      <c r="N800" s="147">
        <f t="shared" si="121"/>
        <v>0</v>
      </c>
      <c r="O800" s="147">
        <f t="shared" si="121"/>
        <v>0</v>
      </c>
      <c r="P800" s="147">
        <f t="shared" si="121"/>
        <v>0</v>
      </c>
      <c r="Q800" s="147">
        <f t="shared" si="121"/>
        <v>0</v>
      </c>
      <c r="R800" s="147">
        <f t="shared" si="121"/>
        <v>0</v>
      </c>
      <c r="S800" s="147">
        <f t="shared" si="121"/>
        <v>0</v>
      </c>
      <c r="T800" s="147">
        <f t="shared" si="121"/>
        <v>0</v>
      </c>
      <c r="U800" s="147">
        <f t="shared" si="121"/>
        <v>0</v>
      </c>
      <c r="V800" s="147">
        <f t="shared" si="121"/>
        <v>0</v>
      </c>
      <c r="W800" s="147">
        <f t="shared" si="121"/>
        <v>0</v>
      </c>
      <c r="X800" s="147">
        <f t="shared" si="121"/>
        <v>0</v>
      </c>
      <c r="Y800" s="147">
        <f t="shared" si="121"/>
        <v>0</v>
      </c>
      <c r="Z800" s="147">
        <f t="shared" si="121"/>
        <v>0</v>
      </c>
      <c r="AA800" s="147">
        <f t="shared" si="121"/>
        <v>0</v>
      </c>
      <c r="AB800" s="147">
        <f t="shared" si="121"/>
        <v>0</v>
      </c>
      <c r="AC800" s="147">
        <f t="shared" si="121"/>
        <v>0</v>
      </c>
      <c r="AD800" s="147">
        <f t="shared" si="121"/>
        <v>0</v>
      </c>
      <c r="AE800" s="147">
        <f t="shared" si="121"/>
        <v>0</v>
      </c>
      <c r="AF800" s="147">
        <f t="shared" si="121"/>
        <v>0</v>
      </c>
      <c r="AG800" s="147">
        <f t="shared" si="121"/>
        <v>0</v>
      </c>
      <c r="AH800" s="147">
        <f t="shared" si="121"/>
        <v>0</v>
      </c>
      <c r="AI800" s="147">
        <f t="shared" si="121"/>
        <v>0</v>
      </c>
      <c r="AJ800" s="147">
        <f t="shared" si="121"/>
        <v>0</v>
      </c>
      <c r="AK800" s="147">
        <f t="shared" si="121"/>
        <v>0</v>
      </c>
      <c r="AL800" s="147">
        <f t="shared" si="121"/>
        <v>0</v>
      </c>
      <c r="AM800" s="147">
        <f t="shared" si="121"/>
        <v>0</v>
      </c>
      <c r="AN800" s="147">
        <f t="shared" si="121"/>
        <v>0</v>
      </c>
      <c r="AO800" s="147">
        <f t="shared" si="121"/>
        <v>0</v>
      </c>
      <c r="AP800" s="147">
        <f t="shared" si="121"/>
        <v>0</v>
      </c>
      <c r="AQ800" s="147">
        <f t="shared" si="121"/>
        <v>0</v>
      </c>
      <c r="AR800" s="147">
        <f t="shared" si="121"/>
        <v>0</v>
      </c>
      <c r="AS800" s="147">
        <f t="shared" si="121"/>
        <v>0</v>
      </c>
      <c r="AT800" s="147">
        <f t="shared" si="121"/>
        <v>0</v>
      </c>
      <c r="AU800" s="147">
        <f t="shared" si="121"/>
        <v>0</v>
      </c>
      <c r="AV800" s="147">
        <f t="shared" si="121"/>
        <v>0</v>
      </c>
      <c r="AW800" s="147">
        <f t="shared" si="121"/>
        <v>0</v>
      </c>
      <c r="AX800" s="147">
        <f t="shared" si="121"/>
        <v>0</v>
      </c>
      <c r="AY800" s="34" t="s">
        <v>225</v>
      </c>
      <c r="AZ800" s="34"/>
      <c r="BA800" s="63"/>
      <c r="BB800" s="64"/>
      <c r="BI800" s="42"/>
    </row>
    <row r="801" spans="1:61" s="24" customFormat="1" ht="35.85" customHeight="1">
      <c r="A801" s="32">
        <f>A797+1</f>
        <v>624</v>
      </c>
      <c r="B801" s="158" t="s">
        <v>186</v>
      </c>
      <c r="C801" s="78" t="s">
        <v>1260</v>
      </c>
      <c r="D801" s="35">
        <f t="shared" si="107"/>
        <v>0.7</v>
      </c>
      <c r="E801" s="35"/>
      <c r="F801" s="35">
        <f t="shared" si="108"/>
        <v>0.7</v>
      </c>
      <c r="G801" s="109"/>
      <c r="H801" s="109">
        <v>0.7</v>
      </c>
      <c r="I801" s="109"/>
      <c r="J801" s="109"/>
      <c r="K801" s="109"/>
      <c r="L801" s="109"/>
      <c r="M801" s="109"/>
      <c r="N801" s="109"/>
      <c r="O801" s="109"/>
      <c r="P801" s="109"/>
      <c r="Q801" s="109"/>
      <c r="R801" s="109"/>
      <c r="S801" s="109"/>
      <c r="T801" s="109"/>
      <c r="U801" s="109"/>
      <c r="V801" s="109"/>
      <c r="W801" s="109"/>
      <c r="X801" s="109"/>
      <c r="Y801" s="109"/>
      <c r="Z801" s="109"/>
      <c r="AA801" s="109"/>
      <c r="AB801" s="109"/>
      <c r="AC801" s="109"/>
      <c r="AD801" s="109"/>
      <c r="AE801" s="109"/>
      <c r="AF801" s="109"/>
      <c r="AG801" s="109"/>
      <c r="AH801" s="109"/>
      <c r="AI801" s="109"/>
      <c r="AJ801" s="109"/>
      <c r="AK801" s="109"/>
      <c r="AL801" s="109"/>
      <c r="AM801" s="109"/>
      <c r="AN801" s="109"/>
      <c r="AO801" s="109"/>
      <c r="AP801" s="109"/>
      <c r="AQ801" s="109"/>
      <c r="AR801" s="109"/>
      <c r="AS801" s="109"/>
      <c r="AT801" s="109"/>
      <c r="AU801" s="109"/>
      <c r="AV801" s="109"/>
      <c r="AW801" s="109"/>
      <c r="AX801" s="109"/>
      <c r="AY801" s="34" t="s">
        <v>225</v>
      </c>
      <c r="AZ801" s="34" t="s">
        <v>1352</v>
      </c>
      <c r="BA801" s="63" t="s">
        <v>291</v>
      </c>
      <c r="BB801" s="64"/>
      <c r="BI801" s="42">
        <v>1</v>
      </c>
    </row>
    <row r="802" spans="1:61" s="24" customFormat="1" ht="22.35" hidden="1" customHeight="1">
      <c r="A802" s="32"/>
      <c r="B802" s="158"/>
      <c r="C802" s="93" t="s">
        <v>59</v>
      </c>
      <c r="D802" s="35">
        <f t="shared" si="107"/>
        <v>0.25</v>
      </c>
      <c r="E802" s="35"/>
      <c r="F802" s="35">
        <f t="shared" si="108"/>
        <v>0.25</v>
      </c>
      <c r="G802" s="109"/>
      <c r="H802" s="109">
        <v>0.25</v>
      </c>
      <c r="I802" s="109"/>
      <c r="J802" s="109"/>
      <c r="K802" s="109"/>
      <c r="L802" s="109"/>
      <c r="M802" s="109"/>
      <c r="N802" s="109"/>
      <c r="O802" s="109"/>
      <c r="P802" s="109"/>
      <c r="Q802" s="109"/>
      <c r="R802" s="109"/>
      <c r="S802" s="109"/>
      <c r="T802" s="109"/>
      <c r="U802" s="109"/>
      <c r="V802" s="109"/>
      <c r="W802" s="109"/>
      <c r="X802" s="109"/>
      <c r="Y802" s="109"/>
      <c r="Z802" s="109"/>
      <c r="AA802" s="109"/>
      <c r="AB802" s="109"/>
      <c r="AC802" s="109"/>
      <c r="AD802" s="109"/>
      <c r="AE802" s="109"/>
      <c r="AF802" s="109"/>
      <c r="AG802" s="109"/>
      <c r="AH802" s="109"/>
      <c r="AI802" s="109"/>
      <c r="AJ802" s="109"/>
      <c r="AK802" s="109"/>
      <c r="AL802" s="109"/>
      <c r="AM802" s="109"/>
      <c r="AN802" s="109"/>
      <c r="AO802" s="109"/>
      <c r="AP802" s="109"/>
      <c r="AQ802" s="109"/>
      <c r="AR802" s="109"/>
      <c r="AS802" s="109"/>
      <c r="AT802" s="109"/>
      <c r="AU802" s="109"/>
      <c r="AV802" s="109"/>
      <c r="AW802" s="109"/>
      <c r="AX802" s="109"/>
      <c r="AY802" s="34" t="s">
        <v>225</v>
      </c>
      <c r="AZ802" s="34"/>
      <c r="BA802" s="63"/>
      <c r="BB802" s="64"/>
      <c r="BI802" s="42"/>
    </row>
    <row r="803" spans="1:61" s="24" customFormat="1" ht="22.35" hidden="1" customHeight="1">
      <c r="A803" s="32"/>
      <c r="B803" s="158"/>
      <c r="C803" s="93" t="s">
        <v>44</v>
      </c>
      <c r="D803" s="35">
        <f t="shared" si="107"/>
        <v>0.28000000000000003</v>
      </c>
      <c r="E803" s="35"/>
      <c r="F803" s="35">
        <f t="shared" si="108"/>
        <v>0.28000000000000003</v>
      </c>
      <c r="G803" s="109"/>
      <c r="H803" s="109">
        <v>0.28000000000000003</v>
      </c>
      <c r="I803" s="109"/>
      <c r="J803" s="109"/>
      <c r="K803" s="109"/>
      <c r="L803" s="109"/>
      <c r="M803" s="109"/>
      <c r="N803" s="109"/>
      <c r="O803" s="109"/>
      <c r="P803" s="109"/>
      <c r="Q803" s="109"/>
      <c r="R803" s="109"/>
      <c r="S803" s="109"/>
      <c r="T803" s="109"/>
      <c r="U803" s="109"/>
      <c r="V803" s="109"/>
      <c r="W803" s="109"/>
      <c r="X803" s="109"/>
      <c r="Y803" s="109"/>
      <c r="Z803" s="109"/>
      <c r="AA803" s="109"/>
      <c r="AB803" s="109"/>
      <c r="AC803" s="109"/>
      <c r="AD803" s="109"/>
      <c r="AE803" s="109"/>
      <c r="AF803" s="109"/>
      <c r="AG803" s="109"/>
      <c r="AH803" s="109"/>
      <c r="AI803" s="109"/>
      <c r="AJ803" s="109"/>
      <c r="AK803" s="109"/>
      <c r="AL803" s="109"/>
      <c r="AM803" s="109"/>
      <c r="AN803" s="109"/>
      <c r="AO803" s="109"/>
      <c r="AP803" s="109"/>
      <c r="AQ803" s="109"/>
      <c r="AR803" s="109"/>
      <c r="AS803" s="109"/>
      <c r="AT803" s="109"/>
      <c r="AU803" s="109"/>
      <c r="AV803" s="109"/>
      <c r="AW803" s="109"/>
      <c r="AX803" s="109"/>
      <c r="AY803" s="34" t="s">
        <v>225</v>
      </c>
      <c r="AZ803" s="34"/>
      <c r="BA803" s="63"/>
      <c r="BB803" s="64"/>
      <c r="BI803" s="42"/>
    </row>
    <row r="804" spans="1:61" s="24" customFormat="1" ht="22.35" hidden="1" customHeight="1">
      <c r="A804" s="32"/>
      <c r="B804" s="158"/>
      <c r="C804" s="93" t="s">
        <v>138</v>
      </c>
      <c r="D804" s="35">
        <f t="shared" si="107"/>
        <v>0.16999999999999993</v>
      </c>
      <c r="E804" s="35"/>
      <c r="F804" s="35">
        <f t="shared" si="108"/>
        <v>0.16999999999999993</v>
      </c>
      <c r="G804" s="147">
        <f>G801-G802-G803</f>
        <v>0</v>
      </c>
      <c r="H804" s="147">
        <f t="shared" ref="H804:AX804" si="122">H801-H802-H803</f>
        <v>0.16999999999999993</v>
      </c>
      <c r="I804" s="147">
        <f t="shared" si="122"/>
        <v>0</v>
      </c>
      <c r="J804" s="147">
        <f t="shared" si="122"/>
        <v>0</v>
      </c>
      <c r="K804" s="147">
        <f t="shared" si="122"/>
        <v>0</v>
      </c>
      <c r="L804" s="147">
        <f t="shared" si="122"/>
        <v>0</v>
      </c>
      <c r="M804" s="147">
        <f t="shared" si="122"/>
        <v>0</v>
      </c>
      <c r="N804" s="147">
        <f t="shared" si="122"/>
        <v>0</v>
      </c>
      <c r="O804" s="147">
        <f t="shared" si="122"/>
        <v>0</v>
      </c>
      <c r="P804" s="147">
        <f t="shared" si="122"/>
        <v>0</v>
      </c>
      <c r="Q804" s="147">
        <f t="shared" si="122"/>
        <v>0</v>
      </c>
      <c r="R804" s="147">
        <f t="shared" si="122"/>
        <v>0</v>
      </c>
      <c r="S804" s="147">
        <f t="shared" si="122"/>
        <v>0</v>
      </c>
      <c r="T804" s="147">
        <f t="shared" si="122"/>
        <v>0</v>
      </c>
      <c r="U804" s="147">
        <f t="shared" si="122"/>
        <v>0</v>
      </c>
      <c r="V804" s="147">
        <f t="shared" si="122"/>
        <v>0</v>
      </c>
      <c r="W804" s="147">
        <f t="shared" si="122"/>
        <v>0</v>
      </c>
      <c r="X804" s="147">
        <f t="shared" si="122"/>
        <v>0</v>
      </c>
      <c r="Y804" s="147">
        <f t="shared" si="122"/>
        <v>0</v>
      </c>
      <c r="Z804" s="147">
        <f t="shared" si="122"/>
        <v>0</v>
      </c>
      <c r="AA804" s="147">
        <f t="shared" si="122"/>
        <v>0</v>
      </c>
      <c r="AB804" s="147">
        <f t="shared" si="122"/>
        <v>0</v>
      </c>
      <c r="AC804" s="147">
        <f t="shared" si="122"/>
        <v>0</v>
      </c>
      <c r="AD804" s="147">
        <f t="shared" si="122"/>
        <v>0</v>
      </c>
      <c r="AE804" s="147">
        <f t="shared" si="122"/>
        <v>0</v>
      </c>
      <c r="AF804" s="147">
        <f t="shared" si="122"/>
        <v>0</v>
      </c>
      <c r="AG804" s="147">
        <f t="shared" si="122"/>
        <v>0</v>
      </c>
      <c r="AH804" s="147">
        <f t="shared" si="122"/>
        <v>0</v>
      </c>
      <c r="AI804" s="147">
        <f t="shared" si="122"/>
        <v>0</v>
      </c>
      <c r="AJ804" s="147">
        <f t="shared" si="122"/>
        <v>0</v>
      </c>
      <c r="AK804" s="147">
        <f t="shared" si="122"/>
        <v>0</v>
      </c>
      <c r="AL804" s="147">
        <f t="shared" si="122"/>
        <v>0</v>
      </c>
      <c r="AM804" s="147">
        <f t="shared" si="122"/>
        <v>0</v>
      </c>
      <c r="AN804" s="147">
        <f t="shared" si="122"/>
        <v>0</v>
      </c>
      <c r="AO804" s="147">
        <f t="shared" si="122"/>
        <v>0</v>
      </c>
      <c r="AP804" s="147">
        <f t="shared" si="122"/>
        <v>0</v>
      </c>
      <c r="AQ804" s="147">
        <f t="shared" si="122"/>
        <v>0</v>
      </c>
      <c r="AR804" s="147">
        <f t="shared" si="122"/>
        <v>0</v>
      </c>
      <c r="AS804" s="147">
        <f t="shared" si="122"/>
        <v>0</v>
      </c>
      <c r="AT804" s="147">
        <f t="shared" si="122"/>
        <v>0</v>
      </c>
      <c r="AU804" s="147">
        <f t="shared" si="122"/>
        <v>0</v>
      </c>
      <c r="AV804" s="147">
        <f t="shared" si="122"/>
        <v>0</v>
      </c>
      <c r="AW804" s="147">
        <f t="shared" si="122"/>
        <v>0</v>
      </c>
      <c r="AX804" s="147">
        <f t="shared" si="122"/>
        <v>0</v>
      </c>
      <c r="AY804" s="34" t="s">
        <v>225</v>
      </c>
      <c r="AZ804" s="34"/>
      <c r="BA804" s="63"/>
      <c r="BB804" s="64"/>
      <c r="BI804" s="42"/>
    </row>
    <row r="805" spans="1:61" s="24" customFormat="1" ht="31.5">
      <c r="A805" s="32">
        <f>A801+1</f>
        <v>625</v>
      </c>
      <c r="B805" s="158" t="s">
        <v>186</v>
      </c>
      <c r="C805" s="78" t="s">
        <v>1260</v>
      </c>
      <c r="D805" s="35">
        <f t="shared" si="107"/>
        <v>0.5</v>
      </c>
      <c r="E805" s="35"/>
      <c r="F805" s="35">
        <f t="shared" si="108"/>
        <v>0.5</v>
      </c>
      <c r="G805" s="109"/>
      <c r="H805" s="109"/>
      <c r="I805" s="109">
        <v>0.16</v>
      </c>
      <c r="J805" s="109"/>
      <c r="K805" s="109"/>
      <c r="L805" s="109"/>
      <c r="M805" s="109"/>
      <c r="N805" s="109"/>
      <c r="O805" s="109"/>
      <c r="P805" s="109">
        <v>0.34</v>
      </c>
      <c r="Q805" s="109"/>
      <c r="R805" s="109"/>
      <c r="S805" s="109"/>
      <c r="T805" s="109"/>
      <c r="U805" s="109"/>
      <c r="V805" s="109"/>
      <c r="W805" s="109"/>
      <c r="X805" s="109"/>
      <c r="Y805" s="109"/>
      <c r="Z805" s="109"/>
      <c r="AA805" s="109"/>
      <c r="AB805" s="109"/>
      <c r="AC805" s="109"/>
      <c r="AD805" s="109"/>
      <c r="AE805" s="109"/>
      <c r="AF805" s="109"/>
      <c r="AG805" s="109"/>
      <c r="AH805" s="109"/>
      <c r="AI805" s="109"/>
      <c r="AJ805" s="109"/>
      <c r="AK805" s="109"/>
      <c r="AL805" s="109"/>
      <c r="AM805" s="109"/>
      <c r="AN805" s="109"/>
      <c r="AO805" s="109"/>
      <c r="AP805" s="109"/>
      <c r="AQ805" s="109"/>
      <c r="AR805" s="109"/>
      <c r="AS805" s="109"/>
      <c r="AT805" s="109"/>
      <c r="AU805" s="109"/>
      <c r="AV805" s="109"/>
      <c r="AW805" s="109"/>
      <c r="AX805" s="109"/>
      <c r="AY805" s="34" t="s">
        <v>225</v>
      </c>
      <c r="AZ805" s="34" t="s">
        <v>1353</v>
      </c>
      <c r="BA805" s="63" t="s">
        <v>291</v>
      </c>
      <c r="BB805" s="64"/>
      <c r="BI805" s="42">
        <v>1</v>
      </c>
    </row>
    <row r="806" spans="1:61" s="24" customFormat="1" hidden="1">
      <c r="A806" s="32"/>
      <c r="B806" s="158"/>
      <c r="C806" s="93" t="s">
        <v>59</v>
      </c>
      <c r="D806" s="35">
        <f t="shared" ref="D806:D819" si="123">F806+E806</f>
        <v>0.2</v>
      </c>
      <c r="E806" s="35"/>
      <c r="F806" s="35">
        <f t="shared" ref="F806:F819" si="124">SUM(G806:AX806)</f>
        <v>0.2</v>
      </c>
      <c r="G806" s="109"/>
      <c r="H806" s="109"/>
      <c r="I806" s="109">
        <v>0.05</v>
      </c>
      <c r="J806" s="109"/>
      <c r="K806" s="109"/>
      <c r="L806" s="109"/>
      <c r="M806" s="109"/>
      <c r="N806" s="109"/>
      <c r="O806" s="109"/>
      <c r="P806" s="109">
        <v>0.15</v>
      </c>
      <c r="Q806" s="109"/>
      <c r="R806" s="109"/>
      <c r="S806" s="109"/>
      <c r="T806" s="109"/>
      <c r="U806" s="109"/>
      <c r="V806" s="109"/>
      <c r="W806" s="109"/>
      <c r="X806" s="109"/>
      <c r="Y806" s="109"/>
      <c r="Z806" s="109"/>
      <c r="AA806" s="109"/>
      <c r="AB806" s="109"/>
      <c r="AC806" s="109"/>
      <c r="AD806" s="109"/>
      <c r="AE806" s="109"/>
      <c r="AF806" s="109"/>
      <c r="AG806" s="109"/>
      <c r="AH806" s="109"/>
      <c r="AI806" s="109"/>
      <c r="AJ806" s="109"/>
      <c r="AK806" s="109"/>
      <c r="AL806" s="109"/>
      <c r="AM806" s="109"/>
      <c r="AN806" s="109"/>
      <c r="AO806" s="109"/>
      <c r="AP806" s="109"/>
      <c r="AQ806" s="109"/>
      <c r="AR806" s="109"/>
      <c r="AS806" s="109"/>
      <c r="AT806" s="109"/>
      <c r="AU806" s="109"/>
      <c r="AV806" s="109"/>
      <c r="AW806" s="109"/>
      <c r="AX806" s="109"/>
      <c r="AY806" s="34" t="s">
        <v>225</v>
      </c>
      <c r="AZ806" s="34"/>
      <c r="BA806" s="63"/>
      <c r="BB806" s="64"/>
      <c r="BI806" s="42"/>
    </row>
    <row r="807" spans="1:61" s="24" customFormat="1" hidden="1">
      <c r="A807" s="32"/>
      <c r="B807" s="158"/>
      <c r="C807" s="93" t="s">
        <v>44</v>
      </c>
      <c r="D807" s="35">
        <f t="shared" si="123"/>
        <v>0.2</v>
      </c>
      <c r="E807" s="35"/>
      <c r="F807" s="35">
        <f t="shared" si="124"/>
        <v>0.2</v>
      </c>
      <c r="G807" s="109"/>
      <c r="H807" s="109"/>
      <c r="I807" s="109">
        <v>0.1</v>
      </c>
      <c r="J807" s="109"/>
      <c r="K807" s="109"/>
      <c r="L807" s="109"/>
      <c r="M807" s="109"/>
      <c r="N807" s="109"/>
      <c r="O807" s="109"/>
      <c r="P807" s="109">
        <v>0.1</v>
      </c>
      <c r="Q807" s="109"/>
      <c r="R807" s="109"/>
      <c r="S807" s="109"/>
      <c r="T807" s="109"/>
      <c r="U807" s="109"/>
      <c r="V807" s="109"/>
      <c r="W807" s="109"/>
      <c r="X807" s="109"/>
      <c r="Y807" s="109"/>
      <c r="Z807" s="109"/>
      <c r="AA807" s="109"/>
      <c r="AB807" s="109"/>
      <c r="AC807" s="109"/>
      <c r="AD807" s="109"/>
      <c r="AE807" s="109"/>
      <c r="AF807" s="109"/>
      <c r="AG807" s="109"/>
      <c r="AH807" s="109"/>
      <c r="AI807" s="109"/>
      <c r="AJ807" s="109"/>
      <c r="AK807" s="109"/>
      <c r="AL807" s="109"/>
      <c r="AM807" s="109"/>
      <c r="AN807" s="109"/>
      <c r="AO807" s="109"/>
      <c r="AP807" s="109"/>
      <c r="AQ807" s="109"/>
      <c r="AR807" s="109"/>
      <c r="AS807" s="109"/>
      <c r="AT807" s="109"/>
      <c r="AU807" s="109"/>
      <c r="AV807" s="109"/>
      <c r="AW807" s="109"/>
      <c r="AX807" s="109"/>
      <c r="AY807" s="34" t="s">
        <v>225</v>
      </c>
      <c r="AZ807" s="34"/>
      <c r="BA807" s="63"/>
      <c r="BB807" s="64"/>
      <c r="BI807" s="42"/>
    </row>
    <row r="808" spans="1:61" s="24" customFormat="1" hidden="1">
      <c r="A808" s="32"/>
      <c r="B808" s="158"/>
      <c r="C808" s="93" t="s">
        <v>138</v>
      </c>
      <c r="D808" s="35">
        <f t="shared" si="123"/>
        <v>0.10000000000000002</v>
      </c>
      <c r="E808" s="35"/>
      <c r="F808" s="35">
        <f t="shared" si="124"/>
        <v>0.10000000000000002</v>
      </c>
      <c r="G808" s="147">
        <f t="shared" ref="G808:AW808" si="125">G805-G806-G807</f>
        <v>0</v>
      </c>
      <c r="H808" s="147">
        <f t="shared" si="125"/>
        <v>0</v>
      </c>
      <c r="I808" s="147">
        <f t="shared" si="125"/>
        <v>9.999999999999995E-3</v>
      </c>
      <c r="J808" s="147">
        <f t="shared" si="125"/>
        <v>0</v>
      </c>
      <c r="K808" s="147">
        <f t="shared" si="125"/>
        <v>0</v>
      </c>
      <c r="L808" s="147">
        <f t="shared" si="125"/>
        <v>0</v>
      </c>
      <c r="M808" s="147">
        <f t="shared" si="125"/>
        <v>0</v>
      </c>
      <c r="N808" s="147">
        <f t="shared" si="125"/>
        <v>0</v>
      </c>
      <c r="O808" s="147">
        <f t="shared" si="125"/>
        <v>0</v>
      </c>
      <c r="P808" s="147">
        <f t="shared" si="125"/>
        <v>9.0000000000000024E-2</v>
      </c>
      <c r="Q808" s="147">
        <f t="shared" si="125"/>
        <v>0</v>
      </c>
      <c r="R808" s="147">
        <f t="shared" si="125"/>
        <v>0</v>
      </c>
      <c r="S808" s="147">
        <f t="shared" si="125"/>
        <v>0</v>
      </c>
      <c r="T808" s="147">
        <f t="shared" si="125"/>
        <v>0</v>
      </c>
      <c r="U808" s="147">
        <f t="shared" si="125"/>
        <v>0</v>
      </c>
      <c r="V808" s="147">
        <f t="shared" si="125"/>
        <v>0</v>
      </c>
      <c r="W808" s="147">
        <f t="shared" si="125"/>
        <v>0</v>
      </c>
      <c r="X808" s="147">
        <f t="shared" si="125"/>
        <v>0</v>
      </c>
      <c r="Y808" s="147">
        <f t="shared" si="125"/>
        <v>0</v>
      </c>
      <c r="Z808" s="147">
        <f t="shared" si="125"/>
        <v>0</v>
      </c>
      <c r="AA808" s="147">
        <f t="shared" si="125"/>
        <v>0</v>
      </c>
      <c r="AB808" s="147">
        <f t="shared" si="125"/>
        <v>0</v>
      </c>
      <c r="AC808" s="147">
        <f t="shared" si="125"/>
        <v>0</v>
      </c>
      <c r="AD808" s="147">
        <f t="shared" si="125"/>
        <v>0</v>
      </c>
      <c r="AE808" s="147">
        <f t="shared" si="125"/>
        <v>0</v>
      </c>
      <c r="AF808" s="147">
        <f t="shared" si="125"/>
        <v>0</v>
      </c>
      <c r="AG808" s="147">
        <f t="shared" si="125"/>
        <v>0</v>
      </c>
      <c r="AH808" s="147">
        <f t="shared" si="125"/>
        <v>0</v>
      </c>
      <c r="AI808" s="147">
        <f t="shared" si="125"/>
        <v>0</v>
      </c>
      <c r="AJ808" s="147">
        <f t="shared" si="125"/>
        <v>0</v>
      </c>
      <c r="AK808" s="147">
        <f t="shared" si="125"/>
        <v>0</v>
      </c>
      <c r="AL808" s="147">
        <f t="shared" si="125"/>
        <v>0</v>
      </c>
      <c r="AM808" s="147">
        <f t="shared" si="125"/>
        <v>0</v>
      </c>
      <c r="AN808" s="147">
        <f t="shared" si="125"/>
        <v>0</v>
      </c>
      <c r="AO808" s="147">
        <f t="shared" si="125"/>
        <v>0</v>
      </c>
      <c r="AP808" s="147">
        <f t="shared" si="125"/>
        <v>0</v>
      </c>
      <c r="AQ808" s="147">
        <f t="shared" si="125"/>
        <v>0</v>
      </c>
      <c r="AR808" s="147">
        <f t="shared" si="125"/>
        <v>0</v>
      </c>
      <c r="AS808" s="147">
        <f t="shared" si="125"/>
        <v>0</v>
      </c>
      <c r="AT808" s="147">
        <f t="shared" si="125"/>
        <v>0</v>
      </c>
      <c r="AU808" s="147">
        <f t="shared" si="125"/>
        <v>0</v>
      </c>
      <c r="AV808" s="147">
        <f t="shared" si="125"/>
        <v>0</v>
      </c>
      <c r="AW808" s="147">
        <f t="shared" si="125"/>
        <v>0</v>
      </c>
      <c r="AX808" s="147">
        <f>AX805-AX806-AX807</f>
        <v>0</v>
      </c>
      <c r="AY808" s="34" t="s">
        <v>225</v>
      </c>
      <c r="AZ808" s="34"/>
      <c r="BA808" s="63"/>
      <c r="BB808" s="64"/>
      <c r="BI808" s="42"/>
    </row>
    <row r="809" spans="1:61" s="24" customFormat="1" ht="33.6" customHeight="1">
      <c r="A809" s="32">
        <f>A805+1</f>
        <v>626</v>
      </c>
      <c r="B809" s="158" t="s">
        <v>186</v>
      </c>
      <c r="C809" s="78" t="s">
        <v>59</v>
      </c>
      <c r="D809" s="35">
        <f t="shared" si="123"/>
        <v>0.22</v>
      </c>
      <c r="E809" s="35"/>
      <c r="F809" s="35">
        <f t="shared" si="124"/>
        <v>0.22</v>
      </c>
      <c r="G809" s="109"/>
      <c r="H809" s="109">
        <v>0.22</v>
      </c>
      <c r="I809" s="109"/>
      <c r="J809" s="109"/>
      <c r="K809" s="109"/>
      <c r="L809" s="109"/>
      <c r="M809" s="109"/>
      <c r="N809" s="109"/>
      <c r="O809" s="109"/>
      <c r="P809" s="109"/>
      <c r="Q809" s="109"/>
      <c r="R809" s="109"/>
      <c r="S809" s="109"/>
      <c r="T809" s="109"/>
      <c r="U809" s="109"/>
      <c r="V809" s="109"/>
      <c r="W809" s="109"/>
      <c r="X809" s="109"/>
      <c r="Y809" s="109"/>
      <c r="Z809" s="109"/>
      <c r="AA809" s="109"/>
      <c r="AB809" s="109"/>
      <c r="AC809" s="109"/>
      <c r="AD809" s="109"/>
      <c r="AE809" s="109"/>
      <c r="AF809" s="109"/>
      <c r="AG809" s="109"/>
      <c r="AH809" s="109"/>
      <c r="AI809" s="109"/>
      <c r="AJ809" s="109"/>
      <c r="AK809" s="109"/>
      <c r="AL809" s="109"/>
      <c r="AM809" s="109"/>
      <c r="AN809" s="109"/>
      <c r="AO809" s="109"/>
      <c r="AP809" s="109"/>
      <c r="AQ809" s="109"/>
      <c r="AR809" s="109"/>
      <c r="AS809" s="109"/>
      <c r="AT809" s="109"/>
      <c r="AU809" s="109"/>
      <c r="AV809" s="109"/>
      <c r="AW809" s="109"/>
      <c r="AX809" s="109"/>
      <c r="AY809" s="34" t="s">
        <v>225</v>
      </c>
      <c r="AZ809" s="34" t="s">
        <v>1354</v>
      </c>
      <c r="BA809" s="47" t="s">
        <v>298</v>
      </c>
      <c r="BB809" s="48"/>
      <c r="BI809" s="42">
        <v>1</v>
      </c>
    </row>
    <row r="810" spans="1:61" s="24" customFormat="1" ht="23.1" customHeight="1">
      <c r="A810" s="32">
        <f>A809+1</f>
        <v>627</v>
      </c>
      <c r="B810" s="158" t="s">
        <v>186</v>
      </c>
      <c r="C810" s="78" t="s">
        <v>1260</v>
      </c>
      <c r="D810" s="35">
        <f t="shared" si="123"/>
        <v>0.7</v>
      </c>
      <c r="E810" s="35"/>
      <c r="F810" s="35">
        <f t="shared" si="124"/>
        <v>0.7</v>
      </c>
      <c r="G810" s="109"/>
      <c r="H810" s="109">
        <v>0.7</v>
      </c>
      <c r="I810" s="109"/>
      <c r="J810" s="109"/>
      <c r="K810" s="109"/>
      <c r="L810" s="109"/>
      <c r="M810" s="109"/>
      <c r="N810" s="109"/>
      <c r="O810" s="109"/>
      <c r="P810" s="109"/>
      <c r="Q810" s="109"/>
      <c r="R810" s="109"/>
      <c r="S810" s="109"/>
      <c r="T810" s="109"/>
      <c r="U810" s="109"/>
      <c r="V810" s="109"/>
      <c r="W810" s="109"/>
      <c r="X810" s="109"/>
      <c r="Y810" s="109"/>
      <c r="Z810" s="109"/>
      <c r="AA810" s="109"/>
      <c r="AB810" s="109"/>
      <c r="AC810" s="109"/>
      <c r="AD810" s="109"/>
      <c r="AE810" s="109"/>
      <c r="AF810" s="109"/>
      <c r="AG810" s="109"/>
      <c r="AH810" s="109"/>
      <c r="AI810" s="109"/>
      <c r="AJ810" s="109"/>
      <c r="AK810" s="109"/>
      <c r="AL810" s="109"/>
      <c r="AM810" s="109"/>
      <c r="AN810" s="109"/>
      <c r="AO810" s="109"/>
      <c r="AP810" s="109"/>
      <c r="AQ810" s="109"/>
      <c r="AR810" s="109"/>
      <c r="AS810" s="109"/>
      <c r="AT810" s="109"/>
      <c r="AU810" s="109"/>
      <c r="AV810" s="109"/>
      <c r="AW810" s="109"/>
      <c r="AX810" s="109"/>
      <c r="AY810" s="34" t="s">
        <v>225</v>
      </c>
      <c r="AZ810" s="34" t="s">
        <v>1355</v>
      </c>
      <c r="BA810" s="47" t="s">
        <v>298</v>
      </c>
      <c r="BB810" s="48"/>
      <c r="BG810" s="24" t="s">
        <v>311</v>
      </c>
      <c r="BI810" s="42"/>
    </row>
    <row r="811" spans="1:61" s="24" customFormat="1" ht="23.1" hidden="1" customHeight="1">
      <c r="A811" s="32"/>
      <c r="B811" s="158"/>
      <c r="C811" s="93" t="s">
        <v>59</v>
      </c>
      <c r="D811" s="35">
        <f t="shared" si="123"/>
        <v>0.25</v>
      </c>
      <c r="E811" s="35"/>
      <c r="F811" s="35">
        <f t="shared" si="124"/>
        <v>0.25</v>
      </c>
      <c r="G811" s="109"/>
      <c r="H811" s="109">
        <v>0.25</v>
      </c>
      <c r="I811" s="109"/>
      <c r="J811" s="109"/>
      <c r="K811" s="109"/>
      <c r="L811" s="109"/>
      <c r="M811" s="109"/>
      <c r="N811" s="109"/>
      <c r="O811" s="109"/>
      <c r="P811" s="109"/>
      <c r="Q811" s="109"/>
      <c r="R811" s="109"/>
      <c r="S811" s="109"/>
      <c r="T811" s="109"/>
      <c r="U811" s="109"/>
      <c r="V811" s="109"/>
      <c r="W811" s="109"/>
      <c r="X811" s="109"/>
      <c r="Y811" s="109"/>
      <c r="Z811" s="109"/>
      <c r="AA811" s="109"/>
      <c r="AB811" s="109"/>
      <c r="AC811" s="109"/>
      <c r="AD811" s="109"/>
      <c r="AE811" s="109"/>
      <c r="AF811" s="109"/>
      <c r="AG811" s="109"/>
      <c r="AH811" s="109"/>
      <c r="AI811" s="109"/>
      <c r="AJ811" s="109"/>
      <c r="AK811" s="109"/>
      <c r="AL811" s="109"/>
      <c r="AM811" s="109"/>
      <c r="AN811" s="109"/>
      <c r="AO811" s="109"/>
      <c r="AP811" s="109"/>
      <c r="AQ811" s="109"/>
      <c r="AR811" s="109"/>
      <c r="AS811" s="109"/>
      <c r="AT811" s="109"/>
      <c r="AU811" s="109"/>
      <c r="AV811" s="109"/>
      <c r="AW811" s="109"/>
      <c r="AX811" s="109"/>
      <c r="AY811" s="34" t="s">
        <v>225</v>
      </c>
      <c r="AZ811" s="34"/>
      <c r="BA811" s="47"/>
      <c r="BB811" s="48"/>
      <c r="BI811" s="42"/>
    </row>
    <row r="812" spans="1:61" s="24" customFormat="1" ht="23.1" hidden="1" customHeight="1">
      <c r="A812" s="32"/>
      <c r="B812" s="158"/>
      <c r="C812" s="93" t="s">
        <v>44</v>
      </c>
      <c r="D812" s="35">
        <f t="shared" si="123"/>
        <v>0.28000000000000003</v>
      </c>
      <c r="E812" s="35"/>
      <c r="F812" s="35">
        <f t="shared" si="124"/>
        <v>0.28000000000000003</v>
      </c>
      <c r="G812" s="109"/>
      <c r="H812" s="109">
        <v>0.28000000000000003</v>
      </c>
      <c r="I812" s="109"/>
      <c r="J812" s="109"/>
      <c r="K812" s="109"/>
      <c r="L812" s="109"/>
      <c r="M812" s="109"/>
      <c r="N812" s="109"/>
      <c r="O812" s="109"/>
      <c r="P812" s="109"/>
      <c r="Q812" s="109"/>
      <c r="R812" s="109"/>
      <c r="S812" s="109"/>
      <c r="T812" s="109"/>
      <c r="U812" s="109"/>
      <c r="V812" s="109"/>
      <c r="W812" s="109"/>
      <c r="X812" s="109"/>
      <c r="Y812" s="109"/>
      <c r="Z812" s="109"/>
      <c r="AA812" s="109"/>
      <c r="AB812" s="109"/>
      <c r="AC812" s="109"/>
      <c r="AD812" s="109"/>
      <c r="AE812" s="109"/>
      <c r="AF812" s="109"/>
      <c r="AG812" s="109"/>
      <c r="AH812" s="109"/>
      <c r="AI812" s="109"/>
      <c r="AJ812" s="109"/>
      <c r="AK812" s="109"/>
      <c r="AL812" s="109"/>
      <c r="AM812" s="109"/>
      <c r="AN812" s="109"/>
      <c r="AO812" s="109"/>
      <c r="AP812" s="109"/>
      <c r="AQ812" s="109"/>
      <c r="AR812" s="109"/>
      <c r="AS812" s="109"/>
      <c r="AT812" s="109"/>
      <c r="AU812" s="109"/>
      <c r="AV812" s="109"/>
      <c r="AW812" s="109"/>
      <c r="AX812" s="109"/>
      <c r="AY812" s="34" t="s">
        <v>225</v>
      </c>
      <c r="AZ812" s="34"/>
      <c r="BA812" s="47"/>
      <c r="BB812" s="48"/>
      <c r="BI812" s="42"/>
    </row>
    <row r="813" spans="1:61" s="24" customFormat="1" ht="23.1" hidden="1" customHeight="1">
      <c r="A813" s="32"/>
      <c r="B813" s="158"/>
      <c r="C813" s="93" t="s">
        <v>138</v>
      </c>
      <c r="D813" s="35">
        <f t="shared" si="123"/>
        <v>0.16999999999999993</v>
      </c>
      <c r="E813" s="35"/>
      <c r="F813" s="35">
        <f t="shared" si="124"/>
        <v>0.16999999999999993</v>
      </c>
      <c r="G813" s="147">
        <f>G810-G811-G812</f>
        <v>0</v>
      </c>
      <c r="H813" s="147">
        <f t="shared" ref="H813:AX813" si="126">H810-H811-H812</f>
        <v>0.16999999999999993</v>
      </c>
      <c r="I813" s="147">
        <f t="shared" si="126"/>
        <v>0</v>
      </c>
      <c r="J813" s="147">
        <f t="shared" si="126"/>
        <v>0</v>
      </c>
      <c r="K813" s="147">
        <f t="shared" si="126"/>
        <v>0</v>
      </c>
      <c r="L813" s="147">
        <f t="shared" si="126"/>
        <v>0</v>
      </c>
      <c r="M813" s="147">
        <f t="shared" si="126"/>
        <v>0</v>
      </c>
      <c r="N813" s="147">
        <f t="shared" si="126"/>
        <v>0</v>
      </c>
      <c r="O813" s="147">
        <f t="shared" si="126"/>
        <v>0</v>
      </c>
      <c r="P813" s="147">
        <f t="shared" si="126"/>
        <v>0</v>
      </c>
      <c r="Q813" s="147">
        <f t="shared" si="126"/>
        <v>0</v>
      </c>
      <c r="R813" s="147">
        <f t="shared" si="126"/>
        <v>0</v>
      </c>
      <c r="S813" s="147">
        <f t="shared" si="126"/>
        <v>0</v>
      </c>
      <c r="T813" s="147">
        <f t="shared" si="126"/>
        <v>0</v>
      </c>
      <c r="U813" s="147">
        <f t="shared" si="126"/>
        <v>0</v>
      </c>
      <c r="V813" s="147">
        <f t="shared" si="126"/>
        <v>0</v>
      </c>
      <c r="W813" s="147">
        <f t="shared" si="126"/>
        <v>0</v>
      </c>
      <c r="X813" s="147">
        <f t="shared" si="126"/>
        <v>0</v>
      </c>
      <c r="Y813" s="147">
        <f t="shared" si="126"/>
        <v>0</v>
      </c>
      <c r="Z813" s="147">
        <f t="shared" si="126"/>
        <v>0</v>
      </c>
      <c r="AA813" s="147">
        <f t="shared" si="126"/>
        <v>0</v>
      </c>
      <c r="AB813" s="147">
        <f t="shared" si="126"/>
        <v>0</v>
      </c>
      <c r="AC813" s="147">
        <f t="shared" si="126"/>
        <v>0</v>
      </c>
      <c r="AD813" s="147">
        <f t="shared" si="126"/>
        <v>0</v>
      </c>
      <c r="AE813" s="147">
        <f t="shared" si="126"/>
        <v>0</v>
      </c>
      <c r="AF813" s="147">
        <f t="shared" si="126"/>
        <v>0</v>
      </c>
      <c r="AG813" s="147">
        <f t="shared" si="126"/>
        <v>0</v>
      </c>
      <c r="AH813" s="147">
        <f t="shared" si="126"/>
        <v>0</v>
      </c>
      <c r="AI813" s="147">
        <f t="shared" si="126"/>
        <v>0</v>
      </c>
      <c r="AJ813" s="147">
        <f t="shared" si="126"/>
        <v>0</v>
      </c>
      <c r="AK813" s="147">
        <f t="shared" si="126"/>
        <v>0</v>
      </c>
      <c r="AL813" s="147">
        <f t="shared" si="126"/>
        <v>0</v>
      </c>
      <c r="AM813" s="147">
        <f t="shared" si="126"/>
        <v>0</v>
      </c>
      <c r="AN813" s="147">
        <f t="shared" si="126"/>
        <v>0</v>
      </c>
      <c r="AO813" s="147">
        <f t="shared" si="126"/>
        <v>0</v>
      </c>
      <c r="AP813" s="147">
        <f t="shared" si="126"/>
        <v>0</v>
      </c>
      <c r="AQ813" s="147">
        <f t="shared" si="126"/>
        <v>0</v>
      </c>
      <c r="AR813" s="147">
        <f t="shared" si="126"/>
        <v>0</v>
      </c>
      <c r="AS813" s="147">
        <f t="shared" si="126"/>
        <v>0</v>
      </c>
      <c r="AT813" s="147">
        <f t="shared" si="126"/>
        <v>0</v>
      </c>
      <c r="AU813" s="147">
        <f t="shared" si="126"/>
        <v>0</v>
      </c>
      <c r="AV813" s="147">
        <f t="shared" si="126"/>
        <v>0</v>
      </c>
      <c r="AW813" s="147">
        <f t="shared" si="126"/>
        <v>0</v>
      </c>
      <c r="AX813" s="147">
        <f t="shared" si="126"/>
        <v>0</v>
      </c>
      <c r="AY813" s="34" t="s">
        <v>225</v>
      </c>
      <c r="AZ813" s="34"/>
      <c r="BA813" s="47"/>
      <c r="BB813" s="48"/>
      <c r="BI813" s="42"/>
    </row>
    <row r="814" spans="1:61" s="24" customFormat="1" ht="50.1" customHeight="1">
      <c r="A814" s="32">
        <f>A810+1</f>
        <v>628</v>
      </c>
      <c r="B814" s="158" t="s">
        <v>1356</v>
      </c>
      <c r="C814" s="78" t="s">
        <v>1260</v>
      </c>
      <c r="D814" s="35">
        <f t="shared" si="123"/>
        <v>0.58000000000000007</v>
      </c>
      <c r="E814" s="35"/>
      <c r="F814" s="35">
        <f t="shared" si="124"/>
        <v>0.58000000000000007</v>
      </c>
      <c r="G814" s="109">
        <v>0.38</v>
      </c>
      <c r="H814" s="109"/>
      <c r="I814" s="109">
        <v>0.2</v>
      </c>
      <c r="J814" s="109"/>
      <c r="K814" s="109"/>
      <c r="L814" s="109"/>
      <c r="M814" s="109"/>
      <c r="N814" s="109"/>
      <c r="O814" s="109"/>
      <c r="P814" s="109"/>
      <c r="Q814" s="109"/>
      <c r="R814" s="109"/>
      <c r="S814" s="109"/>
      <c r="T814" s="109"/>
      <c r="U814" s="109"/>
      <c r="V814" s="109"/>
      <c r="W814" s="109"/>
      <c r="X814" s="109"/>
      <c r="Y814" s="109"/>
      <c r="Z814" s="109"/>
      <c r="AA814" s="109"/>
      <c r="AB814" s="109"/>
      <c r="AC814" s="109"/>
      <c r="AD814" s="109"/>
      <c r="AE814" s="109"/>
      <c r="AF814" s="109"/>
      <c r="AG814" s="109"/>
      <c r="AH814" s="109"/>
      <c r="AI814" s="109"/>
      <c r="AJ814" s="109"/>
      <c r="AK814" s="109"/>
      <c r="AL814" s="109"/>
      <c r="AM814" s="109"/>
      <c r="AN814" s="109"/>
      <c r="AO814" s="109"/>
      <c r="AP814" s="109"/>
      <c r="AQ814" s="109"/>
      <c r="AR814" s="109"/>
      <c r="AS814" s="109"/>
      <c r="AT814" s="109"/>
      <c r="AU814" s="109"/>
      <c r="AV814" s="109"/>
      <c r="AW814" s="109"/>
      <c r="AX814" s="109"/>
      <c r="AY814" s="34" t="s">
        <v>225</v>
      </c>
      <c r="AZ814" s="34" t="s">
        <v>1353</v>
      </c>
      <c r="BA814" s="63" t="s">
        <v>291</v>
      </c>
      <c r="BB814" s="64"/>
      <c r="BI814" s="42">
        <v>1</v>
      </c>
    </row>
    <row r="815" spans="1:61" s="24" customFormat="1" ht="21.6" hidden="1" customHeight="1">
      <c r="A815" s="32"/>
      <c r="B815" s="158"/>
      <c r="C815" s="93" t="s">
        <v>59</v>
      </c>
      <c r="D815" s="35">
        <f t="shared" si="123"/>
        <v>0.2</v>
      </c>
      <c r="E815" s="35"/>
      <c r="F815" s="35">
        <f t="shared" si="124"/>
        <v>0.2</v>
      </c>
      <c r="G815" s="109">
        <v>0.2</v>
      </c>
      <c r="H815" s="109"/>
      <c r="I815" s="109"/>
      <c r="J815" s="109"/>
      <c r="K815" s="109"/>
      <c r="L815" s="109"/>
      <c r="M815" s="109"/>
      <c r="N815" s="109"/>
      <c r="O815" s="109"/>
      <c r="P815" s="109"/>
      <c r="Q815" s="109"/>
      <c r="R815" s="109"/>
      <c r="S815" s="109"/>
      <c r="T815" s="109"/>
      <c r="U815" s="109"/>
      <c r="V815" s="109"/>
      <c r="W815" s="109"/>
      <c r="X815" s="109"/>
      <c r="Y815" s="109"/>
      <c r="Z815" s="109"/>
      <c r="AA815" s="109"/>
      <c r="AB815" s="109"/>
      <c r="AC815" s="109"/>
      <c r="AD815" s="109"/>
      <c r="AE815" s="109"/>
      <c r="AF815" s="109"/>
      <c r="AG815" s="109"/>
      <c r="AH815" s="109"/>
      <c r="AI815" s="109"/>
      <c r="AJ815" s="109"/>
      <c r="AK815" s="109"/>
      <c r="AL815" s="109"/>
      <c r="AM815" s="109"/>
      <c r="AN815" s="109"/>
      <c r="AO815" s="109"/>
      <c r="AP815" s="109"/>
      <c r="AQ815" s="109"/>
      <c r="AR815" s="109"/>
      <c r="AS815" s="109"/>
      <c r="AT815" s="109"/>
      <c r="AU815" s="109"/>
      <c r="AV815" s="109"/>
      <c r="AW815" s="109"/>
      <c r="AX815" s="109"/>
      <c r="AY815" s="34" t="s">
        <v>225</v>
      </c>
      <c r="AZ815" s="34"/>
      <c r="BA815" s="63"/>
      <c r="BB815" s="64"/>
      <c r="BI815" s="42"/>
    </row>
    <row r="816" spans="1:61" s="24" customFormat="1" ht="21.6" hidden="1" customHeight="1">
      <c r="A816" s="32"/>
      <c r="B816" s="158"/>
      <c r="C816" s="93" t="s">
        <v>44</v>
      </c>
      <c r="D816" s="35">
        <f t="shared" si="123"/>
        <v>0.23</v>
      </c>
      <c r="E816" s="35"/>
      <c r="F816" s="35">
        <f t="shared" si="124"/>
        <v>0.23</v>
      </c>
      <c r="G816" s="109">
        <v>0.1</v>
      </c>
      <c r="H816" s="109"/>
      <c r="I816" s="109">
        <v>0.13</v>
      </c>
      <c r="J816" s="109"/>
      <c r="K816" s="109"/>
      <c r="L816" s="109"/>
      <c r="M816" s="109"/>
      <c r="N816" s="109"/>
      <c r="O816" s="109"/>
      <c r="P816" s="109"/>
      <c r="Q816" s="109"/>
      <c r="R816" s="109"/>
      <c r="S816" s="109"/>
      <c r="T816" s="109"/>
      <c r="U816" s="109"/>
      <c r="V816" s="109"/>
      <c r="W816" s="109"/>
      <c r="X816" s="109"/>
      <c r="Y816" s="109"/>
      <c r="Z816" s="109"/>
      <c r="AA816" s="109"/>
      <c r="AB816" s="109"/>
      <c r="AC816" s="109"/>
      <c r="AD816" s="109"/>
      <c r="AE816" s="109"/>
      <c r="AF816" s="109"/>
      <c r="AG816" s="109"/>
      <c r="AH816" s="109"/>
      <c r="AI816" s="109"/>
      <c r="AJ816" s="109"/>
      <c r="AK816" s="109"/>
      <c r="AL816" s="109"/>
      <c r="AM816" s="109"/>
      <c r="AN816" s="109"/>
      <c r="AO816" s="109"/>
      <c r="AP816" s="109"/>
      <c r="AQ816" s="109"/>
      <c r="AR816" s="109"/>
      <c r="AS816" s="109"/>
      <c r="AT816" s="109"/>
      <c r="AU816" s="109"/>
      <c r="AV816" s="109"/>
      <c r="AW816" s="109"/>
      <c r="AX816" s="109"/>
      <c r="AY816" s="34" t="s">
        <v>225</v>
      </c>
      <c r="AZ816" s="34"/>
      <c r="BA816" s="63"/>
      <c r="BB816" s="64"/>
      <c r="BI816" s="42"/>
    </row>
    <row r="817" spans="1:72" s="24" customFormat="1" ht="21.6" hidden="1" customHeight="1">
      <c r="A817" s="32"/>
      <c r="B817" s="158"/>
      <c r="C817" s="93" t="s">
        <v>138</v>
      </c>
      <c r="D817" s="35">
        <f t="shared" si="123"/>
        <v>0.15</v>
      </c>
      <c r="E817" s="35"/>
      <c r="F817" s="35">
        <f t="shared" si="124"/>
        <v>0.15</v>
      </c>
      <c r="G817" s="147">
        <f t="shared" ref="G817:AW817" si="127">G814-G815-G816</f>
        <v>7.9999999999999988E-2</v>
      </c>
      <c r="H817" s="147">
        <f t="shared" si="127"/>
        <v>0</v>
      </c>
      <c r="I817" s="147">
        <f t="shared" si="127"/>
        <v>7.0000000000000007E-2</v>
      </c>
      <c r="J817" s="147">
        <f t="shared" si="127"/>
        <v>0</v>
      </c>
      <c r="K817" s="147">
        <f t="shared" si="127"/>
        <v>0</v>
      </c>
      <c r="L817" s="147">
        <f t="shared" si="127"/>
        <v>0</v>
      </c>
      <c r="M817" s="147">
        <f t="shared" si="127"/>
        <v>0</v>
      </c>
      <c r="N817" s="147">
        <f t="shared" si="127"/>
        <v>0</v>
      </c>
      <c r="O817" s="147">
        <f t="shared" si="127"/>
        <v>0</v>
      </c>
      <c r="P817" s="147">
        <f t="shared" si="127"/>
        <v>0</v>
      </c>
      <c r="Q817" s="147">
        <f t="shared" si="127"/>
        <v>0</v>
      </c>
      <c r="R817" s="147">
        <f t="shared" si="127"/>
        <v>0</v>
      </c>
      <c r="S817" s="147">
        <f t="shared" si="127"/>
        <v>0</v>
      </c>
      <c r="T817" s="147">
        <f t="shared" si="127"/>
        <v>0</v>
      </c>
      <c r="U817" s="147">
        <f t="shared" si="127"/>
        <v>0</v>
      </c>
      <c r="V817" s="147">
        <f t="shared" si="127"/>
        <v>0</v>
      </c>
      <c r="W817" s="147">
        <f t="shared" si="127"/>
        <v>0</v>
      </c>
      <c r="X817" s="147">
        <f t="shared" si="127"/>
        <v>0</v>
      </c>
      <c r="Y817" s="147">
        <f t="shared" si="127"/>
        <v>0</v>
      </c>
      <c r="Z817" s="147">
        <f t="shared" si="127"/>
        <v>0</v>
      </c>
      <c r="AA817" s="147">
        <f t="shared" si="127"/>
        <v>0</v>
      </c>
      <c r="AB817" s="147">
        <f t="shared" si="127"/>
        <v>0</v>
      </c>
      <c r="AC817" s="147">
        <f t="shared" si="127"/>
        <v>0</v>
      </c>
      <c r="AD817" s="147">
        <f t="shared" si="127"/>
        <v>0</v>
      </c>
      <c r="AE817" s="147">
        <f t="shared" si="127"/>
        <v>0</v>
      </c>
      <c r="AF817" s="147">
        <f t="shared" si="127"/>
        <v>0</v>
      </c>
      <c r="AG817" s="147">
        <f t="shared" si="127"/>
        <v>0</v>
      </c>
      <c r="AH817" s="147">
        <f t="shared" si="127"/>
        <v>0</v>
      </c>
      <c r="AI817" s="147">
        <f t="shared" si="127"/>
        <v>0</v>
      </c>
      <c r="AJ817" s="147">
        <f t="shared" si="127"/>
        <v>0</v>
      </c>
      <c r="AK817" s="147">
        <f t="shared" si="127"/>
        <v>0</v>
      </c>
      <c r="AL817" s="147">
        <f t="shared" si="127"/>
        <v>0</v>
      </c>
      <c r="AM817" s="147">
        <f t="shared" si="127"/>
        <v>0</v>
      </c>
      <c r="AN817" s="147">
        <f t="shared" si="127"/>
        <v>0</v>
      </c>
      <c r="AO817" s="147">
        <f t="shared" si="127"/>
        <v>0</v>
      </c>
      <c r="AP817" s="147">
        <f t="shared" si="127"/>
        <v>0</v>
      </c>
      <c r="AQ817" s="147">
        <f t="shared" si="127"/>
        <v>0</v>
      </c>
      <c r="AR817" s="147">
        <f t="shared" si="127"/>
        <v>0</v>
      </c>
      <c r="AS817" s="147">
        <f t="shared" si="127"/>
        <v>0</v>
      </c>
      <c r="AT817" s="147">
        <f t="shared" si="127"/>
        <v>0</v>
      </c>
      <c r="AU817" s="147">
        <f t="shared" si="127"/>
        <v>0</v>
      </c>
      <c r="AV817" s="147">
        <f t="shared" si="127"/>
        <v>0</v>
      </c>
      <c r="AW817" s="147">
        <f t="shared" si="127"/>
        <v>0</v>
      </c>
      <c r="AX817" s="147">
        <f>AX814-AX815-AX816</f>
        <v>0</v>
      </c>
      <c r="AY817" s="34" t="s">
        <v>225</v>
      </c>
      <c r="AZ817" s="34"/>
      <c r="BA817" s="63"/>
      <c r="BB817" s="64"/>
      <c r="BI817" s="42"/>
    </row>
    <row r="818" spans="1:72" s="24" customFormat="1" ht="50.1" customHeight="1">
      <c r="A818" s="32">
        <f>A814+1</f>
        <v>629</v>
      </c>
      <c r="B818" s="158" t="s">
        <v>1357</v>
      </c>
      <c r="C818" s="78" t="s">
        <v>59</v>
      </c>
      <c r="D818" s="35">
        <f t="shared" si="123"/>
        <v>0.1</v>
      </c>
      <c r="E818" s="35"/>
      <c r="F818" s="35">
        <f t="shared" si="124"/>
        <v>0.1</v>
      </c>
      <c r="G818" s="109">
        <v>0.1</v>
      </c>
      <c r="H818" s="109"/>
      <c r="I818" s="109"/>
      <c r="J818" s="109"/>
      <c r="K818" s="109"/>
      <c r="L818" s="109"/>
      <c r="M818" s="109"/>
      <c r="N818" s="109"/>
      <c r="O818" s="109"/>
      <c r="P818" s="109"/>
      <c r="Q818" s="109"/>
      <c r="R818" s="109"/>
      <c r="S818" s="109"/>
      <c r="T818" s="109"/>
      <c r="U818" s="109"/>
      <c r="V818" s="109"/>
      <c r="W818" s="109"/>
      <c r="X818" s="109"/>
      <c r="Y818" s="109"/>
      <c r="Z818" s="109"/>
      <c r="AA818" s="109"/>
      <c r="AB818" s="109"/>
      <c r="AC818" s="109"/>
      <c r="AD818" s="109"/>
      <c r="AE818" s="109"/>
      <c r="AF818" s="109"/>
      <c r="AG818" s="109"/>
      <c r="AH818" s="109"/>
      <c r="AI818" s="109"/>
      <c r="AJ818" s="109"/>
      <c r="AK818" s="109"/>
      <c r="AL818" s="109"/>
      <c r="AM818" s="109"/>
      <c r="AN818" s="109"/>
      <c r="AO818" s="109"/>
      <c r="AP818" s="109"/>
      <c r="AQ818" s="109"/>
      <c r="AR818" s="109"/>
      <c r="AS818" s="109"/>
      <c r="AT818" s="109"/>
      <c r="AU818" s="109"/>
      <c r="AV818" s="109"/>
      <c r="AW818" s="109"/>
      <c r="AX818" s="109"/>
      <c r="AY818" s="34" t="s">
        <v>225</v>
      </c>
      <c r="AZ818" s="34" t="s">
        <v>757</v>
      </c>
      <c r="BA818" s="63" t="s">
        <v>291</v>
      </c>
      <c r="BB818" s="64"/>
      <c r="BI818" s="42">
        <v>1</v>
      </c>
    </row>
    <row r="819" spans="1:72" s="24" customFormat="1" ht="23.1" customHeight="1">
      <c r="A819" s="32">
        <f>A818+1</f>
        <v>630</v>
      </c>
      <c r="B819" s="60" t="s">
        <v>1299</v>
      </c>
      <c r="C819" s="78" t="s">
        <v>59</v>
      </c>
      <c r="D819" s="35">
        <f t="shared" si="123"/>
        <v>1</v>
      </c>
      <c r="E819" s="108"/>
      <c r="F819" s="35">
        <f t="shared" si="124"/>
        <v>1</v>
      </c>
      <c r="G819" s="109"/>
      <c r="H819" s="109"/>
      <c r="I819" s="109"/>
      <c r="J819" s="109">
        <v>1</v>
      </c>
      <c r="K819" s="109"/>
      <c r="L819" s="109"/>
      <c r="M819" s="109"/>
      <c r="N819" s="109"/>
      <c r="O819" s="109"/>
      <c r="P819" s="109"/>
      <c r="Q819" s="109"/>
      <c r="R819" s="109"/>
      <c r="S819" s="109"/>
      <c r="T819" s="109"/>
      <c r="U819" s="109"/>
      <c r="V819" s="109"/>
      <c r="W819" s="109"/>
      <c r="X819" s="109"/>
      <c r="Y819" s="109"/>
      <c r="Z819" s="109"/>
      <c r="AA819" s="109"/>
      <c r="AB819" s="109"/>
      <c r="AC819" s="109"/>
      <c r="AD819" s="109"/>
      <c r="AE819" s="109"/>
      <c r="AF819" s="109"/>
      <c r="AG819" s="109"/>
      <c r="AH819" s="109"/>
      <c r="AI819" s="109"/>
      <c r="AJ819" s="109"/>
      <c r="AK819" s="109"/>
      <c r="AL819" s="109"/>
      <c r="AM819" s="109"/>
      <c r="AN819" s="109"/>
      <c r="AO819" s="109"/>
      <c r="AP819" s="109"/>
      <c r="AQ819" s="109"/>
      <c r="AR819" s="109"/>
      <c r="AS819" s="109"/>
      <c r="AT819" s="109"/>
      <c r="AU819" s="109"/>
      <c r="AV819" s="109"/>
      <c r="AW819" s="109"/>
      <c r="AX819" s="109"/>
      <c r="AY819" s="34" t="s">
        <v>225</v>
      </c>
      <c r="AZ819" s="34" t="s">
        <v>615</v>
      </c>
      <c r="BA819" s="63" t="s">
        <v>291</v>
      </c>
      <c r="BB819" s="64"/>
      <c r="BC819" s="24" t="s">
        <v>1358</v>
      </c>
      <c r="BI819" s="42">
        <v>1</v>
      </c>
    </row>
    <row r="820" spans="1:72" s="24" customFormat="1" ht="23.1" customHeight="1">
      <c r="A820" s="32" t="s">
        <v>1359</v>
      </c>
      <c r="B820" s="158" t="s">
        <v>186</v>
      </c>
      <c r="C820" s="78" t="s">
        <v>1260</v>
      </c>
      <c r="D820" s="35">
        <f>E820+F820</f>
        <v>47.51</v>
      </c>
      <c r="E820" s="89">
        <f t="shared" ref="E820:AX820" si="128">E821+E829+E833+E838+E842+E847+E848+E849+E850+E851+E852+E853+E854+E855+E856+E860+E864+E868+E869+E870+E871+E872+E876+E877+E878</f>
        <v>0</v>
      </c>
      <c r="F820" s="141">
        <f t="shared" si="128"/>
        <v>47.51</v>
      </c>
      <c r="G820" s="141">
        <f t="shared" si="128"/>
        <v>18.46</v>
      </c>
      <c r="H820" s="141">
        <f t="shared" si="128"/>
        <v>3.5100000000000002</v>
      </c>
      <c r="I820" s="141">
        <f t="shared" si="128"/>
        <v>18.660000000000004</v>
      </c>
      <c r="J820" s="141">
        <f t="shared" si="128"/>
        <v>1.01</v>
      </c>
      <c r="K820" s="141">
        <f t="shared" si="128"/>
        <v>0</v>
      </c>
      <c r="L820" s="141">
        <f t="shared" si="128"/>
        <v>0</v>
      </c>
      <c r="M820" s="141">
        <f t="shared" si="128"/>
        <v>2.62</v>
      </c>
      <c r="N820" s="141">
        <f t="shared" si="128"/>
        <v>0</v>
      </c>
      <c r="O820" s="141">
        <f t="shared" si="128"/>
        <v>0</v>
      </c>
      <c r="P820" s="141">
        <f t="shared" si="128"/>
        <v>0</v>
      </c>
      <c r="Q820" s="141">
        <f t="shared" si="128"/>
        <v>0</v>
      </c>
      <c r="R820" s="141">
        <f t="shared" si="128"/>
        <v>0</v>
      </c>
      <c r="S820" s="141">
        <f t="shared" si="128"/>
        <v>0</v>
      </c>
      <c r="T820" s="141">
        <f t="shared" si="128"/>
        <v>0</v>
      </c>
      <c r="U820" s="141">
        <f t="shared" si="128"/>
        <v>0</v>
      </c>
      <c r="V820" s="141">
        <f t="shared" si="128"/>
        <v>0</v>
      </c>
      <c r="W820" s="141">
        <f t="shared" si="128"/>
        <v>0</v>
      </c>
      <c r="X820" s="141">
        <f t="shared" si="128"/>
        <v>0</v>
      </c>
      <c r="Y820" s="141">
        <f t="shared" si="128"/>
        <v>0</v>
      </c>
      <c r="Z820" s="141">
        <f t="shared" si="128"/>
        <v>1.7</v>
      </c>
      <c r="AA820" s="141">
        <f t="shared" si="128"/>
        <v>0.56000000000000005</v>
      </c>
      <c r="AB820" s="141">
        <f t="shared" si="128"/>
        <v>0</v>
      </c>
      <c r="AC820" s="141">
        <f t="shared" si="128"/>
        <v>0</v>
      </c>
      <c r="AD820" s="141">
        <f t="shared" si="128"/>
        <v>0</v>
      </c>
      <c r="AE820" s="141">
        <f t="shared" si="128"/>
        <v>0</v>
      </c>
      <c r="AF820" s="141">
        <f t="shared" si="128"/>
        <v>0</v>
      </c>
      <c r="AG820" s="141">
        <f t="shared" si="128"/>
        <v>0</v>
      </c>
      <c r="AH820" s="141">
        <f t="shared" si="128"/>
        <v>0</v>
      </c>
      <c r="AI820" s="141">
        <f t="shared" si="128"/>
        <v>0</v>
      </c>
      <c r="AJ820" s="141">
        <f t="shared" si="128"/>
        <v>0</v>
      </c>
      <c r="AK820" s="141">
        <f t="shared" si="128"/>
        <v>0</v>
      </c>
      <c r="AL820" s="141">
        <f t="shared" si="128"/>
        <v>0</v>
      </c>
      <c r="AM820" s="141">
        <f t="shared" si="128"/>
        <v>0</v>
      </c>
      <c r="AN820" s="141">
        <f t="shared" si="128"/>
        <v>0.05</v>
      </c>
      <c r="AO820" s="141">
        <f t="shared" si="128"/>
        <v>0</v>
      </c>
      <c r="AP820" s="141">
        <f t="shared" si="128"/>
        <v>0.81</v>
      </c>
      <c r="AQ820" s="141">
        <f t="shared" si="128"/>
        <v>0</v>
      </c>
      <c r="AR820" s="141">
        <f t="shared" si="128"/>
        <v>0.13</v>
      </c>
      <c r="AS820" s="141">
        <f t="shared" si="128"/>
        <v>0</v>
      </c>
      <c r="AT820" s="141">
        <f t="shared" si="128"/>
        <v>0</v>
      </c>
      <c r="AU820" s="141">
        <f t="shared" si="128"/>
        <v>0</v>
      </c>
      <c r="AV820" s="141">
        <f t="shared" si="128"/>
        <v>0</v>
      </c>
      <c r="AW820" s="141">
        <f t="shared" si="128"/>
        <v>0</v>
      </c>
      <c r="AX820" s="141">
        <f t="shared" si="128"/>
        <v>0</v>
      </c>
      <c r="AY820" s="70" t="s">
        <v>983</v>
      </c>
      <c r="AZ820" s="34"/>
      <c r="BA820" s="63"/>
      <c r="BB820" s="64"/>
      <c r="BI820" s="42"/>
    </row>
    <row r="821" spans="1:72" s="24" customFormat="1" ht="21" customHeight="1">
      <c r="A821" s="32">
        <f>A819+1</f>
        <v>631</v>
      </c>
      <c r="B821" s="158" t="s">
        <v>186</v>
      </c>
      <c r="C821" s="78" t="s">
        <v>1260</v>
      </c>
      <c r="D821" s="35">
        <f t="shared" ref="D821:D828" si="129">F821+E821</f>
        <v>29.999999999999996</v>
      </c>
      <c r="E821" s="67"/>
      <c r="F821" s="35">
        <f>SUM(G821:AX821)</f>
        <v>29.999999999999996</v>
      </c>
      <c r="G821" s="68">
        <v>11.09</v>
      </c>
      <c r="H821" s="68">
        <v>1.1299999999999999</v>
      </c>
      <c r="I821" s="68">
        <v>12.83</v>
      </c>
      <c r="J821" s="68">
        <v>0.28000000000000003</v>
      </c>
      <c r="K821" s="68"/>
      <c r="L821" s="68"/>
      <c r="M821" s="68">
        <f>1.77+0.34</f>
        <v>2.11</v>
      </c>
      <c r="N821" s="68"/>
      <c r="O821" s="68"/>
      <c r="P821" s="68"/>
      <c r="Q821" s="68"/>
      <c r="R821" s="68"/>
      <c r="S821" s="68"/>
      <c r="T821" s="68"/>
      <c r="U821" s="68"/>
      <c r="V821" s="68"/>
      <c r="W821" s="68"/>
      <c r="X821" s="68"/>
      <c r="Y821" s="68"/>
      <c r="Z821" s="68">
        <v>1.23</v>
      </c>
      <c r="AA821" s="68">
        <v>0.52</v>
      </c>
      <c r="AB821" s="68"/>
      <c r="AC821" s="68"/>
      <c r="AD821" s="68"/>
      <c r="AE821" s="68"/>
      <c r="AF821" s="68"/>
      <c r="AG821" s="68"/>
      <c r="AH821" s="68"/>
      <c r="AI821" s="68"/>
      <c r="AJ821" s="68"/>
      <c r="AK821" s="68"/>
      <c r="AL821" s="68"/>
      <c r="AM821" s="68"/>
      <c r="AN821" s="68"/>
      <c r="AO821" s="68"/>
      <c r="AP821" s="68">
        <f>0.33+0.48</f>
        <v>0.81</v>
      </c>
      <c r="AQ821" s="68"/>
      <c r="AR821" s="68"/>
      <c r="AS821" s="68"/>
      <c r="AT821" s="68"/>
      <c r="AU821" s="68"/>
      <c r="AV821" s="68"/>
      <c r="AW821" s="68"/>
      <c r="AX821" s="68"/>
      <c r="AY821" s="70" t="s">
        <v>983</v>
      </c>
      <c r="AZ821" s="70" t="s">
        <v>1360</v>
      </c>
      <c r="BA821" s="70" t="s">
        <v>291</v>
      </c>
      <c r="BB821" s="81"/>
      <c r="BI821" s="42">
        <v>1</v>
      </c>
    </row>
    <row r="822" spans="1:72" s="24" customFormat="1" ht="21" hidden="1" customHeight="1">
      <c r="A822" s="32"/>
      <c r="B822" s="158"/>
      <c r="C822" s="78" t="s">
        <v>59</v>
      </c>
      <c r="D822" s="35">
        <f t="shared" si="129"/>
        <v>10.33</v>
      </c>
      <c r="E822" s="67"/>
      <c r="F822" s="35">
        <f t="shared" ref="F822:F885" si="130">SUM(G822:AX822)</f>
        <v>10.33</v>
      </c>
      <c r="G822" s="68">
        <v>4.55</v>
      </c>
      <c r="H822" s="68">
        <v>0.5</v>
      </c>
      <c r="I822" s="68">
        <v>4.7699999999999996</v>
      </c>
      <c r="J822" s="68"/>
      <c r="K822" s="68"/>
      <c r="L822" s="68"/>
      <c r="M822" s="68"/>
      <c r="N822" s="68"/>
      <c r="O822" s="68"/>
      <c r="P822" s="68"/>
      <c r="Q822" s="68"/>
      <c r="R822" s="68"/>
      <c r="S822" s="68"/>
      <c r="T822" s="68"/>
      <c r="U822" s="68"/>
      <c r="V822" s="68"/>
      <c r="W822" s="68"/>
      <c r="X822" s="68"/>
      <c r="Y822" s="68"/>
      <c r="Z822" s="68"/>
      <c r="AA822" s="68">
        <v>0.1</v>
      </c>
      <c r="AB822" s="68"/>
      <c r="AC822" s="68"/>
      <c r="AD822" s="68"/>
      <c r="AE822" s="68"/>
      <c r="AF822" s="68"/>
      <c r="AG822" s="68"/>
      <c r="AH822" s="68"/>
      <c r="AI822" s="68"/>
      <c r="AJ822" s="68"/>
      <c r="AK822" s="68"/>
      <c r="AL822" s="68"/>
      <c r="AM822" s="68"/>
      <c r="AN822" s="68"/>
      <c r="AO822" s="68"/>
      <c r="AP822" s="68">
        <v>0.41</v>
      </c>
      <c r="AQ822" s="68"/>
      <c r="AR822" s="68"/>
      <c r="AS822" s="68"/>
      <c r="AT822" s="68"/>
      <c r="AU822" s="68"/>
      <c r="AV822" s="68"/>
      <c r="AW822" s="68"/>
      <c r="AX822" s="68"/>
      <c r="AY822" s="70" t="s">
        <v>983</v>
      </c>
      <c r="AZ822" s="70"/>
      <c r="BA822" s="70"/>
      <c r="BB822" s="81"/>
      <c r="BI822" s="42"/>
    </row>
    <row r="823" spans="1:72" s="24" customFormat="1" ht="21" hidden="1" customHeight="1">
      <c r="A823" s="32"/>
      <c r="B823" s="158"/>
      <c r="C823" s="78" t="s">
        <v>93</v>
      </c>
      <c r="D823" s="35">
        <f t="shared" si="129"/>
        <v>1.56</v>
      </c>
      <c r="E823" s="67"/>
      <c r="F823" s="35">
        <f t="shared" si="130"/>
        <v>1.56</v>
      </c>
      <c r="G823" s="68">
        <v>0.4</v>
      </c>
      <c r="H823" s="68"/>
      <c r="I823" s="68">
        <v>0.46</v>
      </c>
      <c r="J823" s="68"/>
      <c r="K823" s="68"/>
      <c r="L823" s="68"/>
      <c r="M823" s="68"/>
      <c r="N823" s="68"/>
      <c r="O823" s="68"/>
      <c r="P823" s="68"/>
      <c r="Q823" s="68"/>
      <c r="R823" s="68"/>
      <c r="S823" s="68"/>
      <c r="T823" s="68"/>
      <c r="U823" s="68"/>
      <c r="V823" s="68"/>
      <c r="W823" s="68"/>
      <c r="X823" s="68"/>
      <c r="Y823" s="68"/>
      <c r="Z823" s="68">
        <v>0.3</v>
      </c>
      <c r="AA823" s="68">
        <v>0.2</v>
      </c>
      <c r="AB823" s="68"/>
      <c r="AC823" s="68"/>
      <c r="AD823" s="68"/>
      <c r="AE823" s="68"/>
      <c r="AF823" s="68"/>
      <c r="AG823" s="68"/>
      <c r="AH823" s="68"/>
      <c r="AI823" s="68"/>
      <c r="AJ823" s="68"/>
      <c r="AK823" s="68"/>
      <c r="AL823" s="68"/>
      <c r="AM823" s="68"/>
      <c r="AN823" s="68"/>
      <c r="AO823" s="68"/>
      <c r="AP823" s="68">
        <v>0.2</v>
      </c>
      <c r="AQ823" s="68"/>
      <c r="AR823" s="68"/>
      <c r="AS823" s="68"/>
      <c r="AT823" s="68"/>
      <c r="AU823" s="68"/>
      <c r="AV823" s="68"/>
      <c r="AW823" s="68"/>
      <c r="AX823" s="68"/>
      <c r="AY823" s="70" t="s">
        <v>983</v>
      </c>
      <c r="AZ823" s="70"/>
      <c r="BA823" s="70"/>
      <c r="BB823" s="81"/>
      <c r="BI823" s="42"/>
    </row>
    <row r="824" spans="1:72" s="24" customFormat="1" ht="21" hidden="1" customHeight="1">
      <c r="A824" s="32"/>
      <c r="B824" s="158"/>
      <c r="C824" s="78" t="s">
        <v>48</v>
      </c>
      <c r="D824" s="35">
        <f t="shared" si="129"/>
        <v>0.1</v>
      </c>
      <c r="E824" s="67"/>
      <c r="F824" s="35">
        <f t="shared" si="130"/>
        <v>0.1</v>
      </c>
      <c r="G824" s="68"/>
      <c r="H824" s="68"/>
      <c r="I824" s="68"/>
      <c r="J824" s="68"/>
      <c r="K824" s="68"/>
      <c r="L824" s="68"/>
      <c r="M824" s="68"/>
      <c r="N824" s="68"/>
      <c r="O824" s="68"/>
      <c r="P824" s="68"/>
      <c r="Q824" s="68"/>
      <c r="R824" s="68"/>
      <c r="S824" s="68"/>
      <c r="T824" s="68"/>
      <c r="U824" s="68"/>
      <c r="V824" s="68"/>
      <c r="W824" s="68"/>
      <c r="X824" s="68"/>
      <c r="Y824" s="68"/>
      <c r="Z824" s="68"/>
      <c r="AA824" s="68"/>
      <c r="AB824" s="68"/>
      <c r="AC824" s="68"/>
      <c r="AD824" s="68"/>
      <c r="AE824" s="68"/>
      <c r="AF824" s="68"/>
      <c r="AG824" s="68"/>
      <c r="AH824" s="68"/>
      <c r="AI824" s="68"/>
      <c r="AJ824" s="68"/>
      <c r="AK824" s="68"/>
      <c r="AL824" s="68"/>
      <c r="AM824" s="68"/>
      <c r="AN824" s="68"/>
      <c r="AO824" s="68"/>
      <c r="AP824" s="68">
        <v>0.1</v>
      </c>
      <c r="AQ824" s="68"/>
      <c r="AR824" s="68"/>
      <c r="AS824" s="68"/>
      <c r="AT824" s="68"/>
      <c r="AU824" s="68"/>
      <c r="AV824" s="68"/>
      <c r="AW824" s="68"/>
      <c r="AX824" s="68"/>
      <c r="AY824" s="70" t="s">
        <v>983</v>
      </c>
      <c r="AZ824" s="70"/>
      <c r="BA824" s="70"/>
      <c r="BB824" s="81"/>
      <c r="BI824" s="42"/>
    </row>
    <row r="825" spans="1:72" s="24" customFormat="1" ht="21" hidden="1" customHeight="1">
      <c r="A825" s="32"/>
      <c r="B825" s="158"/>
      <c r="C825" s="78" t="s">
        <v>50</v>
      </c>
      <c r="D825" s="35">
        <f t="shared" si="129"/>
        <v>0.65</v>
      </c>
      <c r="E825" s="67"/>
      <c r="F825" s="35">
        <f t="shared" si="130"/>
        <v>0.65</v>
      </c>
      <c r="G825" s="68">
        <v>0.2</v>
      </c>
      <c r="H825" s="68"/>
      <c r="I825" s="68">
        <v>0.25</v>
      </c>
      <c r="J825" s="68"/>
      <c r="K825" s="68"/>
      <c r="L825" s="68"/>
      <c r="M825" s="68"/>
      <c r="N825" s="68"/>
      <c r="O825" s="68"/>
      <c r="P825" s="68"/>
      <c r="Q825" s="68"/>
      <c r="R825" s="68"/>
      <c r="S825" s="68"/>
      <c r="T825" s="68"/>
      <c r="U825" s="68"/>
      <c r="V825" s="68"/>
      <c r="W825" s="68"/>
      <c r="X825" s="68"/>
      <c r="Y825" s="68"/>
      <c r="Z825" s="68">
        <v>0.1</v>
      </c>
      <c r="AA825" s="68"/>
      <c r="AB825" s="68"/>
      <c r="AC825" s="68"/>
      <c r="AD825" s="68"/>
      <c r="AE825" s="68"/>
      <c r="AF825" s="68"/>
      <c r="AG825" s="68"/>
      <c r="AH825" s="68"/>
      <c r="AI825" s="68"/>
      <c r="AJ825" s="68"/>
      <c r="AK825" s="68"/>
      <c r="AL825" s="68"/>
      <c r="AM825" s="68"/>
      <c r="AN825" s="68"/>
      <c r="AO825" s="68"/>
      <c r="AP825" s="68">
        <v>0.1</v>
      </c>
      <c r="AQ825" s="68"/>
      <c r="AR825" s="68"/>
      <c r="AS825" s="68"/>
      <c r="AT825" s="68"/>
      <c r="AU825" s="68"/>
      <c r="AV825" s="68"/>
      <c r="AW825" s="68"/>
      <c r="AX825" s="68"/>
      <c r="AY825" s="70" t="s">
        <v>983</v>
      </c>
      <c r="AZ825" s="70"/>
      <c r="BA825" s="70"/>
      <c r="BB825" s="81"/>
      <c r="BI825" s="42"/>
    </row>
    <row r="826" spans="1:72" s="24" customFormat="1" ht="21" hidden="1" customHeight="1">
      <c r="A826" s="32"/>
      <c r="B826" s="158"/>
      <c r="C826" s="78" t="s">
        <v>41</v>
      </c>
      <c r="D826" s="35">
        <f t="shared" si="129"/>
        <v>3.2800000000000002</v>
      </c>
      <c r="E826" s="67"/>
      <c r="F826" s="35">
        <f t="shared" si="130"/>
        <v>3.2800000000000002</v>
      </c>
      <c r="G826" s="68">
        <v>0.9</v>
      </c>
      <c r="H826" s="68">
        <v>0.1</v>
      </c>
      <c r="I826" s="68">
        <v>0.88</v>
      </c>
      <c r="J826" s="68"/>
      <c r="K826" s="68"/>
      <c r="L826" s="68"/>
      <c r="M826" s="68">
        <v>1</v>
      </c>
      <c r="N826" s="68"/>
      <c r="O826" s="68"/>
      <c r="P826" s="68"/>
      <c r="Q826" s="68"/>
      <c r="R826" s="68"/>
      <c r="S826" s="68"/>
      <c r="T826" s="68"/>
      <c r="U826" s="68"/>
      <c r="V826" s="68"/>
      <c r="W826" s="68"/>
      <c r="X826" s="68"/>
      <c r="Y826" s="68"/>
      <c r="Z826" s="68">
        <v>0.28000000000000003</v>
      </c>
      <c r="AA826" s="68">
        <v>0.12</v>
      </c>
      <c r="AB826" s="68"/>
      <c r="AC826" s="68"/>
      <c r="AD826" s="68"/>
      <c r="AE826" s="68"/>
      <c r="AF826" s="68"/>
      <c r="AG826" s="68"/>
      <c r="AH826" s="68"/>
      <c r="AI826" s="68"/>
      <c r="AJ826" s="68"/>
      <c r="AK826" s="68"/>
      <c r="AL826" s="68"/>
      <c r="AM826" s="68"/>
      <c r="AN826" s="68"/>
      <c r="AO826" s="68"/>
      <c r="AP826" s="68"/>
      <c r="AQ826" s="68"/>
      <c r="AR826" s="68"/>
      <c r="AS826" s="68"/>
      <c r="AT826" s="68"/>
      <c r="AU826" s="68"/>
      <c r="AV826" s="68"/>
      <c r="AW826" s="68"/>
      <c r="AX826" s="68"/>
      <c r="AY826" s="70" t="s">
        <v>983</v>
      </c>
      <c r="AZ826" s="70"/>
      <c r="BA826" s="70"/>
      <c r="BB826" s="81"/>
      <c r="BI826" s="42"/>
    </row>
    <row r="827" spans="1:72" s="24" customFormat="1" ht="21" hidden="1" customHeight="1">
      <c r="A827" s="32"/>
      <c r="B827" s="158"/>
      <c r="C827" s="78" t="s">
        <v>44</v>
      </c>
      <c r="D827" s="35">
        <f t="shared" si="129"/>
        <v>9.24</v>
      </c>
      <c r="E827" s="67"/>
      <c r="F827" s="35">
        <f t="shared" si="130"/>
        <v>9.24</v>
      </c>
      <c r="G827" s="68">
        <v>3.06</v>
      </c>
      <c r="H827" s="68">
        <v>0.53</v>
      </c>
      <c r="I827" s="68">
        <v>5</v>
      </c>
      <c r="J827" s="68"/>
      <c r="K827" s="68"/>
      <c r="L827" s="68"/>
      <c r="M827" s="68"/>
      <c r="N827" s="68"/>
      <c r="O827" s="68"/>
      <c r="P827" s="68"/>
      <c r="Q827" s="68"/>
      <c r="R827" s="68"/>
      <c r="S827" s="68"/>
      <c r="T827" s="68"/>
      <c r="U827" s="68"/>
      <c r="V827" s="68"/>
      <c r="W827" s="68"/>
      <c r="X827" s="68"/>
      <c r="Y827" s="68"/>
      <c r="Z827" s="68">
        <v>0.55000000000000004</v>
      </c>
      <c r="AA827" s="68">
        <v>0.1</v>
      </c>
      <c r="AB827" s="68"/>
      <c r="AC827" s="68"/>
      <c r="AD827" s="68"/>
      <c r="AE827" s="68"/>
      <c r="AF827" s="68"/>
      <c r="AG827" s="68"/>
      <c r="AH827" s="68"/>
      <c r="AI827" s="68"/>
      <c r="AJ827" s="68"/>
      <c r="AK827" s="68"/>
      <c r="AL827" s="68"/>
      <c r="AM827" s="68"/>
      <c r="AN827" s="68"/>
      <c r="AO827" s="68"/>
      <c r="AP827" s="68"/>
      <c r="AQ827" s="68"/>
      <c r="AR827" s="68"/>
      <c r="AS827" s="68"/>
      <c r="AT827" s="68"/>
      <c r="AU827" s="68"/>
      <c r="AV827" s="68"/>
      <c r="AW827" s="68"/>
      <c r="AX827" s="68"/>
      <c r="AY827" s="70" t="s">
        <v>983</v>
      </c>
      <c r="AZ827" s="70"/>
      <c r="BA827" s="70"/>
      <c r="BB827" s="81"/>
      <c r="BI827" s="42"/>
    </row>
    <row r="828" spans="1:72" s="24" customFormat="1" ht="21" hidden="1" customHeight="1">
      <c r="A828" s="32"/>
      <c r="B828" s="158"/>
      <c r="C828" s="78" t="s">
        <v>138</v>
      </c>
      <c r="D828" s="35">
        <f t="shared" si="129"/>
        <v>4.84</v>
      </c>
      <c r="E828" s="67"/>
      <c r="F828" s="35">
        <f t="shared" si="130"/>
        <v>4.84</v>
      </c>
      <c r="G828" s="154">
        <f>G821-G822-G823-G824-G825-G826-G827</f>
        <v>1.9799999999999991</v>
      </c>
      <c r="H828" s="157">
        <f>H821-H822-H823-H824-H825-H826-H827</f>
        <v>0</v>
      </c>
      <c r="I828" s="154">
        <f t="shared" ref="I828:AX828" si="131">I821-I822-I823-I824-I825-I826-I827</f>
        <v>1.4700000000000006</v>
      </c>
      <c r="J828" s="154">
        <f t="shared" si="131"/>
        <v>0.28000000000000003</v>
      </c>
      <c r="K828" s="153">
        <f t="shared" si="131"/>
        <v>0</v>
      </c>
      <c r="L828" s="153">
        <f t="shared" si="131"/>
        <v>0</v>
      </c>
      <c r="M828" s="154">
        <f t="shared" si="131"/>
        <v>1.1099999999999999</v>
      </c>
      <c r="N828" s="153">
        <f t="shared" si="131"/>
        <v>0</v>
      </c>
      <c r="O828" s="153">
        <f t="shared" si="131"/>
        <v>0</v>
      </c>
      <c r="P828" s="153">
        <f t="shared" si="131"/>
        <v>0</v>
      </c>
      <c r="Q828" s="153">
        <f t="shared" si="131"/>
        <v>0</v>
      </c>
      <c r="R828" s="153">
        <f t="shared" si="131"/>
        <v>0</v>
      </c>
      <c r="S828" s="153">
        <f t="shared" si="131"/>
        <v>0</v>
      </c>
      <c r="T828" s="153">
        <f t="shared" si="131"/>
        <v>0</v>
      </c>
      <c r="U828" s="153">
        <f t="shared" si="131"/>
        <v>0</v>
      </c>
      <c r="V828" s="153">
        <f t="shared" si="131"/>
        <v>0</v>
      </c>
      <c r="W828" s="153">
        <f t="shared" si="131"/>
        <v>0</v>
      </c>
      <c r="X828" s="153">
        <f t="shared" si="131"/>
        <v>0</v>
      </c>
      <c r="Y828" s="153">
        <f t="shared" si="131"/>
        <v>0</v>
      </c>
      <c r="Z828" s="153">
        <f>Z821-Z822-Z823-Z824-Z825-Z826-Z827</f>
        <v>0</v>
      </c>
      <c r="AA828" s="153">
        <f t="shared" si="131"/>
        <v>0</v>
      </c>
      <c r="AB828" s="153">
        <f t="shared" si="131"/>
        <v>0</v>
      </c>
      <c r="AC828" s="153">
        <f t="shared" si="131"/>
        <v>0</v>
      </c>
      <c r="AD828" s="153">
        <f t="shared" si="131"/>
        <v>0</v>
      </c>
      <c r="AE828" s="153">
        <f t="shared" si="131"/>
        <v>0</v>
      </c>
      <c r="AF828" s="153">
        <f t="shared" si="131"/>
        <v>0</v>
      </c>
      <c r="AG828" s="153">
        <f t="shared" si="131"/>
        <v>0</v>
      </c>
      <c r="AH828" s="153">
        <f t="shared" si="131"/>
        <v>0</v>
      </c>
      <c r="AI828" s="153">
        <f t="shared" si="131"/>
        <v>0</v>
      </c>
      <c r="AJ828" s="153">
        <f t="shared" si="131"/>
        <v>0</v>
      </c>
      <c r="AK828" s="153">
        <f t="shared" si="131"/>
        <v>0</v>
      </c>
      <c r="AL828" s="153">
        <f t="shared" si="131"/>
        <v>0</v>
      </c>
      <c r="AM828" s="153">
        <f t="shared" si="131"/>
        <v>0</v>
      </c>
      <c r="AN828" s="153">
        <f t="shared" si="131"/>
        <v>0</v>
      </c>
      <c r="AO828" s="153">
        <f t="shared" si="131"/>
        <v>0</v>
      </c>
      <c r="AP828" s="157">
        <f t="shared" si="131"/>
        <v>5.5511151231257827E-17</v>
      </c>
      <c r="AQ828" s="153">
        <f t="shared" si="131"/>
        <v>0</v>
      </c>
      <c r="AR828" s="153">
        <f t="shared" si="131"/>
        <v>0</v>
      </c>
      <c r="AS828" s="153">
        <f t="shared" si="131"/>
        <v>0</v>
      </c>
      <c r="AT828" s="153">
        <f t="shared" si="131"/>
        <v>0</v>
      </c>
      <c r="AU828" s="153">
        <f t="shared" si="131"/>
        <v>0</v>
      </c>
      <c r="AV828" s="153">
        <f t="shared" si="131"/>
        <v>0</v>
      </c>
      <c r="AW828" s="153">
        <f t="shared" si="131"/>
        <v>0</v>
      </c>
      <c r="AX828" s="153">
        <f t="shared" si="131"/>
        <v>0</v>
      </c>
      <c r="AY828" s="70" t="s">
        <v>983</v>
      </c>
      <c r="AZ828" s="70"/>
      <c r="BA828" s="70"/>
      <c r="BB828" s="81"/>
      <c r="BI828" s="42"/>
      <c r="BT828" s="24" t="s">
        <v>1361</v>
      </c>
    </row>
    <row r="829" spans="1:72" s="71" customFormat="1" ht="18.600000000000001" customHeight="1">
      <c r="A829" s="32">
        <f>A821+1</f>
        <v>632</v>
      </c>
      <c r="B829" s="44" t="s">
        <v>186</v>
      </c>
      <c r="C829" s="78" t="s">
        <v>1260</v>
      </c>
      <c r="D829" s="35">
        <f>E829+F829</f>
        <v>0.78</v>
      </c>
      <c r="E829" s="67"/>
      <c r="F829" s="35">
        <f t="shared" si="130"/>
        <v>0.78</v>
      </c>
      <c r="G829" s="68">
        <v>0.38</v>
      </c>
      <c r="H829" s="68"/>
      <c r="I829" s="68">
        <v>0.4</v>
      </c>
      <c r="J829" s="68"/>
      <c r="K829" s="68"/>
      <c r="L829" s="68"/>
      <c r="M829" s="68"/>
      <c r="N829" s="68"/>
      <c r="O829" s="68"/>
      <c r="P829" s="68"/>
      <c r="Q829" s="68"/>
      <c r="R829" s="68"/>
      <c r="S829" s="68"/>
      <c r="T829" s="68"/>
      <c r="U829" s="68"/>
      <c r="V829" s="68"/>
      <c r="W829" s="68"/>
      <c r="X829" s="68"/>
      <c r="Y829" s="68"/>
      <c r="Z829" s="68"/>
      <c r="AA829" s="68"/>
      <c r="AB829" s="68"/>
      <c r="AC829" s="68"/>
      <c r="AD829" s="68"/>
      <c r="AE829" s="68"/>
      <c r="AF829" s="68"/>
      <c r="AG829" s="68"/>
      <c r="AH829" s="68"/>
      <c r="AI829" s="68"/>
      <c r="AJ829" s="68"/>
      <c r="AK829" s="68"/>
      <c r="AL829" s="68"/>
      <c r="AM829" s="68"/>
      <c r="AN829" s="68"/>
      <c r="AO829" s="68"/>
      <c r="AP829" s="68"/>
      <c r="AQ829" s="68"/>
      <c r="AR829" s="68"/>
      <c r="AS829" s="68"/>
      <c r="AT829" s="68"/>
      <c r="AU829" s="68"/>
      <c r="AV829" s="68"/>
      <c r="AW829" s="68"/>
      <c r="AX829" s="68"/>
      <c r="AY829" s="70" t="s">
        <v>226</v>
      </c>
      <c r="AZ829" s="70" t="s">
        <v>392</v>
      </c>
      <c r="BA829" s="70" t="s">
        <v>291</v>
      </c>
      <c r="BB829" s="81"/>
      <c r="BC829" s="71" t="s">
        <v>1362</v>
      </c>
      <c r="BI829" s="42">
        <v>1</v>
      </c>
      <c r="BK829" s="72"/>
    </row>
    <row r="830" spans="1:72" s="71" customFormat="1" ht="18.600000000000001" hidden="1" customHeight="1">
      <c r="A830" s="32"/>
      <c r="B830" s="44"/>
      <c r="C830" s="93" t="s">
        <v>59</v>
      </c>
      <c r="D830" s="35">
        <f>E830+F830</f>
        <v>0.3</v>
      </c>
      <c r="E830" s="67"/>
      <c r="F830" s="35">
        <f t="shared" si="130"/>
        <v>0.3</v>
      </c>
      <c r="G830" s="68">
        <v>0.15</v>
      </c>
      <c r="H830" s="68"/>
      <c r="I830" s="68">
        <v>0.15</v>
      </c>
      <c r="J830" s="68"/>
      <c r="K830" s="68"/>
      <c r="L830" s="68"/>
      <c r="M830" s="68"/>
      <c r="N830" s="68"/>
      <c r="O830" s="68"/>
      <c r="P830" s="68"/>
      <c r="Q830" s="68"/>
      <c r="R830" s="68"/>
      <c r="S830" s="68"/>
      <c r="T830" s="68"/>
      <c r="U830" s="68"/>
      <c r="V830" s="68"/>
      <c r="W830" s="68"/>
      <c r="X830" s="68"/>
      <c r="Y830" s="68"/>
      <c r="Z830" s="68"/>
      <c r="AA830" s="68"/>
      <c r="AB830" s="68"/>
      <c r="AC830" s="68"/>
      <c r="AD830" s="68"/>
      <c r="AE830" s="68"/>
      <c r="AF830" s="68"/>
      <c r="AG830" s="68"/>
      <c r="AH830" s="68"/>
      <c r="AI830" s="68"/>
      <c r="AJ830" s="68"/>
      <c r="AK830" s="68"/>
      <c r="AL830" s="68"/>
      <c r="AM830" s="68"/>
      <c r="AN830" s="68"/>
      <c r="AO830" s="68"/>
      <c r="AP830" s="68"/>
      <c r="AQ830" s="68"/>
      <c r="AR830" s="68"/>
      <c r="AS830" s="68"/>
      <c r="AT830" s="68"/>
      <c r="AU830" s="68"/>
      <c r="AV830" s="68"/>
      <c r="AW830" s="68"/>
      <c r="AX830" s="68"/>
      <c r="AY830" s="70" t="s">
        <v>226</v>
      </c>
      <c r="AZ830" s="70"/>
      <c r="BA830" s="70"/>
      <c r="BB830" s="81"/>
      <c r="BI830" s="42"/>
      <c r="BK830" s="72"/>
    </row>
    <row r="831" spans="1:72" s="71" customFormat="1" ht="18.600000000000001" hidden="1" customHeight="1">
      <c r="A831" s="32"/>
      <c r="B831" s="44"/>
      <c r="C831" s="93" t="s">
        <v>44</v>
      </c>
      <c r="D831" s="35">
        <f>E831+F831</f>
        <v>0.27</v>
      </c>
      <c r="E831" s="67"/>
      <c r="F831" s="35">
        <f t="shared" si="130"/>
        <v>0.27</v>
      </c>
      <c r="G831" s="68">
        <v>0.17</v>
      </c>
      <c r="H831" s="68"/>
      <c r="I831" s="68">
        <v>0.1</v>
      </c>
      <c r="J831" s="68"/>
      <c r="K831" s="68"/>
      <c r="L831" s="68"/>
      <c r="M831" s="68"/>
      <c r="N831" s="68"/>
      <c r="O831" s="68"/>
      <c r="P831" s="68"/>
      <c r="Q831" s="68"/>
      <c r="R831" s="68"/>
      <c r="S831" s="68"/>
      <c r="T831" s="68"/>
      <c r="U831" s="68"/>
      <c r="V831" s="68"/>
      <c r="W831" s="68"/>
      <c r="X831" s="68"/>
      <c r="Y831" s="68"/>
      <c r="Z831" s="68"/>
      <c r="AA831" s="68"/>
      <c r="AB831" s="68"/>
      <c r="AC831" s="68"/>
      <c r="AD831" s="68"/>
      <c r="AE831" s="68"/>
      <c r="AF831" s="68"/>
      <c r="AG831" s="68"/>
      <c r="AH831" s="68"/>
      <c r="AI831" s="68"/>
      <c r="AJ831" s="68"/>
      <c r="AK831" s="68"/>
      <c r="AL831" s="68"/>
      <c r="AM831" s="68"/>
      <c r="AN831" s="68"/>
      <c r="AO831" s="68"/>
      <c r="AP831" s="68"/>
      <c r="AQ831" s="68"/>
      <c r="AR831" s="68"/>
      <c r="AS831" s="68"/>
      <c r="AT831" s="68"/>
      <c r="AU831" s="68"/>
      <c r="AV831" s="68"/>
      <c r="AW831" s="68"/>
      <c r="AX831" s="68"/>
      <c r="AY831" s="70" t="s">
        <v>226</v>
      </c>
      <c r="AZ831" s="70"/>
      <c r="BA831" s="70"/>
      <c r="BB831" s="81"/>
      <c r="BI831" s="42"/>
      <c r="BK831" s="72"/>
    </row>
    <row r="832" spans="1:72" s="71" customFormat="1" ht="18.600000000000001" hidden="1" customHeight="1">
      <c r="A832" s="32"/>
      <c r="B832" s="44"/>
      <c r="C832" s="93" t="s">
        <v>138</v>
      </c>
      <c r="D832" s="35">
        <f>E832+F832</f>
        <v>0.21</v>
      </c>
      <c r="E832" s="67"/>
      <c r="F832" s="35">
        <f t="shared" si="130"/>
        <v>0.21</v>
      </c>
      <c r="G832" s="153">
        <f>G829-G830-G831</f>
        <v>0.06</v>
      </c>
      <c r="H832" s="153">
        <f t="shared" ref="H832:AX832" si="132">H829-H830-H831</f>
        <v>0</v>
      </c>
      <c r="I832" s="153">
        <f t="shared" si="132"/>
        <v>0.15</v>
      </c>
      <c r="J832" s="153">
        <f t="shared" si="132"/>
        <v>0</v>
      </c>
      <c r="K832" s="153">
        <f t="shared" si="132"/>
        <v>0</v>
      </c>
      <c r="L832" s="153">
        <f t="shared" si="132"/>
        <v>0</v>
      </c>
      <c r="M832" s="153">
        <f t="shared" si="132"/>
        <v>0</v>
      </c>
      <c r="N832" s="153">
        <f t="shared" si="132"/>
        <v>0</v>
      </c>
      <c r="O832" s="153">
        <f t="shared" si="132"/>
        <v>0</v>
      </c>
      <c r="P832" s="153">
        <f t="shared" si="132"/>
        <v>0</v>
      </c>
      <c r="Q832" s="153">
        <f t="shared" si="132"/>
        <v>0</v>
      </c>
      <c r="R832" s="153">
        <f t="shared" si="132"/>
        <v>0</v>
      </c>
      <c r="S832" s="153">
        <f t="shared" si="132"/>
        <v>0</v>
      </c>
      <c r="T832" s="153">
        <f t="shared" si="132"/>
        <v>0</v>
      </c>
      <c r="U832" s="153">
        <f t="shared" si="132"/>
        <v>0</v>
      </c>
      <c r="V832" s="153">
        <f t="shared" si="132"/>
        <v>0</v>
      </c>
      <c r="W832" s="153">
        <f t="shared" si="132"/>
        <v>0</v>
      </c>
      <c r="X832" s="153">
        <f t="shared" si="132"/>
        <v>0</v>
      </c>
      <c r="Y832" s="153">
        <f t="shared" si="132"/>
        <v>0</v>
      </c>
      <c r="Z832" s="153">
        <f t="shared" si="132"/>
        <v>0</v>
      </c>
      <c r="AA832" s="153">
        <f t="shared" si="132"/>
        <v>0</v>
      </c>
      <c r="AB832" s="153">
        <f t="shared" si="132"/>
        <v>0</v>
      </c>
      <c r="AC832" s="153">
        <f t="shared" si="132"/>
        <v>0</v>
      </c>
      <c r="AD832" s="153">
        <f t="shared" si="132"/>
        <v>0</v>
      </c>
      <c r="AE832" s="153">
        <f t="shared" si="132"/>
        <v>0</v>
      </c>
      <c r="AF832" s="153">
        <f t="shared" si="132"/>
        <v>0</v>
      </c>
      <c r="AG832" s="153">
        <f t="shared" si="132"/>
        <v>0</v>
      </c>
      <c r="AH832" s="153">
        <f t="shared" si="132"/>
        <v>0</v>
      </c>
      <c r="AI832" s="153">
        <f t="shared" si="132"/>
        <v>0</v>
      </c>
      <c r="AJ832" s="153">
        <f t="shared" si="132"/>
        <v>0</v>
      </c>
      <c r="AK832" s="153">
        <f t="shared" si="132"/>
        <v>0</v>
      </c>
      <c r="AL832" s="153">
        <f t="shared" si="132"/>
        <v>0</v>
      </c>
      <c r="AM832" s="153">
        <f t="shared" si="132"/>
        <v>0</v>
      </c>
      <c r="AN832" s="153">
        <f t="shared" si="132"/>
        <v>0</v>
      </c>
      <c r="AO832" s="153">
        <f t="shared" si="132"/>
        <v>0</v>
      </c>
      <c r="AP832" s="153">
        <f t="shared" si="132"/>
        <v>0</v>
      </c>
      <c r="AQ832" s="153">
        <f t="shared" si="132"/>
        <v>0</v>
      </c>
      <c r="AR832" s="153">
        <f t="shared" si="132"/>
        <v>0</v>
      </c>
      <c r="AS832" s="153">
        <f t="shared" si="132"/>
        <v>0</v>
      </c>
      <c r="AT832" s="153">
        <f t="shared" si="132"/>
        <v>0</v>
      </c>
      <c r="AU832" s="153">
        <f t="shared" si="132"/>
        <v>0</v>
      </c>
      <c r="AV832" s="153">
        <f t="shared" si="132"/>
        <v>0</v>
      </c>
      <c r="AW832" s="153">
        <f t="shared" si="132"/>
        <v>0</v>
      </c>
      <c r="AX832" s="153">
        <f t="shared" si="132"/>
        <v>0</v>
      </c>
      <c r="AY832" s="70" t="s">
        <v>226</v>
      </c>
      <c r="AZ832" s="70"/>
      <c r="BA832" s="70"/>
      <c r="BB832" s="81"/>
      <c r="BI832" s="42"/>
      <c r="BK832" s="72"/>
    </row>
    <row r="833" spans="1:61" s="24" customFormat="1" ht="31.5">
      <c r="A833" s="32">
        <f>A829+1</f>
        <v>633</v>
      </c>
      <c r="B833" s="158" t="s">
        <v>186</v>
      </c>
      <c r="C833" s="78" t="s">
        <v>1260</v>
      </c>
      <c r="D833" s="35">
        <f t="shared" ref="D833:D896" si="133">F833+E833</f>
        <v>1.98</v>
      </c>
      <c r="E833" s="67"/>
      <c r="F833" s="35">
        <f t="shared" si="130"/>
        <v>1.98</v>
      </c>
      <c r="G833" s="68">
        <v>0.73</v>
      </c>
      <c r="H833" s="68">
        <v>0.75</v>
      </c>
      <c r="I833" s="68">
        <v>0.5</v>
      </c>
      <c r="J833" s="68"/>
      <c r="K833" s="68"/>
      <c r="L833" s="68"/>
      <c r="M833" s="68"/>
      <c r="N833" s="68"/>
      <c r="O833" s="68"/>
      <c r="P833" s="68"/>
      <c r="Q833" s="68"/>
      <c r="R833" s="68"/>
      <c r="S833" s="68"/>
      <c r="T833" s="68"/>
      <c r="U833" s="68"/>
      <c r="V833" s="68"/>
      <c r="W833" s="68"/>
      <c r="X833" s="68"/>
      <c r="Y833" s="68"/>
      <c r="Z833" s="68"/>
      <c r="AA833" s="68"/>
      <c r="AB833" s="68"/>
      <c r="AC833" s="68"/>
      <c r="AD833" s="68"/>
      <c r="AE833" s="68"/>
      <c r="AF833" s="68"/>
      <c r="AG833" s="68"/>
      <c r="AH833" s="68"/>
      <c r="AI833" s="68"/>
      <c r="AJ833" s="68"/>
      <c r="AK833" s="68"/>
      <c r="AL833" s="68"/>
      <c r="AM833" s="68"/>
      <c r="AN833" s="68"/>
      <c r="AO833" s="68"/>
      <c r="AP833" s="68"/>
      <c r="AQ833" s="68"/>
      <c r="AR833" s="68"/>
      <c r="AS833" s="68"/>
      <c r="AT833" s="68"/>
      <c r="AU833" s="68"/>
      <c r="AV833" s="68"/>
      <c r="AW833" s="68"/>
      <c r="AX833" s="68"/>
      <c r="AY833" s="70" t="s">
        <v>983</v>
      </c>
      <c r="AZ833" s="70" t="s">
        <v>1363</v>
      </c>
      <c r="BA833" s="47" t="s">
        <v>298</v>
      </c>
      <c r="BB833" s="48"/>
      <c r="BC833" s="24" t="s">
        <v>1364</v>
      </c>
      <c r="BI833" s="42">
        <v>1</v>
      </c>
    </row>
    <row r="834" spans="1:61" s="24" customFormat="1" hidden="1">
      <c r="A834" s="32"/>
      <c r="B834" s="158"/>
      <c r="C834" s="93" t="s">
        <v>59</v>
      </c>
      <c r="D834" s="35">
        <f t="shared" si="133"/>
        <v>0.69</v>
      </c>
      <c r="E834" s="67"/>
      <c r="F834" s="35">
        <f t="shared" si="130"/>
        <v>0.69</v>
      </c>
      <c r="G834" s="68">
        <v>0.3</v>
      </c>
      <c r="H834" s="68">
        <v>0.2</v>
      </c>
      <c r="I834" s="68">
        <v>0.19</v>
      </c>
      <c r="J834" s="68"/>
      <c r="K834" s="68"/>
      <c r="L834" s="68"/>
      <c r="M834" s="68"/>
      <c r="N834" s="68"/>
      <c r="O834" s="68"/>
      <c r="P834" s="68"/>
      <c r="Q834" s="68"/>
      <c r="R834" s="68"/>
      <c r="S834" s="68"/>
      <c r="T834" s="68"/>
      <c r="U834" s="68"/>
      <c r="V834" s="68"/>
      <c r="W834" s="68"/>
      <c r="X834" s="68"/>
      <c r="Y834" s="68"/>
      <c r="Z834" s="68"/>
      <c r="AA834" s="68"/>
      <c r="AB834" s="68"/>
      <c r="AC834" s="68"/>
      <c r="AD834" s="68"/>
      <c r="AE834" s="68"/>
      <c r="AF834" s="68"/>
      <c r="AG834" s="68"/>
      <c r="AH834" s="68"/>
      <c r="AI834" s="68"/>
      <c r="AJ834" s="68"/>
      <c r="AK834" s="68"/>
      <c r="AL834" s="68"/>
      <c r="AM834" s="68"/>
      <c r="AN834" s="68"/>
      <c r="AO834" s="68"/>
      <c r="AP834" s="68"/>
      <c r="AQ834" s="68"/>
      <c r="AR834" s="68"/>
      <c r="AS834" s="68"/>
      <c r="AT834" s="68"/>
      <c r="AU834" s="68"/>
      <c r="AV834" s="68"/>
      <c r="AW834" s="68"/>
      <c r="AX834" s="68"/>
      <c r="AY834" s="70" t="s">
        <v>226</v>
      </c>
      <c r="AZ834" s="70"/>
      <c r="BA834" s="47"/>
      <c r="BB834" s="48"/>
      <c r="BI834" s="42"/>
    </row>
    <row r="835" spans="1:61" s="24" customFormat="1" hidden="1">
      <c r="A835" s="32"/>
      <c r="B835" s="158"/>
      <c r="C835" s="93" t="s">
        <v>44</v>
      </c>
      <c r="D835" s="35">
        <f t="shared" si="133"/>
        <v>0.69000000000000006</v>
      </c>
      <c r="E835" s="67"/>
      <c r="F835" s="35">
        <f t="shared" si="130"/>
        <v>0.69000000000000006</v>
      </c>
      <c r="G835" s="68">
        <v>0.25</v>
      </c>
      <c r="H835" s="68">
        <v>0.3</v>
      </c>
      <c r="I835" s="68">
        <v>0.14000000000000001</v>
      </c>
      <c r="J835" s="68"/>
      <c r="K835" s="68"/>
      <c r="L835" s="68"/>
      <c r="M835" s="68"/>
      <c r="N835" s="68"/>
      <c r="O835" s="68"/>
      <c r="P835" s="68"/>
      <c r="Q835" s="68"/>
      <c r="R835" s="68"/>
      <c r="S835" s="68"/>
      <c r="T835" s="68"/>
      <c r="U835" s="68"/>
      <c r="V835" s="68"/>
      <c r="W835" s="68"/>
      <c r="X835" s="68"/>
      <c r="Y835" s="68"/>
      <c r="Z835" s="68"/>
      <c r="AA835" s="68"/>
      <c r="AB835" s="68"/>
      <c r="AC835" s="68"/>
      <c r="AD835" s="68"/>
      <c r="AE835" s="68"/>
      <c r="AF835" s="68"/>
      <c r="AG835" s="68"/>
      <c r="AH835" s="68"/>
      <c r="AI835" s="68"/>
      <c r="AJ835" s="68"/>
      <c r="AK835" s="68"/>
      <c r="AL835" s="68"/>
      <c r="AM835" s="68"/>
      <c r="AN835" s="68"/>
      <c r="AO835" s="68"/>
      <c r="AP835" s="68"/>
      <c r="AQ835" s="68"/>
      <c r="AR835" s="68"/>
      <c r="AS835" s="68"/>
      <c r="AT835" s="68"/>
      <c r="AU835" s="68"/>
      <c r="AV835" s="68"/>
      <c r="AW835" s="68"/>
      <c r="AX835" s="68"/>
      <c r="AY835" s="70" t="s">
        <v>226</v>
      </c>
      <c r="AZ835" s="70"/>
      <c r="BA835" s="47"/>
      <c r="BB835" s="48"/>
      <c r="BI835" s="42"/>
    </row>
    <row r="836" spans="1:61" s="24" customFormat="1" hidden="1">
      <c r="A836" s="32"/>
      <c r="B836" s="158"/>
      <c r="C836" s="93" t="s">
        <v>45</v>
      </c>
      <c r="D836" s="35">
        <f t="shared" si="133"/>
        <v>0.2</v>
      </c>
      <c r="E836" s="67"/>
      <c r="F836" s="35">
        <f t="shared" si="130"/>
        <v>0.2</v>
      </c>
      <c r="G836" s="68">
        <v>0.1</v>
      </c>
      <c r="H836" s="68">
        <v>0.1</v>
      </c>
      <c r="I836" s="68"/>
      <c r="J836" s="68"/>
      <c r="K836" s="68"/>
      <c r="L836" s="68"/>
      <c r="M836" s="68"/>
      <c r="N836" s="68"/>
      <c r="O836" s="68"/>
      <c r="P836" s="68"/>
      <c r="Q836" s="68"/>
      <c r="R836" s="68"/>
      <c r="S836" s="68"/>
      <c r="T836" s="68"/>
      <c r="U836" s="68"/>
      <c r="V836" s="68"/>
      <c r="W836" s="68"/>
      <c r="X836" s="68"/>
      <c r="Y836" s="68"/>
      <c r="Z836" s="68"/>
      <c r="AA836" s="68"/>
      <c r="AB836" s="68"/>
      <c r="AC836" s="68"/>
      <c r="AD836" s="68"/>
      <c r="AE836" s="68"/>
      <c r="AF836" s="68"/>
      <c r="AG836" s="68"/>
      <c r="AH836" s="68"/>
      <c r="AI836" s="68"/>
      <c r="AJ836" s="68"/>
      <c r="AK836" s="68"/>
      <c r="AL836" s="68"/>
      <c r="AM836" s="68"/>
      <c r="AN836" s="68"/>
      <c r="AO836" s="68"/>
      <c r="AP836" s="68"/>
      <c r="AQ836" s="68"/>
      <c r="AR836" s="68"/>
      <c r="AS836" s="68"/>
      <c r="AT836" s="68"/>
      <c r="AU836" s="68"/>
      <c r="AV836" s="68"/>
      <c r="AW836" s="68"/>
      <c r="AX836" s="68"/>
      <c r="AY836" s="70" t="s">
        <v>226</v>
      </c>
      <c r="AZ836" s="70"/>
      <c r="BA836" s="47"/>
      <c r="BB836" s="48"/>
      <c r="BI836" s="42"/>
    </row>
    <row r="837" spans="1:61" s="24" customFormat="1" hidden="1">
      <c r="A837" s="32"/>
      <c r="B837" s="158"/>
      <c r="C837" s="93" t="s">
        <v>138</v>
      </c>
      <c r="D837" s="35">
        <f t="shared" si="133"/>
        <v>0.4</v>
      </c>
      <c r="E837" s="67"/>
      <c r="F837" s="35">
        <f t="shared" si="130"/>
        <v>0.4</v>
      </c>
      <c r="G837" s="153">
        <f t="shared" ref="G837:AW837" si="134">G833-G834-G835-G836</f>
        <v>7.9999999999999988E-2</v>
      </c>
      <c r="H837" s="153">
        <f t="shared" si="134"/>
        <v>0.15000000000000005</v>
      </c>
      <c r="I837" s="153">
        <f t="shared" si="134"/>
        <v>0.16999999999999998</v>
      </c>
      <c r="J837" s="153">
        <f t="shared" si="134"/>
        <v>0</v>
      </c>
      <c r="K837" s="153">
        <f t="shared" si="134"/>
        <v>0</v>
      </c>
      <c r="L837" s="153">
        <f t="shared" si="134"/>
        <v>0</v>
      </c>
      <c r="M837" s="153">
        <f t="shared" si="134"/>
        <v>0</v>
      </c>
      <c r="N837" s="153">
        <f t="shared" si="134"/>
        <v>0</v>
      </c>
      <c r="O837" s="153">
        <f t="shared" si="134"/>
        <v>0</v>
      </c>
      <c r="P837" s="153">
        <f t="shared" si="134"/>
        <v>0</v>
      </c>
      <c r="Q837" s="153">
        <f t="shared" si="134"/>
        <v>0</v>
      </c>
      <c r="R837" s="153">
        <f t="shared" si="134"/>
        <v>0</v>
      </c>
      <c r="S837" s="153">
        <f t="shared" si="134"/>
        <v>0</v>
      </c>
      <c r="T837" s="153">
        <f t="shared" si="134"/>
        <v>0</v>
      </c>
      <c r="U837" s="153">
        <f t="shared" si="134"/>
        <v>0</v>
      </c>
      <c r="V837" s="153">
        <f t="shared" si="134"/>
        <v>0</v>
      </c>
      <c r="W837" s="153">
        <f t="shared" si="134"/>
        <v>0</v>
      </c>
      <c r="X837" s="153">
        <f t="shared" si="134"/>
        <v>0</v>
      </c>
      <c r="Y837" s="153">
        <f t="shared" si="134"/>
        <v>0</v>
      </c>
      <c r="Z837" s="153">
        <f t="shared" si="134"/>
        <v>0</v>
      </c>
      <c r="AA837" s="153">
        <f t="shared" si="134"/>
        <v>0</v>
      </c>
      <c r="AB837" s="153">
        <f t="shared" si="134"/>
        <v>0</v>
      </c>
      <c r="AC837" s="153">
        <f t="shared" si="134"/>
        <v>0</v>
      </c>
      <c r="AD837" s="153">
        <f t="shared" si="134"/>
        <v>0</v>
      </c>
      <c r="AE837" s="153">
        <f t="shared" si="134"/>
        <v>0</v>
      </c>
      <c r="AF837" s="153">
        <f t="shared" si="134"/>
        <v>0</v>
      </c>
      <c r="AG837" s="153">
        <f t="shared" si="134"/>
        <v>0</v>
      </c>
      <c r="AH837" s="153">
        <f t="shared" si="134"/>
        <v>0</v>
      </c>
      <c r="AI837" s="153">
        <f t="shared" si="134"/>
        <v>0</v>
      </c>
      <c r="AJ837" s="153">
        <f t="shared" si="134"/>
        <v>0</v>
      </c>
      <c r="AK837" s="153">
        <f t="shared" si="134"/>
        <v>0</v>
      </c>
      <c r="AL837" s="153">
        <f t="shared" si="134"/>
        <v>0</v>
      </c>
      <c r="AM837" s="153">
        <f t="shared" si="134"/>
        <v>0</v>
      </c>
      <c r="AN837" s="153">
        <f t="shared" si="134"/>
        <v>0</v>
      </c>
      <c r="AO837" s="153">
        <f t="shared" si="134"/>
        <v>0</v>
      </c>
      <c r="AP837" s="153">
        <f t="shared" si="134"/>
        <v>0</v>
      </c>
      <c r="AQ837" s="153">
        <f t="shared" si="134"/>
        <v>0</v>
      </c>
      <c r="AR837" s="153">
        <f t="shared" si="134"/>
        <v>0</v>
      </c>
      <c r="AS837" s="153">
        <f t="shared" si="134"/>
        <v>0</v>
      </c>
      <c r="AT837" s="153">
        <f t="shared" si="134"/>
        <v>0</v>
      </c>
      <c r="AU837" s="153">
        <f t="shared" si="134"/>
        <v>0</v>
      </c>
      <c r="AV837" s="153">
        <f t="shared" si="134"/>
        <v>0</v>
      </c>
      <c r="AW837" s="153">
        <f t="shared" si="134"/>
        <v>0</v>
      </c>
      <c r="AX837" s="153">
        <f>AX833-AX834-AX835-AX836</f>
        <v>0</v>
      </c>
      <c r="AY837" s="70" t="s">
        <v>226</v>
      </c>
      <c r="AZ837" s="70"/>
      <c r="BA837" s="47"/>
      <c r="BB837" s="48"/>
      <c r="BI837" s="42"/>
    </row>
    <row r="838" spans="1:61" s="24" customFormat="1" ht="34.35" customHeight="1">
      <c r="A838" s="32">
        <f>A833+1</f>
        <v>634</v>
      </c>
      <c r="B838" s="66" t="s">
        <v>186</v>
      </c>
      <c r="C838" s="78" t="s">
        <v>1260</v>
      </c>
      <c r="D838" s="35">
        <f t="shared" si="133"/>
        <v>0.99999999999999989</v>
      </c>
      <c r="E838" s="67"/>
      <c r="F838" s="35">
        <f t="shared" si="130"/>
        <v>0.99999999999999989</v>
      </c>
      <c r="G838" s="68"/>
      <c r="H838" s="68">
        <f>0.72+0.18</f>
        <v>0.89999999999999991</v>
      </c>
      <c r="I838" s="68">
        <v>0.1</v>
      </c>
      <c r="J838" s="68"/>
      <c r="K838" s="68"/>
      <c r="L838" s="68"/>
      <c r="M838" s="68"/>
      <c r="N838" s="68"/>
      <c r="O838" s="68"/>
      <c r="P838" s="68"/>
      <c r="Q838" s="68"/>
      <c r="R838" s="68"/>
      <c r="S838" s="68"/>
      <c r="T838" s="68"/>
      <c r="U838" s="68"/>
      <c r="V838" s="68"/>
      <c r="W838" s="68"/>
      <c r="X838" s="68"/>
      <c r="Y838" s="68"/>
      <c r="Z838" s="68"/>
      <c r="AA838" s="68"/>
      <c r="AB838" s="68"/>
      <c r="AC838" s="68"/>
      <c r="AD838" s="68"/>
      <c r="AE838" s="68"/>
      <c r="AF838" s="68"/>
      <c r="AG838" s="68"/>
      <c r="AH838" s="68"/>
      <c r="AI838" s="68"/>
      <c r="AJ838" s="68"/>
      <c r="AK838" s="68"/>
      <c r="AL838" s="68"/>
      <c r="AM838" s="68"/>
      <c r="AN838" s="68"/>
      <c r="AO838" s="68"/>
      <c r="AP838" s="68"/>
      <c r="AQ838" s="68"/>
      <c r="AR838" s="68"/>
      <c r="AS838" s="68"/>
      <c r="AT838" s="68"/>
      <c r="AU838" s="68"/>
      <c r="AV838" s="68"/>
      <c r="AW838" s="68"/>
      <c r="AX838" s="68"/>
      <c r="AY838" s="70" t="s">
        <v>983</v>
      </c>
      <c r="AZ838" s="70" t="s">
        <v>1365</v>
      </c>
      <c r="BA838" s="47" t="s">
        <v>298</v>
      </c>
      <c r="BB838" s="48"/>
      <c r="BC838" s="24" t="s">
        <v>1366</v>
      </c>
      <c r="BD838" s="24" t="s">
        <v>629</v>
      </c>
      <c r="BI838" s="42">
        <v>1</v>
      </c>
    </row>
    <row r="839" spans="1:61" s="24" customFormat="1" ht="23.45" hidden="1" customHeight="1">
      <c r="A839" s="32"/>
      <c r="B839" s="66"/>
      <c r="C839" s="93" t="s">
        <v>59</v>
      </c>
      <c r="D839" s="35">
        <f t="shared" si="133"/>
        <v>0.35</v>
      </c>
      <c r="E839" s="67"/>
      <c r="F839" s="35">
        <f t="shared" si="130"/>
        <v>0.35</v>
      </c>
      <c r="G839" s="68"/>
      <c r="H839" s="68">
        <v>0.35</v>
      </c>
      <c r="I839" s="68"/>
      <c r="J839" s="68"/>
      <c r="K839" s="68"/>
      <c r="L839" s="68"/>
      <c r="M839" s="68"/>
      <c r="N839" s="68"/>
      <c r="O839" s="68"/>
      <c r="P839" s="68"/>
      <c r="Q839" s="68"/>
      <c r="R839" s="68"/>
      <c r="S839" s="68"/>
      <c r="T839" s="68"/>
      <c r="U839" s="68"/>
      <c r="V839" s="68"/>
      <c r="W839" s="68"/>
      <c r="X839" s="68"/>
      <c r="Y839" s="68"/>
      <c r="Z839" s="68"/>
      <c r="AA839" s="68"/>
      <c r="AB839" s="68"/>
      <c r="AC839" s="68"/>
      <c r="AD839" s="68"/>
      <c r="AE839" s="68"/>
      <c r="AF839" s="68"/>
      <c r="AG839" s="68"/>
      <c r="AH839" s="68"/>
      <c r="AI839" s="68"/>
      <c r="AJ839" s="68"/>
      <c r="AK839" s="68"/>
      <c r="AL839" s="68"/>
      <c r="AM839" s="68"/>
      <c r="AN839" s="68"/>
      <c r="AO839" s="68"/>
      <c r="AP839" s="68"/>
      <c r="AQ839" s="68"/>
      <c r="AR839" s="68"/>
      <c r="AS839" s="68"/>
      <c r="AT839" s="68"/>
      <c r="AU839" s="68"/>
      <c r="AV839" s="68"/>
      <c r="AW839" s="68"/>
      <c r="AX839" s="68"/>
      <c r="AY839" s="70" t="s">
        <v>226</v>
      </c>
      <c r="AZ839" s="70"/>
      <c r="BA839" s="47"/>
      <c r="BB839" s="48"/>
      <c r="BI839" s="42"/>
    </row>
    <row r="840" spans="1:61" s="24" customFormat="1" ht="23.45" hidden="1" customHeight="1">
      <c r="A840" s="32"/>
      <c r="B840" s="66"/>
      <c r="C840" s="93" t="s">
        <v>44</v>
      </c>
      <c r="D840" s="35">
        <f t="shared" si="133"/>
        <v>0.39999999999999997</v>
      </c>
      <c r="E840" s="67"/>
      <c r="F840" s="35">
        <f t="shared" si="130"/>
        <v>0.39999999999999997</v>
      </c>
      <c r="G840" s="68"/>
      <c r="H840" s="68">
        <v>0.35</v>
      </c>
      <c r="I840" s="68">
        <v>0.05</v>
      </c>
      <c r="J840" s="68"/>
      <c r="K840" s="68"/>
      <c r="L840" s="68"/>
      <c r="M840" s="68"/>
      <c r="N840" s="68"/>
      <c r="O840" s="68"/>
      <c r="P840" s="68"/>
      <c r="Q840" s="68"/>
      <c r="R840" s="68"/>
      <c r="S840" s="68"/>
      <c r="T840" s="68"/>
      <c r="U840" s="68"/>
      <c r="V840" s="68"/>
      <c r="W840" s="68"/>
      <c r="X840" s="68"/>
      <c r="Y840" s="68"/>
      <c r="Z840" s="68"/>
      <c r="AA840" s="68"/>
      <c r="AB840" s="68"/>
      <c r="AC840" s="68"/>
      <c r="AD840" s="68"/>
      <c r="AE840" s="68"/>
      <c r="AF840" s="68"/>
      <c r="AG840" s="68"/>
      <c r="AH840" s="68"/>
      <c r="AI840" s="68"/>
      <c r="AJ840" s="68"/>
      <c r="AK840" s="68"/>
      <c r="AL840" s="68"/>
      <c r="AM840" s="68"/>
      <c r="AN840" s="68"/>
      <c r="AO840" s="68"/>
      <c r="AP840" s="68"/>
      <c r="AQ840" s="68"/>
      <c r="AR840" s="68"/>
      <c r="AS840" s="68"/>
      <c r="AT840" s="68"/>
      <c r="AU840" s="68"/>
      <c r="AV840" s="68"/>
      <c r="AW840" s="68"/>
      <c r="AX840" s="68"/>
      <c r="AY840" s="70" t="s">
        <v>226</v>
      </c>
      <c r="AZ840" s="70"/>
      <c r="BA840" s="47"/>
      <c r="BB840" s="48"/>
      <c r="BI840" s="42"/>
    </row>
    <row r="841" spans="1:61" s="24" customFormat="1" ht="23.45" hidden="1" customHeight="1">
      <c r="A841" s="32"/>
      <c r="B841" s="66"/>
      <c r="C841" s="93" t="s">
        <v>138</v>
      </c>
      <c r="D841" s="35">
        <f t="shared" si="133"/>
        <v>0.24999999999999994</v>
      </c>
      <c r="E841" s="67"/>
      <c r="F841" s="35">
        <f t="shared" si="130"/>
        <v>0.24999999999999994</v>
      </c>
      <c r="G841" s="153">
        <f>G838-G839-G840</f>
        <v>0</v>
      </c>
      <c r="H841" s="153">
        <f t="shared" ref="H841:AX841" si="135">H838-H839-H840</f>
        <v>0.19999999999999996</v>
      </c>
      <c r="I841" s="153">
        <f t="shared" si="135"/>
        <v>0.05</v>
      </c>
      <c r="J841" s="153">
        <f t="shared" si="135"/>
        <v>0</v>
      </c>
      <c r="K841" s="153">
        <f t="shared" si="135"/>
        <v>0</v>
      </c>
      <c r="L841" s="153">
        <f t="shared" si="135"/>
        <v>0</v>
      </c>
      <c r="M841" s="153">
        <f t="shared" si="135"/>
        <v>0</v>
      </c>
      <c r="N841" s="153">
        <f t="shared" si="135"/>
        <v>0</v>
      </c>
      <c r="O841" s="153">
        <f t="shared" si="135"/>
        <v>0</v>
      </c>
      <c r="P841" s="153">
        <f t="shared" si="135"/>
        <v>0</v>
      </c>
      <c r="Q841" s="153">
        <f t="shared" si="135"/>
        <v>0</v>
      </c>
      <c r="R841" s="153">
        <f t="shared" si="135"/>
        <v>0</v>
      </c>
      <c r="S841" s="153">
        <f t="shared" si="135"/>
        <v>0</v>
      </c>
      <c r="T841" s="153">
        <f t="shared" si="135"/>
        <v>0</v>
      </c>
      <c r="U841" s="153">
        <f t="shared" si="135"/>
        <v>0</v>
      </c>
      <c r="V841" s="153">
        <f t="shared" si="135"/>
        <v>0</v>
      </c>
      <c r="W841" s="153">
        <f t="shared" si="135"/>
        <v>0</v>
      </c>
      <c r="X841" s="153">
        <f t="shared" si="135"/>
        <v>0</v>
      </c>
      <c r="Y841" s="153">
        <f t="shared" si="135"/>
        <v>0</v>
      </c>
      <c r="Z841" s="153">
        <f t="shared" si="135"/>
        <v>0</v>
      </c>
      <c r="AA841" s="153">
        <f t="shared" si="135"/>
        <v>0</v>
      </c>
      <c r="AB841" s="153">
        <f t="shared" si="135"/>
        <v>0</v>
      </c>
      <c r="AC841" s="153">
        <f t="shared" si="135"/>
        <v>0</v>
      </c>
      <c r="AD841" s="153">
        <f t="shared" si="135"/>
        <v>0</v>
      </c>
      <c r="AE841" s="153">
        <f t="shared" si="135"/>
        <v>0</v>
      </c>
      <c r="AF841" s="153">
        <f t="shared" si="135"/>
        <v>0</v>
      </c>
      <c r="AG841" s="153">
        <f t="shared" si="135"/>
        <v>0</v>
      </c>
      <c r="AH841" s="153">
        <f t="shared" si="135"/>
        <v>0</v>
      </c>
      <c r="AI841" s="153">
        <f t="shared" si="135"/>
        <v>0</v>
      </c>
      <c r="AJ841" s="153">
        <f t="shared" si="135"/>
        <v>0</v>
      </c>
      <c r="AK841" s="153">
        <f t="shared" si="135"/>
        <v>0</v>
      </c>
      <c r="AL841" s="153">
        <f t="shared" si="135"/>
        <v>0</v>
      </c>
      <c r="AM841" s="153">
        <f t="shared" si="135"/>
        <v>0</v>
      </c>
      <c r="AN841" s="153">
        <f t="shared" si="135"/>
        <v>0</v>
      </c>
      <c r="AO841" s="153">
        <f t="shared" si="135"/>
        <v>0</v>
      </c>
      <c r="AP841" s="153">
        <f t="shared" si="135"/>
        <v>0</v>
      </c>
      <c r="AQ841" s="153">
        <f t="shared" si="135"/>
        <v>0</v>
      </c>
      <c r="AR841" s="153">
        <f t="shared" si="135"/>
        <v>0</v>
      </c>
      <c r="AS841" s="153">
        <f t="shared" si="135"/>
        <v>0</v>
      </c>
      <c r="AT841" s="153">
        <f t="shared" si="135"/>
        <v>0</v>
      </c>
      <c r="AU841" s="153">
        <f t="shared" si="135"/>
        <v>0</v>
      </c>
      <c r="AV841" s="153">
        <f t="shared" si="135"/>
        <v>0</v>
      </c>
      <c r="AW841" s="153">
        <f t="shared" si="135"/>
        <v>0</v>
      </c>
      <c r="AX841" s="153">
        <f t="shared" si="135"/>
        <v>0</v>
      </c>
      <c r="AY841" s="70" t="s">
        <v>226</v>
      </c>
      <c r="AZ841" s="70"/>
      <c r="BA841" s="47"/>
      <c r="BB841" s="48"/>
      <c r="BI841" s="42"/>
    </row>
    <row r="842" spans="1:61" s="24" customFormat="1" ht="20.100000000000001" customHeight="1">
      <c r="A842" s="32">
        <f>A838+1</f>
        <v>635</v>
      </c>
      <c r="B842" s="66" t="s">
        <v>186</v>
      </c>
      <c r="C842" s="78" t="s">
        <v>1260</v>
      </c>
      <c r="D842" s="35">
        <f t="shared" si="133"/>
        <v>8.6</v>
      </c>
      <c r="E842" s="67"/>
      <c r="F842" s="35">
        <f t="shared" si="130"/>
        <v>8.6</v>
      </c>
      <c r="G842" s="159">
        <f>3.89+0.3</f>
        <v>4.1900000000000004</v>
      </c>
      <c r="H842" s="68">
        <v>0.37</v>
      </c>
      <c r="I842" s="68">
        <v>3.53</v>
      </c>
      <c r="J842" s="68"/>
      <c r="K842" s="68"/>
      <c r="L842" s="68"/>
      <c r="M842" s="68"/>
      <c r="N842" s="68"/>
      <c r="O842" s="68"/>
      <c r="P842" s="68"/>
      <c r="Q842" s="68"/>
      <c r="R842" s="68"/>
      <c r="S842" s="68"/>
      <c r="T842" s="68"/>
      <c r="U842" s="68"/>
      <c r="V842" s="68"/>
      <c r="W842" s="68"/>
      <c r="X842" s="68"/>
      <c r="Y842" s="68"/>
      <c r="Z842" s="68">
        <v>0.47</v>
      </c>
      <c r="AA842" s="68">
        <v>0.04</v>
      </c>
      <c r="AB842" s="68"/>
      <c r="AC842" s="68"/>
      <c r="AD842" s="68"/>
      <c r="AE842" s="68"/>
      <c r="AF842" s="68"/>
      <c r="AG842" s="68"/>
      <c r="AH842" s="68"/>
      <c r="AI842" s="68"/>
      <c r="AJ842" s="68"/>
      <c r="AK842" s="68"/>
      <c r="AL842" s="68"/>
      <c r="AM842" s="68"/>
      <c r="AN842" s="68"/>
      <c r="AO842" s="68"/>
      <c r="AP842" s="68"/>
      <c r="AQ842" s="68"/>
      <c r="AR842" s="68"/>
      <c r="AS842" s="68"/>
      <c r="AT842" s="68"/>
      <c r="AU842" s="68"/>
      <c r="AV842" s="68"/>
      <c r="AW842" s="68"/>
      <c r="AX842" s="68"/>
      <c r="AY842" s="70" t="s">
        <v>983</v>
      </c>
      <c r="AZ842" s="70" t="s">
        <v>396</v>
      </c>
      <c r="BA842" s="70" t="s">
        <v>291</v>
      </c>
      <c r="BB842" s="81"/>
      <c r="BC842" s="24" t="s">
        <v>311</v>
      </c>
      <c r="BI842" s="42">
        <v>1</v>
      </c>
    </row>
    <row r="843" spans="1:61" s="24" customFormat="1" ht="20.100000000000001" hidden="1" customHeight="1">
      <c r="A843" s="32"/>
      <c r="B843" s="66"/>
      <c r="C843" s="93" t="s">
        <v>59</v>
      </c>
      <c r="D843" s="35">
        <f t="shared" si="133"/>
        <v>3.01</v>
      </c>
      <c r="E843" s="67"/>
      <c r="F843" s="35">
        <f t="shared" si="130"/>
        <v>3.01</v>
      </c>
      <c r="G843" s="159">
        <v>2</v>
      </c>
      <c r="H843" s="68"/>
      <c r="I843" s="68">
        <v>1.01</v>
      </c>
      <c r="J843" s="68"/>
      <c r="K843" s="68"/>
      <c r="L843" s="68"/>
      <c r="M843" s="68"/>
      <c r="N843" s="68"/>
      <c r="O843" s="68"/>
      <c r="P843" s="68"/>
      <c r="Q843" s="68"/>
      <c r="R843" s="68"/>
      <c r="S843" s="68"/>
      <c r="T843" s="68"/>
      <c r="U843" s="68"/>
      <c r="V843" s="68"/>
      <c r="W843" s="68"/>
      <c r="X843" s="68"/>
      <c r="Y843" s="68"/>
      <c r="Z843" s="68"/>
      <c r="AA843" s="68"/>
      <c r="AB843" s="68"/>
      <c r="AC843" s="68"/>
      <c r="AD843" s="68"/>
      <c r="AE843" s="68"/>
      <c r="AF843" s="68"/>
      <c r="AG843" s="68"/>
      <c r="AH843" s="68"/>
      <c r="AI843" s="68"/>
      <c r="AJ843" s="68"/>
      <c r="AK843" s="68"/>
      <c r="AL843" s="68"/>
      <c r="AM843" s="68"/>
      <c r="AN843" s="68"/>
      <c r="AO843" s="68"/>
      <c r="AP843" s="68"/>
      <c r="AQ843" s="68"/>
      <c r="AR843" s="68"/>
      <c r="AS843" s="68"/>
      <c r="AT843" s="68"/>
      <c r="AU843" s="68"/>
      <c r="AV843" s="68"/>
      <c r="AW843" s="68"/>
      <c r="AX843" s="68"/>
      <c r="AY843" s="70" t="s">
        <v>226</v>
      </c>
      <c r="AZ843" s="70"/>
      <c r="BA843" s="70"/>
      <c r="BB843" s="81"/>
      <c r="BI843" s="42"/>
    </row>
    <row r="844" spans="1:61" s="24" customFormat="1" ht="20.100000000000001" hidden="1" customHeight="1">
      <c r="A844" s="32"/>
      <c r="B844" s="66"/>
      <c r="C844" s="93" t="s">
        <v>44</v>
      </c>
      <c r="D844" s="35">
        <f t="shared" si="133"/>
        <v>3</v>
      </c>
      <c r="E844" s="67"/>
      <c r="F844" s="35">
        <f t="shared" si="130"/>
        <v>3</v>
      </c>
      <c r="G844" s="159">
        <v>1.5</v>
      </c>
      <c r="H844" s="68"/>
      <c r="I844" s="68">
        <v>1.5</v>
      </c>
      <c r="J844" s="68"/>
      <c r="K844" s="68"/>
      <c r="L844" s="68"/>
      <c r="M844" s="68"/>
      <c r="N844" s="68"/>
      <c r="O844" s="68"/>
      <c r="P844" s="68"/>
      <c r="Q844" s="68"/>
      <c r="R844" s="68"/>
      <c r="S844" s="68"/>
      <c r="T844" s="68"/>
      <c r="U844" s="68"/>
      <c r="V844" s="68"/>
      <c r="W844" s="68"/>
      <c r="X844" s="68"/>
      <c r="Y844" s="68"/>
      <c r="Z844" s="68"/>
      <c r="AA844" s="68"/>
      <c r="AB844" s="68"/>
      <c r="AC844" s="68"/>
      <c r="AD844" s="68"/>
      <c r="AE844" s="68"/>
      <c r="AF844" s="68"/>
      <c r="AG844" s="68"/>
      <c r="AH844" s="68"/>
      <c r="AI844" s="68"/>
      <c r="AJ844" s="68"/>
      <c r="AK844" s="68"/>
      <c r="AL844" s="68"/>
      <c r="AM844" s="68"/>
      <c r="AN844" s="68"/>
      <c r="AO844" s="68"/>
      <c r="AP844" s="68"/>
      <c r="AQ844" s="68"/>
      <c r="AR844" s="68"/>
      <c r="AS844" s="68"/>
      <c r="AT844" s="68"/>
      <c r="AU844" s="68"/>
      <c r="AV844" s="68"/>
      <c r="AW844" s="68"/>
      <c r="AX844" s="68"/>
      <c r="AY844" s="70" t="s">
        <v>226</v>
      </c>
      <c r="AZ844" s="70"/>
      <c r="BA844" s="70"/>
      <c r="BB844" s="81"/>
      <c r="BI844" s="42"/>
    </row>
    <row r="845" spans="1:61" s="24" customFormat="1" ht="20.100000000000001" hidden="1" customHeight="1">
      <c r="A845" s="32"/>
      <c r="B845" s="66"/>
      <c r="C845" s="93" t="s">
        <v>45</v>
      </c>
      <c r="D845" s="35">
        <f t="shared" si="133"/>
        <v>0.8600000000000001</v>
      </c>
      <c r="E845" s="67"/>
      <c r="F845" s="35">
        <f t="shared" si="130"/>
        <v>0.8600000000000001</v>
      </c>
      <c r="G845" s="159">
        <v>0.3</v>
      </c>
      <c r="H845" s="68">
        <v>0.1</v>
      </c>
      <c r="I845" s="68">
        <v>0.46</v>
      </c>
      <c r="J845" s="68"/>
      <c r="K845" s="68"/>
      <c r="L845" s="68"/>
      <c r="M845" s="68"/>
      <c r="N845" s="68"/>
      <c r="O845" s="68"/>
      <c r="P845" s="68"/>
      <c r="Q845" s="68"/>
      <c r="R845" s="68"/>
      <c r="S845" s="68"/>
      <c r="T845" s="68"/>
      <c r="U845" s="68"/>
      <c r="V845" s="68"/>
      <c r="W845" s="68"/>
      <c r="X845" s="68"/>
      <c r="Y845" s="68"/>
      <c r="Z845" s="68"/>
      <c r="AA845" s="68"/>
      <c r="AB845" s="68"/>
      <c r="AC845" s="68"/>
      <c r="AD845" s="68"/>
      <c r="AE845" s="68"/>
      <c r="AF845" s="68"/>
      <c r="AG845" s="68"/>
      <c r="AH845" s="68"/>
      <c r="AI845" s="68"/>
      <c r="AJ845" s="68"/>
      <c r="AK845" s="68"/>
      <c r="AL845" s="68"/>
      <c r="AM845" s="68"/>
      <c r="AN845" s="68"/>
      <c r="AO845" s="68"/>
      <c r="AP845" s="68"/>
      <c r="AQ845" s="68"/>
      <c r="AR845" s="68"/>
      <c r="AS845" s="68"/>
      <c r="AT845" s="68"/>
      <c r="AU845" s="68"/>
      <c r="AV845" s="68"/>
      <c r="AW845" s="68"/>
      <c r="AX845" s="68"/>
      <c r="AY845" s="70" t="s">
        <v>226</v>
      </c>
      <c r="AZ845" s="70"/>
      <c r="BA845" s="70"/>
      <c r="BB845" s="81"/>
      <c r="BI845" s="42"/>
    </row>
    <row r="846" spans="1:61" s="24" customFormat="1" ht="20.100000000000001" hidden="1" customHeight="1">
      <c r="A846" s="32"/>
      <c r="B846" s="66"/>
      <c r="C846" s="93" t="s">
        <v>138</v>
      </c>
      <c r="D846" s="35">
        <f t="shared" si="133"/>
        <v>1.73</v>
      </c>
      <c r="E846" s="67"/>
      <c r="F846" s="35">
        <f t="shared" si="130"/>
        <v>1.73</v>
      </c>
      <c r="G846" s="159">
        <f>G842-G843-G844-G845</f>
        <v>0.3900000000000004</v>
      </c>
      <c r="H846" s="159">
        <f t="shared" ref="H846:AX846" si="136">H842-H843-H844-H845</f>
        <v>0.27</v>
      </c>
      <c r="I846" s="159">
        <f t="shared" si="136"/>
        <v>0.55999999999999961</v>
      </c>
      <c r="J846" s="159">
        <f t="shared" si="136"/>
        <v>0</v>
      </c>
      <c r="K846" s="159">
        <f t="shared" si="136"/>
        <v>0</v>
      </c>
      <c r="L846" s="159">
        <f t="shared" si="136"/>
        <v>0</v>
      </c>
      <c r="M846" s="159">
        <f t="shared" si="136"/>
        <v>0</v>
      </c>
      <c r="N846" s="159">
        <f t="shared" si="136"/>
        <v>0</v>
      </c>
      <c r="O846" s="159">
        <f t="shared" si="136"/>
        <v>0</v>
      </c>
      <c r="P846" s="159">
        <f t="shared" si="136"/>
        <v>0</v>
      </c>
      <c r="Q846" s="159">
        <f t="shared" si="136"/>
        <v>0</v>
      </c>
      <c r="R846" s="159">
        <f t="shared" si="136"/>
        <v>0</v>
      </c>
      <c r="S846" s="159">
        <f t="shared" si="136"/>
        <v>0</v>
      </c>
      <c r="T846" s="159">
        <f t="shared" si="136"/>
        <v>0</v>
      </c>
      <c r="U846" s="159">
        <f t="shared" si="136"/>
        <v>0</v>
      </c>
      <c r="V846" s="159">
        <f t="shared" si="136"/>
        <v>0</v>
      </c>
      <c r="W846" s="159">
        <f t="shared" si="136"/>
        <v>0</v>
      </c>
      <c r="X846" s="159">
        <f t="shared" si="136"/>
        <v>0</v>
      </c>
      <c r="Y846" s="159">
        <f t="shared" si="136"/>
        <v>0</v>
      </c>
      <c r="Z846" s="159">
        <f t="shared" si="136"/>
        <v>0.47</v>
      </c>
      <c r="AA846" s="159">
        <f t="shared" si="136"/>
        <v>0.04</v>
      </c>
      <c r="AB846" s="159">
        <f t="shared" si="136"/>
        <v>0</v>
      </c>
      <c r="AC846" s="159">
        <f t="shared" si="136"/>
        <v>0</v>
      </c>
      <c r="AD846" s="159">
        <f t="shared" si="136"/>
        <v>0</v>
      </c>
      <c r="AE846" s="159">
        <f t="shared" si="136"/>
        <v>0</v>
      </c>
      <c r="AF846" s="159">
        <f t="shared" si="136"/>
        <v>0</v>
      </c>
      <c r="AG846" s="159">
        <f t="shared" si="136"/>
        <v>0</v>
      </c>
      <c r="AH846" s="159">
        <f t="shared" si="136"/>
        <v>0</v>
      </c>
      <c r="AI846" s="159">
        <f t="shared" si="136"/>
        <v>0</v>
      </c>
      <c r="AJ846" s="159">
        <f t="shared" si="136"/>
        <v>0</v>
      </c>
      <c r="AK846" s="159">
        <f t="shared" si="136"/>
        <v>0</v>
      </c>
      <c r="AL846" s="159">
        <f t="shared" si="136"/>
        <v>0</v>
      </c>
      <c r="AM846" s="159">
        <f t="shared" si="136"/>
        <v>0</v>
      </c>
      <c r="AN846" s="159">
        <f t="shared" si="136"/>
        <v>0</v>
      </c>
      <c r="AO846" s="159">
        <f t="shared" si="136"/>
        <v>0</v>
      </c>
      <c r="AP846" s="159">
        <f t="shared" si="136"/>
        <v>0</v>
      </c>
      <c r="AQ846" s="159">
        <f t="shared" si="136"/>
        <v>0</v>
      </c>
      <c r="AR846" s="159">
        <f t="shared" si="136"/>
        <v>0</v>
      </c>
      <c r="AS846" s="159">
        <f t="shared" si="136"/>
        <v>0</v>
      </c>
      <c r="AT846" s="159">
        <f t="shared" si="136"/>
        <v>0</v>
      </c>
      <c r="AU846" s="159">
        <f t="shared" si="136"/>
        <v>0</v>
      </c>
      <c r="AV846" s="159">
        <f t="shared" si="136"/>
        <v>0</v>
      </c>
      <c r="AW846" s="159">
        <f t="shared" si="136"/>
        <v>0</v>
      </c>
      <c r="AX846" s="159">
        <f t="shared" si="136"/>
        <v>0</v>
      </c>
      <c r="AY846" s="70" t="s">
        <v>226</v>
      </c>
      <c r="AZ846" s="70"/>
      <c r="BA846" s="70"/>
      <c r="BB846" s="81"/>
      <c r="BI846" s="42"/>
    </row>
    <row r="847" spans="1:61" s="24" customFormat="1" ht="21.6" customHeight="1">
      <c r="A847" s="32">
        <f>A842+1</f>
        <v>636</v>
      </c>
      <c r="B847" s="158" t="s">
        <v>186</v>
      </c>
      <c r="C847" s="78" t="s">
        <v>59</v>
      </c>
      <c r="D847" s="35">
        <f t="shared" si="133"/>
        <v>0.1</v>
      </c>
      <c r="E847" s="67"/>
      <c r="F847" s="35">
        <f t="shared" si="130"/>
        <v>0.1</v>
      </c>
      <c r="G847" s="68">
        <v>0.1</v>
      </c>
      <c r="H847" s="68"/>
      <c r="I847" s="68"/>
      <c r="J847" s="68"/>
      <c r="K847" s="68"/>
      <c r="L847" s="68"/>
      <c r="M847" s="68"/>
      <c r="N847" s="68"/>
      <c r="O847" s="68"/>
      <c r="P847" s="68"/>
      <c r="Q847" s="68"/>
      <c r="R847" s="68"/>
      <c r="S847" s="68"/>
      <c r="T847" s="68"/>
      <c r="U847" s="68"/>
      <c r="V847" s="68"/>
      <c r="W847" s="68"/>
      <c r="X847" s="68"/>
      <c r="Y847" s="68"/>
      <c r="Z847" s="68"/>
      <c r="AA847" s="68"/>
      <c r="AB847" s="68"/>
      <c r="AC847" s="68"/>
      <c r="AD847" s="68"/>
      <c r="AE847" s="68"/>
      <c r="AF847" s="68"/>
      <c r="AG847" s="68"/>
      <c r="AH847" s="68"/>
      <c r="AI847" s="68"/>
      <c r="AJ847" s="68"/>
      <c r="AK847" s="68"/>
      <c r="AL847" s="68"/>
      <c r="AM847" s="68"/>
      <c r="AN847" s="68"/>
      <c r="AO847" s="68"/>
      <c r="AP847" s="68"/>
      <c r="AQ847" s="68"/>
      <c r="AR847" s="68"/>
      <c r="AS847" s="68"/>
      <c r="AT847" s="68"/>
      <c r="AU847" s="68"/>
      <c r="AV847" s="68"/>
      <c r="AW847" s="68"/>
      <c r="AX847" s="68"/>
      <c r="AY847" s="70" t="s">
        <v>983</v>
      </c>
      <c r="AZ847" s="70" t="s">
        <v>1367</v>
      </c>
      <c r="BA847" s="70" t="s">
        <v>291</v>
      </c>
      <c r="BB847" s="81"/>
      <c r="BI847" s="42">
        <v>1</v>
      </c>
    </row>
    <row r="848" spans="1:61" s="24" customFormat="1" ht="21" customHeight="1">
      <c r="A848" s="32">
        <f>A847+1</f>
        <v>637</v>
      </c>
      <c r="B848" s="66" t="s">
        <v>1368</v>
      </c>
      <c r="C848" s="78" t="s">
        <v>59</v>
      </c>
      <c r="D848" s="35">
        <f t="shared" si="133"/>
        <v>0.06</v>
      </c>
      <c r="E848" s="67"/>
      <c r="F848" s="35">
        <f t="shared" si="130"/>
        <v>0.06</v>
      </c>
      <c r="G848" s="68"/>
      <c r="H848" s="68">
        <v>0.06</v>
      </c>
      <c r="I848" s="68"/>
      <c r="J848" s="68"/>
      <c r="K848" s="68"/>
      <c r="L848" s="68"/>
      <c r="M848" s="68"/>
      <c r="N848" s="68"/>
      <c r="O848" s="68"/>
      <c r="P848" s="68"/>
      <c r="Q848" s="68"/>
      <c r="R848" s="68"/>
      <c r="S848" s="68"/>
      <c r="T848" s="68"/>
      <c r="U848" s="68"/>
      <c r="V848" s="68"/>
      <c r="W848" s="68"/>
      <c r="X848" s="68"/>
      <c r="Y848" s="68"/>
      <c r="Z848" s="68"/>
      <c r="AA848" s="68"/>
      <c r="AB848" s="68"/>
      <c r="AC848" s="68"/>
      <c r="AD848" s="68"/>
      <c r="AE848" s="68"/>
      <c r="AF848" s="68"/>
      <c r="AG848" s="68"/>
      <c r="AH848" s="68"/>
      <c r="AI848" s="68"/>
      <c r="AJ848" s="68"/>
      <c r="AK848" s="68"/>
      <c r="AL848" s="68"/>
      <c r="AM848" s="68"/>
      <c r="AN848" s="68"/>
      <c r="AO848" s="68"/>
      <c r="AP848" s="68"/>
      <c r="AQ848" s="68"/>
      <c r="AR848" s="68"/>
      <c r="AS848" s="68"/>
      <c r="AT848" s="68"/>
      <c r="AU848" s="68"/>
      <c r="AV848" s="68"/>
      <c r="AW848" s="68"/>
      <c r="AX848" s="68"/>
      <c r="AY848" s="70" t="s">
        <v>226</v>
      </c>
      <c r="AZ848" s="70" t="s">
        <v>724</v>
      </c>
      <c r="BA848" s="70" t="s">
        <v>291</v>
      </c>
      <c r="BB848" s="81"/>
      <c r="BC848" s="24" t="s">
        <v>1369</v>
      </c>
      <c r="BI848" s="42">
        <v>1</v>
      </c>
    </row>
    <row r="849" spans="1:61" s="24" customFormat="1" ht="31.5">
      <c r="A849" s="32">
        <f t="shared" ref="A849:A856" si="137">A848+1</f>
        <v>638</v>
      </c>
      <c r="B849" s="158" t="s">
        <v>186</v>
      </c>
      <c r="C849" s="78" t="s">
        <v>59</v>
      </c>
      <c r="D849" s="35">
        <f t="shared" si="133"/>
        <v>0.15</v>
      </c>
      <c r="E849" s="67"/>
      <c r="F849" s="35">
        <f t="shared" si="130"/>
        <v>0.15</v>
      </c>
      <c r="G849" s="68"/>
      <c r="H849" s="68"/>
      <c r="I849" s="68">
        <v>0.15</v>
      </c>
      <c r="J849" s="68"/>
      <c r="K849" s="68"/>
      <c r="L849" s="68"/>
      <c r="M849" s="68"/>
      <c r="N849" s="68"/>
      <c r="O849" s="68"/>
      <c r="P849" s="68"/>
      <c r="Q849" s="68"/>
      <c r="R849" s="68"/>
      <c r="S849" s="68"/>
      <c r="T849" s="68"/>
      <c r="U849" s="68"/>
      <c r="V849" s="68"/>
      <c r="W849" s="68"/>
      <c r="X849" s="68"/>
      <c r="Y849" s="68"/>
      <c r="Z849" s="68"/>
      <c r="AA849" s="68"/>
      <c r="AB849" s="68"/>
      <c r="AC849" s="68"/>
      <c r="AD849" s="68"/>
      <c r="AE849" s="68"/>
      <c r="AF849" s="68"/>
      <c r="AG849" s="68"/>
      <c r="AH849" s="68"/>
      <c r="AI849" s="68"/>
      <c r="AJ849" s="68"/>
      <c r="AK849" s="68"/>
      <c r="AL849" s="68"/>
      <c r="AM849" s="68"/>
      <c r="AN849" s="68"/>
      <c r="AO849" s="68"/>
      <c r="AP849" s="68"/>
      <c r="AQ849" s="68"/>
      <c r="AR849" s="68"/>
      <c r="AS849" s="68"/>
      <c r="AT849" s="68"/>
      <c r="AU849" s="68"/>
      <c r="AV849" s="68"/>
      <c r="AW849" s="68"/>
      <c r="AX849" s="68"/>
      <c r="AY849" s="70" t="s">
        <v>983</v>
      </c>
      <c r="AZ849" s="70" t="s">
        <v>1370</v>
      </c>
      <c r="BA849" s="70" t="s">
        <v>291</v>
      </c>
      <c r="BB849" s="70"/>
      <c r="BC849" s="66" t="s">
        <v>1371</v>
      </c>
      <c r="BI849" s="42">
        <v>1</v>
      </c>
    </row>
    <row r="850" spans="1:61" s="24" customFormat="1" ht="22.35" customHeight="1">
      <c r="A850" s="32">
        <f t="shared" si="137"/>
        <v>639</v>
      </c>
      <c r="B850" s="158" t="s">
        <v>186</v>
      </c>
      <c r="C850" s="78" t="s">
        <v>59</v>
      </c>
      <c r="D850" s="35">
        <f t="shared" si="133"/>
        <v>0.1</v>
      </c>
      <c r="E850" s="67"/>
      <c r="F850" s="35">
        <f t="shared" si="130"/>
        <v>0.1</v>
      </c>
      <c r="G850" s="68"/>
      <c r="H850" s="68">
        <v>0.1</v>
      </c>
      <c r="I850" s="68"/>
      <c r="J850" s="68"/>
      <c r="K850" s="68"/>
      <c r="L850" s="68"/>
      <c r="M850" s="68"/>
      <c r="N850" s="68"/>
      <c r="O850" s="68"/>
      <c r="P850" s="68"/>
      <c r="Q850" s="68"/>
      <c r="R850" s="68"/>
      <c r="S850" s="68"/>
      <c r="T850" s="68"/>
      <c r="U850" s="68"/>
      <c r="V850" s="68"/>
      <c r="W850" s="68"/>
      <c r="X850" s="68"/>
      <c r="Y850" s="68"/>
      <c r="Z850" s="68"/>
      <c r="AA850" s="68"/>
      <c r="AB850" s="68"/>
      <c r="AC850" s="68"/>
      <c r="AD850" s="68"/>
      <c r="AE850" s="68"/>
      <c r="AF850" s="68"/>
      <c r="AG850" s="68"/>
      <c r="AH850" s="68"/>
      <c r="AI850" s="68"/>
      <c r="AJ850" s="68"/>
      <c r="AK850" s="68"/>
      <c r="AL850" s="68"/>
      <c r="AM850" s="68"/>
      <c r="AN850" s="68"/>
      <c r="AO850" s="68"/>
      <c r="AP850" s="68"/>
      <c r="AQ850" s="68"/>
      <c r="AR850" s="68"/>
      <c r="AS850" s="68"/>
      <c r="AT850" s="68"/>
      <c r="AU850" s="68"/>
      <c r="AV850" s="68"/>
      <c r="AW850" s="68"/>
      <c r="AX850" s="68"/>
      <c r="AY850" s="70" t="s">
        <v>983</v>
      </c>
      <c r="AZ850" s="70" t="s">
        <v>1372</v>
      </c>
      <c r="BA850" s="70" t="s">
        <v>291</v>
      </c>
      <c r="BB850" s="70"/>
      <c r="BC850" s="66" t="s">
        <v>1373</v>
      </c>
      <c r="BI850" s="42">
        <v>1</v>
      </c>
    </row>
    <row r="851" spans="1:61" s="24" customFormat="1" ht="22.35" customHeight="1">
      <c r="A851" s="32">
        <f t="shared" si="137"/>
        <v>640</v>
      </c>
      <c r="B851" s="158" t="s">
        <v>186</v>
      </c>
      <c r="C851" s="78" t="s">
        <v>59</v>
      </c>
      <c r="D851" s="35">
        <f t="shared" si="133"/>
        <v>0.12</v>
      </c>
      <c r="E851" s="67"/>
      <c r="F851" s="35">
        <f t="shared" si="130"/>
        <v>0.12</v>
      </c>
      <c r="G851" s="68"/>
      <c r="H851" s="68"/>
      <c r="I851" s="68"/>
      <c r="J851" s="68">
        <v>0.12</v>
      </c>
      <c r="K851" s="68"/>
      <c r="L851" s="68"/>
      <c r="M851" s="68"/>
      <c r="N851" s="68"/>
      <c r="O851" s="68"/>
      <c r="P851" s="68"/>
      <c r="Q851" s="68"/>
      <c r="R851" s="68"/>
      <c r="S851" s="68"/>
      <c r="T851" s="68"/>
      <c r="U851" s="68"/>
      <c r="V851" s="68"/>
      <c r="W851" s="68"/>
      <c r="X851" s="68"/>
      <c r="Y851" s="68"/>
      <c r="Z851" s="68"/>
      <c r="AA851" s="68"/>
      <c r="AB851" s="68"/>
      <c r="AC851" s="68"/>
      <c r="AD851" s="68"/>
      <c r="AE851" s="68"/>
      <c r="AF851" s="68"/>
      <c r="AG851" s="68"/>
      <c r="AH851" s="68"/>
      <c r="AI851" s="68"/>
      <c r="AJ851" s="68"/>
      <c r="AK851" s="68"/>
      <c r="AL851" s="68"/>
      <c r="AM851" s="68"/>
      <c r="AN851" s="68"/>
      <c r="AO851" s="68"/>
      <c r="AP851" s="68"/>
      <c r="AQ851" s="68"/>
      <c r="AR851" s="68"/>
      <c r="AS851" s="68"/>
      <c r="AT851" s="68"/>
      <c r="AU851" s="68"/>
      <c r="AV851" s="68"/>
      <c r="AW851" s="68"/>
      <c r="AX851" s="68"/>
      <c r="AY851" s="70" t="s">
        <v>983</v>
      </c>
      <c r="AZ851" s="70" t="s">
        <v>1374</v>
      </c>
      <c r="BA851" s="70" t="s">
        <v>291</v>
      </c>
      <c r="BB851" s="70"/>
      <c r="BC851" s="66" t="s">
        <v>1375</v>
      </c>
      <c r="BI851" s="42">
        <v>1</v>
      </c>
    </row>
    <row r="852" spans="1:61" s="24" customFormat="1" ht="22.35" customHeight="1">
      <c r="A852" s="32">
        <f t="shared" si="137"/>
        <v>641</v>
      </c>
      <c r="B852" s="158" t="s">
        <v>186</v>
      </c>
      <c r="C852" s="78" t="s">
        <v>59</v>
      </c>
      <c r="D852" s="35">
        <f t="shared" si="133"/>
        <v>0.23</v>
      </c>
      <c r="E852" s="67"/>
      <c r="F852" s="35">
        <f t="shared" si="130"/>
        <v>0.23</v>
      </c>
      <c r="G852" s="68">
        <v>0.23</v>
      </c>
      <c r="H852" s="68"/>
      <c r="I852" s="68"/>
      <c r="J852" s="68"/>
      <c r="K852" s="68"/>
      <c r="L852" s="68"/>
      <c r="M852" s="68"/>
      <c r="N852" s="68"/>
      <c r="O852" s="68"/>
      <c r="P852" s="68"/>
      <c r="Q852" s="68"/>
      <c r="R852" s="68"/>
      <c r="S852" s="68"/>
      <c r="T852" s="68"/>
      <c r="U852" s="68"/>
      <c r="V852" s="68"/>
      <c r="W852" s="68"/>
      <c r="X852" s="68"/>
      <c r="Y852" s="68"/>
      <c r="Z852" s="68"/>
      <c r="AA852" s="68"/>
      <c r="AB852" s="68"/>
      <c r="AC852" s="68"/>
      <c r="AD852" s="68"/>
      <c r="AE852" s="68"/>
      <c r="AF852" s="68"/>
      <c r="AG852" s="68"/>
      <c r="AH852" s="68"/>
      <c r="AI852" s="68"/>
      <c r="AJ852" s="68"/>
      <c r="AK852" s="68"/>
      <c r="AL852" s="68"/>
      <c r="AM852" s="68"/>
      <c r="AN852" s="68"/>
      <c r="AO852" s="68"/>
      <c r="AP852" s="68"/>
      <c r="AQ852" s="68"/>
      <c r="AR852" s="68"/>
      <c r="AS852" s="68"/>
      <c r="AT852" s="68"/>
      <c r="AU852" s="68"/>
      <c r="AV852" s="68"/>
      <c r="AW852" s="68"/>
      <c r="AX852" s="68"/>
      <c r="AY852" s="70" t="s">
        <v>983</v>
      </c>
      <c r="AZ852" s="70" t="s">
        <v>1376</v>
      </c>
      <c r="BA852" s="70" t="s">
        <v>291</v>
      </c>
      <c r="BB852" s="70"/>
      <c r="BC852" s="66" t="s">
        <v>1377</v>
      </c>
      <c r="BI852" s="42">
        <v>1</v>
      </c>
    </row>
    <row r="853" spans="1:61" s="24" customFormat="1" ht="22.35" customHeight="1">
      <c r="A853" s="32">
        <f t="shared" si="137"/>
        <v>642</v>
      </c>
      <c r="B853" s="158" t="s">
        <v>186</v>
      </c>
      <c r="C853" s="78" t="s">
        <v>59</v>
      </c>
      <c r="D853" s="35">
        <f t="shared" si="133"/>
        <v>0.2</v>
      </c>
      <c r="E853" s="67"/>
      <c r="F853" s="35">
        <f t="shared" si="130"/>
        <v>0.2</v>
      </c>
      <c r="G853" s="68">
        <v>0.2</v>
      </c>
      <c r="H853" s="68"/>
      <c r="I853" s="68"/>
      <c r="J853" s="68"/>
      <c r="K853" s="68"/>
      <c r="L853" s="68"/>
      <c r="M853" s="68"/>
      <c r="N853" s="68"/>
      <c r="O853" s="68"/>
      <c r="P853" s="68"/>
      <c r="Q853" s="68"/>
      <c r="R853" s="68"/>
      <c r="S853" s="68"/>
      <c r="T853" s="68"/>
      <c r="U853" s="68"/>
      <c r="V853" s="68"/>
      <c r="W853" s="68"/>
      <c r="X853" s="68"/>
      <c r="Y853" s="68"/>
      <c r="Z853" s="68"/>
      <c r="AA853" s="68"/>
      <c r="AB853" s="68"/>
      <c r="AC853" s="68"/>
      <c r="AD853" s="68"/>
      <c r="AE853" s="68"/>
      <c r="AF853" s="68"/>
      <c r="AG853" s="68"/>
      <c r="AH853" s="68"/>
      <c r="AI853" s="68"/>
      <c r="AJ853" s="68"/>
      <c r="AK853" s="68"/>
      <c r="AL853" s="68"/>
      <c r="AM853" s="68"/>
      <c r="AN853" s="68"/>
      <c r="AO853" s="68"/>
      <c r="AP853" s="68"/>
      <c r="AQ853" s="68"/>
      <c r="AR853" s="68"/>
      <c r="AS853" s="68"/>
      <c r="AT853" s="68"/>
      <c r="AU853" s="68"/>
      <c r="AV853" s="68"/>
      <c r="AW853" s="68"/>
      <c r="AX853" s="68"/>
      <c r="AY853" s="70" t="s">
        <v>983</v>
      </c>
      <c r="AZ853" s="70" t="s">
        <v>1378</v>
      </c>
      <c r="BA853" s="70" t="s">
        <v>291</v>
      </c>
      <c r="BB853" s="70"/>
      <c r="BC853" s="66" t="s">
        <v>1379</v>
      </c>
      <c r="BI853" s="42">
        <v>1</v>
      </c>
    </row>
    <row r="854" spans="1:61" s="24" customFormat="1" ht="31.5">
      <c r="A854" s="32">
        <f t="shared" si="137"/>
        <v>643</v>
      </c>
      <c r="B854" s="158" t="s">
        <v>186</v>
      </c>
      <c r="C854" s="78" t="s">
        <v>59</v>
      </c>
      <c r="D854" s="35">
        <f t="shared" si="133"/>
        <v>0.21</v>
      </c>
      <c r="E854" s="67"/>
      <c r="F854" s="35">
        <f t="shared" si="130"/>
        <v>0.21</v>
      </c>
      <c r="G854" s="68"/>
      <c r="H854" s="68"/>
      <c r="I854" s="68">
        <v>0.21</v>
      </c>
      <c r="J854" s="68"/>
      <c r="K854" s="68"/>
      <c r="L854" s="68"/>
      <c r="M854" s="68"/>
      <c r="N854" s="68"/>
      <c r="O854" s="68"/>
      <c r="P854" s="68"/>
      <c r="Q854" s="68"/>
      <c r="R854" s="68"/>
      <c r="S854" s="68"/>
      <c r="T854" s="68"/>
      <c r="U854" s="68"/>
      <c r="V854" s="68"/>
      <c r="W854" s="68"/>
      <c r="X854" s="68"/>
      <c r="Y854" s="68"/>
      <c r="Z854" s="68"/>
      <c r="AA854" s="68"/>
      <c r="AB854" s="68"/>
      <c r="AC854" s="68"/>
      <c r="AD854" s="68"/>
      <c r="AE854" s="68"/>
      <c r="AF854" s="68"/>
      <c r="AG854" s="68"/>
      <c r="AH854" s="68"/>
      <c r="AI854" s="68"/>
      <c r="AJ854" s="68"/>
      <c r="AK854" s="68"/>
      <c r="AL854" s="68"/>
      <c r="AM854" s="68"/>
      <c r="AN854" s="68"/>
      <c r="AO854" s="68"/>
      <c r="AP854" s="68"/>
      <c r="AQ854" s="68"/>
      <c r="AR854" s="68"/>
      <c r="AS854" s="68"/>
      <c r="AT854" s="68"/>
      <c r="AU854" s="68"/>
      <c r="AV854" s="68"/>
      <c r="AW854" s="68"/>
      <c r="AX854" s="68"/>
      <c r="AY854" s="70" t="s">
        <v>983</v>
      </c>
      <c r="AZ854" s="70" t="s">
        <v>1380</v>
      </c>
      <c r="BA854" s="70" t="s">
        <v>291</v>
      </c>
      <c r="BB854" s="70"/>
      <c r="BC854" s="66" t="s">
        <v>1381</v>
      </c>
      <c r="BI854" s="42">
        <v>1</v>
      </c>
    </row>
    <row r="855" spans="1:61" s="24" customFormat="1" ht="31.5">
      <c r="A855" s="32">
        <f t="shared" si="137"/>
        <v>644</v>
      </c>
      <c r="B855" s="158" t="s">
        <v>186</v>
      </c>
      <c r="C855" s="78" t="s">
        <v>59</v>
      </c>
      <c r="D855" s="35">
        <f t="shared" si="133"/>
        <v>0.1</v>
      </c>
      <c r="E855" s="67"/>
      <c r="F855" s="35">
        <f t="shared" si="130"/>
        <v>0.1</v>
      </c>
      <c r="G855" s="68"/>
      <c r="H855" s="68"/>
      <c r="I855" s="68"/>
      <c r="J855" s="68"/>
      <c r="K855" s="68"/>
      <c r="L855" s="68"/>
      <c r="M855" s="68">
        <v>0.1</v>
      </c>
      <c r="N855" s="68"/>
      <c r="O855" s="68"/>
      <c r="P855" s="68"/>
      <c r="Q855" s="68"/>
      <c r="R855" s="68"/>
      <c r="S855" s="68"/>
      <c r="T855" s="68"/>
      <c r="U855" s="68"/>
      <c r="V855" s="68"/>
      <c r="W855" s="68"/>
      <c r="X855" s="68"/>
      <c r="Y855" s="68"/>
      <c r="Z855" s="68"/>
      <c r="AA855" s="68"/>
      <c r="AB855" s="68"/>
      <c r="AC855" s="68"/>
      <c r="AD855" s="68"/>
      <c r="AE855" s="68"/>
      <c r="AF855" s="68"/>
      <c r="AG855" s="68"/>
      <c r="AH855" s="68"/>
      <c r="AI855" s="68"/>
      <c r="AJ855" s="68"/>
      <c r="AK855" s="68"/>
      <c r="AL855" s="68"/>
      <c r="AM855" s="68"/>
      <c r="AN855" s="68"/>
      <c r="AO855" s="68"/>
      <c r="AP855" s="68"/>
      <c r="AQ855" s="68"/>
      <c r="AR855" s="68"/>
      <c r="AS855" s="68"/>
      <c r="AT855" s="68"/>
      <c r="AU855" s="68"/>
      <c r="AV855" s="68"/>
      <c r="AW855" s="68"/>
      <c r="AX855" s="68"/>
      <c r="AY855" s="70" t="s">
        <v>983</v>
      </c>
      <c r="AZ855" s="70" t="s">
        <v>1382</v>
      </c>
      <c r="BA855" s="70" t="s">
        <v>291</v>
      </c>
      <c r="BB855" s="70"/>
      <c r="BC855" s="66" t="s">
        <v>1383</v>
      </c>
      <c r="BI855" s="42">
        <v>1</v>
      </c>
    </row>
    <row r="856" spans="1:61" s="24" customFormat="1" ht="31.5">
      <c r="A856" s="32">
        <f t="shared" si="137"/>
        <v>645</v>
      </c>
      <c r="B856" s="158" t="s">
        <v>186</v>
      </c>
      <c r="C856" s="78" t="s">
        <v>1260</v>
      </c>
      <c r="D856" s="35">
        <f t="shared" si="133"/>
        <v>0.91</v>
      </c>
      <c r="E856" s="67"/>
      <c r="F856" s="35">
        <f t="shared" si="130"/>
        <v>0.91</v>
      </c>
      <c r="G856" s="68">
        <v>0.91</v>
      </c>
      <c r="H856" s="68"/>
      <c r="I856" s="68"/>
      <c r="J856" s="68"/>
      <c r="K856" s="68"/>
      <c r="L856" s="68"/>
      <c r="M856" s="68"/>
      <c r="N856" s="68"/>
      <c r="O856" s="68"/>
      <c r="P856" s="68"/>
      <c r="Q856" s="68"/>
      <c r="R856" s="68"/>
      <c r="S856" s="68"/>
      <c r="T856" s="68"/>
      <c r="U856" s="68"/>
      <c r="V856" s="68"/>
      <c r="W856" s="68"/>
      <c r="X856" s="68"/>
      <c r="Y856" s="68"/>
      <c r="Z856" s="68"/>
      <c r="AA856" s="68"/>
      <c r="AB856" s="68"/>
      <c r="AC856" s="68"/>
      <c r="AD856" s="68"/>
      <c r="AE856" s="68"/>
      <c r="AF856" s="68"/>
      <c r="AG856" s="68"/>
      <c r="AH856" s="68"/>
      <c r="AI856" s="68"/>
      <c r="AJ856" s="68"/>
      <c r="AK856" s="68"/>
      <c r="AL856" s="68"/>
      <c r="AM856" s="68"/>
      <c r="AN856" s="68"/>
      <c r="AO856" s="68"/>
      <c r="AP856" s="68"/>
      <c r="AQ856" s="68"/>
      <c r="AR856" s="68"/>
      <c r="AS856" s="68"/>
      <c r="AT856" s="68"/>
      <c r="AU856" s="68"/>
      <c r="AV856" s="68"/>
      <c r="AW856" s="68"/>
      <c r="AX856" s="68"/>
      <c r="AY856" s="70" t="s">
        <v>983</v>
      </c>
      <c r="AZ856" s="70" t="s">
        <v>1384</v>
      </c>
      <c r="BA856" s="47" t="s">
        <v>298</v>
      </c>
      <c r="BB856" s="47"/>
      <c r="BC856" s="66" t="s">
        <v>1385</v>
      </c>
      <c r="BI856" s="42">
        <v>1</v>
      </c>
    </row>
    <row r="857" spans="1:61" s="24" customFormat="1" hidden="1">
      <c r="A857" s="32"/>
      <c r="B857" s="158"/>
      <c r="C857" s="78" t="s">
        <v>59</v>
      </c>
      <c r="D857" s="35">
        <f t="shared" si="133"/>
        <v>0.32</v>
      </c>
      <c r="E857" s="67"/>
      <c r="F857" s="35">
        <f t="shared" si="130"/>
        <v>0.32</v>
      </c>
      <c r="G857" s="68">
        <v>0.32</v>
      </c>
      <c r="H857" s="68"/>
      <c r="I857" s="68"/>
      <c r="J857" s="68"/>
      <c r="K857" s="68"/>
      <c r="L857" s="68"/>
      <c r="M857" s="68"/>
      <c r="N857" s="68"/>
      <c r="O857" s="68"/>
      <c r="P857" s="68"/>
      <c r="Q857" s="68"/>
      <c r="R857" s="68"/>
      <c r="S857" s="68"/>
      <c r="T857" s="68"/>
      <c r="U857" s="68"/>
      <c r="V857" s="68"/>
      <c r="W857" s="68"/>
      <c r="X857" s="68"/>
      <c r="Y857" s="68"/>
      <c r="Z857" s="68"/>
      <c r="AA857" s="68"/>
      <c r="AB857" s="68"/>
      <c r="AC857" s="68"/>
      <c r="AD857" s="68"/>
      <c r="AE857" s="68"/>
      <c r="AF857" s="68"/>
      <c r="AG857" s="68"/>
      <c r="AH857" s="68"/>
      <c r="AI857" s="68"/>
      <c r="AJ857" s="68"/>
      <c r="AK857" s="68"/>
      <c r="AL857" s="68"/>
      <c r="AM857" s="68"/>
      <c r="AN857" s="68"/>
      <c r="AO857" s="68"/>
      <c r="AP857" s="68"/>
      <c r="AQ857" s="68"/>
      <c r="AR857" s="68"/>
      <c r="AS857" s="68"/>
      <c r="AT857" s="68"/>
      <c r="AU857" s="68"/>
      <c r="AV857" s="68"/>
      <c r="AW857" s="68"/>
      <c r="AX857" s="68"/>
      <c r="AY857" s="70" t="s">
        <v>983</v>
      </c>
      <c r="AZ857" s="70"/>
      <c r="BA857" s="47"/>
      <c r="BB857" s="47"/>
      <c r="BC857" s="66"/>
      <c r="BI857" s="42"/>
    </row>
    <row r="858" spans="1:61" s="24" customFormat="1" hidden="1">
      <c r="A858" s="32"/>
      <c r="B858" s="158"/>
      <c r="C858" s="78" t="s">
        <v>44</v>
      </c>
      <c r="D858" s="35">
        <f t="shared" si="133"/>
        <v>0.36</v>
      </c>
      <c r="E858" s="67"/>
      <c r="F858" s="35">
        <f t="shared" si="130"/>
        <v>0.36</v>
      </c>
      <c r="G858" s="68">
        <v>0.36</v>
      </c>
      <c r="H858" s="68"/>
      <c r="I858" s="68"/>
      <c r="J858" s="68"/>
      <c r="K858" s="68"/>
      <c r="L858" s="68"/>
      <c r="M858" s="68"/>
      <c r="N858" s="68"/>
      <c r="O858" s="68"/>
      <c r="P858" s="68"/>
      <c r="Q858" s="68"/>
      <c r="R858" s="68"/>
      <c r="S858" s="68"/>
      <c r="T858" s="68"/>
      <c r="U858" s="68"/>
      <c r="V858" s="68"/>
      <c r="W858" s="68"/>
      <c r="X858" s="68"/>
      <c r="Y858" s="68"/>
      <c r="Z858" s="68"/>
      <c r="AA858" s="68"/>
      <c r="AB858" s="68"/>
      <c r="AC858" s="68"/>
      <c r="AD858" s="68"/>
      <c r="AE858" s="68"/>
      <c r="AF858" s="68"/>
      <c r="AG858" s="68"/>
      <c r="AH858" s="68"/>
      <c r="AI858" s="68"/>
      <c r="AJ858" s="68"/>
      <c r="AK858" s="68"/>
      <c r="AL858" s="68"/>
      <c r="AM858" s="68"/>
      <c r="AN858" s="68"/>
      <c r="AO858" s="68"/>
      <c r="AP858" s="68"/>
      <c r="AQ858" s="68"/>
      <c r="AR858" s="68"/>
      <c r="AS858" s="68"/>
      <c r="AT858" s="68"/>
      <c r="AU858" s="68"/>
      <c r="AV858" s="68"/>
      <c r="AW858" s="68"/>
      <c r="AX858" s="68"/>
      <c r="AY858" s="70" t="s">
        <v>983</v>
      </c>
      <c r="AZ858" s="70"/>
      <c r="BA858" s="47"/>
      <c r="BB858" s="47"/>
      <c r="BC858" s="66"/>
      <c r="BI858" s="42"/>
    </row>
    <row r="859" spans="1:61" s="24" customFormat="1" hidden="1">
      <c r="A859" s="32"/>
      <c r="B859" s="158"/>
      <c r="C859" s="78" t="s">
        <v>138</v>
      </c>
      <c r="D859" s="35">
        <f t="shared" si="133"/>
        <v>0.23000000000000009</v>
      </c>
      <c r="E859" s="67"/>
      <c r="F859" s="35">
        <f t="shared" si="130"/>
        <v>0.23000000000000009</v>
      </c>
      <c r="G859" s="153">
        <f>G856-G857-G858</f>
        <v>0.23000000000000009</v>
      </c>
      <c r="H859" s="153">
        <f t="shared" ref="H859:AX859" si="138">H856-H857-H858</f>
        <v>0</v>
      </c>
      <c r="I859" s="153">
        <f t="shared" si="138"/>
        <v>0</v>
      </c>
      <c r="J859" s="153">
        <f t="shared" si="138"/>
        <v>0</v>
      </c>
      <c r="K859" s="153">
        <f t="shared" si="138"/>
        <v>0</v>
      </c>
      <c r="L859" s="153">
        <f t="shared" si="138"/>
        <v>0</v>
      </c>
      <c r="M859" s="153">
        <f t="shared" si="138"/>
        <v>0</v>
      </c>
      <c r="N859" s="153">
        <f t="shared" si="138"/>
        <v>0</v>
      </c>
      <c r="O859" s="153">
        <f t="shared" si="138"/>
        <v>0</v>
      </c>
      <c r="P859" s="153">
        <f t="shared" si="138"/>
        <v>0</v>
      </c>
      <c r="Q859" s="153">
        <f t="shared" si="138"/>
        <v>0</v>
      </c>
      <c r="R859" s="153">
        <f t="shared" si="138"/>
        <v>0</v>
      </c>
      <c r="S859" s="153">
        <f t="shared" si="138"/>
        <v>0</v>
      </c>
      <c r="T859" s="153">
        <f t="shared" si="138"/>
        <v>0</v>
      </c>
      <c r="U859" s="153">
        <f t="shared" si="138"/>
        <v>0</v>
      </c>
      <c r="V859" s="153">
        <f t="shared" si="138"/>
        <v>0</v>
      </c>
      <c r="W859" s="153">
        <f t="shared" si="138"/>
        <v>0</v>
      </c>
      <c r="X859" s="153">
        <f t="shared" si="138"/>
        <v>0</v>
      </c>
      <c r="Y859" s="153">
        <f t="shared" si="138"/>
        <v>0</v>
      </c>
      <c r="Z859" s="153">
        <f t="shared" si="138"/>
        <v>0</v>
      </c>
      <c r="AA859" s="153">
        <f t="shared" si="138"/>
        <v>0</v>
      </c>
      <c r="AB859" s="153">
        <f t="shared" si="138"/>
        <v>0</v>
      </c>
      <c r="AC859" s="153">
        <f t="shared" si="138"/>
        <v>0</v>
      </c>
      <c r="AD859" s="153">
        <f t="shared" si="138"/>
        <v>0</v>
      </c>
      <c r="AE859" s="153">
        <f t="shared" si="138"/>
        <v>0</v>
      </c>
      <c r="AF859" s="153">
        <f t="shared" si="138"/>
        <v>0</v>
      </c>
      <c r="AG859" s="153">
        <f t="shared" si="138"/>
        <v>0</v>
      </c>
      <c r="AH859" s="153">
        <f t="shared" si="138"/>
        <v>0</v>
      </c>
      <c r="AI859" s="153">
        <f t="shared" si="138"/>
        <v>0</v>
      </c>
      <c r="AJ859" s="153">
        <f t="shared" si="138"/>
        <v>0</v>
      </c>
      <c r="AK859" s="153">
        <f t="shared" si="138"/>
        <v>0</v>
      </c>
      <c r="AL859" s="153">
        <f t="shared" si="138"/>
        <v>0</v>
      </c>
      <c r="AM859" s="153">
        <f t="shared" si="138"/>
        <v>0</v>
      </c>
      <c r="AN859" s="153">
        <f t="shared" si="138"/>
        <v>0</v>
      </c>
      <c r="AO859" s="153">
        <f t="shared" si="138"/>
        <v>0</v>
      </c>
      <c r="AP859" s="153">
        <f t="shared" si="138"/>
        <v>0</v>
      </c>
      <c r="AQ859" s="153">
        <f t="shared" si="138"/>
        <v>0</v>
      </c>
      <c r="AR859" s="153">
        <f t="shared" si="138"/>
        <v>0</v>
      </c>
      <c r="AS859" s="153">
        <f t="shared" si="138"/>
        <v>0</v>
      </c>
      <c r="AT859" s="153">
        <f t="shared" si="138"/>
        <v>0</v>
      </c>
      <c r="AU859" s="153">
        <f t="shared" si="138"/>
        <v>0</v>
      </c>
      <c r="AV859" s="153">
        <f t="shared" si="138"/>
        <v>0</v>
      </c>
      <c r="AW859" s="153">
        <f t="shared" si="138"/>
        <v>0</v>
      </c>
      <c r="AX859" s="153">
        <f t="shared" si="138"/>
        <v>0</v>
      </c>
      <c r="AY859" s="70" t="s">
        <v>983</v>
      </c>
      <c r="AZ859" s="70"/>
      <c r="BA859" s="47"/>
      <c r="BB859" s="47"/>
      <c r="BC859" s="66"/>
      <c r="BI859" s="42"/>
    </row>
    <row r="860" spans="1:61" s="24" customFormat="1" ht="23.1" customHeight="1">
      <c r="A860" s="32">
        <f>A856+1</f>
        <v>646</v>
      </c>
      <c r="B860" s="158" t="s">
        <v>186</v>
      </c>
      <c r="C860" s="78" t="s">
        <v>1260</v>
      </c>
      <c r="D860" s="35">
        <f t="shared" si="133"/>
        <v>0.57000000000000006</v>
      </c>
      <c r="E860" s="67"/>
      <c r="F860" s="35">
        <f t="shared" si="130"/>
        <v>0.57000000000000006</v>
      </c>
      <c r="G860" s="68"/>
      <c r="H860" s="68"/>
      <c r="I860" s="68">
        <v>0.26</v>
      </c>
      <c r="J860" s="68"/>
      <c r="K860" s="68"/>
      <c r="L860" s="68"/>
      <c r="M860" s="68">
        <v>0.31</v>
      </c>
      <c r="N860" s="68"/>
      <c r="O860" s="68"/>
      <c r="P860" s="68"/>
      <c r="Q860" s="68"/>
      <c r="R860" s="68"/>
      <c r="S860" s="68"/>
      <c r="T860" s="68"/>
      <c r="U860" s="68"/>
      <c r="V860" s="68"/>
      <c r="W860" s="68"/>
      <c r="X860" s="68"/>
      <c r="Y860" s="68"/>
      <c r="Z860" s="68"/>
      <c r="AA860" s="68"/>
      <c r="AB860" s="68"/>
      <c r="AC860" s="68"/>
      <c r="AD860" s="68"/>
      <c r="AE860" s="68"/>
      <c r="AF860" s="68"/>
      <c r="AG860" s="68"/>
      <c r="AH860" s="68"/>
      <c r="AI860" s="68"/>
      <c r="AJ860" s="68"/>
      <c r="AK860" s="68"/>
      <c r="AL860" s="68"/>
      <c r="AM860" s="68"/>
      <c r="AN860" s="68"/>
      <c r="AO860" s="68"/>
      <c r="AP860" s="68"/>
      <c r="AQ860" s="68"/>
      <c r="AR860" s="68"/>
      <c r="AS860" s="68"/>
      <c r="AT860" s="68"/>
      <c r="AU860" s="68"/>
      <c r="AV860" s="68"/>
      <c r="AW860" s="68"/>
      <c r="AX860" s="68"/>
      <c r="AY860" s="70" t="s">
        <v>983</v>
      </c>
      <c r="AZ860" s="70" t="s">
        <v>1386</v>
      </c>
      <c r="BA860" s="70" t="s">
        <v>291</v>
      </c>
      <c r="BB860" s="70"/>
      <c r="BC860" s="66" t="s">
        <v>1387</v>
      </c>
      <c r="BI860" s="42">
        <v>1</v>
      </c>
    </row>
    <row r="861" spans="1:61" s="24" customFormat="1" ht="20.100000000000001" hidden="1" customHeight="1">
      <c r="A861" s="32"/>
      <c r="B861" s="158"/>
      <c r="C861" s="78" t="s">
        <v>59</v>
      </c>
      <c r="D861" s="35">
        <f t="shared" si="133"/>
        <v>0.23</v>
      </c>
      <c r="E861" s="67"/>
      <c r="F861" s="35">
        <f t="shared" si="130"/>
        <v>0.23</v>
      </c>
      <c r="G861" s="68"/>
      <c r="H861" s="68"/>
      <c r="I861" s="68">
        <v>0.1</v>
      </c>
      <c r="J861" s="68"/>
      <c r="K861" s="68"/>
      <c r="L861" s="68"/>
      <c r="M861" s="68">
        <v>0.13</v>
      </c>
      <c r="N861" s="68"/>
      <c r="O861" s="68"/>
      <c r="P861" s="68"/>
      <c r="Q861" s="68"/>
      <c r="R861" s="68"/>
      <c r="S861" s="68"/>
      <c r="T861" s="68"/>
      <c r="U861" s="68"/>
      <c r="V861" s="68"/>
      <c r="W861" s="68"/>
      <c r="X861" s="68"/>
      <c r="Y861" s="68"/>
      <c r="Z861" s="68"/>
      <c r="AA861" s="68"/>
      <c r="AB861" s="68"/>
      <c r="AC861" s="68"/>
      <c r="AD861" s="68"/>
      <c r="AE861" s="68"/>
      <c r="AF861" s="68"/>
      <c r="AG861" s="68"/>
      <c r="AH861" s="68"/>
      <c r="AI861" s="68"/>
      <c r="AJ861" s="68"/>
      <c r="AK861" s="68"/>
      <c r="AL861" s="68"/>
      <c r="AM861" s="68"/>
      <c r="AN861" s="68"/>
      <c r="AO861" s="68"/>
      <c r="AP861" s="68"/>
      <c r="AQ861" s="68"/>
      <c r="AR861" s="68"/>
      <c r="AS861" s="68"/>
      <c r="AT861" s="68"/>
      <c r="AU861" s="68"/>
      <c r="AV861" s="68"/>
      <c r="AW861" s="68"/>
      <c r="AX861" s="68"/>
      <c r="AY861" s="70" t="s">
        <v>983</v>
      </c>
      <c r="AZ861" s="70"/>
      <c r="BA861" s="70"/>
      <c r="BB861" s="70"/>
      <c r="BC861" s="66"/>
      <c r="BI861" s="42"/>
    </row>
    <row r="862" spans="1:61" s="24" customFormat="1" ht="20.100000000000001" hidden="1" customHeight="1">
      <c r="A862" s="32"/>
      <c r="B862" s="158"/>
      <c r="C862" s="78" t="s">
        <v>44</v>
      </c>
      <c r="D862" s="35">
        <f t="shared" si="133"/>
        <v>0.2</v>
      </c>
      <c r="E862" s="67"/>
      <c r="F862" s="35">
        <f t="shared" si="130"/>
        <v>0.2</v>
      </c>
      <c r="G862" s="68"/>
      <c r="H862" s="68"/>
      <c r="I862" s="68">
        <v>0.1</v>
      </c>
      <c r="J862" s="68"/>
      <c r="K862" s="68"/>
      <c r="L862" s="68"/>
      <c r="M862" s="68">
        <v>0.1</v>
      </c>
      <c r="N862" s="68"/>
      <c r="O862" s="68"/>
      <c r="P862" s="68"/>
      <c r="Q862" s="68"/>
      <c r="R862" s="68"/>
      <c r="S862" s="68"/>
      <c r="T862" s="68"/>
      <c r="U862" s="68"/>
      <c r="V862" s="68"/>
      <c r="W862" s="68"/>
      <c r="X862" s="68"/>
      <c r="Y862" s="68"/>
      <c r="Z862" s="68"/>
      <c r="AA862" s="68"/>
      <c r="AB862" s="68"/>
      <c r="AC862" s="68"/>
      <c r="AD862" s="68"/>
      <c r="AE862" s="68"/>
      <c r="AF862" s="68"/>
      <c r="AG862" s="68"/>
      <c r="AH862" s="68"/>
      <c r="AI862" s="68"/>
      <c r="AJ862" s="68"/>
      <c r="AK862" s="68"/>
      <c r="AL862" s="68"/>
      <c r="AM862" s="68"/>
      <c r="AN862" s="68"/>
      <c r="AO862" s="68"/>
      <c r="AP862" s="68"/>
      <c r="AQ862" s="68"/>
      <c r="AR862" s="68"/>
      <c r="AS862" s="68"/>
      <c r="AT862" s="68"/>
      <c r="AU862" s="68"/>
      <c r="AV862" s="68"/>
      <c r="AW862" s="68"/>
      <c r="AX862" s="68"/>
      <c r="AY862" s="70" t="s">
        <v>983</v>
      </c>
      <c r="AZ862" s="70"/>
      <c r="BA862" s="70"/>
      <c r="BB862" s="70"/>
      <c r="BC862" s="66"/>
      <c r="BI862" s="42"/>
    </row>
    <row r="863" spans="1:61" s="24" customFormat="1" ht="20.100000000000001" hidden="1" customHeight="1">
      <c r="A863" s="32"/>
      <c r="B863" s="158"/>
      <c r="C863" s="78" t="s">
        <v>138</v>
      </c>
      <c r="D863" s="35">
        <f t="shared" si="133"/>
        <v>0.13999999999999999</v>
      </c>
      <c r="E863" s="67"/>
      <c r="F863" s="35">
        <f t="shared" si="130"/>
        <v>0.13999999999999999</v>
      </c>
      <c r="G863" s="153">
        <f>G860-G861-G862</f>
        <v>0</v>
      </c>
      <c r="H863" s="153">
        <f t="shared" ref="H863:AX863" si="139">H860-H861-H862</f>
        <v>0</v>
      </c>
      <c r="I863" s="153">
        <f t="shared" si="139"/>
        <v>0.06</v>
      </c>
      <c r="J863" s="153">
        <f t="shared" si="139"/>
        <v>0</v>
      </c>
      <c r="K863" s="153">
        <f t="shared" si="139"/>
        <v>0</v>
      </c>
      <c r="L863" s="153">
        <f t="shared" si="139"/>
        <v>0</v>
      </c>
      <c r="M863" s="153">
        <f t="shared" si="139"/>
        <v>7.9999999999999988E-2</v>
      </c>
      <c r="N863" s="153">
        <f t="shared" si="139"/>
        <v>0</v>
      </c>
      <c r="O863" s="153">
        <f t="shared" si="139"/>
        <v>0</v>
      </c>
      <c r="P863" s="153">
        <f t="shared" si="139"/>
        <v>0</v>
      </c>
      <c r="Q863" s="153">
        <f t="shared" si="139"/>
        <v>0</v>
      </c>
      <c r="R863" s="153">
        <f t="shared" si="139"/>
        <v>0</v>
      </c>
      <c r="S863" s="153">
        <f t="shared" si="139"/>
        <v>0</v>
      </c>
      <c r="T863" s="153">
        <f t="shared" si="139"/>
        <v>0</v>
      </c>
      <c r="U863" s="153">
        <f t="shared" si="139"/>
        <v>0</v>
      </c>
      <c r="V863" s="153">
        <f t="shared" si="139"/>
        <v>0</v>
      </c>
      <c r="W863" s="153">
        <f t="shared" si="139"/>
        <v>0</v>
      </c>
      <c r="X863" s="153">
        <f t="shared" si="139"/>
        <v>0</v>
      </c>
      <c r="Y863" s="153">
        <f t="shared" si="139"/>
        <v>0</v>
      </c>
      <c r="Z863" s="153">
        <f t="shared" si="139"/>
        <v>0</v>
      </c>
      <c r="AA863" s="153">
        <f t="shared" si="139"/>
        <v>0</v>
      </c>
      <c r="AB863" s="153">
        <f t="shared" si="139"/>
        <v>0</v>
      </c>
      <c r="AC863" s="153">
        <f t="shared" si="139"/>
        <v>0</v>
      </c>
      <c r="AD863" s="153">
        <f t="shared" si="139"/>
        <v>0</v>
      </c>
      <c r="AE863" s="153">
        <f t="shared" si="139"/>
        <v>0</v>
      </c>
      <c r="AF863" s="153">
        <f t="shared" si="139"/>
        <v>0</v>
      </c>
      <c r="AG863" s="153">
        <f t="shared" si="139"/>
        <v>0</v>
      </c>
      <c r="AH863" s="153">
        <f t="shared" si="139"/>
        <v>0</v>
      </c>
      <c r="AI863" s="153">
        <f t="shared" si="139"/>
        <v>0</v>
      </c>
      <c r="AJ863" s="153">
        <f t="shared" si="139"/>
        <v>0</v>
      </c>
      <c r="AK863" s="153">
        <f t="shared" si="139"/>
        <v>0</v>
      </c>
      <c r="AL863" s="153">
        <f t="shared" si="139"/>
        <v>0</v>
      </c>
      <c r="AM863" s="153">
        <f t="shared" si="139"/>
        <v>0</v>
      </c>
      <c r="AN863" s="153">
        <f t="shared" si="139"/>
        <v>0</v>
      </c>
      <c r="AO863" s="153">
        <f t="shared" si="139"/>
        <v>0</v>
      </c>
      <c r="AP863" s="153">
        <f t="shared" si="139"/>
        <v>0</v>
      </c>
      <c r="AQ863" s="153">
        <f t="shared" si="139"/>
        <v>0</v>
      </c>
      <c r="AR863" s="153">
        <f t="shared" si="139"/>
        <v>0</v>
      </c>
      <c r="AS863" s="153">
        <f t="shared" si="139"/>
        <v>0</v>
      </c>
      <c r="AT863" s="153">
        <f t="shared" si="139"/>
        <v>0</v>
      </c>
      <c r="AU863" s="153">
        <f t="shared" si="139"/>
        <v>0</v>
      </c>
      <c r="AV863" s="153">
        <f t="shared" si="139"/>
        <v>0</v>
      </c>
      <c r="AW863" s="153">
        <f t="shared" si="139"/>
        <v>0</v>
      </c>
      <c r="AX863" s="153">
        <f t="shared" si="139"/>
        <v>0</v>
      </c>
      <c r="AY863" s="70" t="s">
        <v>983</v>
      </c>
      <c r="AZ863" s="70"/>
      <c r="BA863" s="70"/>
      <c r="BB863" s="70"/>
      <c r="BC863" s="66"/>
      <c r="BI863" s="42"/>
    </row>
    <row r="864" spans="1:61" s="24" customFormat="1" ht="35.1" customHeight="1">
      <c r="A864" s="32">
        <f>A860+1</f>
        <v>647</v>
      </c>
      <c r="B864" s="158" t="s">
        <v>186</v>
      </c>
      <c r="C864" s="78" t="s">
        <v>1260</v>
      </c>
      <c r="D864" s="35">
        <f t="shared" si="133"/>
        <v>0.44</v>
      </c>
      <c r="E864" s="67"/>
      <c r="F864" s="35">
        <f t="shared" si="130"/>
        <v>0.44</v>
      </c>
      <c r="G864" s="68"/>
      <c r="H864" s="68"/>
      <c r="I864" s="68">
        <v>0.44</v>
      </c>
      <c r="J864" s="68"/>
      <c r="K864" s="68"/>
      <c r="L864" s="68"/>
      <c r="M864" s="68"/>
      <c r="N864" s="68"/>
      <c r="O864" s="68"/>
      <c r="P864" s="68"/>
      <c r="Q864" s="68"/>
      <c r="R864" s="68"/>
      <c r="S864" s="68"/>
      <c r="T864" s="68"/>
      <c r="U864" s="68"/>
      <c r="V864" s="68"/>
      <c r="W864" s="68"/>
      <c r="X864" s="68"/>
      <c r="Y864" s="68"/>
      <c r="Z864" s="68"/>
      <c r="AA864" s="68"/>
      <c r="AB864" s="68"/>
      <c r="AC864" s="68"/>
      <c r="AD864" s="68"/>
      <c r="AE864" s="68"/>
      <c r="AF864" s="68"/>
      <c r="AG864" s="68"/>
      <c r="AH864" s="68"/>
      <c r="AI864" s="68"/>
      <c r="AJ864" s="68"/>
      <c r="AK864" s="68"/>
      <c r="AL864" s="68"/>
      <c r="AM864" s="68"/>
      <c r="AN864" s="68"/>
      <c r="AO864" s="68"/>
      <c r="AP864" s="68"/>
      <c r="AQ864" s="68"/>
      <c r="AR864" s="68"/>
      <c r="AS864" s="68"/>
      <c r="AT864" s="68"/>
      <c r="AU864" s="68"/>
      <c r="AV864" s="68"/>
      <c r="AW864" s="68"/>
      <c r="AX864" s="68"/>
      <c r="AY864" s="70" t="s">
        <v>983</v>
      </c>
      <c r="AZ864" s="70" t="s">
        <v>1388</v>
      </c>
      <c r="BA864" s="47" t="s">
        <v>298</v>
      </c>
      <c r="BB864" s="47"/>
      <c r="BC864" s="66" t="s">
        <v>1389</v>
      </c>
      <c r="BI864" s="42">
        <v>1</v>
      </c>
    </row>
    <row r="865" spans="1:72" s="24" customFormat="1" ht="20.100000000000001" hidden="1" customHeight="1">
      <c r="A865" s="32"/>
      <c r="B865" s="158"/>
      <c r="C865" s="78" t="s">
        <v>59</v>
      </c>
      <c r="D865" s="35">
        <f t="shared" si="133"/>
        <v>0.18</v>
      </c>
      <c r="E865" s="67"/>
      <c r="F865" s="35">
        <f t="shared" si="130"/>
        <v>0.18</v>
      </c>
      <c r="G865" s="68"/>
      <c r="H865" s="68"/>
      <c r="I865" s="68">
        <v>0.18</v>
      </c>
      <c r="J865" s="68"/>
      <c r="K865" s="68"/>
      <c r="L865" s="68"/>
      <c r="M865" s="68"/>
      <c r="N865" s="68"/>
      <c r="O865" s="68"/>
      <c r="P865" s="68"/>
      <c r="Q865" s="68"/>
      <c r="R865" s="68"/>
      <c r="S865" s="68"/>
      <c r="T865" s="68"/>
      <c r="U865" s="68"/>
      <c r="V865" s="68"/>
      <c r="W865" s="68"/>
      <c r="X865" s="68"/>
      <c r="Y865" s="68"/>
      <c r="Z865" s="68"/>
      <c r="AA865" s="68"/>
      <c r="AB865" s="68"/>
      <c r="AC865" s="68"/>
      <c r="AD865" s="68"/>
      <c r="AE865" s="68"/>
      <c r="AF865" s="68"/>
      <c r="AG865" s="68"/>
      <c r="AH865" s="68"/>
      <c r="AI865" s="68"/>
      <c r="AJ865" s="68"/>
      <c r="AK865" s="68"/>
      <c r="AL865" s="68"/>
      <c r="AM865" s="68"/>
      <c r="AN865" s="68"/>
      <c r="AO865" s="68"/>
      <c r="AP865" s="68"/>
      <c r="AQ865" s="68"/>
      <c r="AR865" s="68"/>
      <c r="AS865" s="68"/>
      <c r="AT865" s="68"/>
      <c r="AU865" s="68"/>
      <c r="AV865" s="68"/>
      <c r="AW865" s="68"/>
      <c r="AX865" s="68"/>
      <c r="AY865" s="70" t="s">
        <v>983</v>
      </c>
      <c r="AZ865" s="70"/>
      <c r="BA865" s="47"/>
      <c r="BB865" s="47"/>
      <c r="BC865" s="66"/>
      <c r="BI865" s="42"/>
    </row>
    <row r="866" spans="1:72" s="24" customFormat="1" ht="20.100000000000001" hidden="1" customHeight="1">
      <c r="A866" s="32"/>
      <c r="B866" s="158"/>
      <c r="C866" s="78" t="s">
        <v>44</v>
      </c>
      <c r="D866" s="35">
        <f t="shared" si="133"/>
        <v>0.15</v>
      </c>
      <c r="E866" s="67"/>
      <c r="F866" s="35">
        <f t="shared" si="130"/>
        <v>0.15</v>
      </c>
      <c r="G866" s="68"/>
      <c r="H866" s="68"/>
      <c r="I866" s="68">
        <v>0.15</v>
      </c>
      <c r="J866" s="68"/>
      <c r="K866" s="68"/>
      <c r="L866" s="68"/>
      <c r="M866" s="68"/>
      <c r="N866" s="68"/>
      <c r="O866" s="68"/>
      <c r="P866" s="68"/>
      <c r="Q866" s="68"/>
      <c r="R866" s="68"/>
      <c r="S866" s="68"/>
      <c r="T866" s="68"/>
      <c r="U866" s="68"/>
      <c r="V866" s="68"/>
      <c r="W866" s="68"/>
      <c r="X866" s="68"/>
      <c r="Y866" s="68"/>
      <c r="Z866" s="68"/>
      <c r="AA866" s="68"/>
      <c r="AB866" s="68"/>
      <c r="AC866" s="68"/>
      <c r="AD866" s="68"/>
      <c r="AE866" s="68"/>
      <c r="AF866" s="68"/>
      <c r="AG866" s="68"/>
      <c r="AH866" s="68"/>
      <c r="AI866" s="68"/>
      <c r="AJ866" s="68"/>
      <c r="AK866" s="68"/>
      <c r="AL866" s="68"/>
      <c r="AM866" s="68"/>
      <c r="AN866" s="68"/>
      <c r="AO866" s="68"/>
      <c r="AP866" s="68"/>
      <c r="AQ866" s="68"/>
      <c r="AR866" s="68"/>
      <c r="AS866" s="68"/>
      <c r="AT866" s="68"/>
      <c r="AU866" s="68"/>
      <c r="AV866" s="68"/>
      <c r="AW866" s="68"/>
      <c r="AX866" s="68"/>
      <c r="AY866" s="70" t="s">
        <v>983</v>
      </c>
      <c r="AZ866" s="70"/>
      <c r="BA866" s="47"/>
      <c r="BB866" s="47"/>
      <c r="BC866" s="66"/>
      <c r="BI866" s="42"/>
    </row>
    <row r="867" spans="1:72" s="24" customFormat="1" ht="20.100000000000001" hidden="1" customHeight="1">
      <c r="A867" s="32"/>
      <c r="B867" s="158"/>
      <c r="C867" s="78" t="s">
        <v>138</v>
      </c>
      <c r="D867" s="35">
        <f t="shared" si="133"/>
        <v>0.11000000000000001</v>
      </c>
      <c r="E867" s="67"/>
      <c r="F867" s="35">
        <f t="shared" si="130"/>
        <v>0.11000000000000001</v>
      </c>
      <c r="G867" s="153">
        <f>G864-G865-G866</f>
        <v>0</v>
      </c>
      <c r="H867" s="153">
        <f t="shared" ref="H867:AX867" si="140">H864-H865-H866</f>
        <v>0</v>
      </c>
      <c r="I867" s="153">
        <f t="shared" si="140"/>
        <v>0.11000000000000001</v>
      </c>
      <c r="J867" s="153">
        <f t="shared" si="140"/>
        <v>0</v>
      </c>
      <c r="K867" s="153">
        <f t="shared" si="140"/>
        <v>0</v>
      </c>
      <c r="L867" s="153">
        <f t="shared" si="140"/>
        <v>0</v>
      </c>
      <c r="M867" s="153">
        <f t="shared" si="140"/>
        <v>0</v>
      </c>
      <c r="N867" s="153">
        <f t="shared" si="140"/>
        <v>0</v>
      </c>
      <c r="O867" s="153">
        <f t="shared" si="140"/>
        <v>0</v>
      </c>
      <c r="P867" s="153">
        <f t="shared" si="140"/>
        <v>0</v>
      </c>
      <c r="Q867" s="153">
        <f t="shared" si="140"/>
        <v>0</v>
      </c>
      <c r="R867" s="153">
        <f t="shared" si="140"/>
        <v>0</v>
      </c>
      <c r="S867" s="153">
        <f t="shared" si="140"/>
        <v>0</v>
      </c>
      <c r="T867" s="153">
        <f t="shared" si="140"/>
        <v>0</v>
      </c>
      <c r="U867" s="153">
        <f t="shared" si="140"/>
        <v>0</v>
      </c>
      <c r="V867" s="153">
        <f t="shared" si="140"/>
        <v>0</v>
      </c>
      <c r="W867" s="153">
        <f t="shared" si="140"/>
        <v>0</v>
      </c>
      <c r="X867" s="153">
        <f t="shared" si="140"/>
        <v>0</v>
      </c>
      <c r="Y867" s="153">
        <f t="shared" si="140"/>
        <v>0</v>
      </c>
      <c r="Z867" s="153">
        <f t="shared" si="140"/>
        <v>0</v>
      </c>
      <c r="AA867" s="153">
        <f t="shared" si="140"/>
        <v>0</v>
      </c>
      <c r="AB867" s="153">
        <f t="shared" si="140"/>
        <v>0</v>
      </c>
      <c r="AC867" s="153">
        <f t="shared" si="140"/>
        <v>0</v>
      </c>
      <c r="AD867" s="153">
        <f t="shared" si="140"/>
        <v>0</v>
      </c>
      <c r="AE867" s="153">
        <f t="shared" si="140"/>
        <v>0</v>
      </c>
      <c r="AF867" s="153">
        <f t="shared" si="140"/>
        <v>0</v>
      </c>
      <c r="AG867" s="153">
        <f t="shared" si="140"/>
        <v>0</v>
      </c>
      <c r="AH867" s="153">
        <f t="shared" si="140"/>
        <v>0</v>
      </c>
      <c r="AI867" s="153">
        <f t="shared" si="140"/>
        <v>0</v>
      </c>
      <c r="AJ867" s="153">
        <f t="shared" si="140"/>
        <v>0</v>
      </c>
      <c r="AK867" s="153">
        <f t="shared" si="140"/>
        <v>0</v>
      </c>
      <c r="AL867" s="153">
        <f t="shared" si="140"/>
        <v>0</v>
      </c>
      <c r="AM867" s="153">
        <f t="shared" si="140"/>
        <v>0</v>
      </c>
      <c r="AN867" s="153">
        <f t="shared" si="140"/>
        <v>0</v>
      </c>
      <c r="AO867" s="153">
        <f t="shared" si="140"/>
        <v>0</v>
      </c>
      <c r="AP867" s="153">
        <f t="shared" si="140"/>
        <v>0</v>
      </c>
      <c r="AQ867" s="153">
        <f t="shared" si="140"/>
        <v>0</v>
      </c>
      <c r="AR867" s="153">
        <f t="shared" si="140"/>
        <v>0</v>
      </c>
      <c r="AS867" s="153">
        <f t="shared" si="140"/>
        <v>0</v>
      </c>
      <c r="AT867" s="153">
        <f t="shared" si="140"/>
        <v>0</v>
      </c>
      <c r="AU867" s="153">
        <f t="shared" si="140"/>
        <v>0</v>
      </c>
      <c r="AV867" s="153">
        <f t="shared" si="140"/>
        <v>0</v>
      </c>
      <c r="AW867" s="153">
        <f t="shared" si="140"/>
        <v>0</v>
      </c>
      <c r="AX867" s="153">
        <f t="shared" si="140"/>
        <v>0</v>
      </c>
      <c r="AY867" s="70" t="s">
        <v>983</v>
      </c>
      <c r="AZ867" s="70"/>
      <c r="BA867" s="47"/>
      <c r="BB867" s="47"/>
      <c r="BC867" s="66"/>
      <c r="BI867" s="42"/>
    </row>
    <row r="868" spans="1:72" s="24" customFormat="1" ht="21.6" customHeight="1">
      <c r="A868" s="32">
        <f>A864+1</f>
        <v>648</v>
      </c>
      <c r="B868" s="158" t="s">
        <v>186</v>
      </c>
      <c r="C868" s="78" t="s">
        <v>59</v>
      </c>
      <c r="D868" s="35">
        <f t="shared" si="133"/>
        <v>0.1</v>
      </c>
      <c r="E868" s="67"/>
      <c r="F868" s="35">
        <f t="shared" si="130"/>
        <v>0.1</v>
      </c>
      <c r="G868" s="68"/>
      <c r="H868" s="68">
        <v>0.1</v>
      </c>
      <c r="I868" s="68"/>
      <c r="J868" s="68"/>
      <c r="K868" s="68"/>
      <c r="L868" s="68"/>
      <c r="M868" s="68"/>
      <c r="N868" s="68"/>
      <c r="O868" s="68"/>
      <c r="P868" s="68"/>
      <c r="Q868" s="68"/>
      <c r="R868" s="68"/>
      <c r="S868" s="68"/>
      <c r="T868" s="68"/>
      <c r="U868" s="68"/>
      <c r="V868" s="68"/>
      <c r="W868" s="68"/>
      <c r="X868" s="68"/>
      <c r="Y868" s="68"/>
      <c r="Z868" s="68"/>
      <c r="AA868" s="68"/>
      <c r="AB868" s="68"/>
      <c r="AC868" s="68"/>
      <c r="AD868" s="68"/>
      <c r="AE868" s="68"/>
      <c r="AF868" s="68"/>
      <c r="AG868" s="68"/>
      <c r="AH868" s="68"/>
      <c r="AI868" s="68"/>
      <c r="AJ868" s="68"/>
      <c r="AK868" s="68"/>
      <c r="AL868" s="68"/>
      <c r="AM868" s="68"/>
      <c r="AN868" s="68"/>
      <c r="AO868" s="68"/>
      <c r="AP868" s="68"/>
      <c r="AQ868" s="68"/>
      <c r="AR868" s="68"/>
      <c r="AS868" s="68"/>
      <c r="AT868" s="68"/>
      <c r="AU868" s="68"/>
      <c r="AV868" s="68"/>
      <c r="AW868" s="68"/>
      <c r="AX868" s="68"/>
      <c r="AY868" s="70" t="s">
        <v>983</v>
      </c>
      <c r="AZ868" s="70" t="s">
        <v>1390</v>
      </c>
      <c r="BA868" s="47" t="s">
        <v>298</v>
      </c>
      <c r="BB868" s="47"/>
      <c r="BC868" s="66" t="s">
        <v>1389</v>
      </c>
      <c r="BI868" s="42">
        <v>1</v>
      </c>
    </row>
    <row r="869" spans="1:72" s="24" customFormat="1" ht="31.5">
      <c r="A869" s="32">
        <f>A868+1</f>
        <v>649</v>
      </c>
      <c r="B869" s="158" t="s">
        <v>186</v>
      </c>
      <c r="C869" s="78" t="s">
        <v>59</v>
      </c>
      <c r="D869" s="35">
        <f t="shared" si="133"/>
        <v>0.37</v>
      </c>
      <c r="E869" s="67"/>
      <c r="F869" s="35">
        <f t="shared" si="130"/>
        <v>0.37</v>
      </c>
      <c r="G869" s="68">
        <v>0.27</v>
      </c>
      <c r="H869" s="68"/>
      <c r="I869" s="68">
        <v>0.1</v>
      </c>
      <c r="J869" s="68"/>
      <c r="K869" s="68"/>
      <c r="L869" s="68"/>
      <c r="M869" s="68"/>
      <c r="N869" s="68"/>
      <c r="O869" s="68"/>
      <c r="P869" s="68"/>
      <c r="Q869" s="68"/>
      <c r="R869" s="68"/>
      <c r="S869" s="68"/>
      <c r="T869" s="68"/>
      <c r="U869" s="68"/>
      <c r="V869" s="68"/>
      <c r="W869" s="68"/>
      <c r="X869" s="68"/>
      <c r="Y869" s="68"/>
      <c r="Z869" s="68"/>
      <c r="AA869" s="68"/>
      <c r="AB869" s="68"/>
      <c r="AC869" s="68"/>
      <c r="AD869" s="68"/>
      <c r="AE869" s="68"/>
      <c r="AF869" s="68"/>
      <c r="AG869" s="68"/>
      <c r="AH869" s="68"/>
      <c r="AI869" s="68"/>
      <c r="AJ869" s="68"/>
      <c r="AK869" s="68"/>
      <c r="AL869" s="68"/>
      <c r="AM869" s="68"/>
      <c r="AN869" s="68"/>
      <c r="AO869" s="68"/>
      <c r="AP869" s="68"/>
      <c r="AQ869" s="68"/>
      <c r="AR869" s="68"/>
      <c r="AS869" s="68"/>
      <c r="AT869" s="68"/>
      <c r="AU869" s="68"/>
      <c r="AV869" s="68"/>
      <c r="AW869" s="68"/>
      <c r="AX869" s="68"/>
      <c r="AY869" s="70" t="s">
        <v>983</v>
      </c>
      <c r="AZ869" s="70" t="s">
        <v>1391</v>
      </c>
      <c r="BA869" s="47" t="s">
        <v>298</v>
      </c>
      <c r="BB869" s="47"/>
      <c r="BC869" s="66" t="s">
        <v>1389</v>
      </c>
      <c r="BI869" s="42">
        <v>1</v>
      </c>
    </row>
    <row r="870" spans="1:72" s="24" customFormat="1" ht="31.5">
      <c r="A870" s="32">
        <f>A869+1</f>
        <v>650</v>
      </c>
      <c r="B870" s="158" t="s">
        <v>186</v>
      </c>
      <c r="C870" s="78" t="s">
        <v>59</v>
      </c>
      <c r="D870" s="35">
        <f t="shared" si="133"/>
        <v>0.1</v>
      </c>
      <c r="E870" s="67"/>
      <c r="F870" s="35">
        <f t="shared" si="130"/>
        <v>0.1</v>
      </c>
      <c r="G870" s="68"/>
      <c r="H870" s="68"/>
      <c r="I870" s="68"/>
      <c r="J870" s="68"/>
      <c r="K870" s="68"/>
      <c r="L870" s="68"/>
      <c r="M870" s="68">
        <v>0.1</v>
      </c>
      <c r="N870" s="68"/>
      <c r="O870" s="68"/>
      <c r="P870" s="68"/>
      <c r="Q870" s="68"/>
      <c r="R870" s="68"/>
      <c r="S870" s="68"/>
      <c r="T870" s="68"/>
      <c r="U870" s="68"/>
      <c r="V870" s="68"/>
      <c r="W870" s="68"/>
      <c r="X870" s="68"/>
      <c r="Y870" s="68"/>
      <c r="Z870" s="68"/>
      <c r="AA870" s="68"/>
      <c r="AB870" s="68"/>
      <c r="AC870" s="68"/>
      <c r="AD870" s="68"/>
      <c r="AE870" s="68"/>
      <c r="AF870" s="68"/>
      <c r="AG870" s="68"/>
      <c r="AH870" s="68"/>
      <c r="AI870" s="68"/>
      <c r="AJ870" s="68"/>
      <c r="AK870" s="68"/>
      <c r="AL870" s="68"/>
      <c r="AM870" s="68"/>
      <c r="AN870" s="68"/>
      <c r="AO870" s="68"/>
      <c r="AP870" s="68"/>
      <c r="AQ870" s="68"/>
      <c r="AR870" s="68"/>
      <c r="AS870" s="68"/>
      <c r="AT870" s="68"/>
      <c r="AU870" s="68"/>
      <c r="AV870" s="68"/>
      <c r="AW870" s="68"/>
      <c r="AX870" s="68"/>
      <c r="AY870" s="70" t="s">
        <v>983</v>
      </c>
      <c r="AZ870" s="70" t="s">
        <v>1392</v>
      </c>
      <c r="BA870" s="47" t="s">
        <v>298</v>
      </c>
      <c r="BB870" s="47"/>
      <c r="BC870" s="66" t="s">
        <v>1389</v>
      </c>
      <c r="BI870" s="42">
        <v>1</v>
      </c>
    </row>
    <row r="871" spans="1:72" s="24" customFormat="1" ht="31.5">
      <c r="A871" s="32">
        <f>A870+1</f>
        <v>651</v>
      </c>
      <c r="B871" s="158" t="s">
        <v>186</v>
      </c>
      <c r="C871" s="78" t="s">
        <v>59</v>
      </c>
      <c r="D871" s="35">
        <f t="shared" si="133"/>
        <v>0.1</v>
      </c>
      <c r="E871" s="67"/>
      <c r="F871" s="35">
        <f t="shared" si="130"/>
        <v>0.1</v>
      </c>
      <c r="G871" s="68"/>
      <c r="H871" s="68">
        <v>0.1</v>
      </c>
      <c r="I871" s="68"/>
      <c r="J871" s="68"/>
      <c r="K871" s="68"/>
      <c r="L871" s="68"/>
      <c r="M871" s="68"/>
      <c r="N871" s="68"/>
      <c r="O871" s="68"/>
      <c r="P871" s="68"/>
      <c r="Q871" s="68"/>
      <c r="R871" s="68"/>
      <c r="S871" s="68"/>
      <c r="T871" s="68"/>
      <c r="U871" s="68"/>
      <c r="V871" s="68"/>
      <c r="W871" s="68"/>
      <c r="X871" s="68"/>
      <c r="Y871" s="68"/>
      <c r="Z871" s="68"/>
      <c r="AA871" s="68"/>
      <c r="AB871" s="68"/>
      <c r="AC871" s="68"/>
      <c r="AD871" s="68"/>
      <c r="AE871" s="68"/>
      <c r="AF871" s="68"/>
      <c r="AG871" s="68"/>
      <c r="AH871" s="68"/>
      <c r="AI871" s="68"/>
      <c r="AJ871" s="68"/>
      <c r="AK871" s="68"/>
      <c r="AL871" s="68"/>
      <c r="AM871" s="68"/>
      <c r="AN871" s="68"/>
      <c r="AO871" s="68"/>
      <c r="AP871" s="68"/>
      <c r="AQ871" s="68"/>
      <c r="AR871" s="68"/>
      <c r="AS871" s="68"/>
      <c r="AT871" s="68"/>
      <c r="AU871" s="68"/>
      <c r="AV871" s="68"/>
      <c r="AW871" s="68"/>
      <c r="AX871" s="68"/>
      <c r="AY871" s="70" t="s">
        <v>983</v>
      </c>
      <c r="AZ871" s="70" t="s">
        <v>1393</v>
      </c>
      <c r="BA871" s="70" t="s">
        <v>291</v>
      </c>
      <c r="BB871" s="70"/>
      <c r="BC871" s="66" t="s">
        <v>1394</v>
      </c>
      <c r="BI871" s="42">
        <v>1</v>
      </c>
    </row>
    <row r="872" spans="1:72" s="24" customFormat="1" ht="31.5">
      <c r="A872" s="32">
        <f>A871+1</f>
        <v>652</v>
      </c>
      <c r="B872" s="158" t="s">
        <v>186</v>
      </c>
      <c r="C872" s="78" t="s">
        <v>1260</v>
      </c>
      <c r="D872" s="35">
        <f t="shared" si="133"/>
        <v>0.5</v>
      </c>
      <c r="E872" s="67"/>
      <c r="F872" s="35">
        <f t="shared" si="130"/>
        <v>0.5</v>
      </c>
      <c r="G872" s="68">
        <v>0.36</v>
      </c>
      <c r="H872" s="68"/>
      <c r="I872" s="68">
        <v>0.14000000000000001</v>
      </c>
      <c r="J872" s="68"/>
      <c r="K872" s="68"/>
      <c r="L872" s="68"/>
      <c r="M872" s="68"/>
      <c r="N872" s="68"/>
      <c r="O872" s="68"/>
      <c r="P872" s="68"/>
      <c r="Q872" s="68"/>
      <c r="R872" s="68"/>
      <c r="S872" s="68"/>
      <c r="T872" s="68"/>
      <c r="U872" s="68"/>
      <c r="V872" s="68"/>
      <c r="W872" s="68"/>
      <c r="X872" s="68"/>
      <c r="Y872" s="68"/>
      <c r="Z872" s="68"/>
      <c r="AA872" s="68"/>
      <c r="AB872" s="68"/>
      <c r="AC872" s="68"/>
      <c r="AD872" s="68"/>
      <c r="AE872" s="68"/>
      <c r="AF872" s="68"/>
      <c r="AG872" s="68"/>
      <c r="AH872" s="68"/>
      <c r="AI872" s="68"/>
      <c r="AJ872" s="68"/>
      <c r="AK872" s="68"/>
      <c r="AL872" s="68"/>
      <c r="AM872" s="68"/>
      <c r="AN872" s="68"/>
      <c r="AO872" s="68"/>
      <c r="AP872" s="68"/>
      <c r="AQ872" s="68"/>
      <c r="AR872" s="68"/>
      <c r="AS872" s="68"/>
      <c r="AT872" s="68"/>
      <c r="AU872" s="68"/>
      <c r="AV872" s="68"/>
      <c r="AW872" s="68"/>
      <c r="AX872" s="68"/>
      <c r="AY872" s="70" t="s">
        <v>983</v>
      </c>
      <c r="AZ872" s="70" t="s">
        <v>1395</v>
      </c>
      <c r="BA872" s="47" t="s">
        <v>298</v>
      </c>
      <c r="BB872" s="47"/>
      <c r="BC872" s="66" t="s">
        <v>1389</v>
      </c>
      <c r="BI872" s="42">
        <v>1</v>
      </c>
    </row>
    <row r="873" spans="1:72" s="24" customFormat="1" hidden="1">
      <c r="A873" s="32"/>
      <c r="B873" s="158"/>
      <c r="C873" s="78" t="s">
        <v>59</v>
      </c>
      <c r="D873" s="35">
        <f t="shared" si="133"/>
        <v>0.2</v>
      </c>
      <c r="E873" s="67"/>
      <c r="F873" s="35">
        <f t="shared" si="130"/>
        <v>0.2</v>
      </c>
      <c r="G873" s="68">
        <v>0.13</v>
      </c>
      <c r="H873" s="68"/>
      <c r="I873" s="68">
        <v>7.0000000000000007E-2</v>
      </c>
      <c r="J873" s="68"/>
      <c r="K873" s="68"/>
      <c r="L873" s="68"/>
      <c r="M873" s="68"/>
      <c r="N873" s="68"/>
      <c r="O873" s="68"/>
      <c r="P873" s="68"/>
      <c r="Q873" s="68"/>
      <c r="R873" s="68"/>
      <c r="S873" s="68"/>
      <c r="T873" s="68"/>
      <c r="U873" s="68"/>
      <c r="V873" s="68"/>
      <c r="W873" s="68"/>
      <c r="X873" s="68"/>
      <c r="Y873" s="68"/>
      <c r="Z873" s="68"/>
      <c r="AA873" s="68"/>
      <c r="AB873" s="68"/>
      <c r="AC873" s="68"/>
      <c r="AD873" s="68"/>
      <c r="AE873" s="68"/>
      <c r="AF873" s="68"/>
      <c r="AG873" s="68"/>
      <c r="AH873" s="68"/>
      <c r="AI873" s="68"/>
      <c r="AJ873" s="68"/>
      <c r="AK873" s="68"/>
      <c r="AL873" s="68"/>
      <c r="AM873" s="68"/>
      <c r="AN873" s="68"/>
      <c r="AO873" s="68"/>
      <c r="AP873" s="68"/>
      <c r="AQ873" s="68"/>
      <c r="AR873" s="68"/>
      <c r="AS873" s="68"/>
      <c r="AT873" s="68"/>
      <c r="AU873" s="68"/>
      <c r="AV873" s="68"/>
      <c r="AW873" s="68"/>
      <c r="AX873" s="68"/>
      <c r="AY873" s="70" t="s">
        <v>983</v>
      </c>
      <c r="AZ873" s="70"/>
      <c r="BA873" s="47"/>
      <c r="BB873" s="48"/>
      <c r="BC873" s="160"/>
      <c r="BI873" s="42"/>
    </row>
    <row r="874" spans="1:72" s="24" customFormat="1" hidden="1">
      <c r="A874" s="32"/>
      <c r="B874" s="158"/>
      <c r="C874" s="78" t="s">
        <v>44</v>
      </c>
      <c r="D874" s="35">
        <f t="shared" si="133"/>
        <v>0.16999999999999998</v>
      </c>
      <c r="E874" s="67"/>
      <c r="F874" s="35">
        <f t="shared" si="130"/>
        <v>0.16999999999999998</v>
      </c>
      <c r="G874" s="68">
        <v>0.15</v>
      </c>
      <c r="H874" s="68"/>
      <c r="I874" s="68">
        <v>0.02</v>
      </c>
      <c r="J874" s="68"/>
      <c r="K874" s="68"/>
      <c r="L874" s="68"/>
      <c r="M874" s="68"/>
      <c r="N874" s="68"/>
      <c r="O874" s="68"/>
      <c r="P874" s="68"/>
      <c r="Q874" s="68"/>
      <c r="R874" s="68"/>
      <c r="S874" s="68"/>
      <c r="T874" s="68"/>
      <c r="U874" s="68"/>
      <c r="V874" s="68"/>
      <c r="W874" s="68"/>
      <c r="X874" s="68"/>
      <c r="Y874" s="68"/>
      <c r="Z874" s="68"/>
      <c r="AA874" s="68"/>
      <c r="AB874" s="68"/>
      <c r="AC874" s="68"/>
      <c r="AD874" s="68"/>
      <c r="AE874" s="68"/>
      <c r="AF874" s="68"/>
      <c r="AG874" s="68"/>
      <c r="AH874" s="68"/>
      <c r="AI874" s="68"/>
      <c r="AJ874" s="68"/>
      <c r="AK874" s="68"/>
      <c r="AL874" s="68"/>
      <c r="AM874" s="68"/>
      <c r="AN874" s="68"/>
      <c r="AO874" s="68"/>
      <c r="AP874" s="68"/>
      <c r="AQ874" s="68"/>
      <c r="AR874" s="68"/>
      <c r="AS874" s="68"/>
      <c r="AT874" s="68"/>
      <c r="AU874" s="68"/>
      <c r="AV874" s="68"/>
      <c r="AW874" s="68"/>
      <c r="AX874" s="68"/>
      <c r="AY874" s="70" t="s">
        <v>983</v>
      </c>
      <c r="AZ874" s="70"/>
      <c r="BA874" s="47"/>
      <c r="BB874" s="48"/>
      <c r="BC874" s="160"/>
      <c r="BI874" s="42"/>
    </row>
    <row r="875" spans="1:72" s="24" customFormat="1" hidden="1">
      <c r="A875" s="32"/>
      <c r="B875" s="158"/>
      <c r="C875" s="78" t="s">
        <v>138</v>
      </c>
      <c r="D875" s="35">
        <f t="shared" si="133"/>
        <v>0.13</v>
      </c>
      <c r="E875" s="67"/>
      <c r="F875" s="35">
        <f t="shared" si="130"/>
        <v>0.13</v>
      </c>
      <c r="G875" s="153">
        <f>G872-G873-G874</f>
        <v>7.9999999999999988E-2</v>
      </c>
      <c r="H875" s="153">
        <f t="shared" ref="H875:AX875" si="141">H872-H873-H874</f>
        <v>0</v>
      </c>
      <c r="I875" s="153">
        <f t="shared" si="141"/>
        <v>0.05</v>
      </c>
      <c r="J875" s="153">
        <f t="shared" si="141"/>
        <v>0</v>
      </c>
      <c r="K875" s="153">
        <f t="shared" si="141"/>
        <v>0</v>
      </c>
      <c r="L875" s="153">
        <f t="shared" si="141"/>
        <v>0</v>
      </c>
      <c r="M875" s="153">
        <f t="shared" si="141"/>
        <v>0</v>
      </c>
      <c r="N875" s="153">
        <f t="shared" si="141"/>
        <v>0</v>
      </c>
      <c r="O875" s="153">
        <f t="shared" si="141"/>
        <v>0</v>
      </c>
      <c r="P875" s="153">
        <f t="shared" si="141"/>
        <v>0</v>
      </c>
      <c r="Q875" s="153">
        <f t="shared" si="141"/>
        <v>0</v>
      </c>
      <c r="R875" s="153">
        <f t="shared" si="141"/>
        <v>0</v>
      </c>
      <c r="S875" s="153">
        <f t="shared" si="141"/>
        <v>0</v>
      </c>
      <c r="T875" s="153">
        <f t="shared" si="141"/>
        <v>0</v>
      </c>
      <c r="U875" s="153">
        <f t="shared" si="141"/>
        <v>0</v>
      </c>
      <c r="V875" s="153">
        <f t="shared" si="141"/>
        <v>0</v>
      </c>
      <c r="W875" s="153">
        <f t="shared" si="141"/>
        <v>0</v>
      </c>
      <c r="X875" s="153">
        <f t="shared" si="141"/>
        <v>0</v>
      </c>
      <c r="Y875" s="153">
        <f t="shared" si="141"/>
        <v>0</v>
      </c>
      <c r="Z875" s="153">
        <f t="shared" si="141"/>
        <v>0</v>
      </c>
      <c r="AA875" s="153">
        <f t="shared" si="141"/>
        <v>0</v>
      </c>
      <c r="AB875" s="153">
        <f t="shared" si="141"/>
        <v>0</v>
      </c>
      <c r="AC875" s="153">
        <f t="shared" si="141"/>
        <v>0</v>
      </c>
      <c r="AD875" s="153">
        <f t="shared" si="141"/>
        <v>0</v>
      </c>
      <c r="AE875" s="153">
        <f t="shared" si="141"/>
        <v>0</v>
      </c>
      <c r="AF875" s="153">
        <f t="shared" si="141"/>
        <v>0</v>
      </c>
      <c r="AG875" s="153">
        <f t="shared" si="141"/>
        <v>0</v>
      </c>
      <c r="AH875" s="153">
        <f t="shared" si="141"/>
        <v>0</v>
      </c>
      <c r="AI875" s="153">
        <f t="shared" si="141"/>
        <v>0</v>
      </c>
      <c r="AJ875" s="153">
        <f t="shared" si="141"/>
        <v>0</v>
      </c>
      <c r="AK875" s="153">
        <f t="shared" si="141"/>
        <v>0</v>
      </c>
      <c r="AL875" s="153">
        <f t="shared" si="141"/>
        <v>0</v>
      </c>
      <c r="AM875" s="153">
        <f t="shared" si="141"/>
        <v>0</v>
      </c>
      <c r="AN875" s="153">
        <f t="shared" si="141"/>
        <v>0</v>
      </c>
      <c r="AO875" s="153">
        <f t="shared" si="141"/>
        <v>0</v>
      </c>
      <c r="AP875" s="153">
        <f t="shared" si="141"/>
        <v>0</v>
      </c>
      <c r="AQ875" s="153">
        <f t="shared" si="141"/>
        <v>0</v>
      </c>
      <c r="AR875" s="153">
        <f t="shared" si="141"/>
        <v>0</v>
      </c>
      <c r="AS875" s="153">
        <f t="shared" si="141"/>
        <v>0</v>
      </c>
      <c r="AT875" s="153">
        <f t="shared" si="141"/>
        <v>0</v>
      </c>
      <c r="AU875" s="153">
        <f t="shared" si="141"/>
        <v>0</v>
      </c>
      <c r="AV875" s="153">
        <f t="shared" si="141"/>
        <v>0</v>
      </c>
      <c r="AW875" s="153">
        <f t="shared" si="141"/>
        <v>0</v>
      </c>
      <c r="AX875" s="153">
        <f t="shared" si="141"/>
        <v>0</v>
      </c>
      <c r="AY875" s="70" t="s">
        <v>983</v>
      </c>
      <c r="AZ875" s="70"/>
      <c r="BA875" s="47"/>
      <c r="BB875" s="48"/>
      <c r="BC875" s="160"/>
      <c r="BI875" s="42"/>
    </row>
    <row r="876" spans="1:72" s="24" customFormat="1" ht="31.5">
      <c r="A876" s="32">
        <f>A872+1</f>
        <v>653</v>
      </c>
      <c r="B876" s="158" t="s">
        <v>186</v>
      </c>
      <c r="C876" s="78" t="s">
        <v>59</v>
      </c>
      <c r="D876" s="35">
        <f t="shared" si="133"/>
        <v>0.13</v>
      </c>
      <c r="E876" s="67"/>
      <c r="F876" s="35">
        <f t="shared" si="130"/>
        <v>0.13</v>
      </c>
      <c r="G876" s="68"/>
      <c r="H876" s="68"/>
      <c r="I876" s="68"/>
      <c r="J876" s="68"/>
      <c r="K876" s="68"/>
      <c r="L876" s="68"/>
      <c r="M876" s="68"/>
      <c r="N876" s="68"/>
      <c r="O876" s="68"/>
      <c r="P876" s="68"/>
      <c r="Q876" s="68"/>
      <c r="R876" s="68"/>
      <c r="S876" s="68"/>
      <c r="T876" s="68"/>
      <c r="U876" s="68"/>
      <c r="V876" s="68"/>
      <c r="W876" s="68"/>
      <c r="X876" s="68"/>
      <c r="Y876" s="68"/>
      <c r="Z876" s="68"/>
      <c r="AA876" s="68"/>
      <c r="AB876" s="68"/>
      <c r="AC876" s="68"/>
      <c r="AD876" s="68"/>
      <c r="AE876" s="68"/>
      <c r="AF876" s="68"/>
      <c r="AG876" s="68"/>
      <c r="AH876" s="68"/>
      <c r="AI876" s="68"/>
      <c r="AJ876" s="68"/>
      <c r="AK876" s="68"/>
      <c r="AL876" s="68"/>
      <c r="AM876" s="68"/>
      <c r="AN876" s="68"/>
      <c r="AO876" s="68"/>
      <c r="AP876" s="68"/>
      <c r="AQ876" s="68"/>
      <c r="AR876" s="68">
        <v>0.13</v>
      </c>
      <c r="AS876" s="68"/>
      <c r="AT876" s="68"/>
      <c r="AU876" s="68"/>
      <c r="AV876" s="68"/>
      <c r="AW876" s="68"/>
      <c r="AX876" s="68"/>
      <c r="AY876" s="70" t="s">
        <v>983</v>
      </c>
      <c r="AZ876" s="70" t="s">
        <v>1126</v>
      </c>
      <c r="BA876" s="47" t="s">
        <v>298</v>
      </c>
      <c r="BB876" s="48"/>
      <c r="BC876" s="160"/>
      <c r="BG876" s="24" t="s">
        <v>311</v>
      </c>
      <c r="BI876" s="42"/>
      <c r="BT876" s="24" t="s">
        <v>311</v>
      </c>
    </row>
    <row r="877" spans="1:72" s="24" customFormat="1" ht="31.5">
      <c r="A877" s="32">
        <f>A876+1</f>
        <v>654</v>
      </c>
      <c r="B877" s="158" t="s">
        <v>186</v>
      </c>
      <c r="C877" s="78" t="s">
        <v>59</v>
      </c>
      <c r="D877" s="35">
        <f t="shared" si="133"/>
        <v>0.05</v>
      </c>
      <c r="E877" s="67"/>
      <c r="F877" s="35">
        <f t="shared" si="130"/>
        <v>0.05</v>
      </c>
      <c r="G877" s="68"/>
      <c r="H877" s="68"/>
      <c r="I877" s="68"/>
      <c r="J877" s="68"/>
      <c r="K877" s="68"/>
      <c r="L877" s="68"/>
      <c r="M877" s="68"/>
      <c r="N877" s="68"/>
      <c r="O877" s="68"/>
      <c r="P877" s="68"/>
      <c r="Q877" s="68"/>
      <c r="R877" s="68"/>
      <c r="S877" s="68"/>
      <c r="T877" s="68"/>
      <c r="U877" s="68"/>
      <c r="V877" s="68"/>
      <c r="W877" s="68"/>
      <c r="X877" s="68"/>
      <c r="Y877" s="68"/>
      <c r="Z877" s="68"/>
      <c r="AA877" s="68"/>
      <c r="AB877" s="68"/>
      <c r="AC877" s="68"/>
      <c r="AD877" s="68"/>
      <c r="AE877" s="68"/>
      <c r="AF877" s="68"/>
      <c r="AG877" s="68"/>
      <c r="AH877" s="68"/>
      <c r="AI877" s="68"/>
      <c r="AJ877" s="68"/>
      <c r="AK877" s="68"/>
      <c r="AL877" s="68"/>
      <c r="AM877" s="68"/>
      <c r="AN877" s="68">
        <v>0.05</v>
      </c>
      <c r="AO877" s="68"/>
      <c r="AP877" s="68"/>
      <c r="AQ877" s="68"/>
      <c r="AR877" s="68"/>
      <c r="AS877" s="68"/>
      <c r="AT877" s="68"/>
      <c r="AU877" s="68"/>
      <c r="AV877" s="68"/>
      <c r="AW877" s="68"/>
      <c r="AX877" s="68"/>
      <c r="AY877" s="70" t="s">
        <v>983</v>
      </c>
      <c r="AZ877" s="70" t="s">
        <v>1396</v>
      </c>
      <c r="BA877" s="47" t="s">
        <v>298</v>
      </c>
      <c r="BB877" s="48"/>
      <c r="BC877" s="160"/>
      <c r="BG877" s="24" t="s">
        <v>311</v>
      </c>
      <c r="BI877" s="42"/>
      <c r="BT877" s="24" t="s">
        <v>311</v>
      </c>
    </row>
    <row r="878" spans="1:72" s="24" customFormat="1" ht="21.6" customHeight="1">
      <c r="A878" s="32">
        <f>A877+1</f>
        <v>655</v>
      </c>
      <c r="B878" s="60" t="s">
        <v>1299</v>
      </c>
      <c r="C878" s="78" t="s">
        <v>59</v>
      </c>
      <c r="D878" s="35">
        <f t="shared" si="133"/>
        <v>0.61</v>
      </c>
      <c r="E878" s="67"/>
      <c r="F878" s="35">
        <f t="shared" si="130"/>
        <v>0.61</v>
      </c>
      <c r="G878" s="68"/>
      <c r="H878" s="68"/>
      <c r="I878" s="68"/>
      <c r="J878" s="68">
        <v>0.61</v>
      </c>
      <c r="K878" s="68"/>
      <c r="L878" s="68"/>
      <c r="M878" s="68"/>
      <c r="N878" s="68"/>
      <c r="O878" s="68"/>
      <c r="P878" s="68"/>
      <c r="Q878" s="68"/>
      <c r="R878" s="68"/>
      <c r="S878" s="68"/>
      <c r="T878" s="68"/>
      <c r="U878" s="68"/>
      <c r="V878" s="68"/>
      <c r="W878" s="68"/>
      <c r="X878" s="68"/>
      <c r="Y878" s="68"/>
      <c r="Z878" s="68"/>
      <c r="AA878" s="68"/>
      <c r="AB878" s="68"/>
      <c r="AC878" s="68"/>
      <c r="AD878" s="68"/>
      <c r="AE878" s="68"/>
      <c r="AF878" s="68"/>
      <c r="AG878" s="68"/>
      <c r="AH878" s="68"/>
      <c r="AI878" s="68"/>
      <c r="AJ878" s="68"/>
      <c r="AK878" s="68"/>
      <c r="AL878" s="68"/>
      <c r="AM878" s="68"/>
      <c r="AN878" s="68"/>
      <c r="AO878" s="68"/>
      <c r="AP878" s="68"/>
      <c r="AQ878" s="68"/>
      <c r="AR878" s="68"/>
      <c r="AS878" s="68"/>
      <c r="AT878" s="68"/>
      <c r="AU878" s="68"/>
      <c r="AV878" s="68"/>
      <c r="AW878" s="68"/>
      <c r="AX878" s="68"/>
      <c r="AY878" s="70" t="s">
        <v>983</v>
      </c>
      <c r="AZ878" s="70" t="s">
        <v>615</v>
      </c>
      <c r="BA878" s="70" t="s">
        <v>291</v>
      </c>
      <c r="BB878" s="81"/>
      <c r="BI878" s="42">
        <v>1</v>
      </c>
    </row>
    <row r="879" spans="1:72" s="24" customFormat="1" ht="21.6" customHeight="1">
      <c r="A879" s="32" t="s">
        <v>1397</v>
      </c>
      <c r="B879" s="158" t="s">
        <v>186</v>
      </c>
      <c r="C879" s="78" t="s">
        <v>1260</v>
      </c>
      <c r="D879" s="35">
        <f>E879+F879</f>
        <v>7.3100000000000005</v>
      </c>
      <c r="E879" s="89">
        <f>E880+E885+E890+E895+E899+E900+E904</f>
        <v>0</v>
      </c>
      <c r="F879" s="141">
        <f>F880+F885+F890+F895+F899+F900+F904</f>
        <v>7.3100000000000005</v>
      </c>
      <c r="G879" s="141">
        <f t="shared" ref="G879:AX879" si="142">G880+G885+G890+G895+G899+G900+G904</f>
        <v>3.67</v>
      </c>
      <c r="H879" s="141">
        <f t="shared" si="142"/>
        <v>0</v>
      </c>
      <c r="I879" s="141">
        <f t="shared" si="142"/>
        <v>1.19</v>
      </c>
      <c r="J879" s="141">
        <f t="shared" si="142"/>
        <v>0.8899999999999999</v>
      </c>
      <c r="K879" s="141">
        <f t="shared" si="142"/>
        <v>0</v>
      </c>
      <c r="L879" s="141">
        <f t="shared" si="142"/>
        <v>0</v>
      </c>
      <c r="M879" s="141">
        <f t="shared" si="142"/>
        <v>1.25</v>
      </c>
      <c r="N879" s="141">
        <f t="shared" si="142"/>
        <v>0</v>
      </c>
      <c r="O879" s="141">
        <f t="shared" si="142"/>
        <v>0</v>
      </c>
      <c r="P879" s="141">
        <f t="shared" si="142"/>
        <v>0.15</v>
      </c>
      <c r="Q879" s="141">
        <f t="shared" si="142"/>
        <v>0</v>
      </c>
      <c r="R879" s="141">
        <f t="shared" si="142"/>
        <v>0</v>
      </c>
      <c r="S879" s="141">
        <f t="shared" si="142"/>
        <v>0</v>
      </c>
      <c r="T879" s="141">
        <f t="shared" si="142"/>
        <v>0</v>
      </c>
      <c r="U879" s="141">
        <f t="shared" si="142"/>
        <v>0</v>
      </c>
      <c r="V879" s="141">
        <f t="shared" si="142"/>
        <v>0</v>
      </c>
      <c r="W879" s="141">
        <f t="shared" si="142"/>
        <v>0</v>
      </c>
      <c r="X879" s="141">
        <f t="shared" si="142"/>
        <v>0</v>
      </c>
      <c r="Y879" s="141">
        <f t="shared" si="142"/>
        <v>0</v>
      </c>
      <c r="Z879" s="141">
        <f t="shared" si="142"/>
        <v>0</v>
      </c>
      <c r="AA879" s="141">
        <f t="shared" si="142"/>
        <v>0.15</v>
      </c>
      <c r="AB879" s="141">
        <f t="shared" si="142"/>
        <v>0</v>
      </c>
      <c r="AC879" s="141">
        <f t="shared" si="142"/>
        <v>0</v>
      </c>
      <c r="AD879" s="141">
        <f t="shared" si="142"/>
        <v>0</v>
      </c>
      <c r="AE879" s="141">
        <f t="shared" si="142"/>
        <v>0</v>
      </c>
      <c r="AF879" s="141">
        <f t="shared" si="142"/>
        <v>0.01</v>
      </c>
      <c r="AG879" s="141">
        <f t="shared" si="142"/>
        <v>0</v>
      </c>
      <c r="AH879" s="141">
        <f t="shared" si="142"/>
        <v>0</v>
      </c>
      <c r="AI879" s="141">
        <f t="shared" si="142"/>
        <v>0</v>
      </c>
      <c r="AJ879" s="141">
        <f t="shared" si="142"/>
        <v>0</v>
      </c>
      <c r="AK879" s="141">
        <f t="shared" si="142"/>
        <v>0</v>
      </c>
      <c r="AL879" s="141">
        <f t="shared" si="142"/>
        <v>0</v>
      </c>
      <c r="AM879" s="141">
        <f t="shared" si="142"/>
        <v>0</v>
      </c>
      <c r="AN879" s="141">
        <f t="shared" si="142"/>
        <v>0</v>
      </c>
      <c r="AO879" s="141">
        <f t="shared" si="142"/>
        <v>0</v>
      </c>
      <c r="AP879" s="141">
        <f t="shared" si="142"/>
        <v>0</v>
      </c>
      <c r="AQ879" s="141">
        <f t="shared" si="142"/>
        <v>0</v>
      </c>
      <c r="AR879" s="141">
        <f t="shared" si="142"/>
        <v>0</v>
      </c>
      <c r="AS879" s="141">
        <f t="shared" si="142"/>
        <v>0</v>
      </c>
      <c r="AT879" s="141">
        <f t="shared" si="142"/>
        <v>0</v>
      </c>
      <c r="AU879" s="141">
        <f t="shared" si="142"/>
        <v>0</v>
      </c>
      <c r="AV879" s="141">
        <f t="shared" si="142"/>
        <v>0</v>
      </c>
      <c r="AW879" s="141">
        <f t="shared" si="142"/>
        <v>0</v>
      </c>
      <c r="AX879" s="141">
        <f t="shared" si="142"/>
        <v>0</v>
      </c>
      <c r="AY879" s="47" t="s">
        <v>227</v>
      </c>
      <c r="AZ879" s="70"/>
      <c r="BA879" s="70"/>
      <c r="BB879" s="81"/>
      <c r="BI879" s="42"/>
    </row>
    <row r="880" spans="1:72" s="24" customFormat="1" ht="78.75">
      <c r="A880" s="32">
        <f>A878+1</f>
        <v>656</v>
      </c>
      <c r="B880" s="158" t="s">
        <v>186</v>
      </c>
      <c r="C880" s="78" t="s">
        <v>1260</v>
      </c>
      <c r="D880" s="35">
        <f t="shared" si="133"/>
        <v>1.7999999999999998</v>
      </c>
      <c r="E880" s="45"/>
      <c r="F880" s="35">
        <f t="shared" si="130"/>
        <v>1.7999999999999998</v>
      </c>
      <c r="G880" s="68">
        <v>0.65</v>
      </c>
      <c r="H880" s="68"/>
      <c r="I880" s="68">
        <v>1</v>
      </c>
      <c r="J880" s="68"/>
      <c r="K880" s="68"/>
      <c r="L880" s="68"/>
      <c r="M880" s="68"/>
      <c r="N880" s="68"/>
      <c r="O880" s="68"/>
      <c r="P880" s="68"/>
      <c r="Q880" s="68"/>
      <c r="R880" s="68"/>
      <c r="S880" s="68"/>
      <c r="T880" s="68"/>
      <c r="U880" s="68"/>
      <c r="V880" s="68"/>
      <c r="W880" s="68"/>
      <c r="X880" s="68"/>
      <c r="Y880" s="68"/>
      <c r="Z880" s="68"/>
      <c r="AA880" s="68">
        <v>0.15</v>
      </c>
      <c r="AB880" s="68"/>
      <c r="AC880" s="68"/>
      <c r="AD880" s="68"/>
      <c r="AE880" s="68"/>
      <c r="AF880" s="68"/>
      <c r="AG880" s="68"/>
      <c r="AH880" s="68"/>
      <c r="AI880" s="68"/>
      <c r="AJ880" s="68"/>
      <c r="AK880" s="68"/>
      <c r="AL880" s="68"/>
      <c r="AM880" s="68"/>
      <c r="AN880" s="68"/>
      <c r="AO880" s="68"/>
      <c r="AP880" s="68"/>
      <c r="AQ880" s="68"/>
      <c r="AR880" s="68"/>
      <c r="AS880" s="68"/>
      <c r="AT880" s="68"/>
      <c r="AU880" s="68"/>
      <c r="AV880" s="68"/>
      <c r="AW880" s="68"/>
      <c r="AX880" s="68"/>
      <c r="AY880" s="47" t="s">
        <v>227</v>
      </c>
      <c r="AZ880" s="47" t="s">
        <v>1398</v>
      </c>
      <c r="BA880" s="47" t="s">
        <v>291</v>
      </c>
      <c r="BB880" s="47"/>
      <c r="BC880" s="88" t="s">
        <v>1399</v>
      </c>
      <c r="BI880" s="42">
        <v>1</v>
      </c>
    </row>
    <row r="881" spans="1:61" s="24" customFormat="1" hidden="1">
      <c r="A881" s="32"/>
      <c r="B881" s="158"/>
      <c r="C881" s="78" t="s">
        <v>59</v>
      </c>
      <c r="D881" s="35">
        <f t="shared" si="133"/>
        <v>0.63</v>
      </c>
      <c r="E881" s="45"/>
      <c r="F881" s="35">
        <f t="shared" si="130"/>
        <v>0.63</v>
      </c>
      <c r="G881" s="68">
        <v>0.3</v>
      </c>
      <c r="H881" s="68"/>
      <c r="I881" s="68">
        <v>0.33</v>
      </c>
      <c r="J881" s="68"/>
      <c r="K881" s="68"/>
      <c r="L881" s="68"/>
      <c r="M881" s="68"/>
      <c r="N881" s="68"/>
      <c r="O881" s="68"/>
      <c r="P881" s="68"/>
      <c r="Q881" s="68"/>
      <c r="R881" s="68"/>
      <c r="S881" s="68"/>
      <c r="T881" s="68"/>
      <c r="U881" s="68"/>
      <c r="V881" s="68"/>
      <c r="W881" s="68"/>
      <c r="X881" s="68"/>
      <c r="Y881" s="68"/>
      <c r="Z881" s="68"/>
      <c r="AA881" s="68"/>
      <c r="AB881" s="68"/>
      <c r="AC881" s="68"/>
      <c r="AD881" s="68"/>
      <c r="AE881" s="68"/>
      <c r="AF881" s="68"/>
      <c r="AG881" s="68"/>
      <c r="AH881" s="68"/>
      <c r="AI881" s="68"/>
      <c r="AJ881" s="68"/>
      <c r="AK881" s="68"/>
      <c r="AL881" s="68"/>
      <c r="AM881" s="68"/>
      <c r="AN881" s="68"/>
      <c r="AO881" s="68"/>
      <c r="AP881" s="68"/>
      <c r="AQ881" s="68"/>
      <c r="AR881" s="68"/>
      <c r="AS881" s="68"/>
      <c r="AT881" s="68"/>
      <c r="AU881" s="68"/>
      <c r="AV881" s="68"/>
      <c r="AW881" s="68"/>
      <c r="AX881" s="68"/>
      <c r="AY881" s="47" t="s">
        <v>227</v>
      </c>
      <c r="AZ881" s="47"/>
      <c r="BA881" s="47"/>
      <c r="BB881" s="47"/>
      <c r="BC881" s="88"/>
      <c r="BI881" s="42"/>
    </row>
    <row r="882" spans="1:61" s="24" customFormat="1" hidden="1">
      <c r="A882" s="32"/>
      <c r="B882" s="158"/>
      <c r="C882" s="78" t="s">
        <v>44</v>
      </c>
      <c r="D882" s="35">
        <f t="shared" si="133"/>
        <v>0.63</v>
      </c>
      <c r="E882" s="45"/>
      <c r="F882" s="35">
        <f t="shared" si="130"/>
        <v>0.63</v>
      </c>
      <c r="G882" s="68">
        <v>0.25</v>
      </c>
      <c r="H882" s="68"/>
      <c r="I882" s="68">
        <v>0.38</v>
      </c>
      <c r="J882" s="68"/>
      <c r="K882" s="68"/>
      <c r="L882" s="68"/>
      <c r="M882" s="68"/>
      <c r="N882" s="68"/>
      <c r="O882" s="68"/>
      <c r="P882" s="68"/>
      <c r="Q882" s="68"/>
      <c r="R882" s="68"/>
      <c r="S882" s="68"/>
      <c r="T882" s="68"/>
      <c r="U882" s="68"/>
      <c r="V882" s="68"/>
      <c r="W882" s="68"/>
      <c r="X882" s="68"/>
      <c r="Y882" s="68"/>
      <c r="Z882" s="68"/>
      <c r="AA882" s="68"/>
      <c r="AB882" s="68"/>
      <c r="AC882" s="68"/>
      <c r="AD882" s="68"/>
      <c r="AE882" s="68"/>
      <c r="AF882" s="68"/>
      <c r="AG882" s="68"/>
      <c r="AH882" s="68"/>
      <c r="AI882" s="68"/>
      <c r="AJ882" s="68"/>
      <c r="AK882" s="68"/>
      <c r="AL882" s="68"/>
      <c r="AM882" s="68"/>
      <c r="AN882" s="68"/>
      <c r="AO882" s="68"/>
      <c r="AP882" s="68"/>
      <c r="AQ882" s="68"/>
      <c r="AR882" s="68"/>
      <c r="AS882" s="68"/>
      <c r="AT882" s="68"/>
      <c r="AU882" s="68"/>
      <c r="AV882" s="68"/>
      <c r="AW882" s="68"/>
      <c r="AX882" s="68"/>
      <c r="AY882" s="47" t="s">
        <v>227</v>
      </c>
      <c r="AZ882" s="47"/>
      <c r="BA882" s="47"/>
      <c r="BB882" s="47"/>
      <c r="BC882" s="88"/>
      <c r="BI882" s="42"/>
    </row>
    <row r="883" spans="1:61" s="24" customFormat="1" hidden="1">
      <c r="A883" s="32"/>
      <c r="B883" s="158"/>
      <c r="C883" s="78" t="s">
        <v>45</v>
      </c>
      <c r="D883" s="35">
        <f t="shared" si="133"/>
        <v>0.18</v>
      </c>
      <c r="E883" s="45"/>
      <c r="F883" s="35">
        <f t="shared" si="130"/>
        <v>0.18</v>
      </c>
      <c r="G883" s="68">
        <v>0.05</v>
      </c>
      <c r="H883" s="68"/>
      <c r="I883" s="68">
        <v>0.13</v>
      </c>
      <c r="J883" s="68"/>
      <c r="K883" s="68"/>
      <c r="L883" s="68"/>
      <c r="M883" s="68"/>
      <c r="N883" s="68"/>
      <c r="O883" s="68"/>
      <c r="P883" s="68"/>
      <c r="Q883" s="68"/>
      <c r="R883" s="68"/>
      <c r="S883" s="68"/>
      <c r="T883" s="68"/>
      <c r="U883" s="68"/>
      <c r="V883" s="68"/>
      <c r="W883" s="68"/>
      <c r="X883" s="68"/>
      <c r="Y883" s="68"/>
      <c r="Z883" s="68"/>
      <c r="AA883" s="68"/>
      <c r="AB883" s="68"/>
      <c r="AC883" s="68"/>
      <c r="AD883" s="68"/>
      <c r="AE883" s="68"/>
      <c r="AF883" s="68"/>
      <c r="AG883" s="68"/>
      <c r="AH883" s="68"/>
      <c r="AI883" s="68"/>
      <c r="AJ883" s="68"/>
      <c r="AK883" s="68"/>
      <c r="AL883" s="68"/>
      <c r="AM883" s="68"/>
      <c r="AN883" s="68"/>
      <c r="AO883" s="68"/>
      <c r="AP883" s="68"/>
      <c r="AQ883" s="68"/>
      <c r="AR883" s="68"/>
      <c r="AS883" s="68"/>
      <c r="AT883" s="68"/>
      <c r="AU883" s="68"/>
      <c r="AV883" s="68"/>
      <c r="AW883" s="68"/>
      <c r="AX883" s="68"/>
      <c r="AY883" s="47" t="s">
        <v>227</v>
      </c>
      <c r="AZ883" s="47"/>
      <c r="BA883" s="47"/>
      <c r="BB883" s="47"/>
      <c r="BC883" s="88"/>
      <c r="BI883" s="42"/>
    </row>
    <row r="884" spans="1:61" s="24" customFormat="1" hidden="1">
      <c r="A884" s="32"/>
      <c r="B884" s="158"/>
      <c r="C884" s="78" t="s">
        <v>138</v>
      </c>
      <c r="D884" s="35">
        <f t="shared" si="133"/>
        <v>0.36</v>
      </c>
      <c r="E884" s="45"/>
      <c r="F884" s="35">
        <f t="shared" si="130"/>
        <v>0.36</v>
      </c>
      <c r="G884" s="153">
        <f>G880-G881-G882-G883</f>
        <v>5.0000000000000031E-2</v>
      </c>
      <c r="H884" s="153">
        <f t="shared" ref="H884:AX884" si="143">H880-H881-H882-H883</f>
        <v>0</v>
      </c>
      <c r="I884" s="153">
        <f t="shared" si="143"/>
        <v>0.15999999999999992</v>
      </c>
      <c r="J884" s="153">
        <f t="shared" si="143"/>
        <v>0</v>
      </c>
      <c r="K884" s="153">
        <f t="shared" si="143"/>
        <v>0</v>
      </c>
      <c r="L884" s="153">
        <f t="shared" si="143"/>
        <v>0</v>
      </c>
      <c r="M884" s="153">
        <f t="shared" si="143"/>
        <v>0</v>
      </c>
      <c r="N884" s="153">
        <f t="shared" si="143"/>
        <v>0</v>
      </c>
      <c r="O884" s="153">
        <f t="shared" si="143"/>
        <v>0</v>
      </c>
      <c r="P884" s="153">
        <f t="shared" si="143"/>
        <v>0</v>
      </c>
      <c r="Q884" s="153">
        <f t="shared" si="143"/>
        <v>0</v>
      </c>
      <c r="R884" s="153">
        <f t="shared" si="143"/>
        <v>0</v>
      </c>
      <c r="S884" s="153">
        <f t="shared" si="143"/>
        <v>0</v>
      </c>
      <c r="T884" s="153">
        <f t="shared" si="143"/>
        <v>0</v>
      </c>
      <c r="U884" s="153">
        <f t="shared" si="143"/>
        <v>0</v>
      </c>
      <c r="V884" s="153">
        <f t="shared" si="143"/>
        <v>0</v>
      </c>
      <c r="W884" s="153">
        <f t="shared" si="143"/>
        <v>0</v>
      </c>
      <c r="X884" s="153">
        <f t="shared" si="143"/>
        <v>0</v>
      </c>
      <c r="Y884" s="153">
        <f t="shared" si="143"/>
        <v>0</v>
      </c>
      <c r="Z884" s="153">
        <f t="shared" si="143"/>
        <v>0</v>
      </c>
      <c r="AA884" s="153">
        <f t="shared" si="143"/>
        <v>0.15</v>
      </c>
      <c r="AB884" s="153">
        <f t="shared" si="143"/>
        <v>0</v>
      </c>
      <c r="AC884" s="153">
        <f t="shared" si="143"/>
        <v>0</v>
      </c>
      <c r="AD884" s="153">
        <f t="shared" si="143"/>
        <v>0</v>
      </c>
      <c r="AE884" s="153">
        <f t="shared" si="143"/>
        <v>0</v>
      </c>
      <c r="AF884" s="153">
        <f t="shared" si="143"/>
        <v>0</v>
      </c>
      <c r="AG884" s="153">
        <f t="shared" si="143"/>
        <v>0</v>
      </c>
      <c r="AH884" s="153">
        <f t="shared" si="143"/>
        <v>0</v>
      </c>
      <c r="AI884" s="153">
        <f t="shared" si="143"/>
        <v>0</v>
      </c>
      <c r="AJ884" s="153">
        <f t="shared" si="143"/>
        <v>0</v>
      </c>
      <c r="AK884" s="153">
        <f t="shared" si="143"/>
        <v>0</v>
      </c>
      <c r="AL884" s="153">
        <f t="shared" si="143"/>
        <v>0</v>
      </c>
      <c r="AM884" s="153">
        <f t="shared" si="143"/>
        <v>0</v>
      </c>
      <c r="AN884" s="153">
        <f t="shared" si="143"/>
        <v>0</v>
      </c>
      <c r="AO884" s="153">
        <f t="shared" si="143"/>
        <v>0</v>
      </c>
      <c r="AP884" s="153">
        <f t="shared" si="143"/>
        <v>0</v>
      </c>
      <c r="AQ884" s="153">
        <f t="shared" si="143"/>
        <v>0</v>
      </c>
      <c r="AR884" s="153">
        <f t="shared" si="143"/>
        <v>0</v>
      </c>
      <c r="AS884" s="153">
        <f t="shared" si="143"/>
        <v>0</v>
      </c>
      <c r="AT884" s="153">
        <f t="shared" si="143"/>
        <v>0</v>
      </c>
      <c r="AU884" s="153">
        <f t="shared" si="143"/>
        <v>0</v>
      </c>
      <c r="AV884" s="153">
        <f t="shared" si="143"/>
        <v>0</v>
      </c>
      <c r="AW884" s="153">
        <f t="shared" si="143"/>
        <v>0</v>
      </c>
      <c r="AX884" s="153">
        <f t="shared" si="143"/>
        <v>0</v>
      </c>
      <c r="AY884" s="47" t="s">
        <v>227</v>
      </c>
      <c r="AZ884" s="47"/>
      <c r="BA884" s="47"/>
      <c r="BB884" s="47"/>
      <c r="BC884" s="88"/>
      <c r="BI884" s="42"/>
    </row>
    <row r="885" spans="1:61" s="24" customFormat="1" ht="31.5">
      <c r="A885" s="32">
        <f>A880+1</f>
        <v>657</v>
      </c>
      <c r="B885" s="158" t="s">
        <v>186</v>
      </c>
      <c r="C885" s="78" t="s">
        <v>1260</v>
      </c>
      <c r="D885" s="35">
        <f t="shared" si="133"/>
        <v>1.47</v>
      </c>
      <c r="E885" s="45"/>
      <c r="F885" s="35">
        <f t="shared" si="130"/>
        <v>1.47</v>
      </c>
      <c r="G885" s="68">
        <v>0.14000000000000001</v>
      </c>
      <c r="H885" s="68"/>
      <c r="I885" s="68">
        <v>0.05</v>
      </c>
      <c r="J885" s="68">
        <v>7.0000000000000007E-2</v>
      </c>
      <c r="K885" s="68"/>
      <c r="L885" s="68"/>
      <c r="M885" s="68">
        <v>1.2</v>
      </c>
      <c r="N885" s="68"/>
      <c r="O885" s="68"/>
      <c r="P885" s="68"/>
      <c r="Q885" s="68"/>
      <c r="R885" s="68"/>
      <c r="S885" s="68"/>
      <c r="T885" s="68"/>
      <c r="U885" s="68"/>
      <c r="V885" s="68"/>
      <c r="W885" s="68"/>
      <c r="X885" s="68"/>
      <c r="Y885" s="68"/>
      <c r="Z885" s="68"/>
      <c r="AA885" s="68"/>
      <c r="AB885" s="68"/>
      <c r="AC885" s="68"/>
      <c r="AD885" s="68"/>
      <c r="AE885" s="68"/>
      <c r="AF885" s="68">
        <v>0.01</v>
      </c>
      <c r="AG885" s="68"/>
      <c r="AH885" s="68"/>
      <c r="AI885" s="68"/>
      <c r="AJ885" s="68"/>
      <c r="AK885" s="68"/>
      <c r="AL885" s="68"/>
      <c r="AM885" s="68"/>
      <c r="AN885" s="68"/>
      <c r="AO885" s="68"/>
      <c r="AP885" s="68"/>
      <c r="AQ885" s="68"/>
      <c r="AR885" s="68"/>
      <c r="AS885" s="68"/>
      <c r="AT885" s="68"/>
      <c r="AU885" s="68"/>
      <c r="AV885" s="68"/>
      <c r="AW885" s="68"/>
      <c r="AX885" s="68"/>
      <c r="AY885" s="47" t="s">
        <v>227</v>
      </c>
      <c r="AZ885" s="47" t="s">
        <v>1400</v>
      </c>
      <c r="BA885" s="47" t="s">
        <v>291</v>
      </c>
      <c r="BB885" s="47"/>
      <c r="BC885" s="88" t="s">
        <v>1401</v>
      </c>
      <c r="BI885" s="42">
        <v>1</v>
      </c>
    </row>
    <row r="886" spans="1:61" s="24" customFormat="1" hidden="1">
      <c r="A886" s="32"/>
      <c r="B886" s="158"/>
      <c r="C886" s="78" t="s">
        <v>59</v>
      </c>
      <c r="D886" s="35">
        <f t="shared" si="133"/>
        <v>0.51</v>
      </c>
      <c r="E886" s="45"/>
      <c r="F886" s="35">
        <f t="shared" ref="F886:F949" si="144">SUM(G886:AX886)</f>
        <v>0.51</v>
      </c>
      <c r="G886" s="68">
        <v>0.05</v>
      </c>
      <c r="H886" s="68"/>
      <c r="I886" s="68"/>
      <c r="J886" s="68"/>
      <c r="K886" s="68"/>
      <c r="L886" s="68"/>
      <c r="M886" s="68">
        <v>0.46</v>
      </c>
      <c r="N886" s="68"/>
      <c r="O886" s="68"/>
      <c r="P886" s="68"/>
      <c r="Q886" s="68"/>
      <c r="R886" s="68"/>
      <c r="S886" s="68"/>
      <c r="T886" s="68"/>
      <c r="U886" s="68"/>
      <c r="V886" s="68"/>
      <c r="W886" s="68"/>
      <c r="X886" s="68"/>
      <c r="Y886" s="68"/>
      <c r="Z886" s="68"/>
      <c r="AA886" s="68"/>
      <c r="AB886" s="68"/>
      <c r="AC886" s="68"/>
      <c r="AD886" s="68"/>
      <c r="AE886" s="68"/>
      <c r="AF886" s="68"/>
      <c r="AG886" s="68"/>
      <c r="AH886" s="68"/>
      <c r="AI886" s="68"/>
      <c r="AJ886" s="68"/>
      <c r="AK886" s="68"/>
      <c r="AL886" s="68"/>
      <c r="AM886" s="68"/>
      <c r="AN886" s="68"/>
      <c r="AO886" s="68"/>
      <c r="AP886" s="68"/>
      <c r="AQ886" s="68"/>
      <c r="AR886" s="68"/>
      <c r="AS886" s="68"/>
      <c r="AT886" s="68"/>
      <c r="AU886" s="68"/>
      <c r="AV886" s="68"/>
      <c r="AW886" s="68"/>
      <c r="AX886" s="68"/>
      <c r="AY886" s="47" t="s">
        <v>227</v>
      </c>
      <c r="AZ886" s="47"/>
      <c r="BA886" s="47"/>
      <c r="BB886" s="47"/>
      <c r="BC886" s="88"/>
      <c r="BI886" s="42"/>
    </row>
    <row r="887" spans="1:61" s="24" customFormat="1" hidden="1">
      <c r="A887" s="32"/>
      <c r="B887" s="158"/>
      <c r="C887" s="78" t="s">
        <v>44</v>
      </c>
      <c r="D887" s="35">
        <f t="shared" si="133"/>
        <v>0.51</v>
      </c>
      <c r="E887" s="45"/>
      <c r="F887" s="35">
        <f t="shared" si="144"/>
        <v>0.51</v>
      </c>
      <c r="G887" s="68"/>
      <c r="H887" s="68"/>
      <c r="I887" s="68">
        <v>0.05</v>
      </c>
      <c r="J887" s="68"/>
      <c r="K887" s="68"/>
      <c r="L887" s="68"/>
      <c r="M887" s="68">
        <v>0.46</v>
      </c>
      <c r="N887" s="68"/>
      <c r="O887" s="68"/>
      <c r="P887" s="68"/>
      <c r="Q887" s="68"/>
      <c r="R887" s="68"/>
      <c r="S887" s="68"/>
      <c r="T887" s="68"/>
      <c r="U887" s="68"/>
      <c r="V887" s="68"/>
      <c r="W887" s="68"/>
      <c r="X887" s="68"/>
      <c r="Y887" s="68"/>
      <c r="Z887" s="68"/>
      <c r="AA887" s="68"/>
      <c r="AB887" s="68"/>
      <c r="AC887" s="68"/>
      <c r="AD887" s="68"/>
      <c r="AE887" s="68"/>
      <c r="AF887" s="68"/>
      <c r="AG887" s="68"/>
      <c r="AH887" s="68"/>
      <c r="AI887" s="68"/>
      <c r="AJ887" s="68"/>
      <c r="AK887" s="68"/>
      <c r="AL887" s="68"/>
      <c r="AM887" s="68"/>
      <c r="AN887" s="68"/>
      <c r="AO887" s="68"/>
      <c r="AP887" s="68"/>
      <c r="AQ887" s="68"/>
      <c r="AR887" s="68"/>
      <c r="AS887" s="68"/>
      <c r="AT887" s="68"/>
      <c r="AU887" s="68"/>
      <c r="AV887" s="68"/>
      <c r="AW887" s="68"/>
      <c r="AX887" s="68"/>
      <c r="AY887" s="47" t="s">
        <v>227</v>
      </c>
      <c r="AZ887" s="47"/>
      <c r="BA887" s="47"/>
      <c r="BB887" s="47"/>
      <c r="BC887" s="88"/>
      <c r="BI887" s="42"/>
    </row>
    <row r="888" spans="1:61" s="24" customFormat="1" hidden="1">
      <c r="A888" s="32"/>
      <c r="B888" s="158"/>
      <c r="C888" s="78" t="s">
        <v>45</v>
      </c>
      <c r="D888" s="35">
        <f t="shared" si="133"/>
        <v>0.15000000000000002</v>
      </c>
      <c r="E888" s="45"/>
      <c r="F888" s="35">
        <f t="shared" si="144"/>
        <v>0.15000000000000002</v>
      </c>
      <c r="G888" s="68">
        <v>0.05</v>
      </c>
      <c r="H888" s="68"/>
      <c r="I888" s="68"/>
      <c r="J888" s="68"/>
      <c r="K888" s="68"/>
      <c r="L888" s="68"/>
      <c r="M888" s="68">
        <v>0.1</v>
      </c>
      <c r="N888" s="68"/>
      <c r="O888" s="68"/>
      <c r="P888" s="68"/>
      <c r="Q888" s="68"/>
      <c r="R888" s="68"/>
      <c r="S888" s="68"/>
      <c r="T888" s="68"/>
      <c r="U888" s="68"/>
      <c r="V888" s="68"/>
      <c r="W888" s="68"/>
      <c r="X888" s="68"/>
      <c r="Y888" s="68"/>
      <c r="Z888" s="68"/>
      <c r="AA888" s="68"/>
      <c r="AB888" s="68"/>
      <c r="AC888" s="68"/>
      <c r="AD888" s="68"/>
      <c r="AE888" s="68"/>
      <c r="AF888" s="68"/>
      <c r="AG888" s="68"/>
      <c r="AH888" s="68"/>
      <c r="AI888" s="68"/>
      <c r="AJ888" s="68"/>
      <c r="AK888" s="68"/>
      <c r="AL888" s="68"/>
      <c r="AM888" s="68"/>
      <c r="AN888" s="68"/>
      <c r="AO888" s="68"/>
      <c r="AP888" s="68"/>
      <c r="AQ888" s="68"/>
      <c r="AR888" s="68"/>
      <c r="AS888" s="68"/>
      <c r="AT888" s="68"/>
      <c r="AU888" s="68"/>
      <c r="AV888" s="68"/>
      <c r="AW888" s="68"/>
      <c r="AX888" s="68"/>
      <c r="AY888" s="47" t="s">
        <v>227</v>
      </c>
      <c r="AZ888" s="47"/>
      <c r="BA888" s="47"/>
      <c r="BB888" s="47"/>
      <c r="BC888" s="88"/>
      <c r="BI888" s="42"/>
    </row>
    <row r="889" spans="1:61" s="24" customFormat="1" hidden="1">
      <c r="A889" s="32"/>
      <c r="B889" s="158"/>
      <c r="C889" s="78" t="s">
        <v>138</v>
      </c>
      <c r="D889" s="35">
        <f t="shared" si="133"/>
        <v>0.3</v>
      </c>
      <c r="E889" s="45"/>
      <c r="F889" s="35">
        <f t="shared" si="144"/>
        <v>0.3</v>
      </c>
      <c r="G889" s="153">
        <f>G885-G886-G887-G888</f>
        <v>4.0000000000000008E-2</v>
      </c>
      <c r="H889" s="153">
        <f t="shared" ref="H889:AX889" si="145">H885-H886-H887-H888</f>
        <v>0</v>
      </c>
      <c r="I889" s="153">
        <f t="shared" si="145"/>
        <v>0</v>
      </c>
      <c r="J889" s="153">
        <f t="shared" si="145"/>
        <v>7.0000000000000007E-2</v>
      </c>
      <c r="K889" s="153">
        <f t="shared" si="145"/>
        <v>0</v>
      </c>
      <c r="L889" s="153">
        <f t="shared" si="145"/>
        <v>0</v>
      </c>
      <c r="M889" s="153">
        <f t="shared" si="145"/>
        <v>0.17999999999999997</v>
      </c>
      <c r="N889" s="153">
        <f t="shared" si="145"/>
        <v>0</v>
      </c>
      <c r="O889" s="153">
        <f t="shared" si="145"/>
        <v>0</v>
      </c>
      <c r="P889" s="153">
        <f t="shared" si="145"/>
        <v>0</v>
      </c>
      <c r="Q889" s="153">
        <f t="shared" si="145"/>
        <v>0</v>
      </c>
      <c r="R889" s="153">
        <f t="shared" si="145"/>
        <v>0</v>
      </c>
      <c r="S889" s="153">
        <f t="shared" si="145"/>
        <v>0</v>
      </c>
      <c r="T889" s="153">
        <f t="shared" si="145"/>
        <v>0</v>
      </c>
      <c r="U889" s="153">
        <f t="shared" si="145"/>
        <v>0</v>
      </c>
      <c r="V889" s="153">
        <f t="shared" si="145"/>
        <v>0</v>
      </c>
      <c r="W889" s="153">
        <f t="shared" si="145"/>
        <v>0</v>
      </c>
      <c r="X889" s="153">
        <f t="shared" si="145"/>
        <v>0</v>
      </c>
      <c r="Y889" s="153">
        <f t="shared" si="145"/>
        <v>0</v>
      </c>
      <c r="Z889" s="153">
        <f t="shared" si="145"/>
        <v>0</v>
      </c>
      <c r="AA889" s="153">
        <f t="shared" si="145"/>
        <v>0</v>
      </c>
      <c r="AB889" s="153">
        <f t="shared" si="145"/>
        <v>0</v>
      </c>
      <c r="AC889" s="153">
        <f t="shared" si="145"/>
        <v>0</v>
      </c>
      <c r="AD889" s="153">
        <f t="shared" si="145"/>
        <v>0</v>
      </c>
      <c r="AE889" s="153">
        <f t="shared" si="145"/>
        <v>0</v>
      </c>
      <c r="AF889" s="153">
        <f t="shared" si="145"/>
        <v>0.01</v>
      </c>
      <c r="AG889" s="153">
        <f t="shared" si="145"/>
        <v>0</v>
      </c>
      <c r="AH889" s="153">
        <f t="shared" si="145"/>
        <v>0</v>
      </c>
      <c r="AI889" s="153">
        <f t="shared" si="145"/>
        <v>0</v>
      </c>
      <c r="AJ889" s="153">
        <f t="shared" si="145"/>
        <v>0</v>
      </c>
      <c r="AK889" s="153">
        <f t="shared" si="145"/>
        <v>0</v>
      </c>
      <c r="AL889" s="153">
        <f t="shared" si="145"/>
        <v>0</v>
      </c>
      <c r="AM889" s="153">
        <f t="shared" si="145"/>
        <v>0</v>
      </c>
      <c r="AN889" s="153">
        <f t="shared" si="145"/>
        <v>0</v>
      </c>
      <c r="AO889" s="153">
        <f t="shared" si="145"/>
        <v>0</v>
      </c>
      <c r="AP889" s="153">
        <f t="shared" si="145"/>
        <v>0</v>
      </c>
      <c r="AQ889" s="153">
        <f t="shared" si="145"/>
        <v>0</v>
      </c>
      <c r="AR889" s="153">
        <f t="shared" si="145"/>
        <v>0</v>
      </c>
      <c r="AS889" s="153">
        <f t="shared" si="145"/>
        <v>0</v>
      </c>
      <c r="AT889" s="153">
        <f t="shared" si="145"/>
        <v>0</v>
      </c>
      <c r="AU889" s="153">
        <f t="shared" si="145"/>
        <v>0</v>
      </c>
      <c r="AV889" s="153">
        <f t="shared" si="145"/>
        <v>0</v>
      </c>
      <c r="AW889" s="153">
        <f t="shared" si="145"/>
        <v>0</v>
      </c>
      <c r="AX889" s="153">
        <f t="shared" si="145"/>
        <v>0</v>
      </c>
      <c r="AY889" s="47" t="s">
        <v>227</v>
      </c>
      <c r="AZ889" s="47"/>
      <c r="BA889" s="47"/>
      <c r="BB889" s="47"/>
      <c r="BC889" s="88"/>
      <c r="BI889" s="42"/>
    </row>
    <row r="890" spans="1:61" s="24" customFormat="1" ht="31.5">
      <c r="A890" s="32">
        <f>A885+1</f>
        <v>658</v>
      </c>
      <c r="B890" s="158" t="s">
        <v>186</v>
      </c>
      <c r="C890" s="78" t="s">
        <v>1260</v>
      </c>
      <c r="D890" s="35">
        <f t="shared" si="133"/>
        <v>1.4</v>
      </c>
      <c r="E890" s="45"/>
      <c r="F890" s="35">
        <f t="shared" si="144"/>
        <v>1.4</v>
      </c>
      <c r="G890" s="46">
        <v>1.4</v>
      </c>
      <c r="H890" s="46"/>
      <c r="I890" s="46"/>
      <c r="J890" s="46"/>
      <c r="K890" s="46"/>
      <c r="L890" s="46"/>
      <c r="M890" s="46"/>
      <c r="N890" s="46"/>
      <c r="O890" s="46"/>
      <c r="P890" s="46"/>
      <c r="Q890" s="46"/>
      <c r="R890" s="46"/>
      <c r="S890" s="46"/>
      <c r="T890" s="46"/>
      <c r="U890" s="46"/>
      <c r="V890" s="46"/>
      <c r="W890" s="46"/>
      <c r="X890" s="46"/>
      <c r="Y890" s="46"/>
      <c r="Z890" s="46"/>
      <c r="AA890" s="46"/>
      <c r="AB890" s="46"/>
      <c r="AC890" s="46"/>
      <c r="AD890" s="46"/>
      <c r="AE890" s="46"/>
      <c r="AF890" s="46"/>
      <c r="AG890" s="46"/>
      <c r="AH890" s="46"/>
      <c r="AI890" s="46"/>
      <c r="AJ890" s="46"/>
      <c r="AK890" s="46"/>
      <c r="AL890" s="46"/>
      <c r="AM890" s="46"/>
      <c r="AN890" s="46"/>
      <c r="AO890" s="46"/>
      <c r="AP890" s="46"/>
      <c r="AQ890" s="46"/>
      <c r="AR890" s="46"/>
      <c r="AS890" s="46"/>
      <c r="AT890" s="46"/>
      <c r="AU890" s="46"/>
      <c r="AV890" s="46"/>
      <c r="AW890" s="46"/>
      <c r="AX890" s="46"/>
      <c r="AY890" s="47" t="s">
        <v>227</v>
      </c>
      <c r="AZ890" s="47" t="s">
        <v>1402</v>
      </c>
      <c r="BA890" s="47" t="s">
        <v>291</v>
      </c>
      <c r="BB890" s="47"/>
      <c r="BC890" s="88" t="s">
        <v>1403</v>
      </c>
      <c r="BI890" s="42">
        <v>1</v>
      </c>
    </row>
    <row r="891" spans="1:61" s="24" customFormat="1" hidden="1">
      <c r="A891" s="32"/>
      <c r="B891" s="158"/>
      <c r="C891" s="78" t="s">
        <v>59</v>
      </c>
      <c r="D891" s="35">
        <f t="shared" si="133"/>
        <v>0.49</v>
      </c>
      <c r="E891" s="45"/>
      <c r="F891" s="35">
        <f t="shared" si="144"/>
        <v>0.49</v>
      </c>
      <c r="G891" s="46">
        <v>0.49</v>
      </c>
      <c r="H891" s="46"/>
      <c r="I891" s="46"/>
      <c r="J891" s="46"/>
      <c r="K891" s="46"/>
      <c r="L891" s="46"/>
      <c r="M891" s="46"/>
      <c r="N891" s="46"/>
      <c r="O891" s="46"/>
      <c r="P891" s="46"/>
      <c r="Q891" s="46"/>
      <c r="R891" s="46"/>
      <c r="S891" s="46"/>
      <c r="T891" s="46"/>
      <c r="U891" s="46"/>
      <c r="V891" s="46"/>
      <c r="W891" s="46"/>
      <c r="X891" s="46"/>
      <c r="Y891" s="46"/>
      <c r="Z891" s="46"/>
      <c r="AA891" s="46"/>
      <c r="AB891" s="46"/>
      <c r="AC891" s="46"/>
      <c r="AD891" s="46"/>
      <c r="AE891" s="46"/>
      <c r="AF891" s="46"/>
      <c r="AG891" s="46"/>
      <c r="AH891" s="46"/>
      <c r="AI891" s="46"/>
      <c r="AJ891" s="46"/>
      <c r="AK891" s="46"/>
      <c r="AL891" s="46"/>
      <c r="AM891" s="46"/>
      <c r="AN891" s="46"/>
      <c r="AO891" s="46"/>
      <c r="AP891" s="46"/>
      <c r="AQ891" s="46"/>
      <c r="AR891" s="46"/>
      <c r="AS891" s="46"/>
      <c r="AT891" s="46"/>
      <c r="AU891" s="46"/>
      <c r="AV891" s="46"/>
      <c r="AW891" s="46"/>
      <c r="AX891" s="46"/>
      <c r="AY891" s="47" t="s">
        <v>227</v>
      </c>
      <c r="AZ891" s="47"/>
      <c r="BA891" s="47"/>
      <c r="BB891" s="47"/>
      <c r="BC891" s="88"/>
      <c r="BI891" s="42"/>
    </row>
    <row r="892" spans="1:61" s="24" customFormat="1" hidden="1">
      <c r="A892" s="32"/>
      <c r="B892" s="158"/>
      <c r="C892" s="78" t="s">
        <v>44</v>
      </c>
      <c r="D892" s="35">
        <f t="shared" si="133"/>
        <v>0.49</v>
      </c>
      <c r="E892" s="45"/>
      <c r="F892" s="35">
        <f t="shared" si="144"/>
        <v>0.49</v>
      </c>
      <c r="G892" s="46">
        <v>0.49</v>
      </c>
      <c r="H892" s="46"/>
      <c r="I892" s="46"/>
      <c r="J892" s="46"/>
      <c r="K892" s="46"/>
      <c r="L892" s="46"/>
      <c r="M892" s="46"/>
      <c r="N892" s="46"/>
      <c r="O892" s="46"/>
      <c r="P892" s="46"/>
      <c r="Q892" s="46"/>
      <c r="R892" s="46"/>
      <c r="S892" s="46"/>
      <c r="T892" s="46"/>
      <c r="U892" s="46"/>
      <c r="V892" s="46"/>
      <c r="W892" s="46"/>
      <c r="X892" s="46"/>
      <c r="Y892" s="46"/>
      <c r="Z892" s="46"/>
      <c r="AA892" s="46"/>
      <c r="AB892" s="46"/>
      <c r="AC892" s="46"/>
      <c r="AD892" s="46"/>
      <c r="AE892" s="46"/>
      <c r="AF892" s="46"/>
      <c r="AG892" s="46"/>
      <c r="AH892" s="46"/>
      <c r="AI892" s="46"/>
      <c r="AJ892" s="46"/>
      <c r="AK892" s="46"/>
      <c r="AL892" s="46"/>
      <c r="AM892" s="46"/>
      <c r="AN892" s="46"/>
      <c r="AO892" s="46"/>
      <c r="AP892" s="46"/>
      <c r="AQ892" s="46"/>
      <c r="AR892" s="46"/>
      <c r="AS892" s="46"/>
      <c r="AT892" s="46"/>
      <c r="AU892" s="46"/>
      <c r="AV892" s="46"/>
      <c r="AW892" s="46"/>
      <c r="AX892" s="46"/>
      <c r="AY892" s="47" t="s">
        <v>227</v>
      </c>
      <c r="AZ892" s="47"/>
      <c r="BA892" s="47"/>
      <c r="BB892" s="47"/>
      <c r="BC892" s="88"/>
      <c r="BI892" s="42"/>
    </row>
    <row r="893" spans="1:61" s="24" customFormat="1" hidden="1">
      <c r="A893" s="32"/>
      <c r="B893" s="158"/>
      <c r="C893" s="78" t="s">
        <v>45</v>
      </c>
      <c r="D893" s="35">
        <f t="shared" si="133"/>
        <v>0.14000000000000001</v>
      </c>
      <c r="E893" s="45"/>
      <c r="F893" s="35">
        <f t="shared" si="144"/>
        <v>0.14000000000000001</v>
      </c>
      <c r="G893" s="46">
        <v>0.14000000000000001</v>
      </c>
      <c r="H893" s="46"/>
      <c r="I893" s="46"/>
      <c r="J893" s="46"/>
      <c r="K893" s="46"/>
      <c r="L893" s="46"/>
      <c r="M893" s="46"/>
      <c r="N893" s="46"/>
      <c r="O893" s="46"/>
      <c r="P893" s="46"/>
      <c r="Q893" s="46"/>
      <c r="R893" s="46"/>
      <c r="S893" s="46"/>
      <c r="T893" s="46"/>
      <c r="U893" s="46"/>
      <c r="V893" s="46"/>
      <c r="W893" s="46"/>
      <c r="X893" s="46"/>
      <c r="Y893" s="46"/>
      <c r="Z893" s="46"/>
      <c r="AA893" s="46"/>
      <c r="AB893" s="46"/>
      <c r="AC893" s="46"/>
      <c r="AD893" s="46"/>
      <c r="AE893" s="46"/>
      <c r="AF893" s="46"/>
      <c r="AG893" s="46"/>
      <c r="AH893" s="46"/>
      <c r="AI893" s="46"/>
      <c r="AJ893" s="46"/>
      <c r="AK893" s="46"/>
      <c r="AL893" s="46"/>
      <c r="AM893" s="46"/>
      <c r="AN893" s="46"/>
      <c r="AO893" s="46"/>
      <c r="AP893" s="46"/>
      <c r="AQ893" s="46"/>
      <c r="AR893" s="46"/>
      <c r="AS893" s="46"/>
      <c r="AT893" s="46"/>
      <c r="AU893" s="46"/>
      <c r="AV893" s="46"/>
      <c r="AW893" s="46"/>
      <c r="AX893" s="46"/>
      <c r="AY893" s="47" t="s">
        <v>227</v>
      </c>
      <c r="AZ893" s="47"/>
      <c r="BA893" s="47"/>
      <c r="BB893" s="47"/>
      <c r="BC893" s="88"/>
      <c r="BI893" s="42"/>
    </row>
    <row r="894" spans="1:61" s="24" customFormat="1" hidden="1">
      <c r="A894" s="32"/>
      <c r="B894" s="158"/>
      <c r="C894" s="78" t="s">
        <v>138</v>
      </c>
      <c r="D894" s="35">
        <f t="shared" si="133"/>
        <v>0.27999999999999992</v>
      </c>
      <c r="E894" s="45"/>
      <c r="F894" s="35">
        <f t="shared" si="144"/>
        <v>0.27999999999999992</v>
      </c>
      <c r="G894" s="153">
        <f>G890-G891-G892-G893</f>
        <v>0.27999999999999992</v>
      </c>
      <c r="H894" s="153">
        <f t="shared" ref="H894:AX894" si="146">H890-H891-H892-H893</f>
        <v>0</v>
      </c>
      <c r="I894" s="153">
        <f t="shared" si="146"/>
        <v>0</v>
      </c>
      <c r="J894" s="153">
        <f t="shared" si="146"/>
        <v>0</v>
      </c>
      <c r="K894" s="153">
        <f t="shared" si="146"/>
        <v>0</v>
      </c>
      <c r="L894" s="153">
        <f t="shared" si="146"/>
        <v>0</v>
      </c>
      <c r="M894" s="153">
        <f t="shared" si="146"/>
        <v>0</v>
      </c>
      <c r="N894" s="153">
        <f t="shared" si="146"/>
        <v>0</v>
      </c>
      <c r="O894" s="153">
        <f t="shared" si="146"/>
        <v>0</v>
      </c>
      <c r="P894" s="153">
        <f t="shared" si="146"/>
        <v>0</v>
      </c>
      <c r="Q894" s="153">
        <f t="shared" si="146"/>
        <v>0</v>
      </c>
      <c r="R894" s="153">
        <f t="shared" si="146"/>
        <v>0</v>
      </c>
      <c r="S894" s="153">
        <f t="shared" si="146"/>
        <v>0</v>
      </c>
      <c r="T894" s="153">
        <f t="shared" si="146"/>
        <v>0</v>
      </c>
      <c r="U894" s="153">
        <f t="shared" si="146"/>
        <v>0</v>
      </c>
      <c r="V894" s="153">
        <f t="shared" si="146"/>
        <v>0</v>
      </c>
      <c r="W894" s="153">
        <f t="shared" si="146"/>
        <v>0</v>
      </c>
      <c r="X894" s="153">
        <f t="shared" si="146"/>
        <v>0</v>
      </c>
      <c r="Y894" s="153">
        <f t="shared" si="146"/>
        <v>0</v>
      </c>
      <c r="Z894" s="153">
        <f t="shared" si="146"/>
        <v>0</v>
      </c>
      <c r="AA894" s="153">
        <f t="shared" si="146"/>
        <v>0</v>
      </c>
      <c r="AB894" s="153">
        <f t="shared" si="146"/>
        <v>0</v>
      </c>
      <c r="AC894" s="153">
        <f t="shared" si="146"/>
        <v>0</v>
      </c>
      <c r="AD894" s="153">
        <f t="shared" si="146"/>
        <v>0</v>
      </c>
      <c r="AE894" s="153">
        <f t="shared" si="146"/>
        <v>0</v>
      </c>
      <c r="AF894" s="153">
        <f t="shared" si="146"/>
        <v>0</v>
      </c>
      <c r="AG894" s="153">
        <f t="shared" si="146"/>
        <v>0</v>
      </c>
      <c r="AH894" s="153">
        <f t="shared" si="146"/>
        <v>0</v>
      </c>
      <c r="AI894" s="153">
        <f t="shared" si="146"/>
        <v>0</v>
      </c>
      <c r="AJ894" s="153">
        <f t="shared" si="146"/>
        <v>0</v>
      </c>
      <c r="AK894" s="153">
        <f t="shared" si="146"/>
        <v>0</v>
      </c>
      <c r="AL894" s="153">
        <f t="shared" si="146"/>
        <v>0</v>
      </c>
      <c r="AM894" s="153">
        <f t="shared" si="146"/>
        <v>0</v>
      </c>
      <c r="AN894" s="153">
        <f t="shared" si="146"/>
        <v>0</v>
      </c>
      <c r="AO894" s="153">
        <f t="shared" si="146"/>
        <v>0</v>
      </c>
      <c r="AP894" s="153">
        <f t="shared" si="146"/>
        <v>0</v>
      </c>
      <c r="AQ894" s="153">
        <f t="shared" si="146"/>
        <v>0</v>
      </c>
      <c r="AR894" s="153">
        <f t="shared" si="146"/>
        <v>0</v>
      </c>
      <c r="AS894" s="153">
        <f t="shared" si="146"/>
        <v>0</v>
      </c>
      <c r="AT894" s="153">
        <f t="shared" si="146"/>
        <v>0</v>
      </c>
      <c r="AU894" s="153">
        <f t="shared" si="146"/>
        <v>0</v>
      </c>
      <c r="AV894" s="153">
        <f t="shared" si="146"/>
        <v>0</v>
      </c>
      <c r="AW894" s="153">
        <f t="shared" si="146"/>
        <v>0</v>
      </c>
      <c r="AX894" s="153">
        <f t="shared" si="146"/>
        <v>0</v>
      </c>
      <c r="AY894" s="47" t="s">
        <v>227</v>
      </c>
      <c r="AZ894" s="47"/>
      <c r="BA894" s="47"/>
      <c r="BB894" s="47"/>
      <c r="BC894" s="88"/>
      <c r="BI894" s="42"/>
    </row>
    <row r="895" spans="1:61" s="24" customFormat="1" ht="33.6" customHeight="1">
      <c r="A895" s="32">
        <f>A890+1</f>
        <v>659</v>
      </c>
      <c r="B895" s="158" t="s">
        <v>186</v>
      </c>
      <c r="C895" s="78" t="s">
        <v>1260</v>
      </c>
      <c r="D895" s="35">
        <f t="shared" si="133"/>
        <v>0.94000000000000006</v>
      </c>
      <c r="E895" s="45"/>
      <c r="F895" s="35">
        <f t="shared" si="144"/>
        <v>0.94000000000000006</v>
      </c>
      <c r="G895" s="68">
        <v>0.65</v>
      </c>
      <c r="H895" s="68"/>
      <c r="I895" s="68">
        <v>0.13999999999999999</v>
      </c>
      <c r="J895" s="68"/>
      <c r="K895" s="68"/>
      <c r="L895" s="68"/>
      <c r="M895" s="68"/>
      <c r="N895" s="68"/>
      <c r="O895" s="68"/>
      <c r="P895" s="68">
        <v>0.15</v>
      </c>
      <c r="Q895" s="68"/>
      <c r="R895" s="68"/>
      <c r="S895" s="68"/>
      <c r="T895" s="68"/>
      <c r="U895" s="68"/>
      <c r="V895" s="68"/>
      <c r="W895" s="68"/>
      <c r="X895" s="68"/>
      <c r="Y895" s="68"/>
      <c r="Z895" s="68"/>
      <c r="AA895" s="68"/>
      <c r="AB895" s="68"/>
      <c r="AC895" s="68"/>
      <c r="AD895" s="68"/>
      <c r="AE895" s="68"/>
      <c r="AF895" s="68"/>
      <c r="AG895" s="68"/>
      <c r="AH895" s="68"/>
      <c r="AI895" s="68"/>
      <c r="AJ895" s="68"/>
      <c r="AK895" s="68"/>
      <c r="AL895" s="68"/>
      <c r="AM895" s="68"/>
      <c r="AN895" s="68"/>
      <c r="AO895" s="68"/>
      <c r="AP895" s="68"/>
      <c r="AQ895" s="68"/>
      <c r="AR895" s="68"/>
      <c r="AS895" s="68"/>
      <c r="AT895" s="68"/>
      <c r="AU895" s="68"/>
      <c r="AV895" s="68"/>
      <c r="AW895" s="68"/>
      <c r="AX895" s="68"/>
      <c r="AY895" s="47" t="s">
        <v>227</v>
      </c>
      <c r="AZ895" s="47" t="s">
        <v>1404</v>
      </c>
      <c r="BA895" s="47" t="s">
        <v>291</v>
      </c>
      <c r="BB895" s="47"/>
      <c r="BC895" s="88" t="s">
        <v>1405</v>
      </c>
      <c r="BG895" s="24" t="s">
        <v>1406</v>
      </c>
      <c r="BI895" s="42">
        <v>1</v>
      </c>
    </row>
    <row r="896" spans="1:61" s="24" customFormat="1" ht="21" hidden="1" customHeight="1">
      <c r="A896" s="32"/>
      <c r="B896" s="158"/>
      <c r="C896" s="78" t="s">
        <v>59</v>
      </c>
      <c r="D896" s="35">
        <f t="shared" si="133"/>
        <v>0.33</v>
      </c>
      <c r="E896" s="45"/>
      <c r="F896" s="35">
        <f t="shared" si="144"/>
        <v>0.33</v>
      </c>
      <c r="G896" s="68">
        <v>0.33</v>
      </c>
      <c r="H896" s="68"/>
      <c r="I896" s="68"/>
      <c r="J896" s="68"/>
      <c r="K896" s="68"/>
      <c r="L896" s="68"/>
      <c r="M896" s="68"/>
      <c r="N896" s="68"/>
      <c r="O896" s="68"/>
      <c r="P896" s="68"/>
      <c r="Q896" s="68"/>
      <c r="R896" s="68"/>
      <c r="S896" s="68"/>
      <c r="T896" s="68"/>
      <c r="U896" s="68"/>
      <c r="V896" s="68"/>
      <c r="W896" s="68"/>
      <c r="X896" s="68"/>
      <c r="Y896" s="68"/>
      <c r="Z896" s="68"/>
      <c r="AA896" s="68"/>
      <c r="AB896" s="68"/>
      <c r="AC896" s="68"/>
      <c r="AD896" s="68"/>
      <c r="AE896" s="68"/>
      <c r="AF896" s="68"/>
      <c r="AG896" s="68"/>
      <c r="AH896" s="68"/>
      <c r="AI896" s="68"/>
      <c r="AJ896" s="68"/>
      <c r="AK896" s="68"/>
      <c r="AL896" s="68"/>
      <c r="AM896" s="68"/>
      <c r="AN896" s="68"/>
      <c r="AO896" s="68"/>
      <c r="AP896" s="68"/>
      <c r="AQ896" s="68"/>
      <c r="AR896" s="68"/>
      <c r="AS896" s="68"/>
      <c r="AT896" s="68"/>
      <c r="AU896" s="68"/>
      <c r="AV896" s="68"/>
      <c r="AW896" s="68"/>
      <c r="AX896" s="68"/>
      <c r="AY896" s="47" t="s">
        <v>227</v>
      </c>
      <c r="AZ896" s="47"/>
      <c r="BA896" s="47"/>
      <c r="BB896" s="47"/>
      <c r="BC896" s="88"/>
      <c r="BI896" s="42"/>
    </row>
    <row r="897" spans="1:61" s="24" customFormat="1" ht="21" hidden="1" customHeight="1">
      <c r="A897" s="32"/>
      <c r="B897" s="158"/>
      <c r="C897" s="78" t="s">
        <v>44</v>
      </c>
      <c r="D897" s="35">
        <f t="shared" ref="D897:D960" si="147">F897+E897</f>
        <v>0.35</v>
      </c>
      <c r="E897" s="45"/>
      <c r="F897" s="35">
        <f t="shared" si="144"/>
        <v>0.35</v>
      </c>
      <c r="G897" s="68">
        <v>0.25</v>
      </c>
      <c r="H897" s="68"/>
      <c r="I897" s="68"/>
      <c r="J897" s="68"/>
      <c r="K897" s="68"/>
      <c r="L897" s="68"/>
      <c r="M897" s="68"/>
      <c r="N897" s="68"/>
      <c r="O897" s="68"/>
      <c r="P897" s="68">
        <v>0.1</v>
      </c>
      <c r="Q897" s="68"/>
      <c r="R897" s="68"/>
      <c r="S897" s="68"/>
      <c r="T897" s="68"/>
      <c r="U897" s="68"/>
      <c r="V897" s="68"/>
      <c r="W897" s="68"/>
      <c r="X897" s="68"/>
      <c r="Y897" s="68"/>
      <c r="Z897" s="68"/>
      <c r="AA897" s="68"/>
      <c r="AB897" s="68"/>
      <c r="AC897" s="68"/>
      <c r="AD897" s="68"/>
      <c r="AE897" s="68"/>
      <c r="AF897" s="68"/>
      <c r="AG897" s="68"/>
      <c r="AH897" s="68"/>
      <c r="AI897" s="68"/>
      <c r="AJ897" s="68"/>
      <c r="AK897" s="68"/>
      <c r="AL897" s="68"/>
      <c r="AM897" s="68"/>
      <c r="AN897" s="68"/>
      <c r="AO897" s="68"/>
      <c r="AP897" s="68"/>
      <c r="AQ897" s="68"/>
      <c r="AR897" s="68"/>
      <c r="AS897" s="68"/>
      <c r="AT897" s="68"/>
      <c r="AU897" s="68"/>
      <c r="AV897" s="68"/>
      <c r="AW897" s="68"/>
      <c r="AX897" s="68"/>
      <c r="AY897" s="47" t="s">
        <v>227</v>
      </c>
      <c r="AZ897" s="47"/>
      <c r="BA897" s="47"/>
      <c r="BB897" s="47"/>
      <c r="BC897" s="88"/>
      <c r="BI897" s="42"/>
    </row>
    <row r="898" spans="1:61" s="24" customFormat="1" ht="21" hidden="1" customHeight="1">
      <c r="A898" s="32"/>
      <c r="B898" s="158"/>
      <c r="C898" s="78" t="s">
        <v>138</v>
      </c>
      <c r="D898" s="35">
        <f t="shared" si="147"/>
        <v>0.26</v>
      </c>
      <c r="E898" s="45"/>
      <c r="F898" s="35">
        <f t="shared" si="144"/>
        <v>0.26</v>
      </c>
      <c r="G898" s="153">
        <f>G895-G896-G897</f>
        <v>7.0000000000000007E-2</v>
      </c>
      <c r="H898" s="153">
        <f t="shared" ref="H898:AX898" si="148">H895-H896-H897</f>
        <v>0</v>
      </c>
      <c r="I898" s="153">
        <f t="shared" si="148"/>
        <v>0.13999999999999999</v>
      </c>
      <c r="J898" s="153">
        <f t="shared" si="148"/>
        <v>0</v>
      </c>
      <c r="K898" s="153">
        <f t="shared" si="148"/>
        <v>0</v>
      </c>
      <c r="L898" s="153">
        <f t="shared" si="148"/>
        <v>0</v>
      </c>
      <c r="M898" s="153">
        <f t="shared" si="148"/>
        <v>0</v>
      </c>
      <c r="N898" s="153">
        <f t="shared" si="148"/>
        <v>0</v>
      </c>
      <c r="O898" s="153">
        <f t="shared" si="148"/>
        <v>0</v>
      </c>
      <c r="P898" s="154">
        <f t="shared" si="148"/>
        <v>4.9999999999999989E-2</v>
      </c>
      <c r="Q898" s="153">
        <f t="shared" si="148"/>
        <v>0</v>
      </c>
      <c r="R898" s="153">
        <f t="shared" si="148"/>
        <v>0</v>
      </c>
      <c r="S898" s="153">
        <f t="shared" si="148"/>
        <v>0</v>
      </c>
      <c r="T898" s="153">
        <f t="shared" si="148"/>
        <v>0</v>
      </c>
      <c r="U898" s="153">
        <f t="shared" si="148"/>
        <v>0</v>
      </c>
      <c r="V898" s="153">
        <f t="shared" si="148"/>
        <v>0</v>
      </c>
      <c r="W898" s="153">
        <f t="shared" si="148"/>
        <v>0</v>
      </c>
      <c r="X898" s="153">
        <f t="shared" si="148"/>
        <v>0</v>
      </c>
      <c r="Y898" s="153">
        <f t="shared" si="148"/>
        <v>0</v>
      </c>
      <c r="Z898" s="153">
        <f t="shared" si="148"/>
        <v>0</v>
      </c>
      <c r="AA898" s="153">
        <f t="shared" si="148"/>
        <v>0</v>
      </c>
      <c r="AB898" s="153">
        <f t="shared" si="148"/>
        <v>0</v>
      </c>
      <c r="AC898" s="153">
        <f t="shared" si="148"/>
        <v>0</v>
      </c>
      <c r="AD898" s="153">
        <f t="shared" si="148"/>
        <v>0</v>
      </c>
      <c r="AE898" s="153">
        <f t="shared" si="148"/>
        <v>0</v>
      </c>
      <c r="AF898" s="153">
        <f t="shared" si="148"/>
        <v>0</v>
      </c>
      <c r="AG898" s="153">
        <f t="shared" si="148"/>
        <v>0</v>
      </c>
      <c r="AH898" s="153">
        <f t="shared" si="148"/>
        <v>0</v>
      </c>
      <c r="AI898" s="153">
        <f t="shared" si="148"/>
        <v>0</v>
      </c>
      <c r="AJ898" s="153">
        <f t="shared" si="148"/>
        <v>0</v>
      </c>
      <c r="AK898" s="153">
        <f t="shared" si="148"/>
        <v>0</v>
      </c>
      <c r="AL898" s="153">
        <f t="shared" si="148"/>
        <v>0</v>
      </c>
      <c r="AM898" s="153">
        <f t="shared" si="148"/>
        <v>0</v>
      </c>
      <c r="AN898" s="153">
        <f t="shared" si="148"/>
        <v>0</v>
      </c>
      <c r="AO898" s="153">
        <f t="shared" si="148"/>
        <v>0</v>
      </c>
      <c r="AP898" s="153">
        <f t="shared" si="148"/>
        <v>0</v>
      </c>
      <c r="AQ898" s="153">
        <f t="shared" si="148"/>
        <v>0</v>
      </c>
      <c r="AR898" s="153">
        <f t="shared" si="148"/>
        <v>0</v>
      </c>
      <c r="AS898" s="153">
        <f t="shared" si="148"/>
        <v>0</v>
      </c>
      <c r="AT898" s="153">
        <f t="shared" si="148"/>
        <v>0</v>
      </c>
      <c r="AU898" s="153">
        <f t="shared" si="148"/>
        <v>0</v>
      </c>
      <c r="AV898" s="153">
        <f t="shared" si="148"/>
        <v>0</v>
      </c>
      <c r="AW898" s="153">
        <f t="shared" si="148"/>
        <v>0</v>
      </c>
      <c r="AX898" s="153">
        <f t="shared" si="148"/>
        <v>0</v>
      </c>
      <c r="AY898" s="47" t="s">
        <v>227</v>
      </c>
      <c r="AZ898" s="47"/>
      <c r="BA898" s="47"/>
      <c r="BB898" s="47"/>
      <c r="BC898" s="88"/>
      <c r="BI898" s="42"/>
    </row>
    <row r="899" spans="1:61" s="24" customFormat="1" ht="20.85" customHeight="1">
      <c r="A899" s="32">
        <f>A895+1</f>
        <v>660</v>
      </c>
      <c r="B899" s="158" t="s">
        <v>186</v>
      </c>
      <c r="C899" s="78" t="s">
        <v>59</v>
      </c>
      <c r="D899" s="35">
        <f t="shared" si="147"/>
        <v>0.05</v>
      </c>
      <c r="E899" s="45"/>
      <c r="F899" s="35">
        <f t="shared" si="144"/>
        <v>0.05</v>
      </c>
      <c r="G899" s="46"/>
      <c r="H899" s="46"/>
      <c r="I899" s="46"/>
      <c r="J899" s="46"/>
      <c r="K899" s="46"/>
      <c r="L899" s="46"/>
      <c r="M899" s="46">
        <v>0.05</v>
      </c>
      <c r="N899" s="46"/>
      <c r="O899" s="46"/>
      <c r="P899" s="46"/>
      <c r="Q899" s="46"/>
      <c r="R899" s="46"/>
      <c r="S899" s="46"/>
      <c r="T899" s="46"/>
      <c r="U899" s="46"/>
      <c r="V899" s="46"/>
      <c r="W899" s="46"/>
      <c r="X899" s="46"/>
      <c r="Y899" s="46"/>
      <c r="Z899" s="46"/>
      <c r="AA899" s="46"/>
      <c r="AB899" s="46"/>
      <c r="AC899" s="46"/>
      <c r="AD899" s="46"/>
      <c r="AE899" s="46"/>
      <c r="AF899" s="46"/>
      <c r="AG899" s="46"/>
      <c r="AH899" s="46"/>
      <c r="AI899" s="46"/>
      <c r="AJ899" s="46"/>
      <c r="AK899" s="46"/>
      <c r="AL899" s="46"/>
      <c r="AM899" s="46"/>
      <c r="AN899" s="46"/>
      <c r="AO899" s="46"/>
      <c r="AP899" s="46"/>
      <c r="AQ899" s="46"/>
      <c r="AR899" s="46"/>
      <c r="AS899" s="46"/>
      <c r="AT899" s="46"/>
      <c r="AU899" s="46"/>
      <c r="AV899" s="46"/>
      <c r="AW899" s="46"/>
      <c r="AX899" s="46"/>
      <c r="AY899" s="47" t="s">
        <v>227</v>
      </c>
      <c r="AZ899" s="47" t="s">
        <v>1407</v>
      </c>
      <c r="BA899" s="47" t="s">
        <v>298</v>
      </c>
      <c r="BB899" s="47"/>
      <c r="BC899" s="88" t="s">
        <v>1401</v>
      </c>
      <c r="BI899" s="42">
        <v>1</v>
      </c>
    </row>
    <row r="900" spans="1:61" s="24" customFormat="1" ht="20.85" customHeight="1">
      <c r="A900" s="32">
        <f>A899+1</f>
        <v>661</v>
      </c>
      <c r="B900" s="158" t="s">
        <v>186</v>
      </c>
      <c r="C900" s="78" t="s">
        <v>1260</v>
      </c>
      <c r="D900" s="35">
        <f t="shared" si="147"/>
        <v>0.83000000000000007</v>
      </c>
      <c r="E900" s="45"/>
      <c r="F900" s="35">
        <f t="shared" si="144"/>
        <v>0.83000000000000007</v>
      </c>
      <c r="G900" s="46">
        <v>0.83000000000000007</v>
      </c>
      <c r="H900" s="46"/>
      <c r="I900" s="46"/>
      <c r="J900" s="46"/>
      <c r="K900" s="46"/>
      <c r="L900" s="46"/>
      <c r="M900" s="46"/>
      <c r="N900" s="46"/>
      <c r="O900" s="46"/>
      <c r="P900" s="46"/>
      <c r="Q900" s="46"/>
      <c r="R900" s="46"/>
      <c r="S900" s="46"/>
      <c r="T900" s="46"/>
      <c r="U900" s="46"/>
      <c r="V900" s="46"/>
      <c r="W900" s="46"/>
      <c r="X900" s="46"/>
      <c r="Y900" s="46"/>
      <c r="Z900" s="46"/>
      <c r="AA900" s="46"/>
      <c r="AB900" s="46"/>
      <c r="AC900" s="46"/>
      <c r="AD900" s="46"/>
      <c r="AE900" s="46"/>
      <c r="AF900" s="46"/>
      <c r="AG900" s="46"/>
      <c r="AH900" s="46"/>
      <c r="AI900" s="46"/>
      <c r="AJ900" s="46"/>
      <c r="AK900" s="46"/>
      <c r="AL900" s="46"/>
      <c r="AM900" s="46"/>
      <c r="AN900" s="46"/>
      <c r="AO900" s="46"/>
      <c r="AP900" s="46"/>
      <c r="AQ900" s="46"/>
      <c r="AR900" s="46"/>
      <c r="AS900" s="46"/>
      <c r="AT900" s="46"/>
      <c r="AU900" s="46"/>
      <c r="AV900" s="46"/>
      <c r="AW900" s="46"/>
      <c r="AX900" s="46"/>
      <c r="AY900" s="47" t="s">
        <v>227</v>
      </c>
      <c r="AZ900" s="47" t="s">
        <v>1408</v>
      </c>
      <c r="BA900" s="47" t="s">
        <v>298</v>
      </c>
      <c r="BB900" s="47"/>
      <c r="BC900" s="88" t="s">
        <v>1409</v>
      </c>
      <c r="BI900" s="42">
        <v>1</v>
      </c>
    </row>
    <row r="901" spans="1:61" s="24" customFormat="1" ht="20.85" hidden="1" customHeight="1">
      <c r="A901" s="32"/>
      <c r="B901" s="158"/>
      <c r="C901" s="78" t="s">
        <v>59</v>
      </c>
      <c r="D901" s="35">
        <f t="shared" si="147"/>
        <v>0.28999999999999998</v>
      </c>
      <c r="E901" s="45"/>
      <c r="F901" s="35">
        <f t="shared" si="144"/>
        <v>0.28999999999999998</v>
      </c>
      <c r="G901" s="46">
        <v>0.28999999999999998</v>
      </c>
      <c r="H901" s="46"/>
      <c r="I901" s="46"/>
      <c r="J901" s="46"/>
      <c r="K901" s="46"/>
      <c r="L901" s="46"/>
      <c r="M901" s="46"/>
      <c r="N901" s="46"/>
      <c r="O901" s="46"/>
      <c r="P901" s="46"/>
      <c r="Q901" s="46"/>
      <c r="R901" s="46"/>
      <c r="S901" s="46"/>
      <c r="T901" s="46"/>
      <c r="U901" s="46"/>
      <c r="V901" s="46"/>
      <c r="W901" s="46"/>
      <c r="X901" s="46"/>
      <c r="Y901" s="46"/>
      <c r="Z901" s="46"/>
      <c r="AA901" s="46"/>
      <c r="AB901" s="46"/>
      <c r="AC901" s="46"/>
      <c r="AD901" s="46"/>
      <c r="AE901" s="46"/>
      <c r="AF901" s="46"/>
      <c r="AG901" s="46"/>
      <c r="AH901" s="46"/>
      <c r="AI901" s="46"/>
      <c r="AJ901" s="46"/>
      <c r="AK901" s="46"/>
      <c r="AL901" s="46"/>
      <c r="AM901" s="46"/>
      <c r="AN901" s="46"/>
      <c r="AO901" s="46"/>
      <c r="AP901" s="46"/>
      <c r="AQ901" s="46"/>
      <c r="AR901" s="46"/>
      <c r="AS901" s="46"/>
      <c r="AT901" s="46"/>
      <c r="AU901" s="46"/>
      <c r="AV901" s="46"/>
      <c r="AW901" s="46"/>
      <c r="AX901" s="46"/>
      <c r="AY901" s="47" t="s">
        <v>227</v>
      </c>
      <c r="AZ901" s="47"/>
      <c r="BA901" s="47"/>
      <c r="BB901" s="48"/>
      <c r="BC901" s="161"/>
      <c r="BI901" s="42"/>
    </row>
    <row r="902" spans="1:61" s="24" customFormat="1" ht="20.85" hidden="1" customHeight="1">
      <c r="A902" s="32"/>
      <c r="B902" s="158"/>
      <c r="C902" s="78" t="s">
        <v>44</v>
      </c>
      <c r="D902" s="35">
        <f t="shared" si="147"/>
        <v>0.32</v>
      </c>
      <c r="E902" s="45"/>
      <c r="F902" s="35">
        <f t="shared" si="144"/>
        <v>0.32</v>
      </c>
      <c r="G902" s="46">
        <v>0.32</v>
      </c>
      <c r="H902" s="46"/>
      <c r="I902" s="46"/>
      <c r="J902" s="46"/>
      <c r="K902" s="46"/>
      <c r="L902" s="46"/>
      <c r="M902" s="46"/>
      <c r="N902" s="46"/>
      <c r="O902" s="46"/>
      <c r="P902" s="46"/>
      <c r="Q902" s="46"/>
      <c r="R902" s="46"/>
      <c r="S902" s="46"/>
      <c r="T902" s="46"/>
      <c r="U902" s="46"/>
      <c r="V902" s="46"/>
      <c r="W902" s="46"/>
      <c r="X902" s="46"/>
      <c r="Y902" s="46"/>
      <c r="Z902" s="46"/>
      <c r="AA902" s="46"/>
      <c r="AB902" s="46"/>
      <c r="AC902" s="46"/>
      <c r="AD902" s="46"/>
      <c r="AE902" s="46"/>
      <c r="AF902" s="46"/>
      <c r="AG902" s="46"/>
      <c r="AH902" s="46"/>
      <c r="AI902" s="46"/>
      <c r="AJ902" s="46"/>
      <c r="AK902" s="46"/>
      <c r="AL902" s="46"/>
      <c r="AM902" s="46"/>
      <c r="AN902" s="46"/>
      <c r="AO902" s="46"/>
      <c r="AP902" s="46"/>
      <c r="AQ902" s="46"/>
      <c r="AR902" s="46"/>
      <c r="AS902" s="46"/>
      <c r="AT902" s="46"/>
      <c r="AU902" s="46"/>
      <c r="AV902" s="46"/>
      <c r="AW902" s="46"/>
      <c r="AX902" s="46"/>
      <c r="AY902" s="47" t="s">
        <v>227</v>
      </c>
      <c r="AZ902" s="47"/>
      <c r="BA902" s="47"/>
      <c r="BB902" s="48"/>
      <c r="BC902" s="161"/>
      <c r="BI902" s="42"/>
    </row>
    <row r="903" spans="1:61" s="24" customFormat="1" ht="20.85" hidden="1" customHeight="1">
      <c r="A903" s="32"/>
      <c r="B903" s="158"/>
      <c r="C903" s="78" t="s">
        <v>138</v>
      </c>
      <c r="D903" s="35">
        <f t="shared" si="147"/>
        <v>0.22000000000000003</v>
      </c>
      <c r="E903" s="45"/>
      <c r="F903" s="35">
        <f t="shared" si="144"/>
        <v>0.22000000000000003</v>
      </c>
      <c r="G903" s="153">
        <f>G900-G901-G902</f>
        <v>0.22000000000000003</v>
      </c>
      <c r="H903" s="153">
        <f t="shared" ref="H903:AX903" si="149">H900-H901-H902</f>
        <v>0</v>
      </c>
      <c r="I903" s="153">
        <f t="shared" si="149"/>
        <v>0</v>
      </c>
      <c r="J903" s="153">
        <f t="shared" si="149"/>
        <v>0</v>
      </c>
      <c r="K903" s="153">
        <f t="shared" si="149"/>
        <v>0</v>
      </c>
      <c r="L903" s="153">
        <f t="shared" si="149"/>
        <v>0</v>
      </c>
      <c r="M903" s="153">
        <f t="shared" si="149"/>
        <v>0</v>
      </c>
      <c r="N903" s="153">
        <f t="shared" si="149"/>
        <v>0</v>
      </c>
      <c r="O903" s="153">
        <f t="shared" si="149"/>
        <v>0</v>
      </c>
      <c r="P903" s="153">
        <f t="shared" si="149"/>
        <v>0</v>
      </c>
      <c r="Q903" s="153">
        <f t="shared" si="149"/>
        <v>0</v>
      </c>
      <c r="R903" s="153">
        <f t="shared" si="149"/>
        <v>0</v>
      </c>
      <c r="S903" s="153">
        <f t="shared" si="149"/>
        <v>0</v>
      </c>
      <c r="T903" s="153">
        <f t="shared" si="149"/>
        <v>0</v>
      </c>
      <c r="U903" s="153">
        <f t="shared" si="149"/>
        <v>0</v>
      </c>
      <c r="V903" s="153">
        <f t="shared" si="149"/>
        <v>0</v>
      </c>
      <c r="W903" s="153">
        <f t="shared" si="149"/>
        <v>0</v>
      </c>
      <c r="X903" s="153">
        <f t="shared" si="149"/>
        <v>0</v>
      </c>
      <c r="Y903" s="153">
        <f t="shared" si="149"/>
        <v>0</v>
      </c>
      <c r="Z903" s="153">
        <f t="shared" si="149"/>
        <v>0</v>
      </c>
      <c r="AA903" s="153">
        <f t="shared" si="149"/>
        <v>0</v>
      </c>
      <c r="AB903" s="153">
        <f t="shared" si="149"/>
        <v>0</v>
      </c>
      <c r="AC903" s="153">
        <f t="shared" si="149"/>
        <v>0</v>
      </c>
      <c r="AD903" s="153">
        <f t="shared" si="149"/>
        <v>0</v>
      </c>
      <c r="AE903" s="153">
        <f t="shared" si="149"/>
        <v>0</v>
      </c>
      <c r="AF903" s="153">
        <f t="shared" si="149"/>
        <v>0</v>
      </c>
      <c r="AG903" s="153">
        <f t="shared" si="149"/>
        <v>0</v>
      </c>
      <c r="AH903" s="153">
        <f t="shared" si="149"/>
        <v>0</v>
      </c>
      <c r="AI903" s="153">
        <f t="shared" si="149"/>
        <v>0</v>
      </c>
      <c r="AJ903" s="153">
        <f t="shared" si="149"/>
        <v>0</v>
      </c>
      <c r="AK903" s="153">
        <f t="shared" si="149"/>
        <v>0</v>
      </c>
      <c r="AL903" s="153">
        <f t="shared" si="149"/>
        <v>0</v>
      </c>
      <c r="AM903" s="153">
        <f t="shared" si="149"/>
        <v>0</v>
      </c>
      <c r="AN903" s="153">
        <f t="shared" si="149"/>
        <v>0</v>
      </c>
      <c r="AO903" s="153">
        <f t="shared" si="149"/>
        <v>0</v>
      </c>
      <c r="AP903" s="153">
        <f t="shared" si="149"/>
        <v>0</v>
      </c>
      <c r="AQ903" s="153">
        <f t="shared" si="149"/>
        <v>0</v>
      </c>
      <c r="AR903" s="153">
        <f t="shared" si="149"/>
        <v>0</v>
      </c>
      <c r="AS903" s="153">
        <f t="shared" si="149"/>
        <v>0</v>
      </c>
      <c r="AT903" s="153">
        <f t="shared" si="149"/>
        <v>0</v>
      </c>
      <c r="AU903" s="153">
        <f t="shared" si="149"/>
        <v>0</v>
      </c>
      <c r="AV903" s="153">
        <f t="shared" si="149"/>
        <v>0</v>
      </c>
      <c r="AW903" s="153">
        <f t="shared" si="149"/>
        <v>0</v>
      </c>
      <c r="AX903" s="153">
        <f t="shared" si="149"/>
        <v>0</v>
      </c>
      <c r="AY903" s="47" t="s">
        <v>227</v>
      </c>
      <c r="AZ903" s="47"/>
      <c r="BA903" s="47"/>
      <c r="BB903" s="48"/>
      <c r="BC903" s="161"/>
      <c r="BI903" s="42"/>
    </row>
    <row r="904" spans="1:61" s="24" customFormat="1" ht="22.35" customHeight="1">
      <c r="A904" s="32">
        <f>A900+1</f>
        <v>662</v>
      </c>
      <c r="B904" s="60" t="s">
        <v>1299</v>
      </c>
      <c r="C904" s="78" t="s">
        <v>59</v>
      </c>
      <c r="D904" s="35">
        <f t="shared" si="147"/>
        <v>0.82</v>
      </c>
      <c r="E904" s="45"/>
      <c r="F904" s="35">
        <f t="shared" si="144"/>
        <v>0.82</v>
      </c>
      <c r="G904" s="46"/>
      <c r="H904" s="46"/>
      <c r="I904" s="46"/>
      <c r="J904" s="46">
        <v>0.82</v>
      </c>
      <c r="K904" s="46"/>
      <c r="L904" s="46"/>
      <c r="M904" s="46"/>
      <c r="N904" s="46"/>
      <c r="O904" s="46"/>
      <c r="P904" s="46"/>
      <c r="Q904" s="46"/>
      <c r="R904" s="46"/>
      <c r="S904" s="46"/>
      <c r="T904" s="46"/>
      <c r="U904" s="46"/>
      <c r="V904" s="46"/>
      <c r="W904" s="46"/>
      <c r="X904" s="46"/>
      <c r="Y904" s="46"/>
      <c r="Z904" s="46"/>
      <c r="AA904" s="46"/>
      <c r="AB904" s="46"/>
      <c r="AC904" s="46"/>
      <c r="AD904" s="46"/>
      <c r="AE904" s="46"/>
      <c r="AF904" s="46"/>
      <c r="AG904" s="46"/>
      <c r="AH904" s="46"/>
      <c r="AI904" s="46"/>
      <c r="AJ904" s="46"/>
      <c r="AK904" s="46"/>
      <c r="AL904" s="46"/>
      <c r="AM904" s="46"/>
      <c r="AN904" s="46"/>
      <c r="AO904" s="46"/>
      <c r="AP904" s="46"/>
      <c r="AQ904" s="46"/>
      <c r="AR904" s="46"/>
      <c r="AS904" s="46"/>
      <c r="AT904" s="46"/>
      <c r="AU904" s="46"/>
      <c r="AV904" s="46"/>
      <c r="AW904" s="46"/>
      <c r="AX904" s="46"/>
      <c r="AY904" s="47" t="s">
        <v>227</v>
      </c>
      <c r="AZ904" s="47" t="s">
        <v>615</v>
      </c>
      <c r="BA904" s="47" t="s">
        <v>291</v>
      </c>
      <c r="BB904" s="48"/>
      <c r="BI904" s="42">
        <v>1</v>
      </c>
    </row>
    <row r="905" spans="1:61" s="24" customFormat="1" ht="22.35" customHeight="1">
      <c r="A905" s="32" t="s">
        <v>1410</v>
      </c>
      <c r="B905" s="149" t="s">
        <v>186</v>
      </c>
      <c r="C905" s="78" t="s">
        <v>1260</v>
      </c>
      <c r="D905" s="35">
        <f>E905+F905</f>
        <v>12.700000000000001</v>
      </c>
      <c r="E905" s="35">
        <f>E906+E911+E912+E913+E914+E918+E919+E923+E924+E925+E926+E930+E931+E935+E936+E940+E941+E942+E946+E950+E951+E952+E956+E960+E964+E965+E966+E967</f>
        <v>0.31</v>
      </c>
      <c r="F905" s="141">
        <f>F906+F911+F912+F913+F914+F918+F919+F923+F924+F925+F926+F930+F931+F935+F936+F940+F941+F942+F946+F950+F951+F952+F956+F960+F964+F965+F966+F967</f>
        <v>12.39</v>
      </c>
      <c r="G905" s="141">
        <f t="shared" ref="G905:AX905" si="150">G906+G911+G912+G913+G914+G918+G919+G923+G924+G925+G926+G930+G931+G935+G936+G940+G941+G942+G946+G950+G951+G952+G956+G960+G964+G965+G966+G967</f>
        <v>3.27</v>
      </c>
      <c r="H905" s="141">
        <f t="shared" si="150"/>
        <v>4.3699999999999992</v>
      </c>
      <c r="I905" s="141">
        <f t="shared" si="150"/>
        <v>1.96</v>
      </c>
      <c r="J905" s="141">
        <f t="shared" si="150"/>
        <v>2.06</v>
      </c>
      <c r="K905" s="141">
        <f t="shared" si="150"/>
        <v>0</v>
      </c>
      <c r="L905" s="141">
        <f t="shared" si="150"/>
        <v>0</v>
      </c>
      <c r="M905" s="141">
        <f t="shared" si="150"/>
        <v>0.55000000000000004</v>
      </c>
      <c r="N905" s="141">
        <f t="shared" si="150"/>
        <v>0</v>
      </c>
      <c r="O905" s="141">
        <f t="shared" si="150"/>
        <v>0</v>
      </c>
      <c r="P905" s="141">
        <f t="shared" si="150"/>
        <v>0.05</v>
      </c>
      <c r="Q905" s="141">
        <f t="shared" si="150"/>
        <v>0</v>
      </c>
      <c r="R905" s="141">
        <f t="shared" si="150"/>
        <v>0</v>
      </c>
      <c r="S905" s="141">
        <f t="shared" si="150"/>
        <v>0</v>
      </c>
      <c r="T905" s="141">
        <f t="shared" si="150"/>
        <v>0</v>
      </c>
      <c r="U905" s="141">
        <f t="shared" si="150"/>
        <v>0</v>
      </c>
      <c r="V905" s="141">
        <f t="shared" si="150"/>
        <v>0</v>
      </c>
      <c r="W905" s="141">
        <f t="shared" si="150"/>
        <v>0</v>
      </c>
      <c r="X905" s="141">
        <f t="shared" si="150"/>
        <v>0</v>
      </c>
      <c r="Y905" s="141">
        <f t="shared" si="150"/>
        <v>0</v>
      </c>
      <c r="Z905" s="141">
        <f t="shared" si="150"/>
        <v>0</v>
      </c>
      <c r="AA905" s="141">
        <f t="shared" si="150"/>
        <v>0</v>
      </c>
      <c r="AB905" s="141">
        <f t="shared" si="150"/>
        <v>0</v>
      </c>
      <c r="AC905" s="141">
        <f t="shared" si="150"/>
        <v>0.13</v>
      </c>
      <c r="AD905" s="141">
        <f t="shared" si="150"/>
        <v>0</v>
      </c>
      <c r="AE905" s="141">
        <f t="shared" si="150"/>
        <v>0</v>
      </c>
      <c r="AF905" s="141">
        <f t="shared" si="150"/>
        <v>0</v>
      </c>
      <c r="AG905" s="141">
        <f t="shared" si="150"/>
        <v>0</v>
      </c>
      <c r="AH905" s="141">
        <f t="shared" si="150"/>
        <v>0</v>
      </c>
      <c r="AI905" s="141">
        <f t="shared" si="150"/>
        <v>0</v>
      </c>
      <c r="AJ905" s="141">
        <f t="shared" si="150"/>
        <v>0</v>
      </c>
      <c r="AK905" s="141">
        <f t="shared" si="150"/>
        <v>0</v>
      </c>
      <c r="AL905" s="141">
        <f t="shared" si="150"/>
        <v>0</v>
      </c>
      <c r="AM905" s="141">
        <f t="shared" si="150"/>
        <v>0</v>
      </c>
      <c r="AN905" s="141">
        <f t="shared" si="150"/>
        <v>0</v>
      </c>
      <c r="AO905" s="141">
        <f t="shared" si="150"/>
        <v>0</v>
      </c>
      <c r="AP905" s="141">
        <f t="shared" si="150"/>
        <v>0</v>
      </c>
      <c r="AQ905" s="141">
        <f t="shared" si="150"/>
        <v>0</v>
      </c>
      <c r="AR905" s="141">
        <f t="shared" si="150"/>
        <v>0</v>
      </c>
      <c r="AS905" s="141">
        <f t="shared" si="150"/>
        <v>0</v>
      </c>
      <c r="AT905" s="141">
        <f t="shared" si="150"/>
        <v>0</v>
      </c>
      <c r="AU905" s="141">
        <f t="shared" si="150"/>
        <v>0</v>
      </c>
      <c r="AV905" s="141">
        <f t="shared" si="150"/>
        <v>0</v>
      </c>
      <c r="AW905" s="141">
        <f t="shared" si="150"/>
        <v>0</v>
      </c>
      <c r="AX905" s="141">
        <f t="shared" si="150"/>
        <v>0</v>
      </c>
      <c r="AY905" s="34" t="s">
        <v>487</v>
      </c>
      <c r="AZ905" s="47"/>
      <c r="BA905" s="47"/>
      <c r="BB905" s="48"/>
      <c r="BI905" s="42"/>
    </row>
    <row r="906" spans="1:61" s="24" customFormat="1" ht="32.1" customHeight="1">
      <c r="A906" s="32">
        <f>A904+1</f>
        <v>663</v>
      </c>
      <c r="B906" s="149" t="s">
        <v>186</v>
      </c>
      <c r="C906" s="78" t="s">
        <v>1260</v>
      </c>
      <c r="D906" s="35">
        <f t="shared" si="147"/>
        <v>2.2000000000000002</v>
      </c>
      <c r="E906" s="35"/>
      <c r="F906" s="35">
        <f t="shared" si="144"/>
        <v>2.2000000000000002</v>
      </c>
      <c r="G906" s="109"/>
      <c r="H906" s="109">
        <v>1.7</v>
      </c>
      <c r="I906" s="109">
        <v>0.5</v>
      </c>
      <c r="J906" s="109"/>
      <c r="K906" s="109"/>
      <c r="L906" s="109"/>
      <c r="M906" s="109"/>
      <c r="N906" s="109"/>
      <c r="O906" s="109"/>
      <c r="P906" s="109"/>
      <c r="Q906" s="109"/>
      <c r="R906" s="109"/>
      <c r="S906" s="109"/>
      <c r="T906" s="109"/>
      <c r="U906" s="109"/>
      <c r="V906" s="109"/>
      <c r="W906" s="109"/>
      <c r="X906" s="109"/>
      <c r="Y906" s="109"/>
      <c r="Z906" s="109"/>
      <c r="AA906" s="109"/>
      <c r="AB906" s="109"/>
      <c r="AC906" s="109"/>
      <c r="AD906" s="109"/>
      <c r="AE906" s="109"/>
      <c r="AF906" s="109"/>
      <c r="AG906" s="109"/>
      <c r="AH906" s="109"/>
      <c r="AI906" s="109"/>
      <c r="AJ906" s="109"/>
      <c r="AK906" s="109"/>
      <c r="AL906" s="109"/>
      <c r="AM906" s="109"/>
      <c r="AN906" s="109"/>
      <c r="AO906" s="109"/>
      <c r="AP906" s="109"/>
      <c r="AQ906" s="109"/>
      <c r="AR906" s="109"/>
      <c r="AS906" s="109"/>
      <c r="AT906" s="109"/>
      <c r="AU906" s="109"/>
      <c r="AV906" s="109"/>
      <c r="AW906" s="109"/>
      <c r="AX906" s="109"/>
      <c r="AY906" s="34" t="s">
        <v>487</v>
      </c>
      <c r="AZ906" s="34" t="s">
        <v>1411</v>
      </c>
      <c r="BA906" s="70" t="s">
        <v>291</v>
      </c>
      <c r="BB906" s="70"/>
      <c r="BC906" s="149" t="s">
        <v>1412</v>
      </c>
      <c r="BI906" s="42">
        <v>1</v>
      </c>
    </row>
    <row r="907" spans="1:61" s="24" customFormat="1" ht="23.1" hidden="1" customHeight="1">
      <c r="A907" s="32"/>
      <c r="B907" s="149"/>
      <c r="C907" s="78" t="s">
        <v>59</v>
      </c>
      <c r="D907" s="35">
        <f t="shared" si="147"/>
        <v>0.77</v>
      </c>
      <c r="E907" s="35"/>
      <c r="F907" s="35">
        <f t="shared" si="144"/>
        <v>0.77</v>
      </c>
      <c r="G907" s="109"/>
      <c r="H907" s="109">
        <v>0.77</v>
      </c>
      <c r="I907" s="109"/>
      <c r="J907" s="109"/>
      <c r="K907" s="109"/>
      <c r="L907" s="109"/>
      <c r="M907" s="109"/>
      <c r="N907" s="109"/>
      <c r="O907" s="109"/>
      <c r="P907" s="109"/>
      <c r="Q907" s="109"/>
      <c r="R907" s="109"/>
      <c r="S907" s="109"/>
      <c r="T907" s="109"/>
      <c r="U907" s="109"/>
      <c r="V907" s="109"/>
      <c r="W907" s="109"/>
      <c r="X907" s="109"/>
      <c r="Y907" s="109"/>
      <c r="Z907" s="109"/>
      <c r="AA907" s="109"/>
      <c r="AB907" s="109"/>
      <c r="AC907" s="109"/>
      <c r="AD907" s="109"/>
      <c r="AE907" s="109"/>
      <c r="AF907" s="109"/>
      <c r="AG907" s="109"/>
      <c r="AH907" s="109"/>
      <c r="AI907" s="109"/>
      <c r="AJ907" s="109"/>
      <c r="AK907" s="109"/>
      <c r="AL907" s="109"/>
      <c r="AM907" s="109"/>
      <c r="AN907" s="109"/>
      <c r="AO907" s="109"/>
      <c r="AP907" s="109"/>
      <c r="AQ907" s="109"/>
      <c r="AR907" s="109"/>
      <c r="AS907" s="109"/>
      <c r="AT907" s="109"/>
      <c r="AU907" s="109"/>
      <c r="AV907" s="109"/>
      <c r="AW907" s="109"/>
      <c r="AX907" s="109"/>
      <c r="AY907" s="47" t="s">
        <v>227</v>
      </c>
      <c r="AZ907" s="34"/>
      <c r="BA907" s="70"/>
      <c r="BB907" s="70"/>
      <c r="BC907" s="149"/>
      <c r="BI907" s="42"/>
    </row>
    <row r="908" spans="1:61" s="24" customFormat="1" ht="23.1" hidden="1" customHeight="1">
      <c r="A908" s="32"/>
      <c r="B908" s="149"/>
      <c r="C908" s="78" t="s">
        <v>44</v>
      </c>
      <c r="D908" s="35">
        <f t="shared" si="147"/>
        <v>0.77</v>
      </c>
      <c r="E908" s="35"/>
      <c r="F908" s="35">
        <f t="shared" si="144"/>
        <v>0.77</v>
      </c>
      <c r="G908" s="109"/>
      <c r="H908" s="109">
        <v>0.5</v>
      </c>
      <c r="I908" s="109">
        <v>0.27</v>
      </c>
      <c r="J908" s="109"/>
      <c r="K908" s="109"/>
      <c r="L908" s="109"/>
      <c r="M908" s="109"/>
      <c r="N908" s="109"/>
      <c r="O908" s="109"/>
      <c r="P908" s="109"/>
      <c r="Q908" s="109"/>
      <c r="R908" s="109"/>
      <c r="S908" s="109"/>
      <c r="T908" s="109"/>
      <c r="U908" s="109"/>
      <c r="V908" s="109"/>
      <c r="W908" s="109"/>
      <c r="X908" s="109"/>
      <c r="Y908" s="109"/>
      <c r="Z908" s="109"/>
      <c r="AA908" s="109"/>
      <c r="AB908" s="109"/>
      <c r="AC908" s="109"/>
      <c r="AD908" s="109"/>
      <c r="AE908" s="109"/>
      <c r="AF908" s="109"/>
      <c r="AG908" s="109"/>
      <c r="AH908" s="109"/>
      <c r="AI908" s="109"/>
      <c r="AJ908" s="109"/>
      <c r="AK908" s="109"/>
      <c r="AL908" s="109"/>
      <c r="AM908" s="109"/>
      <c r="AN908" s="109"/>
      <c r="AO908" s="109"/>
      <c r="AP908" s="109"/>
      <c r="AQ908" s="109"/>
      <c r="AR908" s="109"/>
      <c r="AS908" s="109"/>
      <c r="AT908" s="109"/>
      <c r="AU908" s="109"/>
      <c r="AV908" s="109"/>
      <c r="AW908" s="109"/>
      <c r="AX908" s="109"/>
      <c r="AY908" s="47" t="s">
        <v>227</v>
      </c>
      <c r="AZ908" s="34"/>
      <c r="BA908" s="70"/>
      <c r="BB908" s="70"/>
      <c r="BC908" s="149"/>
      <c r="BI908" s="42"/>
    </row>
    <row r="909" spans="1:61" s="24" customFormat="1" ht="23.1" hidden="1" customHeight="1">
      <c r="A909" s="32"/>
      <c r="B909" s="149"/>
      <c r="C909" s="78" t="s">
        <v>45</v>
      </c>
      <c r="D909" s="35">
        <f t="shared" si="147"/>
        <v>0.22</v>
      </c>
      <c r="E909" s="35"/>
      <c r="F909" s="35">
        <f t="shared" si="144"/>
        <v>0.22</v>
      </c>
      <c r="G909" s="109"/>
      <c r="H909" s="109">
        <v>0.15</v>
      </c>
      <c r="I909" s="109">
        <v>7.0000000000000007E-2</v>
      </c>
      <c r="J909" s="109"/>
      <c r="K909" s="109"/>
      <c r="L909" s="109"/>
      <c r="M909" s="109"/>
      <c r="N909" s="109"/>
      <c r="O909" s="109"/>
      <c r="P909" s="109"/>
      <c r="Q909" s="109"/>
      <c r="R909" s="109"/>
      <c r="S909" s="109"/>
      <c r="T909" s="109"/>
      <c r="U909" s="109"/>
      <c r="V909" s="109"/>
      <c r="W909" s="109"/>
      <c r="X909" s="109"/>
      <c r="Y909" s="109"/>
      <c r="Z909" s="109"/>
      <c r="AA909" s="109"/>
      <c r="AB909" s="109"/>
      <c r="AC909" s="109"/>
      <c r="AD909" s="109"/>
      <c r="AE909" s="109"/>
      <c r="AF909" s="109"/>
      <c r="AG909" s="109"/>
      <c r="AH909" s="109"/>
      <c r="AI909" s="109"/>
      <c r="AJ909" s="109"/>
      <c r="AK909" s="109"/>
      <c r="AL909" s="109"/>
      <c r="AM909" s="109"/>
      <c r="AN909" s="109"/>
      <c r="AO909" s="109"/>
      <c r="AP909" s="109"/>
      <c r="AQ909" s="109"/>
      <c r="AR909" s="109"/>
      <c r="AS909" s="109"/>
      <c r="AT909" s="109"/>
      <c r="AU909" s="109"/>
      <c r="AV909" s="109"/>
      <c r="AW909" s="109"/>
      <c r="AX909" s="109"/>
      <c r="AY909" s="47" t="s">
        <v>227</v>
      </c>
      <c r="AZ909" s="34"/>
      <c r="BA909" s="70"/>
      <c r="BB909" s="70"/>
      <c r="BC909" s="149"/>
      <c r="BI909" s="42"/>
    </row>
    <row r="910" spans="1:61" s="24" customFormat="1" ht="23.1" hidden="1" customHeight="1">
      <c r="A910" s="32"/>
      <c r="B910" s="149"/>
      <c r="C910" s="78" t="s">
        <v>138</v>
      </c>
      <c r="D910" s="35">
        <f t="shared" si="147"/>
        <v>0.43999999999999989</v>
      </c>
      <c r="E910" s="35"/>
      <c r="F910" s="35">
        <f t="shared" si="144"/>
        <v>0.43999999999999989</v>
      </c>
      <c r="G910" s="147">
        <f>G906-G907-G908-G909</f>
        <v>0</v>
      </c>
      <c r="H910" s="147">
        <f t="shared" ref="H910:AX910" si="151">H906-H907-H908-H909</f>
        <v>0.27999999999999992</v>
      </c>
      <c r="I910" s="147">
        <f t="shared" si="151"/>
        <v>0.15999999999999998</v>
      </c>
      <c r="J910" s="147">
        <f t="shared" si="151"/>
        <v>0</v>
      </c>
      <c r="K910" s="147">
        <f t="shared" si="151"/>
        <v>0</v>
      </c>
      <c r="L910" s="147">
        <f t="shared" si="151"/>
        <v>0</v>
      </c>
      <c r="M910" s="147">
        <f t="shared" si="151"/>
        <v>0</v>
      </c>
      <c r="N910" s="147">
        <f t="shared" si="151"/>
        <v>0</v>
      </c>
      <c r="O910" s="147">
        <f t="shared" si="151"/>
        <v>0</v>
      </c>
      <c r="P910" s="147">
        <f t="shared" si="151"/>
        <v>0</v>
      </c>
      <c r="Q910" s="147">
        <f t="shared" si="151"/>
        <v>0</v>
      </c>
      <c r="R910" s="147">
        <f t="shared" si="151"/>
        <v>0</v>
      </c>
      <c r="S910" s="147">
        <f t="shared" si="151"/>
        <v>0</v>
      </c>
      <c r="T910" s="147">
        <f t="shared" si="151"/>
        <v>0</v>
      </c>
      <c r="U910" s="147">
        <f t="shared" si="151"/>
        <v>0</v>
      </c>
      <c r="V910" s="147">
        <f t="shared" si="151"/>
        <v>0</v>
      </c>
      <c r="W910" s="147">
        <f t="shared" si="151"/>
        <v>0</v>
      </c>
      <c r="X910" s="147">
        <f t="shared" si="151"/>
        <v>0</v>
      </c>
      <c r="Y910" s="147">
        <f t="shared" si="151"/>
        <v>0</v>
      </c>
      <c r="Z910" s="147">
        <f t="shared" si="151"/>
        <v>0</v>
      </c>
      <c r="AA910" s="147">
        <f t="shared" si="151"/>
        <v>0</v>
      </c>
      <c r="AB910" s="147">
        <f t="shared" si="151"/>
        <v>0</v>
      </c>
      <c r="AC910" s="147">
        <f t="shared" si="151"/>
        <v>0</v>
      </c>
      <c r="AD910" s="147">
        <f t="shared" si="151"/>
        <v>0</v>
      </c>
      <c r="AE910" s="147">
        <f t="shared" si="151"/>
        <v>0</v>
      </c>
      <c r="AF910" s="147">
        <f t="shared" si="151"/>
        <v>0</v>
      </c>
      <c r="AG910" s="147">
        <f t="shared" si="151"/>
        <v>0</v>
      </c>
      <c r="AH910" s="147">
        <f t="shared" si="151"/>
        <v>0</v>
      </c>
      <c r="AI910" s="147">
        <f t="shared" si="151"/>
        <v>0</v>
      </c>
      <c r="AJ910" s="147">
        <f t="shared" si="151"/>
        <v>0</v>
      </c>
      <c r="AK910" s="147">
        <f t="shared" si="151"/>
        <v>0</v>
      </c>
      <c r="AL910" s="147">
        <f t="shared" si="151"/>
        <v>0</v>
      </c>
      <c r="AM910" s="147">
        <f t="shared" si="151"/>
        <v>0</v>
      </c>
      <c r="AN910" s="147">
        <f t="shared" si="151"/>
        <v>0</v>
      </c>
      <c r="AO910" s="147">
        <f t="shared" si="151"/>
        <v>0</v>
      </c>
      <c r="AP910" s="147">
        <f t="shared" si="151"/>
        <v>0</v>
      </c>
      <c r="AQ910" s="147">
        <f t="shared" si="151"/>
        <v>0</v>
      </c>
      <c r="AR910" s="147">
        <f t="shared" si="151"/>
        <v>0</v>
      </c>
      <c r="AS910" s="147">
        <f t="shared" si="151"/>
        <v>0</v>
      </c>
      <c r="AT910" s="147">
        <f t="shared" si="151"/>
        <v>0</v>
      </c>
      <c r="AU910" s="147">
        <f t="shared" si="151"/>
        <v>0</v>
      </c>
      <c r="AV910" s="147">
        <f t="shared" si="151"/>
        <v>0</v>
      </c>
      <c r="AW910" s="147">
        <f t="shared" si="151"/>
        <v>0</v>
      </c>
      <c r="AX910" s="147">
        <f t="shared" si="151"/>
        <v>0</v>
      </c>
      <c r="AY910" s="47" t="s">
        <v>227</v>
      </c>
      <c r="AZ910" s="34"/>
      <c r="BA910" s="70"/>
      <c r="BB910" s="70"/>
      <c r="BC910" s="149"/>
      <c r="BI910" s="42"/>
    </row>
    <row r="911" spans="1:61" s="24" customFormat="1" ht="33" customHeight="1">
      <c r="A911" s="32">
        <f>A906+1</f>
        <v>664</v>
      </c>
      <c r="B911" s="158" t="s">
        <v>186</v>
      </c>
      <c r="C911" s="78" t="s">
        <v>59</v>
      </c>
      <c r="D911" s="35">
        <f t="shared" si="147"/>
        <v>0.05</v>
      </c>
      <c r="E911" s="35"/>
      <c r="F911" s="35">
        <f t="shared" si="144"/>
        <v>0.05</v>
      </c>
      <c r="G911" s="109"/>
      <c r="H911" s="109"/>
      <c r="I911" s="109"/>
      <c r="J911" s="109"/>
      <c r="K911" s="109"/>
      <c r="L911" s="109"/>
      <c r="M911" s="109"/>
      <c r="N911" s="109"/>
      <c r="O911" s="109"/>
      <c r="P911" s="109">
        <v>0.05</v>
      </c>
      <c r="Q911" s="109"/>
      <c r="R911" s="109"/>
      <c r="S911" s="109"/>
      <c r="T911" s="109"/>
      <c r="U911" s="109"/>
      <c r="V911" s="109"/>
      <c r="W911" s="109"/>
      <c r="X911" s="109"/>
      <c r="Y911" s="109"/>
      <c r="Z911" s="109"/>
      <c r="AA911" s="109"/>
      <c r="AB911" s="109"/>
      <c r="AC911" s="109"/>
      <c r="AD911" s="109"/>
      <c r="AE911" s="109"/>
      <c r="AF911" s="109"/>
      <c r="AG911" s="109"/>
      <c r="AH911" s="109"/>
      <c r="AI911" s="109"/>
      <c r="AJ911" s="109"/>
      <c r="AK911" s="109"/>
      <c r="AL911" s="109"/>
      <c r="AM911" s="109"/>
      <c r="AN911" s="109"/>
      <c r="AO911" s="109"/>
      <c r="AP911" s="109"/>
      <c r="AQ911" s="109"/>
      <c r="AR911" s="109"/>
      <c r="AS911" s="109"/>
      <c r="AT911" s="109"/>
      <c r="AU911" s="109"/>
      <c r="AV911" s="109"/>
      <c r="AW911" s="109"/>
      <c r="AX911" s="109"/>
      <c r="AY911" s="34" t="s">
        <v>487</v>
      </c>
      <c r="AZ911" s="34" t="s">
        <v>1413</v>
      </c>
      <c r="BA911" s="70" t="s">
        <v>291</v>
      </c>
      <c r="BB911" s="70"/>
      <c r="BC911" s="149" t="s">
        <v>1414</v>
      </c>
      <c r="BI911" s="42">
        <v>1</v>
      </c>
    </row>
    <row r="912" spans="1:61" s="24" customFormat="1" ht="31.5">
      <c r="A912" s="32">
        <f>A911+1</f>
        <v>665</v>
      </c>
      <c r="B912" s="158" t="s">
        <v>186</v>
      </c>
      <c r="C912" s="78" t="s">
        <v>59</v>
      </c>
      <c r="D912" s="35">
        <f t="shared" si="147"/>
        <v>0.35</v>
      </c>
      <c r="E912" s="35"/>
      <c r="F912" s="35">
        <f t="shared" si="144"/>
        <v>0.35</v>
      </c>
      <c r="G912" s="109"/>
      <c r="H912" s="109"/>
      <c r="I912" s="109">
        <v>0.35</v>
      </c>
      <c r="J912" s="109"/>
      <c r="K912" s="109"/>
      <c r="L912" s="109"/>
      <c r="M912" s="109"/>
      <c r="N912" s="109"/>
      <c r="O912" s="109"/>
      <c r="P912" s="109"/>
      <c r="Q912" s="109"/>
      <c r="R912" s="109"/>
      <c r="S912" s="109"/>
      <c r="T912" s="109"/>
      <c r="U912" s="109"/>
      <c r="V912" s="109"/>
      <c r="W912" s="109"/>
      <c r="X912" s="109"/>
      <c r="Y912" s="109"/>
      <c r="Z912" s="109"/>
      <c r="AA912" s="109"/>
      <c r="AB912" s="109"/>
      <c r="AC912" s="109"/>
      <c r="AD912" s="109"/>
      <c r="AE912" s="109"/>
      <c r="AF912" s="109"/>
      <c r="AG912" s="109"/>
      <c r="AH912" s="109"/>
      <c r="AI912" s="109"/>
      <c r="AJ912" s="109"/>
      <c r="AK912" s="109"/>
      <c r="AL912" s="109"/>
      <c r="AM912" s="109"/>
      <c r="AN912" s="109"/>
      <c r="AO912" s="109"/>
      <c r="AP912" s="109"/>
      <c r="AQ912" s="109"/>
      <c r="AR912" s="109"/>
      <c r="AS912" s="109"/>
      <c r="AT912" s="109"/>
      <c r="AU912" s="109"/>
      <c r="AV912" s="109"/>
      <c r="AW912" s="109"/>
      <c r="AX912" s="109"/>
      <c r="AY912" s="34" t="s">
        <v>487</v>
      </c>
      <c r="AZ912" s="34" t="s">
        <v>1415</v>
      </c>
      <c r="BA912" s="70" t="s">
        <v>291</v>
      </c>
      <c r="BB912" s="70"/>
      <c r="BC912" s="88" t="s">
        <v>1416</v>
      </c>
      <c r="BI912" s="42">
        <v>1</v>
      </c>
    </row>
    <row r="913" spans="1:61" s="24" customFormat="1" ht="31.5">
      <c r="A913" s="32">
        <f>A912+1</f>
        <v>666</v>
      </c>
      <c r="B913" s="158" t="s">
        <v>186</v>
      </c>
      <c r="C913" s="78" t="s">
        <v>59</v>
      </c>
      <c r="D913" s="35">
        <f t="shared" si="147"/>
        <v>0.2</v>
      </c>
      <c r="E913" s="35"/>
      <c r="F913" s="35">
        <f t="shared" si="144"/>
        <v>0.2</v>
      </c>
      <c r="G913" s="109"/>
      <c r="H913" s="109"/>
      <c r="I913" s="109"/>
      <c r="J913" s="109">
        <v>0.2</v>
      </c>
      <c r="K913" s="109"/>
      <c r="L913" s="109"/>
      <c r="M913" s="109"/>
      <c r="N913" s="109"/>
      <c r="O913" s="109"/>
      <c r="P913" s="109"/>
      <c r="Q913" s="109"/>
      <c r="R913" s="109"/>
      <c r="S913" s="109"/>
      <c r="T913" s="109"/>
      <c r="U913" s="109"/>
      <c r="V913" s="109"/>
      <c r="W913" s="109"/>
      <c r="X913" s="109"/>
      <c r="Y913" s="109"/>
      <c r="Z913" s="109"/>
      <c r="AA913" s="109"/>
      <c r="AB913" s="109"/>
      <c r="AC913" s="109"/>
      <c r="AD913" s="109"/>
      <c r="AE913" s="109"/>
      <c r="AF913" s="109"/>
      <c r="AG913" s="109"/>
      <c r="AH913" s="109"/>
      <c r="AI913" s="109"/>
      <c r="AJ913" s="109"/>
      <c r="AK913" s="109"/>
      <c r="AL913" s="109"/>
      <c r="AM913" s="109"/>
      <c r="AN913" s="109"/>
      <c r="AO913" s="109"/>
      <c r="AP913" s="109"/>
      <c r="AQ913" s="109"/>
      <c r="AR913" s="109"/>
      <c r="AS913" s="109"/>
      <c r="AT913" s="109"/>
      <c r="AU913" s="109"/>
      <c r="AV913" s="109"/>
      <c r="AW913" s="109"/>
      <c r="AX913" s="109"/>
      <c r="AY913" s="34" t="s">
        <v>487</v>
      </c>
      <c r="AZ913" s="34" t="s">
        <v>1417</v>
      </c>
      <c r="BA913" s="70" t="s">
        <v>291</v>
      </c>
      <c r="BB913" s="70"/>
      <c r="BC913" s="149" t="s">
        <v>1418</v>
      </c>
      <c r="BI913" s="42">
        <v>1</v>
      </c>
    </row>
    <row r="914" spans="1:61" s="24" customFormat="1" ht="31.5">
      <c r="A914" s="32">
        <f>A913+1</f>
        <v>667</v>
      </c>
      <c r="B914" s="158" t="s">
        <v>186</v>
      </c>
      <c r="C914" s="78" t="s">
        <v>1260</v>
      </c>
      <c r="D914" s="35">
        <f t="shared" si="147"/>
        <v>0.49</v>
      </c>
      <c r="E914" s="35"/>
      <c r="F914" s="35">
        <f t="shared" si="144"/>
        <v>0.49</v>
      </c>
      <c r="G914" s="109"/>
      <c r="H914" s="109">
        <v>0.49</v>
      </c>
      <c r="I914" s="109"/>
      <c r="J914" s="109"/>
      <c r="K914" s="109"/>
      <c r="L914" s="109"/>
      <c r="M914" s="109"/>
      <c r="N914" s="109"/>
      <c r="O914" s="109"/>
      <c r="P914" s="109"/>
      <c r="Q914" s="109"/>
      <c r="R914" s="109"/>
      <c r="S914" s="109"/>
      <c r="T914" s="109"/>
      <c r="U914" s="109"/>
      <c r="V914" s="109"/>
      <c r="W914" s="109"/>
      <c r="X914" s="109"/>
      <c r="Y914" s="109"/>
      <c r="Z914" s="109"/>
      <c r="AA914" s="109"/>
      <c r="AB914" s="109"/>
      <c r="AC914" s="109"/>
      <c r="AD914" s="109"/>
      <c r="AE914" s="109"/>
      <c r="AF914" s="109"/>
      <c r="AG914" s="109"/>
      <c r="AH914" s="109"/>
      <c r="AI914" s="109"/>
      <c r="AJ914" s="109"/>
      <c r="AK914" s="109"/>
      <c r="AL914" s="109"/>
      <c r="AM914" s="109"/>
      <c r="AN914" s="109"/>
      <c r="AO914" s="109"/>
      <c r="AP914" s="109"/>
      <c r="AQ914" s="109"/>
      <c r="AR914" s="109"/>
      <c r="AS914" s="109"/>
      <c r="AT914" s="109"/>
      <c r="AU914" s="109"/>
      <c r="AV914" s="109"/>
      <c r="AW914" s="109"/>
      <c r="AX914" s="109"/>
      <c r="AY914" s="34" t="s">
        <v>487</v>
      </c>
      <c r="AZ914" s="34" t="s">
        <v>1419</v>
      </c>
      <c r="BA914" s="70" t="s">
        <v>291</v>
      </c>
      <c r="BB914" s="70"/>
      <c r="BC914" s="149" t="s">
        <v>1420</v>
      </c>
      <c r="BI914" s="42">
        <v>1</v>
      </c>
    </row>
    <row r="915" spans="1:61" s="24" customFormat="1" hidden="1">
      <c r="A915" s="32"/>
      <c r="B915" s="158"/>
      <c r="C915" s="78" t="s">
        <v>59</v>
      </c>
      <c r="D915" s="35">
        <f t="shared" si="147"/>
        <v>0.2</v>
      </c>
      <c r="E915" s="35"/>
      <c r="F915" s="35">
        <f t="shared" si="144"/>
        <v>0.2</v>
      </c>
      <c r="G915" s="109"/>
      <c r="H915" s="109">
        <v>0.2</v>
      </c>
      <c r="I915" s="109"/>
      <c r="J915" s="109"/>
      <c r="K915" s="109"/>
      <c r="L915" s="109"/>
      <c r="M915" s="109"/>
      <c r="N915" s="109"/>
      <c r="O915" s="109"/>
      <c r="P915" s="109"/>
      <c r="Q915" s="109"/>
      <c r="R915" s="109"/>
      <c r="S915" s="109"/>
      <c r="T915" s="109"/>
      <c r="U915" s="109"/>
      <c r="V915" s="109"/>
      <c r="W915" s="109"/>
      <c r="X915" s="109"/>
      <c r="Y915" s="109"/>
      <c r="Z915" s="109"/>
      <c r="AA915" s="109"/>
      <c r="AB915" s="109"/>
      <c r="AC915" s="109"/>
      <c r="AD915" s="109"/>
      <c r="AE915" s="109"/>
      <c r="AF915" s="109"/>
      <c r="AG915" s="109"/>
      <c r="AH915" s="109"/>
      <c r="AI915" s="109"/>
      <c r="AJ915" s="109"/>
      <c r="AK915" s="109"/>
      <c r="AL915" s="109"/>
      <c r="AM915" s="109"/>
      <c r="AN915" s="109"/>
      <c r="AO915" s="109"/>
      <c r="AP915" s="109"/>
      <c r="AQ915" s="109"/>
      <c r="AR915" s="109"/>
      <c r="AS915" s="109"/>
      <c r="AT915" s="109"/>
      <c r="AU915" s="109"/>
      <c r="AV915" s="109"/>
      <c r="AW915" s="109"/>
      <c r="AX915" s="109"/>
      <c r="AY915" s="34" t="s">
        <v>487</v>
      </c>
      <c r="AZ915" s="34"/>
      <c r="BA915" s="70"/>
      <c r="BB915" s="70"/>
      <c r="BC915" s="149"/>
      <c r="BI915" s="42"/>
    </row>
    <row r="916" spans="1:61" s="24" customFormat="1" hidden="1">
      <c r="A916" s="32"/>
      <c r="B916" s="158"/>
      <c r="C916" s="78" t="s">
        <v>44</v>
      </c>
      <c r="D916" s="35">
        <f t="shared" si="147"/>
        <v>0.2</v>
      </c>
      <c r="E916" s="35"/>
      <c r="F916" s="35">
        <f t="shared" si="144"/>
        <v>0.2</v>
      </c>
      <c r="G916" s="109"/>
      <c r="H916" s="109">
        <v>0.2</v>
      </c>
      <c r="I916" s="109"/>
      <c r="J916" s="109"/>
      <c r="K916" s="109"/>
      <c r="L916" s="109"/>
      <c r="M916" s="109"/>
      <c r="N916" s="109"/>
      <c r="O916" s="109"/>
      <c r="P916" s="109"/>
      <c r="Q916" s="109"/>
      <c r="R916" s="109"/>
      <c r="S916" s="109"/>
      <c r="T916" s="109"/>
      <c r="U916" s="109"/>
      <c r="V916" s="109"/>
      <c r="W916" s="109"/>
      <c r="X916" s="109"/>
      <c r="Y916" s="109"/>
      <c r="Z916" s="109"/>
      <c r="AA916" s="109"/>
      <c r="AB916" s="109"/>
      <c r="AC916" s="109"/>
      <c r="AD916" s="109"/>
      <c r="AE916" s="109"/>
      <c r="AF916" s="109"/>
      <c r="AG916" s="109"/>
      <c r="AH916" s="109"/>
      <c r="AI916" s="109"/>
      <c r="AJ916" s="109"/>
      <c r="AK916" s="109"/>
      <c r="AL916" s="109"/>
      <c r="AM916" s="109"/>
      <c r="AN916" s="109"/>
      <c r="AO916" s="109"/>
      <c r="AP916" s="109"/>
      <c r="AQ916" s="109"/>
      <c r="AR916" s="109"/>
      <c r="AS916" s="109"/>
      <c r="AT916" s="109"/>
      <c r="AU916" s="109"/>
      <c r="AV916" s="109"/>
      <c r="AW916" s="109"/>
      <c r="AX916" s="109"/>
      <c r="AY916" s="34" t="s">
        <v>487</v>
      </c>
      <c r="AZ916" s="34"/>
      <c r="BA916" s="70"/>
      <c r="BB916" s="70"/>
      <c r="BC916" s="149"/>
      <c r="BI916" s="42"/>
    </row>
    <row r="917" spans="1:61" s="24" customFormat="1" hidden="1">
      <c r="A917" s="32"/>
      <c r="B917" s="158"/>
      <c r="C917" s="78" t="s">
        <v>138</v>
      </c>
      <c r="D917" s="35">
        <f t="shared" si="147"/>
        <v>8.9999999999999969E-2</v>
      </c>
      <c r="E917" s="35"/>
      <c r="F917" s="35">
        <f t="shared" si="144"/>
        <v>8.9999999999999969E-2</v>
      </c>
      <c r="G917" s="147">
        <f>G914-G915-G916</f>
        <v>0</v>
      </c>
      <c r="H917" s="147">
        <f t="shared" ref="H917:AX917" si="152">H914-H915-H916</f>
        <v>8.9999999999999969E-2</v>
      </c>
      <c r="I917" s="147">
        <f t="shared" si="152"/>
        <v>0</v>
      </c>
      <c r="J917" s="147">
        <f t="shared" si="152"/>
        <v>0</v>
      </c>
      <c r="K917" s="147">
        <f t="shared" si="152"/>
        <v>0</v>
      </c>
      <c r="L917" s="147">
        <f t="shared" si="152"/>
        <v>0</v>
      </c>
      <c r="M917" s="147">
        <f t="shared" si="152"/>
        <v>0</v>
      </c>
      <c r="N917" s="147">
        <f t="shared" si="152"/>
        <v>0</v>
      </c>
      <c r="O917" s="147">
        <f t="shared" si="152"/>
        <v>0</v>
      </c>
      <c r="P917" s="147">
        <f t="shared" si="152"/>
        <v>0</v>
      </c>
      <c r="Q917" s="147">
        <f t="shared" si="152"/>
        <v>0</v>
      </c>
      <c r="R917" s="147">
        <f t="shared" si="152"/>
        <v>0</v>
      </c>
      <c r="S917" s="147">
        <f t="shared" si="152"/>
        <v>0</v>
      </c>
      <c r="T917" s="147">
        <f t="shared" si="152"/>
        <v>0</v>
      </c>
      <c r="U917" s="147">
        <f t="shared" si="152"/>
        <v>0</v>
      </c>
      <c r="V917" s="147">
        <f t="shared" si="152"/>
        <v>0</v>
      </c>
      <c r="W917" s="147">
        <f t="shared" si="152"/>
        <v>0</v>
      </c>
      <c r="X917" s="147">
        <f t="shared" si="152"/>
        <v>0</v>
      </c>
      <c r="Y917" s="147">
        <f t="shared" si="152"/>
        <v>0</v>
      </c>
      <c r="Z917" s="147">
        <f t="shared" si="152"/>
        <v>0</v>
      </c>
      <c r="AA917" s="147">
        <f t="shared" si="152"/>
        <v>0</v>
      </c>
      <c r="AB917" s="147">
        <f t="shared" si="152"/>
        <v>0</v>
      </c>
      <c r="AC917" s="147">
        <f t="shared" si="152"/>
        <v>0</v>
      </c>
      <c r="AD917" s="147">
        <f t="shared" si="152"/>
        <v>0</v>
      </c>
      <c r="AE917" s="147">
        <f t="shared" si="152"/>
        <v>0</v>
      </c>
      <c r="AF917" s="147">
        <f t="shared" si="152"/>
        <v>0</v>
      </c>
      <c r="AG917" s="147">
        <f t="shared" si="152"/>
        <v>0</v>
      </c>
      <c r="AH917" s="147">
        <f t="shared" si="152"/>
        <v>0</v>
      </c>
      <c r="AI917" s="147">
        <f t="shared" si="152"/>
        <v>0</v>
      </c>
      <c r="AJ917" s="147">
        <f t="shared" si="152"/>
        <v>0</v>
      </c>
      <c r="AK917" s="147">
        <f t="shared" si="152"/>
        <v>0</v>
      </c>
      <c r="AL917" s="147">
        <f t="shared" si="152"/>
        <v>0</v>
      </c>
      <c r="AM917" s="147">
        <f t="shared" si="152"/>
        <v>0</v>
      </c>
      <c r="AN917" s="147">
        <f t="shared" si="152"/>
        <v>0</v>
      </c>
      <c r="AO917" s="147">
        <f t="shared" si="152"/>
        <v>0</v>
      </c>
      <c r="AP917" s="147">
        <f t="shared" si="152"/>
        <v>0</v>
      </c>
      <c r="AQ917" s="147">
        <f t="shared" si="152"/>
        <v>0</v>
      </c>
      <c r="AR917" s="147">
        <f t="shared" si="152"/>
        <v>0</v>
      </c>
      <c r="AS917" s="147">
        <f t="shared" si="152"/>
        <v>0</v>
      </c>
      <c r="AT917" s="147">
        <f t="shared" si="152"/>
        <v>0</v>
      </c>
      <c r="AU917" s="147">
        <f t="shared" si="152"/>
        <v>0</v>
      </c>
      <c r="AV917" s="147">
        <f t="shared" si="152"/>
        <v>0</v>
      </c>
      <c r="AW917" s="147">
        <f t="shared" si="152"/>
        <v>0</v>
      </c>
      <c r="AX917" s="147">
        <f t="shared" si="152"/>
        <v>0</v>
      </c>
      <c r="AY917" s="34" t="s">
        <v>487</v>
      </c>
      <c r="AZ917" s="34"/>
      <c r="BA917" s="70"/>
      <c r="BB917" s="70"/>
      <c r="BC917" s="149"/>
      <c r="BI917" s="42"/>
    </row>
    <row r="918" spans="1:61" s="24" customFormat="1" ht="31.5">
      <c r="A918" s="32">
        <f>A914+1</f>
        <v>668</v>
      </c>
      <c r="B918" s="158" t="s">
        <v>186</v>
      </c>
      <c r="C918" s="78" t="s">
        <v>59</v>
      </c>
      <c r="D918" s="35">
        <f t="shared" si="147"/>
        <v>0.33999999999999997</v>
      </c>
      <c r="E918" s="35">
        <v>0.22</v>
      </c>
      <c r="F918" s="35">
        <f t="shared" si="144"/>
        <v>0.12</v>
      </c>
      <c r="G918" s="109">
        <v>0.12</v>
      </c>
      <c r="H918" s="109"/>
      <c r="I918" s="109"/>
      <c r="J918" s="109"/>
      <c r="K918" s="109"/>
      <c r="L918" s="109"/>
      <c r="M918" s="109"/>
      <c r="N918" s="109"/>
      <c r="O918" s="109"/>
      <c r="P918" s="109"/>
      <c r="Q918" s="109"/>
      <c r="R918" s="109"/>
      <c r="S918" s="109"/>
      <c r="T918" s="109"/>
      <c r="U918" s="109"/>
      <c r="V918" s="109"/>
      <c r="W918" s="109"/>
      <c r="X918" s="109"/>
      <c r="Y918" s="109"/>
      <c r="Z918" s="109"/>
      <c r="AA918" s="109"/>
      <c r="AB918" s="109"/>
      <c r="AC918" s="109"/>
      <c r="AD918" s="109"/>
      <c r="AE918" s="109"/>
      <c r="AF918" s="109"/>
      <c r="AG918" s="109"/>
      <c r="AH918" s="109"/>
      <c r="AI918" s="109"/>
      <c r="AJ918" s="109"/>
      <c r="AK918" s="109"/>
      <c r="AL918" s="109"/>
      <c r="AM918" s="109"/>
      <c r="AN918" s="109"/>
      <c r="AO918" s="109"/>
      <c r="AP918" s="109"/>
      <c r="AQ918" s="109"/>
      <c r="AR918" s="109"/>
      <c r="AS918" s="109"/>
      <c r="AT918" s="109"/>
      <c r="AU918" s="109"/>
      <c r="AV918" s="109"/>
      <c r="AW918" s="109"/>
      <c r="AX918" s="109"/>
      <c r="AY918" s="34" t="s">
        <v>487</v>
      </c>
      <c r="AZ918" s="34" t="s">
        <v>1421</v>
      </c>
      <c r="BA918" s="70" t="s">
        <v>291</v>
      </c>
      <c r="BB918" s="70"/>
      <c r="BC918" s="149" t="s">
        <v>1422</v>
      </c>
      <c r="BG918" s="24" t="s">
        <v>1423</v>
      </c>
      <c r="BI918" s="42">
        <v>1</v>
      </c>
    </row>
    <row r="919" spans="1:61" s="24" customFormat="1" ht="33.6" customHeight="1">
      <c r="A919" s="32">
        <f>A918+1</f>
        <v>669</v>
      </c>
      <c r="B919" s="158" t="s">
        <v>186</v>
      </c>
      <c r="C919" s="78" t="s">
        <v>1260</v>
      </c>
      <c r="D919" s="35">
        <f t="shared" si="147"/>
        <v>0.95000000000000007</v>
      </c>
      <c r="E919" s="35"/>
      <c r="F919" s="35">
        <f t="shared" si="144"/>
        <v>0.95000000000000007</v>
      </c>
      <c r="G919" s="109">
        <v>0.8</v>
      </c>
      <c r="H919" s="109"/>
      <c r="I919" s="109">
        <v>0.15</v>
      </c>
      <c r="J919" s="109"/>
      <c r="K919" s="109"/>
      <c r="L919" s="109"/>
      <c r="M919" s="109"/>
      <c r="N919" s="109"/>
      <c r="O919" s="109"/>
      <c r="P919" s="109"/>
      <c r="Q919" s="109"/>
      <c r="R919" s="109"/>
      <c r="S919" s="109"/>
      <c r="T919" s="109"/>
      <c r="U919" s="109"/>
      <c r="V919" s="109"/>
      <c r="W919" s="109"/>
      <c r="X919" s="109"/>
      <c r="Y919" s="109"/>
      <c r="Z919" s="109"/>
      <c r="AA919" s="109"/>
      <c r="AB919" s="109"/>
      <c r="AC919" s="109"/>
      <c r="AD919" s="109"/>
      <c r="AE919" s="109"/>
      <c r="AF919" s="109"/>
      <c r="AG919" s="109"/>
      <c r="AH919" s="109"/>
      <c r="AI919" s="109"/>
      <c r="AJ919" s="109"/>
      <c r="AK919" s="109"/>
      <c r="AL919" s="109"/>
      <c r="AM919" s="109"/>
      <c r="AN919" s="109"/>
      <c r="AO919" s="109"/>
      <c r="AP919" s="109"/>
      <c r="AQ919" s="109"/>
      <c r="AR919" s="109"/>
      <c r="AS919" s="109"/>
      <c r="AT919" s="109"/>
      <c r="AU919" s="109"/>
      <c r="AV919" s="109"/>
      <c r="AW919" s="109"/>
      <c r="AX919" s="109"/>
      <c r="AY919" s="34" t="s">
        <v>487</v>
      </c>
      <c r="AZ919" s="34" t="s">
        <v>1424</v>
      </c>
      <c r="BA919" s="70" t="s">
        <v>291</v>
      </c>
      <c r="BB919" s="70"/>
      <c r="BC919" s="149" t="s">
        <v>1425</v>
      </c>
      <c r="BI919" s="42">
        <v>1</v>
      </c>
    </row>
    <row r="920" spans="1:61" s="24" customFormat="1" ht="18.600000000000001" hidden="1" customHeight="1">
      <c r="A920" s="32"/>
      <c r="B920" s="158"/>
      <c r="C920" s="78" t="s">
        <v>59</v>
      </c>
      <c r="D920" s="35">
        <f t="shared" si="147"/>
        <v>0.33</v>
      </c>
      <c r="E920" s="35"/>
      <c r="F920" s="35">
        <f t="shared" si="144"/>
        <v>0.33</v>
      </c>
      <c r="G920" s="109">
        <v>0.33</v>
      </c>
      <c r="H920" s="109"/>
      <c r="I920" s="109"/>
      <c r="J920" s="109"/>
      <c r="K920" s="109"/>
      <c r="L920" s="109"/>
      <c r="M920" s="109"/>
      <c r="N920" s="109"/>
      <c r="O920" s="109"/>
      <c r="P920" s="109"/>
      <c r="Q920" s="109"/>
      <c r="R920" s="109"/>
      <c r="S920" s="109"/>
      <c r="T920" s="109"/>
      <c r="U920" s="109"/>
      <c r="V920" s="109"/>
      <c r="W920" s="109"/>
      <c r="X920" s="109"/>
      <c r="Y920" s="109"/>
      <c r="Z920" s="109"/>
      <c r="AA920" s="109"/>
      <c r="AB920" s="109"/>
      <c r="AC920" s="109"/>
      <c r="AD920" s="109"/>
      <c r="AE920" s="109"/>
      <c r="AF920" s="109"/>
      <c r="AG920" s="109"/>
      <c r="AH920" s="109"/>
      <c r="AI920" s="109"/>
      <c r="AJ920" s="109"/>
      <c r="AK920" s="109"/>
      <c r="AL920" s="109"/>
      <c r="AM920" s="109"/>
      <c r="AN920" s="109"/>
      <c r="AO920" s="109"/>
      <c r="AP920" s="109"/>
      <c r="AQ920" s="109"/>
      <c r="AR920" s="109"/>
      <c r="AS920" s="109"/>
      <c r="AT920" s="109"/>
      <c r="AU920" s="109"/>
      <c r="AV920" s="109"/>
      <c r="AW920" s="109"/>
      <c r="AX920" s="109"/>
      <c r="AY920" s="34" t="s">
        <v>487</v>
      </c>
      <c r="AZ920" s="34"/>
      <c r="BA920" s="70"/>
      <c r="BB920" s="70"/>
      <c r="BC920" s="149"/>
      <c r="BI920" s="42"/>
    </row>
    <row r="921" spans="1:61" s="24" customFormat="1" ht="18.600000000000001" hidden="1" customHeight="1">
      <c r="A921" s="32"/>
      <c r="B921" s="158"/>
      <c r="C921" s="78" t="s">
        <v>44</v>
      </c>
      <c r="D921" s="35">
        <f t="shared" si="147"/>
        <v>0.39</v>
      </c>
      <c r="E921" s="35"/>
      <c r="F921" s="35">
        <f t="shared" si="144"/>
        <v>0.39</v>
      </c>
      <c r="G921" s="109">
        <v>0.39</v>
      </c>
      <c r="H921" s="109"/>
      <c r="I921" s="109"/>
      <c r="J921" s="109"/>
      <c r="K921" s="109"/>
      <c r="L921" s="109"/>
      <c r="M921" s="109"/>
      <c r="N921" s="109"/>
      <c r="O921" s="109"/>
      <c r="P921" s="109"/>
      <c r="Q921" s="109"/>
      <c r="R921" s="109"/>
      <c r="S921" s="109"/>
      <c r="T921" s="109"/>
      <c r="U921" s="109"/>
      <c r="V921" s="109"/>
      <c r="W921" s="109"/>
      <c r="X921" s="109"/>
      <c r="Y921" s="109"/>
      <c r="Z921" s="109"/>
      <c r="AA921" s="109"/>
      <c r="AB921" s="109"/>
      <c r="AC921" s="109"/>
      <c r="AD921" s="109"/>
      <c r="AE921" s="109"/>
      <c r="AF921" s="109"/>
      <c r="AG921" s="109"/>
      <c r="AH921" s="109"/>
      <c r="AI921" s="109"/>
      <c r="AJ921" s="109"/>
      <c r="AK921" s="109"/>
      <c r="AL921" s="109"/>
      <c r="AM921" s="109"/>
      <c r="AN921" s="109"/>
      <c r="AO921" s="109"/>
      <c r="AP921" s="109"/>
      <c r="AQ921" s="109"/>
      <c r="AR921" s="109"/>
      <c r="AS921" s="109"/>
      <c r="AT921" s="109"/>
      <c r="AU921" s="109"/>
      <c r="AV921" s="109"/>
      <c r="AW921" s="109"/>
      <c r="AX921" s="109"/>
      <c r="AY921" s="34" t="s">
        <v>487</v>
      </c>
      <c r="AZ921" s="34"/>
      <c r="BA921" s="70"/>
      <c r="BB921" s="70"/>
      <c r="BC921" s="149"/>
      <c r="BI921" s="42"/>
    </row>
    <row r="922" spans="1:61" s="24" customFormat="1" ht="18.600000000000001" hidden="1" customHeight="1">
      <c r="A922" s="32"/>
      <c r="B922" s="158"/>
      <c r="C922" s="78" t="s">
        <v>138</v>
      </c>
      <c r="D922" s="35">
        <f t="shared" si="147"/>
        <v>0.23</v>
      </c>
      <c r="E922" s="35"/>
      <c r="F922" s="35">
        <f t="shared" si="144"/>
        <v>0.23</v>
      </c>
      <c r="G922" s="147">
        <f>G919-G920-G921</f>
        <v>8.0000000000000016E-2</v>
      </c>
      <c r="H922" s="147">
        <f t="shared" ref="H922:AX922" si="153">H919-H920-H921</f>
        <v>0</v>
      </c>
      <c r="I922" s="147">
        <f t="shared" si="153"/>
        <v>0.15</v>
      </c>
      <c r="J922" s="147">
        <f t="shared" si="153"/>
        <v>0</v>
      </c>
      <c r="K922" s="147">
        <f t="shared" si="153"/>
        <v>0</v>
      </c>
      <c r="L922" s="147">
        <f t="shared" si="153"/>
        <v>0</v>
      </c>
      <c r="M922" s="147">
        <f t="shared" si="153"/>
        <v>0</v>
      </c>
      <c r="N922" s="147">
        <f t="shared" si="153"/>
        <v>0</v>
      </c>
      <c r="O922" s="147">
        <f t="shared" si="153"/>
        <v>0</v>
      </c>
      <c r="P922" s="147">
        <f t="shared" si="153"/>
        <v>0</v>
      </c>
      <c r="Q922" s="147">
        <f t="shared" si="153"/>
        <v>0</v>
      </c>
      <c r="R922" s="147">
        <f t="shared" si="153"/>
        <v>0</v>
      </c>
      <c r="S922" s="147">
        <f t="shared" si="153"/>
        <v>0</v>
      </c>
      <c r="T922" s="147">
        <f t="shared" si="153"/>
        <v>0</v>
      </c>
      <c r="U922" s="147">
        <f t="shared" si="153"/>
        <v>0</v>
      </c>
      <c r="V922" s="147">
        <f t="shared" si="153"/>
        <v>0</v>
      </c>
      <c r="W922" s="147">
        <f t="shared" si="153"/>
        <v>0</v>
      </c>
      <c r="X922" s="147">
        <f t="shared" si="153"/>
        <v>0</v>
      </c>
      <c r="Y922" s="147">
        <f t="shared" si="153"/>
        <v>0</v>
      </c>
      <c r="Z922" s="147">
        <f t="shared" si="153"/>
        <v>0</v>
      </c>
      <c r="AA922" s="147">
        <f t="shared" si="153"/>
        <v>0</v>
      </c>
      <c r="AB922" s="147">
        <f t="shared" si="153"/>
        <v>0</v>
      </c>
      <c r="AC922" s="147">
        <f t="shared" si="153"/>
        <v>0</v>
      </c>
      <c r="AD922" s="147">
        <f t="shared" si="153"/>
        <v>0</v>
      </c>
      <c r="AE922" s="147">
        <f t="shared" si="153"/>
        <v>0</v>
      </c>
      <c r="AF922" s="147">
        <f t="shared" si="153"/>
        <v>0</v>
      </c>
      <c r="AG922" s="147">
        <f t="shared" si="153"/>
        <v>0</v>
      </c>
      <c r="AH922" s="147">
        <f t="shared" si="153"/>
        <v>0</v>
      </c>
      <c r="AI922" s="147">
        <f t="shared" si="153"/>
        <v>0</v>
      </c>
      <c r="AJ922" s="147">
        <f t="shared" si="153"/>
        <v>0</v>
      </c>
      <c r="AK922" s="147">
        <f t="shared" si="153"/>
        <v>0</v>
      </c>
      <c r="AL922" s="147">
        <f t="shared" si="153"/>
        <v>0</v>
      </c>
      <c r="AM922" s="147">
        <f t="shared" si="153"/>
        <v>0</v>
      </c>
      <c r="AN922" s="147">
        <f t="shared" si="153"/>
        <v>0</v>
      </c>
      <c r="AO922" s="147">
        <f t="shared" si="153"/>
        <v>0</v>
      </c>
      <c r="AP922" s="147">
        <f t="shared" si="153"/>
        <v>0</v>
      </c>
      <c r="AQ922" s="147">
        <f t="shared" si="153"/>
        <v>0</v>
      </c>
      <c r="AR922" s="147">
        <f t="shared" si="153"/>
        <v>0</v>
      </c>
      <c r="AS922" s="147">
        <f t="shared" si="153"/>
        <v>0</v>
      </c>
      <c r="AT922" s="147">
        <f t="shared" si="153"/>
        <v>0</v>
      </c>
      <c r="AU922" s="147">
        <f t="shared" si="153"/>
        <v>0</v>
      </c>
      <c r="AV922" s="147">
        <f t="shared" si="153"/>
        <v>0</v>
      </c>
      <c r="AW922" s="147">
        <f t="shared" si="153"/>
        <v>0</v>
      </c>
      <c r="AX922" s="147">
        <f t="shared" si="153"/>
        <v>0</v>
      </c>
      <c r="AY922" s="34" t="s">
        <v>487</v>
      </c>
      <c r="AZ922" s="34"/>
      <c r="BA922" s="70"/>
      <c r="BB922" s="70"/>
      <c r="BC922" s="149"/>
      <c r="BI922" s="42"/>
    </row>
    <row r="923" spans="1:61" s="24" customFormat="1" ht="20.100000000000001" customHeight="1">
      <c r="A923" s="32">
        <f>A919+1</f>
        <v>670</v>
      </c>
      <c r="B923" s="158" t="s">
        <v>186</v>
      </c>
      <c r="C923" s="78" t="s">
        <v>59</v>
      </c>
      <c r="D923" s="35">
        <f t="shared" si="147"/>
        <v>0.36</v>
      </c>
      <c r="E923" s="35"/>
      <c r="F923" s="35">
        <f t="shared" si="144"/>
        <v>0.36</v>
      </c>
      <c r="G923" s="109">
        <v>0.36</v>
      </c>
      <c r="H923" s="109"/>
      <c r="I923" s="109"/>
      <c r="J923" s="109"/>
      <c r="K923" s="109"/>
      <c r="L923" s="109"/>
      <c r="M923" s="109"/>
      <c r="N923" s="109"/>
      <c r="O923" s="109"/>
      <c r="P923" s="109"/>
      <c r="Q923" s="109"/>
      <c r="R923" s="109"/>
      <c r="S923" s="109"/>
      <c r="T923" s="109"/>
      <c r="U923" s="109"/>
      <c r="V923" s="109"/>
      <c r="W923" s="109"/>
      <c r="X923" s="109"/>
      <c r="Y923" s="109"/>
      <c r="Z923" s="109"/>
      <c r="AA923" s="109"/>
      <c r="AB923" s="109"/>
      <c r="AC923" s="109"/>
      <c r="AD923" s="109"/>
      <c r="AE923" s="109"/>
      <c r="AF923" s="109"/>
      <c r="AG923" s="109"/>
      <c r="AH923" s="109"/>
      <c r="AI923" s="109"/>
      <c r="AJ923" s="109"/>
      <c r="AK923" s="109"/>
      <c r="AL923" s="109"/>
      <c r="AM923" s="109"/>
      <c r="AN923" s="109"/>
      <c r="AO923" s="109"/>
      <c r="AP923" s="109"/>
      <c r="AQ923" s="109"/>
      <c r="AR923" s="109"/>
      <c r="AS923" s="109"/>
      <c r="AT923" s="109"/>
      <c r="AU923" s="109"/>
      <c r="AV923" s="109"/>
      <c r="AW923" s="109"/>
      <c r="AX923" s="109"/>
      <c r="AY923" s="34" t="s">
        <v>487</v>
      </c>
      <c r="AZ923" s="34" t="s">
        <v>1134</v>
      </c>
      <c r="BA923" s="70" t="s">
        <v>291</v>
      </c>
      <c r="BB923" s="70"/>
      <c r="BC923" s="149" t="s">
        <v>1426</v>
      </c>
      <c r="BI923" s="42">
        <v>1</v>
      </c>
    </row>
    <row r="924" spans="1:61" s="24" customFormat="1" ht="31.5">
      <c r="A924" s="32">
        <f>A923+1</f>
        <v>671</v>
      </c>
      <c r="B924" s="158" t="s">
        <v>186</v>
      </c>
      <c r="C924" s="78" t="s">
        <v>59</v>
      </c>
      <c r="D924" s="35">
        <f t="shared" si="147"/>
        <v>0.36</v>
      </c>
      <c r="E924" s="35"/>
      <c r="F924" s="35">
        <f t="shared" si="144"/>
        <v>0.36</v>
      </c>
      <c r="G924" s="109"/>
      <c r="H924" s="109">
        <v>0.15</v>
      </c>
      <c r="I924" s="109"/>
      <c r="J924" s="109"/>
      <c r="K924" s="109"/>
      <c r="L924" s="109"/>
      <c r="M924" s="109">
        <v>0.21</v>
      </c>
      <c r="N924" s="109"/>
      <c r="O924" s="109"/>
      <c r="P924" s="109"/>
      <c r="Q924" s="109"/>
      <c r="R924" s="109"/>
      <c r="S924" s="109"/>
      <c r="T924" s="109"/>
      <c r="U924" s="109"/>
      <c r="V924" s="109"/>
      <c r="W924" s="109"/>
      <c r="X924" s="109"/>
      <c r="Y924" s="109"/>
      <c r="Z924" s="109"/>
      <c r="AA924" s="109"/>
      <c r="AB924" s="109"/>
      <c r="AC924" s="109"/>
      <c r="AD924" s="109"/>
      <c r="AE924" s="109"/>
      <c r="AF924" s="109"/>
      <c r="AG924" s="109"/>
      <c r="AH924" s="109"/>
      <c r="AI924" s="109"/>
      <c r="AJ924" s="109"/>
      <c r="AK924" s="109"/>
      <c r="AL924" s="109"/>
      <c r="AM924" s="109"/>
      <c r="AN924" s="109"/>
      <c r="AO924" s="109"/>
      <c r="AP924" s="109"/>
      <c r="AQ924" s="109"/>
      <c r="AR924" s="109"/>
      <c r="AS924" s="109"/>
      <c r="AT924" s="109"/>
      <c r="AU924" s="109"/>
      <c r="AV924" s="109"/>
      <c r="AW924" s="109"/>
      <c r="AX924" s="109"/>
      <c r="AY924" s="34" t="s">
        <v>487</v>
      </c>
      <c r="AZ924" s="34" t="s">
        <v>1427</v>
      </c>
      <c r="BA924" s="70" t="s">
        <v>291</v>
      </c>
      <c r="BB924" s="70"/>
      <c r="BC924" s="149" t="s">
        <v>1428</v>
      </c>
      <c r="BI924" s="42">
        <v>1</v>
      </c>
    </row>
    <row r="925" spans="1:61" s="24" customFormat="1" ht="21" customHeight="1">
      <c r="A925" s="32">
        <f>A924+1</f>
        <v>672</v>
      </c>
      <c r="B925" s="158" t="s">
        <v>186</v>
      </c>
      <c r="C925" s="78" t="s">
        <v>59</v>
      </c>
      <c r="D925" s="35">
        <f t="shared" si="147"/>
        <v>0.15</v>
      </c>
      <c r="E925" s="35"/>
      <c r="F925" s="35">
        <f t="shared" si="144"/>
        <v>0.15</v>
      </c>
      <c r="G925" s="109"/>
      <c r="H925" s="109">
        <v>0.15</v>
      </c>
      <c r="I925" s="109"/>
      <c r="J925" s="109"/>
      <c r="K925" s="109"/>
      <c r="L925" s="109"/>
      <c r="M925" s="109"/>
      <c r="N925" s="109"/>
      <c r="O925" s="109"/>
      <c r="P925" s="109"/>
      <c r="Q925" s="109"/>
      <c r="R925" s="109"/>
      <c r="S925" s="109"/>
      <c r="T925" s="109"/>
      <c r="U925" s="109"/>
      <c r="V925" s="109"/>
      <c r="W925" s="109"/>
      <c r="X925" s="109"/>
      <c r="Y925" s="109"/>
      <c r="Z925" s="109"/>
      <c r="AA925" s="109"/>
      <c r="AB925" s="109"/>
      <c r="AC925" s="109"/>
      <c r="AD925" s="109"/>
      <c r="AE925" s="109"/>
      <c r="AF925" s="109"/>
      <c r="AG925" s="109"/>
      <c r="AH925" s="109"/>
      <c r="AI925" s="109"/>
      <c r="AJ925" s="109"/>
      <c r="AK925" s="109"/>
      <c r="AL925" s="109"/>
      <c r="AM925" s="109"/>
      <c r="AN925" s="109"/>
      <c r="AO925" s="109"/>
      <c r="AP925" s="109"/>
      <c r="AQ925" s="109"/>
      <c r="AR925" s="109"/>
      <c r="AS925" s="109"/>
      <c r="AT925" s="109"/>
      <c r="AU925" s="109"/>
      <c r="AV925" s="109"/>
      <c r="AW925" s="109"/>
      <c r="AX925" s="109"/>
      <c r="AY925" s="34" t="s">
        <v>487</v>
      </c>
      <c r="AZ925" s="34" t="s">
        <v>1429</v>
      </c>
      <c r="BA925" s="70" t="s">
        <v>291</v>
      </c>
      <c r="BB925" s="70"/>
      <c r="BC925" s="149" t="s">
        <v>1430</v>
      </c>
      <c r="BI925" s="42">
        <v>1</v>
      </c>
    </row>
    <row r="926" spans="1:61" s="24" customFormat="1" ht="21" customHeight="1">
      <c r="A926" s="32">
        <f>A925+1</f>
        <v>673</v>
      </c>
      <c r="B926" s="158" t="s">
        <v>186</v>
      </c>
      <c r="C926" s="78" t="s">
        <v>1260</v>
      </c>
      <c r="D926" s="35">
        <f t="shared" si="147"/>
        <v>0.74</v>
      </c>
      <c r="E926" s="35"/>
      <c r="F926" s="35">
        <f t="shared" si="144"/>
        <v>0.74</v>
      </c>
      <c r="G926" s="109">
        <v>0.19</v>
      </c>
      <c r="H926" s="109">
        <v>0.04</v>
      </c>
      <c r="I926" s="109">
        <f>0.6-0.09</f>
        <v>0.51</v>
      </c>
      <c r="J926" s="109"/>
      <c r="K926" s="109"/>
      <c r="L926" s="109"/>
      <c r="M926" s="109"/>
      <c r="N926" s="109"/>
      <c r="O926" s="109"/>
      <c r="P926" s="109"/>
      <c r="Q926" s="109"/>
      <c r="R926" s="109"/>
      <c r="S926" s="109"/>
      <c r="T926" s="109"/>
      <c r="U926" s="109"/>
      <c r="V926" s="109"/>
      <c r="W926" s="109"/>
      <c r="X926" s="109"/>
      <c r="Y926" s="109"/>
      <c r="Z926" s="109"/>
      <c r="AA926" s="109"/>
      <c r="AB926" s="109"/>
      <c r="AC926" s="109"/>
      <c r="AD926" s="109"/>
      <c r="AE926" s="109"/>
      <c r="AF926" s="109"/>
      <c r="AG926" s="109"/>
      <c r="AH926" s="109"/>
      <c r="AI926" s="109"/>
      <c r="AJ926" s="109"/>
      <c r="AK926" s="109"/>
      <c r="AL926" s="109"/>
      <c r="AM926" s="109"/>
      <c r="AN926" s="109"/>
      <c r="AO926" s="109"/>
      <c r="AP926" s="109"/>
      <c r="AQ926" s="109"/>
      <c r="AR926" s="109"/>
      <c r="AS926" s="109"/>
      <c r="AT926" s="109"/>
      <c r="AU926" s="109"/>
      <c r="AV926" s="109"/>
      <c r="AW926" s="109"/>
      <c r="AX926" s="109"/>
      <c r="AY926" s="34" t="s">
        <v>487</v>
      </c>
      <c r="AZ926" s="34" t="s">
        <v>1431</v>
      </c>
      <c r="BA926" s="70" t="s">
        <v>291</v>
      </c>
      <c r="BB926" s="70"/>
      <c r="BC926" s="149" t="s">
        <v>1432</v>
      </c>
      <c r="BI926" s="42">
        <v>1</v>
      </c>
    </row>
    <row r="927" spans="1:61" s="24" customFormat="1" ht="21" hidden="1" customHeight="1">
      <c r="A927" s="32"/>
      <c r="B927" s="158"/>
      <c r="C927" s="78" t="s">
        <v>59</v>
      </c>
      <c r="D927" s="35">
        <f t="shared" si="147"/>
        <v>0.28000000000000003</v>
      </c>
      <c r="E927" s="35"/>
      <c r="F927" s="35">
        <f t="shared" si="144"/>
        <v>0.28000000000000003</v>
      </c>
      <c r="G927" s="109">
        <v>0.1</v>
      </c>
      <c r="H927" s="109"/>
      <c r="I927" s="109">
        <v>0.18</v>
      </c>
      <c r="J927" s="109"/>
      <c r="K927" s="109"/>
      <c r="L927" s="109"/>
      <c r="M927" s="109"/>
      <c r="N927" s="109"/>
      <c r="O927" s="109"/>
      <c r="P927" s="109"/>
      <c r="Q927" s="109"/>
      <c r="R927" s="109"/>
      <c r="S927" s="109"/>
      <c r="T927" s="109"/>
      <c r="U927" s="109"/>
      <c r="V927" s="109"/>
      <c r="W927" s="109"/>
      <c r="X927" s="109"/>
      <c r="Y927" s="109"/>
      <c r="Z927" s="109"/>
      <c r="AA927" s="109"/>
      <c r="AB927" s="109"/>
      <c r="AC927" s="109"/>
      <c r="AD927" s="109"/>
      <c r="AE927" s="109"/>
      <c r="AF927" s="109"/>
      <c r="AG927" s="109"/>
      <c r="AH927" s="109"/>
      <c r="AI927" s="109"/>
      <c r="AJ927" s="109"/>
      <c r="AK927" s="109"/>
      <c r="AL927" s="109"/>
      <c r="AM927" s="109"/>
      <c r="AN927" s="109"/>
      <c r="AO927" s="109"/>
      <c r="AP927" s="109"/>
      <c r="AQ927" s="109"/>
      <c r="AR927" s="109"/>
      <c r="AS927" s="109"/>
      <c r="AT927" s="109"/>
      <c r="AU927" s="109"/>
      <c r="AV927" s="109"/>
      <c r="AW927" s="109"/>
      <c r="AX927" s="109"/>
      <c r="AY927" s="34" t="s">
        <v>487</v>
      </c>
      <c r="AZ927" s="34"/>
      <c r="BA927" s="70"/>
      <c r="BB927" s="70"/>
      <c r="BC927" s="149"/>
      <c r="BI927" s="42"/>
    </row>
    <row r="928" spans="1:61" s="24" customFormat="1" ht="21" hidden="1" customHeight="1">
      <c r="A928" s="32"/>
      <c r="B928" s="158"/>
      <c r="C928" s="78" t="s">
        <v>44</v>
      </c>
      <c r="D928" s="35">
        <f t="shared" si="147"/>
        <v>0.3</v>
      </c>
      <c r="E928" s="35"/>
      <c r="F928" s="35">
        <f t="shared" si="144"/>
        <v>0.3</v>
      </c>
      <c r="G928" s="109">
        <v>0.09</v>
      </c>
      <c r="H928" s="109"/>
      <c r="I928" s="109">
        <v>0.21</v>
      </c>
      <c r="J928" s="109"/>
      <c r="K928" s="109"/>
      <c r="L928" s="109"/>
      <c r="M928" s="109"/>
      <c r="N928" s="109"/>
      <c r="O928" s="109"/>
      <c r="P928" s="109"/>
      <c r="Q928" s="109"/>
      <c r="R928" s="109"/>
      <c r="S928" s="109"/>
      <c r="T928" s="109"/>
      <c r="U928" s="109"/>
      <c r="V928" s="109"/>
      <c r="W928" s="109"/>
      <c r="X928" s="109"/>
      <c r="Y928" s="109"/>
      <c r="Z928" s="109"/>
      <c r="AA928" s="109"/>
      <c r="AB928" s="109"/>
      <c r="AC928" s="109"/>
      <c r="AD928" s="109"/>
      <c r="AE928" s="109"/>
      <c r="AF928" s="109"/>
      <c r="AG928" s="109"/>
      <c r="AH928" s="109"/>
      <c r="AI928" s="109"/>
      <c r="AJ928" s="109"/>
      <c r="AK928" s="109"/>
      <c r="AL928" s="109"/>
      <c r="AM928" s="109"/>
      <c r="AN928" s="109"/>
      <c r="AO928" s="109"/>
      <c r="AP928" s="109"/>
      <c r="AQ928" s="109"/>
      <c r="AR928" s="109"/>
      <c r="AS928" s="109"/>
      <c r="AT928" s="109"/>
      <c r="AU928" s="109"/>
      <c r="AV928" s="109"/>
      <c r="AW928" s="109"/>
      <c r="AX928" s="109"/>
      <c r="AY928" s="34" t="s">
        <v>487</v>
      </c>
      <c r="AZ928" s="34"/>
      <c r="BA928" s="70"/>
      <c r="BB928" s="70"/>
      <c r="BC928" s="149"/>
      <c r="BI928" s="42"/>
    </row>
    <row r="929" spans="1:61" s="24" customFormat="1" ht="21" hidden="1" customHeight="1">
      <c r="A929" s="32"/>
      <c r="B929" s="158"/>
      <c r="C929" s="78" t="s">
        <v>138</v>
      </c>
      <c r="D929" s="35">
        <f t="shared" si="147"/>
        <v>0.16000000000000003</v>
      </c>
      <c r="E929" s="35"/>
      <c r="F929" s="35">
        <f t="shared" si="144"/>
        <v>0.16000000000000003</v>
      </c>
      <c r="G929" s="147">
        <f>G926-G927-G928</f>
        <v>0</v>
      </c>
      <c r="H929" s="147">
        <f t="shared" ref="H929:AX929" si="154">H926-H927-H928</f>
        <v>0.04</v>
      </c>
      <c r="I929" s="147">
        <f t="shared" si="154"/>
        <v>0.12000000000000002</v>
      </c>
      <c r="J929" s="147">
        <f t="shared" si="154"/>
        <v>0</v>
      </c>
      <c r="K929" s="147">
        <f t="shared" si="154"/>
        <v>0</v>
      </c>
      <c r="L929" s="147">
        <f t="shared" si="154"/>
        <v>0</v>
      </c>
      <c r="M929" s="147">
        <f t="shared" si="154"/>
        <v>0</v>
      </c>
      <c r="N929" s="147">
        <f t="shared" si="154"/>
        <v>0</v>
      </c>
      <c r="O929" s="147">
        <f t="shared" si="154"/>
        <v>0</v>
      </c>
      <c r="P929" s="147">
        <f t="shared" si="154"/>
        <v>0</v>
      </c>
      <c r="Q929" s="147">
        <f t="shared" si="154"/>
        <v>0</v>
      </c>
      <c r="R929" s="147">
        <f t="shared" si="154"/>
        <v>0</v>
      </c>
      <c r="S929" s="147">
        <f t="shared" si="154"/>
        <v>0</v>
      </c>
      <c r="T929" s="147">
        <f t="shared" si="154"/>
        <v>0</v>
      </c>
      <c r="U929" s="147">
        <f t="shared" si="154"/>
        <v>0</v>
      </c>
      <c r="V929" s="147">
        <f t="shared" si="154"/>
        <v>0</v>
      </c>
      <c r="W929" s="147">
        <f t="shared" si="154"/>
        <v>0</v>
      </c>
      <c r="X929" s="147">
        <f t="shared" si="154"/>
        <v>0</v>
      </c>
      <c r="Y929" s="147">
        <f t="shared" si="154"/>
        <v>0</v>
      </c>
      <c r="Z929" s="147">
        <f t="shared" si="154"/>
        <v>0</v>
      </c>
      <c r="AA929" s="147">
        <f t="shared" si="154"/>
        <v>0</v>
      </c>
      <c r="AB929" s="147">
        <f t="shared" si="154"/>
        <v>0</v>
      </c>
      <c r="AC929" s="147">
        <f t="shared" si="154"/>
        <v>0</v>
      </c>
      <c r="AD929" s="147">
        <f t="shared" si="154"/>
        <v>0</v>
      </c>
      <c r="AE929" s="147">
        <f t="shared" si="154"/>
        <v>0</v>
      </c>
      <c r="AF929" s="147">
        <f t="shared" si="154"/>
        <v>0</v>
      </c>
      <c r="AG929" s="147">
        <f t="shared" si="154"/>
        <v>0</v>
      </c>
      <c r="AH929" s="147">
        <f t="shared" si="154"/>
        <v>0</v>
      </c>
      <c r="AI929" s="147">
        <f t="shared" si="154"/>
        <v>0</v>
      </c>
      <c r="AJ929" s="147">
        <f t="shared" si="154"/>
        <v>0</v>
      </c>
      <c r="AK929" s="147">
        <f t="shared" si="154"/>
        <v>0</v>
      </c>
      <c r="AL929" s="147">
        <f t="shared" si="154"/>
        <v>0</v>
      </c>
      <c r="AM929" s="147">
        <f t="shared" si="154"/>
        <v>0</v>
      </c>
      <c r="AN929" s="147">
        <f t="shared" si="154"/>
        <v>0</v>
      </c>
      <c r="AO929" s="147">
        <f t="shared" si="154"/>
        <v>0</v>
      </c>
      <c r="AP929" s="147">
        <f t="shared" si="154"/>
        <v>0</v>
      </c>
      <c r="AQ929" s="147">
        <f t="shared" si="154"/>
        <v>0</v>
      </c>
      <c r="AR929" s="147">
        <f t="shared" si="154"/>
        <v>0</v>
      </c>
      <c r="AS929" s="147">
        <f t="shared" si="154"/>
        <v>0</v>
      </c>
      <c r="AT929" s="147">
        <f t="shared" si="154"/>
        <v>0</v>
      </c>
      <c r="AU929" s="147">
        <f t="shared" si="154"/>
        <v>0</v>
      </c>
      <c r="AV929" s="147">
        <f t="shared" si="154"/>
        <v>0</v>
      </c>
      <c r="AW929" s="147">
        <f t="shared" si="154"/>
        <v>0</v>
      </c>
      <c r="AX929" s="147">
        <f t="shared" si="154"/>
        <v>0</v>
      </c>
      <c r="AY929" s="34" t="s">
        <v>487</v>
      </c>
      <c r="AZ929" s="34"/>
      <c r="BA929" s="70"/>
      <c r="BB929" s="70"/>
      <c r="BC929" s="149"/>
      <c r="BI929" s="42"/>
    </row>
    <row r="930" spans="1:61" s="24" customFormat="1" ht="21" customHeight="1">
      <c r="A930" s="32">
        <f>A926+1</f>
        <v>674</v>
      </c>
      <c r="B930" s="158" t="s">
        <v>186</v>
      </c>
      <c r="C930" s="78" t="s">
        <v>59</v>
      </c>
      <c r="D930" s="35">
        <f t="shared" si="147"/>
        <v>0.17</v>
      </c>
      <c r="E930" s="35"/>
      <c r="F930" s="35">
        <f t="shared" si="144"/>
        <v>0.17</v>
      </c>
      <c r="G930" s="109"/>
      <c r="H930" s="109">
        <v>0.17</v>
      </c>
      <c r="I930" s="109"/>
      <c r="J930" s="109"/>
      <c r="K930" s="109"/>
      <c r="L930" s="109"/>
      <c r="M930" s="109"/>
      <c r="N930" s="109"/>
      <c r="O930" s="109"/>
      <c r="P930" s="109"/>
      <c r="Q930" s="109"/>
      <c r="R930" s="109"/>
      <c r="S930" s="109"/>
      <c r="T930" s="109"/>
      <c r="U930" s="109"/>
      <c r="V930" s="109"/>
      <c r="W930" s="109"/>
      <c r="X930" s="109"/>
      <c r="Y930" s="109"/>
      <c r="Z930" s="109"/>
      <c r="AA930" s="109"/>
      <c r="AB930" s="109"/>
      <c r="AC930" s="109"/>
      <c r="AD930" s="109"/>
      <c r="AE930" s="109"/>
      <c r="AF930" s="109"/>
      <c r="AG930" s="109"/>
      <c r="AH930" s="109"/>
      <c r="AI930" s="109"/>
      <c r="AJ930" s="109"/>
      <c r="AK930" s="109"/>
      <c r="AL930" s="109"/>
      <c r="AM930" s="109"/>
      <c r="AN930" s="109"/>
      <c r="AO930" s="109"/>
      <c r="AP930" s="109"/>
      <c r="AQ930" s="109"/>
      <c r="AR930" s="109"/>
      <c r="AS930" s="109"/>
      <c r="AT930" s="109"/>
      <c r="AU930" s="109"/>
      <c r="AV930" s="109"/>
      <c r="AW930" s="109"/>
      <c r="AX930" s="109"/>
      <c r="AY930" s="34" t="s">
        <v>487</v>
      </c>
      <c r="AZ930" s="34" t="s">
        <v>1433</v>
      </c>
      <c r="BA930" s="70" t="s">
        <v>291</v>
      </c>
      <c r="BB930" s="70"/>
      <c r="BC930" s="149" t="s">
        <v>1434</v>
      </c>
      <c r="BI930" s="42">
        <v>1</v>
      </c>
    </row>
    <row r="931" spans="1:61" s="24" customFormat="1" ht="31.5">
      <c r="A931" s="32">
        <f>A930+1</f>
        <v>675</v>
      </c>
      <c r="B931" s="158" t="s">
        <v>186</v>
      </c>
      <c r="C931" s="78" t="s">
        <v>1260</v>
      </c>
      <c r="D931" s="35">
        <f t="shared" si="147"/>
        <v>0.45</v>
      </c>
      <c r="E931" s="35"/>
      <c r="F931" s="35">
        <f t="shared" si="144"/>
        <v>0.45</v>
      </c>
      <c r="G931" s="43"/>
      <c r="H931" s="43">
        <v>0.45</v>
      </c>
      <c r="I931" s="43"/>
      <c r="J931" s="43"/>
      <c r="K931" s="43"/>
      <c r="L931" s="43"/>
      <c r="M931" s="43"/>
      <c r="N931" s="43"/>
      <c r="O931" s="43"/>
      <c r="P931" s="43"/>
      <c r="Q931" s="43"/>
      <c r="R931" s="43"/>
      <c r="S931" s="43"/>
      <c r="T931" s="43"/>
      <c r="U931" s="43"/>
      <c r="V931" s="43"/>
      <c r="W931" s="43"/>
      <c r="X931" s="43"/>
      <c r="Y931" s="43"/>
      <c r="Z931" s="109"/>
      <c r="AA931" s="109"/>
      <c r="AB931" s="109"/>
      <c r="AC931" s="109"/>
      <c r="AD931" s="109"/>
      <c r="AE931" s="109"/>
      <c r="AF931" s="109"/>
      <c r="AG931" s="109"/>
      <c r="AH931" s="109"/>
      <c r="AI931" s="109"/>
      <c r="AJ931" s="109"/>
      <c r="AK931" s="109"/>
      <c r="AL931" s="109"/>
      <c r="AM931" s="109"/>
      <c r="AN931" s="109"/>
      <c r="AO931" s="109"/>
      <c r="AP931" s="109"/>
      <c r="AQ931" s="109"/>
      <c r="AR931" s="109"/>
      <c r="AS931" s="109"/>
      <c r="AT931" s="109"/>
      <c r="AU931" s="109"/>
      <c r="AV931" s="109"/>
      <c r="AW931" s="109"/>
      <c r="AX931" s="109"/>
      <c r="AY931" s="34" t="s">
        <v>487</v>
      </c>
      <c r="AZ931" s="34" t="s">
        <v>1435</v>
      </c>
      <c r="BA931" s="70" t="s">
        <v>291</v>
      </c>
      <c r="BB931" s="70"/>
      <c r="BC931" s="149" t="s">
        <v>1436</v>
      </c>
      <c r="BI931" s="42">
        <v>1</v>
      </c>
    </row>
    <row r="932" spans="1:61" s="24" customFormat="1" hidden="1">
      <c r="A932" s="32"/>
      <c r="B932" s="158"/>
      <c r="C932" s="78" t="s">
        <v>59</v>
      </c>
      <c r="D932" s="35">
        <f t="shared" si="147"/>
        <v>0.18</v>
      </c>
      <c r="E932" s="35"/>
      <c r="F932" s="35">
        <f t="shared" si="144"/>
        <v>0.18</v>
      </c>
      <c r="G932" s="43"/>
      <c r="H932" s="43">
        <v>0.18</v>
      </c>
      <c r="I932" s="43"/>
      <c r="J932" s="43"/>
      <c r="K932" s="43"/>
      <c r="L932" s="43"/>
      <c r="M932" s="43"/>
      <c r="N932" s="43"/>
      <c r="O932" s="43"/>
      <c r="P932" s="43"/>
      <c r="Q932" s="43"/>
      <c r="R932" s="43"/>
      <c r="S932" s="43"/>
      <c r="T932" s="43"/>
      <c r="U932" s="43"/>
      <c r="V932" s="43"/>
      <c r="W932" s="43"/>
      <c r="X932" s="43"/>
      <c r="Y932" s="43"/>
      <c r="Z932" s="109"/>
      <c r="AA932" s="109"/>
      <c r="AB932" s="109"/>
      <c r="AC932" s="109"/>
      <c r="AD932" s="109"/>
      <c r="AE932" s="109"/>
      <c r="AF932" s="109"/>
      <c r="AG932" s="109"/>
      <c r="AH932" s="109"/>
      <c r="AI932" s="109"/>
      <c r="AJ932" s="109"/>
      <c r="AK932" s="109"/>
      <c r="AL932" s="109"/>
      <c r="AM932" s="109"/>
      <c r="AN932" s="109"/>
      <c r="AO932" s="109"/>
      <c r="AP932" s="109"/>
      <c r="AQ932" s="109"/>
      <c r="AR932" s="109"/>
      <c r="AS932" s="109"/>
      <c r="AT932" s="109"/>
      <c r="AU932" s="109"/>
      <c r="AV932" s="109"/>
      <c r="AW932" s="109"/>
      <c r="AX932" s="109"/>
      <c r="AY932" s="34" t="s">
        <v>487</v>
      </c>
      <c r="AZ932" s="34"/>
      <c r="BA932" s="70"/>
      <c r="BB932" s="70"/>
      <c r="BC932" s="149"/>
      <c r="BI932" s="42"/>
    </row>
    <row r="933" spans="1:61" s="24" customFormat="1" hidden="1">
      <c r="A933" s="32"/>
      <c r="B933" s="158"/>
      <c r="C933" s="78" t="s">
        <v>44</v>
      </c>
      <c r="D933" s="35">
        <f t="shared" si="147"/>
        <v>0.18</v>
      </c>
      <c r="E933" s="35"/>
      <c r="F933" s="35">
        <f t="shared" si="144"/>
        <v>0.18</v>
      </c>
      <c r="G933" s="43"/>
      <c r="H933" s="43">
        <v>0.18</v>
      </c>
      <c r="I933" s="43"/>
      <c r="J933" s="43"/>
      <c r="K933" s="43"/>
      <c r="L933" s="43"/>
      <c r="M933" s="43"/>
      <c r="N933" s="43"/>
      <c r="O933" s="43"/>
      <c r="P933" s="43"/>
      <c r="Q933" s="43"/>
      <c r="R933" s="43"/>
      <c r="S933" s="43"/>
      <c r="T933" s="43"/>
      <c r="U933" s="43"/>
      <c r="V933" s="43"/>
      <c r="W933" s="43"/>
      <c r="X933" s="43"/>
      <c r="Y933" s="43"/>
      <c r="Z933" s="109"/>
      <c r="AA933" s="109"/>
      <c r="AB933" s="109"/>
      <c r="AC933" s="109"/>
      <c r="AD933" s="109"/>
      <c r="AE933" s="109"/>
      <c r="AF933" s="109"/>
      <c r="AG933" s="109"/>
      <c r="AH933" s="109"/>
      <c r="AI933" s="109"/>
      <c r="AJ933" s="109"/>
      <c r="AK933" s="109"/>
      <c r="AL933" s="109"/>
      <c r="AM933" s="109"/>
      <c r="AN933" s="109"/>
      <c r="AO933" s="109"/>
      <c r="AP933" s="109"/>
      <c r="AQ933" s="109"/>
      <c r="AR933" s="109"/>
      <c r="AS933" s="109"/>
      <c r="AT933" s="109"/>
      <c r="AU933" s="109"/>
      <c r="AV933" s="109"/>
      <c r="AW933" s="109"/>
      <c r="AX933" s="109"/>
      <c r="AY933" s="34" t="s">
        <v>487</v>
      </c>
      <c r="AZ933" s="34"/>
      <c r="BA933" s="70"/>
      <c r="BB933" s="70"/>
      <c r="BC933" s="149"/>
      <c r="BI933" s="42"/>
    </row>
    <row r="934" spans="1:61" s="24" customFormat="1" hidden="1">
      <c r="A934" s="32"/>
      <c r="B934" s="158"/>
      <c r="C934" s="78" t="s">
        <v>138</v>
      </c>
      <c r="D934" s="35">
        <f t="shared" si="147"/>
        <v>9.0000000000000024E-2</v>
      </c>
      <c r="E934" s="35"/>
      <c r="F934" s="35">
        <f t="shared" si="144"/>
        <v>9.0000000000000024E-2</v>
      </c>
      <c r="G934" s="147">
        <f t="shared" ref="G934:AW934" si="155">G931-G932-G933</f>
        <v>0</v>
      </c>
      <c r="H934" s="147">
        <f t="shared" si="155"/>
        <v>9.0000000000000024E-2</v>
      </c>
      <c r="I934" s="147">
        <f t="shared" si="155"/>
        <v>0</v>
      </c>
      <c r="J934" s="147">
        <f t="shared" si="155"/>
        <v>0</v>
      </c>
      <c r="K934" s="147">
        <f t="shared" si="155"/>
        <v>0</v>
      </c>
      <c r="L934" s="147">
        <f t="shared" si="155"/>
        <v>0</v>
      </c>
      <c r="M934" s="147">
        <f t="shared" si="155"/>
        <v>0</v>
      </c>
      <c r="N934" s="147">
        <f t="shared" si="155"/>
        <v>0</v>
      </c>
      <c r="O934" s="147">
        <f t="shared" si="155"/>
        <v>0</v>
      </c>
      <c r="P934" s="147">
        <f t="shared" si="155"/>
        <v>0</v>
      </c>
      <c r="Q934" s="147">
        <f t="shared" si="155"/>
        <v>0</v>
      </c>
      <c r="R934" s="147">
        <f t="shared" si="155"/>
        <v>0</v>
      </c>
      <c r="S934" s="147">
        <f t="shared" si="155"/>
        <v>0</v>
      </c>
      <c r="T934" s="147">
        <f t="shared" si="155"/>
        <v>0</v>
      </c>
      <c r="U934" s="147">
        <f t="shared" si="155"/>
        <v>0</v>
      </c>
      <c r="V934" s="147">
        <f t="shared" si="155"/>
        <v>0</v>
      </c>
      <c r="W934" s="147">
        <f t="shared" si="155"/>
        <v>0</v>
      </c>
      <c r="X934" s="147">
        <f t="shared" si="155"/>
        <v>0</v>
      </c>
      <c r="Y934" s="147">
        <f t="shared" si="155"/>
        <v>0</v>
      </c>
      <c r="Z934" s="147">
        <f t="shared" si="155"/>
        <v>0</v>
      </c>
      <c r="AA934" s="147">
        <f t="shared" si="155"/>
        <v>0</v>
      </c>
      <c r="AB934" s="147">
        <f t="shared" si="155"/>
        <v>0</v>
      </c>
      <c r="AC934" s="147">
        <f t="shared" si="155"/>
        <v>0</v>
      </c>
      <c r="AD934" s="147">
        <f t="shared" si="155"/>
        <v>0</v>
      </c>
      <c r="AE934" s="147">
        <f t="shared" si="155"/>
        <v>0</v>
      </c>
      <c r="AF934" s="147">
        <f t="shared" si="155"/>
        <v>0</v>
      </c>
      <c r="AG934" s="147">
        <f t="shared" si="155"/>
        <v>0</v>
      </c>
      <c r="AH934" s="147">
        <f t="shared" si="155"/>
        <v>0</v>
      </c>
      <c r="AI934" s="147">
        <f t="shared" si="155"/>
        <v>0</v>
      </c>
      <c r="AJ934" s="147">
        <f t="shared" si="155"/>
        <v>0</v>
      </c>
      <c r="AK934" s="147">
        <f t="shared" si="155"/>
        <v>0</v>
      </c>
      <c r="AL934" s="147">
        <f t="shared" si="155"/>
        <v>0</v>
      </c>
      <c r="AM934" s="147">
        <f t="shared" si="155"/>
        <v>0</v>
      </c>
      <c r="AN934" s="147">
        <f t="shared" si="155"/>
        <v>0</v>
      </c>
      <c r="AO934" s="147">
        <f t="shared" si="155"/>
        <v>0</v>
      </c>
      <c r="AP934" s="147">
        <f t="shared" si="155"/>
        <v>0</v>
      </c>
      <c r="AQ934" s="147">
        <f t="shared" si="155"/>
        <v>0</v>
      </c>
      <c r="AR934" s="147">
        <f t="shared" si="155"/>
        <v>0</v>
      </c>
      <c r="AS934" s="147">
        <f t="shared" si="155"/>
        <v>0</v>
      </c>
      <c r="AT934" s="147">
        <f t="shared" si="155"/>
        <v>0</v>
      </c>
      <c r="AU934" s="147">
        <f t="shared" si="155"/>
        <v>0</v>
      </c>
      <c r="AV934" s="147">
        <f t="shared" si="155"/>
        <v>0</v>
      </c>
      <c r="AW934" s="147">
        <f t="shared" si="155"/>
        <v>0</v>
      </c>
      <c r="AX934" s="147">
        <f>AX931-AX932-AX933</f>
        <v>0</v>
      </c>
      <c r="AY934" s="34" t="s">
        <v>487</v>
      </c>
      <c r="AZ934" s="34"/>
      <c r="BA934" s="70"/>
      <c r="BB934" s="70"/>
      <c r="BC934" s="149"/>
      <c r="BI934" s="42"/>
    </row>
    <row r="935" spans="1:61" s="24" customFormat="1" ht="47.25">
      <c r="A935" s="32">
        <f>A931+1</f>
        <v>676</v>
      </c>
      <c r="B935" s="158" t="s">
        <v>186</v>
      </c>
      <c r="C935" s="78" t="s">
        <v>59</v>
      </c>
      <c r="D935" s="35">
        <f t="shared" si="147"/>
        <v>0.13</v>
      </c>
      <c r="E935" s="35"/>
      <c r="F935" s="35">
        <f t="shared" si="144"/>
        <v>0.13</v>
      </c>
      <c r="G935" s="109"/>
      <c r="H935" s="109"/>
      <c r="I935" s="109"/>
      <c r="J935" s="109"/>
      <c r="K935" s="109"/>
      <c r="L935" s="109"/>
      <c r="M935" s="109"/>
      <c r="N935" s="109"/>
      <c r="O935" s="109"/>
      <c r="P935" s="109"/>
      <c r="Q935" s="109"/>
      <c r="R935" s="109"/>
      <c r="S935" s="109"/>
      <c r="T935" s="109"/>
      <c r="U935" s="109"/>
      <c r="V935" s="109"/>
      <c r="W935" s="109"/>
      <c r="X935" s="109"/>
      <c r="Y935" s="109"/>
      <c r="Z935" s="109"/>
      <c r="AA935" s="109"/>
      <c r="AB935" s="109"/>
      <c r="AC935" s="109">
        <v>0.13</v>
      </c>
      <c r="AD935" s="109"/>
      <c r="AE935" s="109"/>
      <c r="AF935" s="109"/>
      <c r="AG935" s="109"/>
      <c r="AH935" s="109"/>
      <c r="AI935" s="109"/>
      <c r="AJ935" s="109"/>
      <c r="AK935" s="109"/>
      <c r="AL935" s="109"/>
      <c r="AM935" s="109"/>
      <c r="AN935" s="109"/>
      <c r="AO935" s="109"/>
      <c r="AP935" s="109"/>
      <c r="AQ935" s="109"/>
      <c r="AR935" s="109"/>
      <c r="AS935" s="109"/>
      <c r="AT935" s="109"/>
      <c r="AU935" s="109"/>
      <c r="AV935" s="109"/>
      <c r="AW935" s="109"/>
      <c r="AX935" s="109"/>
      <c r="AY935" s="34" t="s">
        <v>487</v>
      </c>
      <c r="AZ935" s="34" t="s">
        <v>1437</v>
      </c>
      <c r="BA935" s="70" t="s">
        <v>291</v>
      </c>
      <c r="BB935" s="70"/>
      <c r="BC935" s="149" t="s">
        <v>1438</v>
      </c>
      <c r="BI935" s="42">
        <v>1</v>
      </c>
    </row>
    <row r="936" spans="1:61" s="24" customFormat="1" ht="31.5">
      <c r="A936" s="32">
        <f>A935+1</f>
        <v>677</v>
      </c>
      <c r="B936" s="158" t="s">
        <v>186</v>
      </c>
      <c r="C936" s="78" t="s">
        <v>1260</v>
      </c>
      <c r="D936" s="35">
        <f t="shared" si="147"/>
        <v>0.44999999999999996</v>
      </c>
      <c r="E936" s="35"/>
      <c r="F936" s="35">
        <f t="shared" si="144"/>
        <v>0.44999999999999996</v>
      </c>
      <c r="G936" s="109"/>
      <c r="H936" s="109">
        <v>0.3</v>
      </c>
      <c r="I936" s="109">
        <v>0.15</v>
      </c>
      <c r="J936" s="109"/>
      <c r="K936" s="109"/>
      <c r="L936" s="109"/>
      <c r="M936" s="109"/>
      <c r="N936" s="109"/>
      <c r="O936" s="109"/>
      <c r="P936" s="109"/>
      <c r="Q936" s="109"/>
      <c r="R936" s="109"/>
      <c r="S936" s="109"/>
      <c r="T936" s="109"/>
      <c r="U936" s="109"/>
      <c r="V936" s="109"/>
      <c r="W936" s="109"/>
      <c r="X936" s="109"/>
      <c r="Y936" s="109"/>
      <c r="Z936" s="109"/>
      <c r="AA936" s="109"/>
      <c r="AB936" s="109"/>
      <c r="AC936" s="109"/>
      <c r="AD936" s="109"/>
      <c r="AE936" s="109"/>
      <c r="AF936" s="109"/>
      <c r="AG936" s="109"/>
      <c r="AH936" s="109"/>
      <c r="AI936" s="109"/>
      <c r="AJ936" s="109"/>
      <c r="AK936" s="109"/>
      <c r="AL936" s="109"/>
      <c r="AM936" s="109"/>
      <c r="AN936" s="109"/>
      <c r="AO936" s="109"/>
      <c r="AP936" s="109"/>
      <c r="AQ936" s="109"/>
      <c r="AR936" s="109"/>
      <c r="AS936" s="109"/>
      <c r="AT936" s="109"/>
      <c r="AU936" s="109"/>
      <c r="AV936" s="109"/>
      <c r="AW936" s="109"/>
      <c r="AX936" s="109"/>
      <c r="AY936" s="34" t="s">
        <v>487</v>
      </c>
      <c r="AZ936" s="34" t="s">
        <v>1439</v>
      </c>
      <c r="BA936" s="70" t="s">
        <v>291</v>
      </c>
      <c r="BB936" s="70"/>
      <c r="BC936" s="149" t="s">
        <v>1440</v>
      </c>
      <c r="BI936" s="42">
        <v>1</v>
      </c>
    </row>
    <row r="937" spans="1:61" s="24" customFormat="1" hidden="1">
      <c r="A937" s="32"/>
      <c r="B937" s="158"/>
      <c r="C937" s="78" t="s">
        <v>59</v>
      </c>
      <c r="D937" s="35">
        <f t="shared" si="147"/>
        <v>0.18</v>
      </c>
      <c r="E937" s="35"/>
      <c r="F937" s="35">
        <f t="shared" si="144"/>
        <v>0.18</v>
      </c>
      <c r="G937" s="109"/>
      <c r="H937" s="109">
        <v>0.13</v>
      </c>
      <c r="I937" s="109">
        <v>0.05</v>
      </c>
      <c r="J937" s="109"/>
      <c r="K937" s="109"/>
      <c r="L937" s="109"/>
      <c r="M937" s="109"/>
      <c r="N937" s="109"/>
      <c r="O937" s="109"/>
      <c r="P937" s="109"/>
      <c r="Q937" s="109"/>
      <c r="R937" s="109"/>
      <c r="S937" s="109"/>
      <c r="T937" s="109"/>
      <c r="U937" s="109"/>
      <c r="V937" s="109"/>
      <c r="W937" s="109"/>
      <c r="X937" s="109"/>
      <c r="Y937" s="109"/>
      <c r="Z937" s="109"/>
      <c r="AA937" s="109"/>
      <c r="AB937" s="109"/>
      <c r="AC937" s="109"/>
      <c r="AD937" s="109"/>
      <c r="AE937" s="109"/>
      <c r="AF937" s="109"/>
      <c r="AG937" s="109"/>
      <c r="AH937" s="109"/>
      <c r="AI937" s="109"/>
      <c r="AJ937" s="109"/>
      <c r="AK937" s="109"/>
      <c r="AL937" s="109"/>
      <c r="AM937" s="109"/>
      <c r="AN937" s="109"/>
      <c r="AO937" s="109"/>
      <c r="AP937" s="109"/>
      <c r="AQ937" s="109"/>
      <c r="AR937" s="109"/>
      <c r="AS937" s="109"/>
      <c r="AT937" s="109"/>
      <c r="AU937" s="109"/>
      <c r="AV937" s="109"/>
      <c r="AW937" s="109"/>
      <c r="AX937" s="109"/>
      <c r="AY937" s="34" t="s">
        <v>487</v>
      </c>
      <c r="AZ937" s="34"/>
      <c r="BA937" s="70"/>
      <c r="BB937" s="70"/>
      <c r="BC937" s="149"/>
      <c r="BI937" s="42"/>
    </row>
    <row r="938" spans="1:61" s="24" customFormat="1" hidden="1">
      <c r="A938" s="32"/>
      <c r="B938" s="158"/>
      <c r="C938" s="78" t="s">
        <v>44</v>
      </c>
      <c r="D938" s="35">
        <f t="shared" si="147"/>
        <v>0.18</v>
      </c>
      <c r="E938" s="35"/>
      <c r="F938" s="35">
        <f t="shared" si="144"/>
        <v>0.18</v>
      </c>
      <c r="G938" s="109"/>
      <c r="H938" s="109">
        <v>0.08</v>
      </c>
      <c r="I938" s="109">
        <v>0.1</v>
      </c>
      <c r="J938" s="109"/>
      <c r="K938" s="109"/>
      <c r="L938" s="109"/>
      <c r="M938" s="109"/>
      <c r="N938" s="109"/>
      <c r="O938" s="109"/>
      <c r="P938" s="109"/>
      <c r="Q938" s="109"/>
      <c r="R938" s="109"/>
      <c r="S938" s="109"/>
      <c r="T938" s="109"/>
      <c r="U938" s="109"/>
      <c r="V938" s="109"/>
      <c r="W938" s="109"/>
      <c r="X938" s="109"/>
      <c r="Y938" s="109"/>
      <c r="Z938" s="109"/>
      <c r="AA938" s="109"/>
      <c r="AB938" s="109"/>
      <c r="AC938" s="109"/>
      <c r="AD938" s="109"/>
      <c r="AE938" s="109"/>
      <c r="AF938" s="109"/>
      <c r="AG938" s="109"/>
      <c r="AH938" s="109"/>
      <c r="AI938" s="109"/>
      <c r="AJ938" s="109"/>
      <c r="AK938" s="109"/>
      <c r="AL938" s="109"/>
      <c r="AM938" s="109"/>
      <c r="AN938" s="109"/>
      <c r="AO938" s="109"/>
      <c r="AP938" s="109"/>
      <c r="AQ938" s="109"/>
      <c r="AR938" s="109"/>
      <c r="AS938" s="109"/>
      <c r="AT938" s="109"/>
      <c r="AU938" s="109"/>
      <c r="AV938" s="109"/>
      <c r="AW938" s="109"/>
      <c r="AX938" s="109"/>
      <c r="AY938" s="34" t="s">
        <v>487</v>
      </c>
      <c r="AZ938" s="34"/>
      <c r="BA938" s="70"/>
      <c r="BB938" s="70"/>
      <c r="BC938" s="149"/>
      <c r="BI938" s="42"/>
    </row>
    <row r="939" spans="1:61" s="24" customFormat="1" hidden="1">
      <c r="A939" s="32"/>
      <c r="B939" s="158"/>
      <c r="C939" s="78" t="s">
        <v>138</v>
      </c>
      <c r="D939" s="35">
        <f t="shared" si="147"/>
        <v>8.9999999999999983E-2</v>
      </c>
      <c r="E939" s="35"/>
      <c r="F939" s="35">
        <f t="shared" si="144"/>
        <v>8.9999999999999983E-2</v>
      </c>
      <c r="G939" s="147">
        <f>G936-G937-G938</f>
        <v>0</v>
      </c>
      <c r="H939" s="147">
        <f t="shared" ref="H939:AX939" si="156">H936-H937-H938</f>
        <v>8.9999999999999983E-2</v>
      </c>
      <c r="I939" s="147">
        <f t="shared" si="156"/>
        <v>0</v>
      </c>
      <c r="J939" s="147">
        <f t="shared" si="156"/>
        <v>0</v>
      </c>
      <c r="K939" s="147">
        <f t="shared" si="156"/>
        <v>0</v>
      </c>
      <c r="L939" s="147">
        <f t="shared" si="156"/>
        <v>0</v>
      </c>
      <c r="M939" s="147">
        <f t="shared" si="156"/>
        <v>0</v>
      </c>
      <c r="N939" s="147">
        <f t="shared" si="156"/>
        <v>0</v>
      </c>
      <c r="O939" s="147">
        <f t="shared" si="156"/>
        <v>0</v>
      </c>
      <c r="P939" s="147">
        <f t="shared" si="156"/>
        <v>0</v>
      </c>
      <c r="Q939" s="147">
        <f t="shared" si="156"/>
        <v>0</v>
      </c>
      <c r="R939" s="147">
        <f t="shared" si="156"/>
        <v>0</v>
      </c>
      <c r="S939" s="147">
        <f t="shared" si="156"/>
        <v>0</v>
      </c>
      <c r="T939" s="147">
        <f t="shared" si="156"/>
        <v>0</v>
      </c>
      <c r="U939" s="147">
        <f t="shared" si="156"/>
        <v>0</v>
      </c>
      <c r="V939" s="147">
        <f t="shared" si="156"/>
        <v>0</v>
      </c>
      <c r="W939" s="147">
        <f t="shared" si="156"/>
        <v>0</v>
      </c>
      <c r="X939" s="147">
        <f t="shared" si="156"/>
        <v>0</v>
      </c>
      <c r="Y939" s="147">
        <f t="shared" si="156"/>
        <v>0</v>
      </c>
      <c r="Z939" s="147">
        <f t="shared" si="156"/>
        <v>0</v>
      </c>
      <c r="AA939" s="147">
        <f t="shared" si="156"/>
        <v>0</v>
      </c>
      <c r="AB939" s="147">
        <f t="shared" si="156"/>
        <v>0</v>
      </c>
      <c r="AC939" s="147">
        <f t="shared" si="156"/>
        <v>0</v>
      </c>
      <c r="AD939" s="147">
        <f t="shared" si="156"/>
        <v>0</v>
      </c>
      <c r="AE939" s="147">
        <f t="shared" si="156"/>
        <v>0</v>
      </c>
      <c r="AF939" s="147">
        <f t="shared" si="156"/>
        <v>0</v>
      </c>
      <c r="AG939" s="147">
        <f t="shared" si="156"/>
        <v>0</v>
      </c>
      <c r="AH939" s="147">
        <f t="shared" si="156"/>
        <v>0</v>
      </c>
      <c r="AI939" s="147">
        <f t="shared" si="156"/>
        <v>0</v>
      </c>
      <c r="AJ939" s="147">
        <f t="shared" si="156"/>
        <v>0</v>
      </c>
      <c r="AK939" s="147">
        <f t="shared" si="156"/>
        <v>0</v>
      </c>
      <c r="AL939" s="147">
        <f t="shared" si="156"/>
        <v>0</v>
      </c>
      <c r="AM939" s="147">
        <f t="shared" si="156"/>
        <v>0</v>
      </c>
      <c r="AN939" s="147">
        <f t="shared" si="156"/>
        <v>0</v>
      </c>
      <c r="AO939" s="147">
        <f t="shared" si="156"/>
        <v>0</v>
      </c>
      <c r="AP939" s="147">
        <f t="shared" si="156"/>
        <v>0</v>
      </c>
      <c r="AQ939" s="147">
        <f t="shared" si="156"/>
        <v>0</v>
      </c>
      <c r="AR939" s="147">
        <f t="shared" si="156"/>
        <v>0</v>
      </c>
      <c r="AS939" s="147">
        <f t="shared" si="156"/>
        <v>0</v>
      </c>
      <c r="AT939" s="147">
        <f t="shared" si="156"/>
        <v>0</v>
      </c>
      <c r="AU939" s="147">
        <f t="shared" si="156"/>
        <v>0</v>
      </c>
      <c r="AV939" s="147">
        <f t="shared" si="156"/>
        <v>0</v>
      </c>
      <c r="AW939" s="147">
        <f t="shared" si="156"/>
        <v>0</v>
      </c>
      <c r="AX939" s="147">
        <f t="shared" si="156"/>
        <v>0</v>
      </c>
      <c r="AY939" s="34" t="s">
        <v>487</v>
      </c>
      <c r="AZ939" s="34"/>
      <c r="BA939" s="70"/>
      <c r="BB939" s="70"/>
      <c r="BC939" s="149"/>
      <c r="BI939" s="42"/>
    </row>
    <row r="940" spans="1:61" s="24" customFormat="1" ht="31.5">
      <c r="A940" s="32">
        <f>A936+1</f>
        <v>678</v>
      </c>
      <c r="B940" s="158" t="s">
        <v>186</v>
      </c>
      <c r="C940" s="78" t="s">
        <v>59</v>
      </c>
      <c r="D940" s="35">
        <f t="shared" si="147"/>
        <v>0.30000000000000004</v>
      </c>
      <c r="E940" s="35"/>
      <c r="F940" s="35">
        <f t="shared" si="144"/>
        <v>0.30000000000000004</v>
      </c>
      <c r="G940" s="109"/>
      <c r="H940" s="109">
        <v>0.2</v>
      </c>
      <c r="I940" s="109">
        <v>0.1</v>
      </c>
      <c r="J940" s="109"/>
      <c r="K940" s="109"/>
      <c r="L940" s="109"/>
      <c r="M940" s="109"/>
      <c r="N940" s="109"/>
      <c r="O940" s="109"/>
      <c r="P940" s="109"/>
      <c r="Q940" s="109"/>
      <c r="R940" s="109"/>
      <c r="S940" s="109"/>
      <c r="T940" s="109"/>
      <c r="U940" s="109"/>
      <c r="V940" s="109"/>
      <c r="W940" s="109"/>
      <c r="X940" s="109"/>
      <c r="Y940" s="109"/>
      <c r="Z940" s="109"/>
      <c r="AA940" s="109"/>
      <c r="AB940" s="109"/>
      <c r="AC940" s="109"/>
      <c r="AD940" s="109"/>
      <c r="AE940" s="109"/>
      <c r="AF940" s="109"/>
      <c r="AG940" s="109"/>
      <c r="AH940" s="109"/>
      <c r="AI940" s="109"/>
      <c r="AJ940" s="109"/>
      <c r="AK940" s="109"/>
      <c r="AL940" s="109"/>
      <c r="AM940" s="109"/>
      <c r="AN940" s="109"/>
      <c r="AO940" s="109"/>
      <c r="AP940" s="109"/>
      <c r="AQ940" s="109"/>
      <c r="AR940" s="109"/>
      <c r="AS940" s="109"/>
      <c r="AT940" s="109"/>
      <c r="AU940" s="109"/>
      <c r="AV940" s="109"/>
      <c r="AW940" s="109"/>
      <c r="AX940" s="109"/>
      <c r="AY940" s="34" t="s">
        <v>487</v>
      </c>
      <c r="AZ940" s="34" t="s">
        <v>1441</v>
      </c>
      <c r="BA940" s="70" t="s">
        <v>291</v>
      </c>
      <c r="BB940" s="70"/>
      <c r="BC940" s="149" t="s">
        <v>1442</v>
      </c>
      <c r="BI940" s="42">
        <v>1</v>
      </c>
    </row>
    <row r="941" spans="1:61" s="24" customFormat="1" ht="32.85" customHeight="1">
      <c r="A941" s="32">
        <f>A940+1</f>
        <v>679</v>
      </c>
      <c r="B941" s="158" t="s">
        <v>186</v>
      </c>
      <c r="C941" s="78" t="s">
        <v>59</v>
      </c>
      <c r="D941" s="35">
        <f t="shared" si="147"/>
        <v>0.32</v>
      </c>
      <c r="E941" s="35"/>
      <c r="F941" s="35">
        <f t="shared" si="144"/>
        <v>0.32</v>
      </c>
      <c r="G941" s="109">
        <v>0.32</v>
      </c>
      <c r="H941" s="109"/>
      <c r="I941" s="109"/>
      <c r="J941" s="109"/>
      <c r="K941" s="109"/>
      <c r="L941" s="109"/>
      <c r="M941" s="109"/>
      <c r="N941" s="109"/>
      <c r="O941" s="109"/>
      <c r="P941" s="109"/>
      <c r="Q941" s="109"/>
      <c r="R941" s="109"/>
      <c r="S941" s="109"/>
      <c r="T941" s="109"/>
      <c r="U941" s="109"/>
      <c r="V941" s="109"/>
      <c r="W941" s="109"/>
      <c r="X941" s="109"/>
      <c r="Y941" s="109"/>
      <c r="Z941" s="109"/>
      <c r="AA941" s="109"/>
      <c r="AB941" s="109"/>
      <c r="AC941" s="109"/>
      <c r="AD941" s="109"/>
      <c r="AE941" s="109"/>
      <c r="AF941" s="109"/>
      <c r="AG941" s="109"/>
      <c r="AH941" s="109"/>
      <c r="AI941" s="109"/>
      <c r="AJ941" s="109"/>
      <c r="AK941" s="109"/>
      <c r="AL941" s="109"/>
      <c r="AM941" s="109"/>
      <c r="AN941" s="109"/>
      <c r="AO941" s="109"/>
      <c r="AP941" s="109"/>
      <c r="AQ941" s="109"/>
      <c r="AR941" s="109"/>
      <c r="AS941" s="109"/>
      <c r="AT941" s="109"/>
      <c r="AU941" s="109"/>
      <c r="AV941" s="109"/>
      <c r="AW941" s="109"/>
      <c r="AX941" s="109"/>
      <c r="AY941" s="34" t="s">
        <v>487</v>
      </c>
      <c r="AZ941" s="34" t="s">
        <v>1443</v>
      </c>
      <c r="BA941" s="70" t="s">
        <v>291</v>
      </c>
      <c r="BB941" s="70"/>
      <c r="BC941" s="149" t="s">
        <v>1444</v>
      </c>
      <c r="BI941" s="42">
        <v>1</v>
      </c>
    </row>
    <row r="942" spans="1:61" s="24" customFormat="1" ht="47.25">
      <c r="A942" s="32">
        <f>A941+1</f>
        <v>680</v>
      </c>
      <c r="B942" s="158" t="s">
        <v>186</v>
      </c>
      <c r="C942" s="78" t="s">
        <v>1260</v>
      </c>
      <c r="D942" s="35">
        <f t="shared" si="147"/>
        <v>0.45999999999999996</v>
      </c>
      <c r="E942" s="35"/>
      <c r="F942" s="35">
        <f t="shared" si="144"/>
        <v>0.45999999999999996</v>
      </c>
      <c r="G942" s="109">
        <v>0.08</v>
      </c>
      <c r="H942" s="109">
        <v>0.09</v>
      </c>
      <c r="I942" s="109">
        <v>0.2</v>
      </c>
      <c r="J942" s="109"/>
      <c r="K942" s="109"/>
      <c r="L942" s="109"/>
      <c r="M942" s="109">
        <v>0.09</v>
      </c>
      <c r="N942" s="109"/>
      <c r="O942" s="109"/>
      <c r="P942" s="109"/>
      <c r="Q942" s="109"/>
      <c r="R942" s="109"/>
      <c r="S942" s="109"/>
      <c r="T942" s="109"/>
      <c r="U942" s="109"/>
      <c r="V942" s="109"/>
      <c r="W942" s="109"/>
      <c r="X942" s="109"/>
      <c r="Y942" s="109"/>
      <c r="Z942" s="109"/>
      <c r="AA942" s="109"/>
      <c r="AB942" s="109"/>
      <c r="AC942" s="109"/>
      <c r="AD942" s="109"/>
      <c r="AE942" s="109"/>
      <c r="AF942" s="109"/>
      <c r="AG942" s="109"/>
      <c r="AH942" s="109"/>
      <c r="AI942" s="109"/>
      <c r="AJ942" s="109"/>
      <c r="AK942" s="109"/>
      <c r="AL942" s="109"/>
      <c r="AM942" s="109"/>
      <c r="AN942" s="109"/>
      <c r="AO942" s="109"/>
      <c r="AP942" s="109"/>
      <c r="AQ942" s="109"/>
      <c r="AR942" s="109"/>
      <c r="AS942" s="109"/>
      <c r="AT942" s="109"/>
      <c r="AU942" s="109"/>
      <c r="AV942" s="109"/>
      <c r="AW942" s="109"/>
      <c r="AX942" s="109"/>
      <c r="AY942" s="34" t="s">
        <v>487</v>
      </c>
      <c r="AZ942" s="34" t="s">
        <v>1445</v>
      </c>
      <c r="BA942" s="70" t="s">
        <v>291</v>
      </c>
      <c r="BB942" s="70"/>
      <c r="BC942" s="149" t="s">
        <v>1446</v>
      </c>
      <c r="BI942" s="42">
        <v>1</v>
      </c>
    </row>
    <row r="943" spans="1:61" s="24" customFormat="1" hidden="1">
      <c r="A943" s="32"/>
      <c r="B943" s="158"/>
      <c r="C943" s="78" t="s">
        <v>59</v>
      </c>
      <c r="D943" s="35">
        <f t="shared" si="147"/>
        <v>0.18</v>
      </c>
      <c r="E943" s="35"/>
      <c r="F943" s="35">
        <f t="shared" si="144"/>
        <v>0.18</v>
      </c>
      <c r="G943" s="109">
        <v>0.08</v>
      </c>
      <c r="H943" s="109"/>
      <c r="I943" s="109">
        <v>0.1</v>
      </c>
      <c r="J943" s="109"/>
      <c r="K943" s="109"/>
      <c r="L943" s="109"/>
      <c r="M943" s="109"/>
      <c r="N943" s="109"/>
      <c r="O943" s="109"/>
      <c r="P943" s="109"/>
      <c r="Q943" s="109"/>
      <c r="R943" s="109"/>
      <c r="S943" s="109"/>
      <c r="T943" s="109"/>
      <c r="U943" s="109"/>
      <c r="V943" s="109"/>
      <c r="W943" s="109"/>
      <c r="X943" s="109"/>
      <c r="Y943" s="109"/>
      <c r="Z943" s="109"/>
      <c r="AA943" s="109"/>
      <c r="AB943" s="109"/>
      <c r="AC943" s="109"/>
      <c r="AD943" s="109"/>
      <c r="AE943" s="109"/>
      <c r="AF943" s="109"/>
      <c r="AG943" s="109"/>
      <c r="AH943" s="109"/>
      <c r="AI943" s="109"/>
      <c r="AJ943" s="109"/>
      <c r="AK943" s="109"/>
      <c r="AL943" s="109"/>
      <c r="AM943" s="109"/>
      <c r="AN943" s="109"/>
      <c r="AO943" s="109"/>
      <c r="AP943" s="109"/>
      <c r="AQ943" s="109"/>
      <c r="AR943" s="109"/>
      <c r="AS943" s="109"/>
      <c r="AT943" s="109"/>
      <c r="AU943" s="109"/>
      <c r="AV943" s="109"/>
      <c r="AW943" s="109"/>
      <c r="AX943" s="109"/>
      <c r="AY943" s="34" t="s">
        <v>487</v>
      </c>
      <c r="AZ943" s="34"/>
      <c r="BA943" s="70"/>
      <c r="BB943" s="70"/>
      <c r="BC943" s="149"/>
      <c r="BI943" s="42"/>
    </row>
    <row r="944" spans="1:61" s="24" customFormat="1" hidden="1">
      <c r="A944" s="32"/>
      <c r="B944" s="158"/>
      <c r="C944" s="78" t="s">
        <v>44</v>
      </c>
      <c r="D944" s="35">
        <f t="shared" si="147"/>
        <v>0.19</v>
      </c>
      <c r="E944" s="35"/>
      <c r="F944" s="35">
        <f t="shared" si="144"/>
        <v>0.19</v>
      </c>
      <c r="G944" s="109"/>
      <c r="H944" s="109">
        <v>0.09</v>
      </c>
      <c r="I944" s="109">
        <v>0.1</v>
      </c>
      <c r="J944" s="109"/>
      <c r="K944" s="109"/>
      <c r="L944" s="109"/>
      <c r="M944" s="109"/>
      <c r="N944" s="109"/>
      <c r="O944" s="109"/>
      <c r="P944" s="109"/>
      <c r="Q944" s="109"/>
      <c r="R944" s="109"/>
      <c r="S944" s="109"/>
      <c r="T944" s="109"/>
      <c r="U944" s="109"/>
      <c r="V944" s="109"/>
      <c r="W944" s="109"/>
      <c r="X944" s="109"/>
      <c r="Y944" s="109"/>
      <c r="Z944" s="109"/>
      <c r="AA944" s="109"/>
      <c r="AB944" s="109"/>
      <c r="AC944" s="109"/>
      <c r="AD944" s="109"/>
      <c r="AE944" s="109"/>
      <c r="AF944" s="109"/>
      <c r="AG944" s="109"/>
      <c r="AH944" s="109"/>
      <c r="AI944" s="109"/>
      <c r="AJ944" s="109"/>
      <c r="AK944" s="109"/>
      <c r="AL944" s="109"/>
      <c r="AM944" s="109"/>
      <c r="AN944" s="109"/>
      <c r="AO944" s="109"/>
      <c r="AP944" s="109"/>
      <c r="AQ944" s="109"/>
      <c r="AR944" s="109"/>
      <c r="AS944" s="109"/>
      <c r="AT944" s="109"/>
      <c r="AU944" s="109"/>
      <c r="AV944" s="109"/>
      <c r="AW944" s="109"/>
      <c r="AX944" s="109"/>
      <c r="AY944" s="34" t="s">
        <v>487</v>
      </c>
      <c r="AZ944" s="34"/>
      <c r="BA944" s="70"/>
      <c r="BB944" s="70"/>
      <c r="BC944" s="149"/>
      <c r="BI944" s="42"/>
    </row>
    <row r="945" spans="1:61" s="24" customFormat="1" hidden="1">
      <c r="A945" s="32"/>
      <c r="B945" s="158"/>
      <c r="C945" s="78" t="s">
        <v>138</v>
      </c>
      <c r="D945" s="35">
        <f t="shared" si="147"/>
        <v>0.09</v>
      </c>
      <c r="E945" s="35"/>
      <c r="F945" s="35">
        <f t="shared" si="144"/>
        <v>0.09</v>
      </c>
      <c r="G945" s="147">
        <f>G942-G943-G944</f>
        <v>0</v>
      </c>
      <c r="H945" s="147">
        <f t="shared" ref="H945:AX945" si="157">H942-H943-H944</f>
        <v>0</v>
      </c>
      <c r="I945" s="147">
        <f t="shared" si="157"/>
        <v>0</v>
      </c>
      <c r="J945" s="147">
        <f t="shared" si="157"/>
        <v>0</v>
      </c>
      <c r="K945" s="147">
        <f t="shared" si="157"/>
        <v>0</v>
      </c>
      <c r="L945" s="147">
        <f t="shared" si="157"/>
        <v>0</v>
      </c>
      <c r="M945" s="147">
        <f t="shared" si="157"/>
        <v>0.09</v>
      </c>
      <c r="N945" s="147">
        <f t="shared" si="157"/>
        <v>0</v>
      </c>
      <c r="O945" s="147">
        <f t="shared" si="157"/>
        <v>0</v>
      </c>
      <c r="P945" s="147">
        <f t="shared" si="157"/>
        <v>0</v>
      </c>
      <c r="Q945" s="147">
        <f t="shared" si="157"/>
        <v>0</v>
      </c>
      <c r="R945" s="147">
        <f t="shared" si="157"/>
        <v>0</v>
      </c>
      <c r="S945" s="147">
        <f t="shared" si="157"/>
        <v>0</v>
      </c>
      <c r="T945" s="147">
        <f t="shared" si="157"/>
        <v>0</v>
      </c>
      <c r="U945" s="147">
        <f t="shared" si="157"/>
        <v>0</v>
      </c>
      <c r="V945" s="147">
        <f t="shared" si="157"/>
        <v>0</v>
      </c>
      <c r="W945" s="147">
        <f t="shared" si="157"/>
        <v>0</v>
      </c>
      <c r="X945" s="147">
        <f t="shared" si="157"/>
        <v>0</v>
      </c>
      <c r="Y945" s="147">
        <f t="shared" si="157"/>
        <v>0</v>
      </c>
      <c r="Z945" s="147">
        <f t="shared" si="157"/>
        <v>0</v>
      </c>
      <c r="AA945" s="147">
        <f t="shared" si="157"/>
        <v>0</v>
      </c>
      <c r="AB945" s="147">
        <f t="shared" si="157"/>
        <v>0</v>
      </c>
      <c r="AC945" s="147">
        <f t="shared" si="157"/>
        <v>0</v>
      </c>
      <c r="AD945" s="147">
        <f t="shared" si="157"/>
        <v>0</v>
      </c>
      <c r="AE945" s="147">
        <f t="shared" si="157"/>
        <v>0</v>
      </c>
      <c r="AF945" s="147">
        <f t="shared" si="157"/>
        <v>0</v>
      </c>
      <c r="AG945" s="147">
        <f t="shared" si="157"/>
        <v>0</v>
      </c>
      <c r="AH945" s="147">
        <f t="shared" si="157"/>
        <v>0</v>
      </c>
      <c r="AI945" s="147">
        <f t="shared" si="157"/>
        <v>0</v>
      </c>
      <c r="AJ945" s="147">
        <f t="shared" si="157"/>
        <v>0</v>
      </c>
      <c r="AK945" s="147">
        <f t="shared" si="157"/>
        <v>0</v>
      </c>
      <c r="AL945" s="147">
        <f t="shared" si="157"/>
        <v>0</v>
      </c>
      <c r="AM945" s="147">
        <f t="shared" si="157"/>
        <v>0</v>
      </c>
      <c r="AN945" s="147">
        <f t="shared" si="157"/>
        <v>0</v>
      </c>
      <c r="AO945" s="147">
        <f t="shared" si="157"/>
        <v>0</v>
      </c>
      <c r="AP945" s="147">
        <f t="shared" si="157"/>
        <v>0</v>
      </c>
      <c r="AQ945" s="147">
        <f t="shared" si="157"/>
        <v>0</v>
      </c>
      <c r="AR945" s="147">
        <f t="shared" si="157"/>
        <v>0</v>
      </c>
      <c r="AS945" s="147">
        <f t="shared" si="157"/>
        <v>0</v>
      </c>
      <c r="AT945" s="147">
        <f t="shared" si="157"/>
        <v>0</v>
      </c>
      <c r="AU945" s="147">
        <f t="shared" si="157"/>
        <v>0</v>
      </c>
      <c r="AV945" s="147">
        <f t="shared" si="157"/>
        <v>0</v>
      </c>
      <c r="AW945" s="147">
        <f t="shared" si="157"/>
        <v>0</v>
      </c>
      <c r="AX945" s="147">
        <f t="shared" si="157"/>
        <v>0</v>
      </c>
      <c r="AY945" s="34" t="s">
        <v>487</v>
      </c>
      <c r="AZ945" s="34"/>
      <c r="BA945" s="70"/>
      <c r="BB945" s="70"/>
      <c r="BC945" s="149"/>
      <c r="BI945" s="42"/>
    </row>
    <row r="946" spans="1:61" s="24" customFormat="1" ht="31.5">
      <c r="A946" s="32">
        <f>A942+1</f>
        <v>681</v>
      </c>
      <c r="B946" s="158" t="s">
        <v>186</v>
      </c>
      <c r="C946" s="78" t="s">
        <v>1260</v>
      </c>
      <c r="D946" s="35">
        <f t="shared" si="147"/>
        <v>0.4</v>
      </c>
      <c r="E946" s="35"/>
      <c r="F946" s="35">
        <f t="shared" si="144"/>
        <v>0.4</v>
      </c>
      <c r="G946" s="109">
        <v>0.15</v>
      </c>
      <c r="H946" s="109">
        <v>0.25</v>
      </c>
      <c r="I946" s="109"/>
      <c r="J946" s="109"/>
      <c r="K946" s="109"/>
      <c r="L946" s="109"/>
      <c r="M946" s="109"/>
      <c r="N946" s="109"/>
      <c r="O946" s="109"/>
      <c r="P946" s="109"/>
      <c r="Q946" s="109"/>
      <c r="R946" s="109"/>
      <c r="S946" s="109"/>
      <c r="T946" s="109"/>
      <c r="U946" s="109"/>
      <c r="V946" s="109"/>
      <c r="W946" s="109"/>
      <c r="X946" s="109"/>
      <c r="Y946" s="109"/>
      <c r="Z946" s="109"/>
      <c r="AA946" s="109"/>
      <c r="AB946" s="109"/>
      <c r="AC946" s="109"/>
      <c r="AD946" s="109"/>
      <c r="AE946" s="109"/>
      <c r="AF946" s="109"/>
      <c r="AG946" s="109"/>
      <c r="AH946" s="109"/>
      <c r="AI946" s="109"/>
      <c r="AJ946" s="109"/>
      <c r="AK946" s="109"/>
      <c r="AL946" s="109"/>
      <c r="AM946" s="109"/>
      <c r="AN946" s="109"/>
      <c r="AO946" s="109"/>
      <c r="AP946" s="109"/>
      <c r="AQ946" s="109"/>
      <c r="AR946" s="109"/>
      <c r="AS946" s="109"/>
      <c r="AT946" s="109"/>
      <c r="AU946" s="109"/>
      <c r="AV946" s="109"/>
      <c r="AW946" s="109"/>
      <c r="AX946" s="109"/>
      <c r="AY946" s="34" t="s">
        <v>487</v>
      </c>
      <c r="AZ946" s="34" t="s">
        <v>1447</v>
      </c>
      <c r="BA946" s="70" t="s">
        <v>291</v>
      </c>
      <c r="BB946" s="70"/>
      <c r="BC946" s="149" t="s">
        <v>1448</v>
      </c>
      <c r="BI946" s="42">
        <v>1</v>
      </c>
    </row>
    <row r="947" spans="1:61" s="24" customFormat="1" hidden="1">
      <c r="A947" s="32"/>
      <c r="B947" s="158"/>
      <c r="C947" s="78" t="s">
        <v>59</v>
      </c>
      <c r="D947" s="35">
        <f t="shared" si="147"/>
        <v>0.16</v>
      </c>
      <c r="E947" s="35"/>
      <c r="F947" s="35">
        <f t="shared" si="144"/>
        <v>0.16</v>
      </c>
      <c r="G947" s="109">
        <v>0.06</v>
      </c>
      <c r="H947" s="109">
        <v>0.1</v>
      </c>
      <c r="I947" s="109"/>
      <c r="J947" s="109"/>
      <c r="K947" s="109"/>
      <c r="L947" s="109"/>
      <c r="M947" s="109"/>
      <c r="N947" s="109"/>
      <c r="O947" s="109"/>
      <c r="P947" s="109"/>
      <c r="Q947" s="109"/>
      <c r="R947" s="109"/>
      <c r="S947" s="109"/>
      <c r="T947" s="109"/>
      <c r="U947" s="109"/>
      <c r="V947" s="109"/>
      <c r="W947" s="109"/>
      <c r="X947" s="109"/>
      <c r="Y947" s="109"/>
      <c r="Z947" s="109"/>
      <c r="AA947" s="109"/>
      <c r="AB947" s="109"/>
      <c r="AC947" s="109"/>
      <c r="AD947" s="109"/>
      <c r="AE947" s="109"/>
      <c r="AF947" s="109"/>
      <c r="AG947" s="109"/>
      <c r="AH947" s="109"/>
      <c r="AI947" s="109"/>
      <c r="AJ947" s="109"/>
      <c r="AK947" s="109"/>
      <c r="AL947" s="109"/>
      <c r="AM947" s="109"/>
      <c r="AN947" s="109"/>
      <c r="AO947" s="109"/>
      <c r="AP947" s="109"/>
      <c r="AQ947" s="109"/>
      <c r="AR947" s="109"/>
      <c r="AS947" s="109"/>
      <c r="AT947" s="109"/>
      <c r="AU947" s="109"/>
      <c r="AV947" s="109"/>
      <c r="AW947" s="109"/>
      <c r="AX947" s="109"/>
      <c r="AY947" s="34" t="s">
        <v>487</v>
      </c>
      <c r="AZ947" s="34"/>
      <c r="BA947" s="70"/>
      <c r="BB947" s="70"/>
      <c r="BC947" s="149"/>
      <c r="BI947" s="42"/>
    </row>
    <row r="948" spans="1:61" s="24" customFormat="1" hidden="1">
      <c r="A948" s="32"/>
      <c r="B948" s="158"/>
      <c r="C948" s="78" t="s">
        <v>44</v>
      </c>
      <c r="D948" s="35">
        <f t="shared" si="147"/>
        <v>0.16</v>
      </c>
      <c r="E948" s="35"/>
      <c r="F948" s="35">
        <f t="shared" si="144"/>
        <v>0.16</v>
      </c>
      <c r="G948" s="109">
        <v>0.06</v>
      </c>
      <c r="H948" s="109">
        <v>0.1</v>
      </c>
      <c r="I948" s="109"/>
      <c r="J948" s="109"/>
      <c r="K948" s="109"/>
      <c r="L948" s="109"/>
      <c r="M948" s="109"/>
      <c r="N948" s="109"/>
      <c r="O948" s="109"/>
      <c r="P948" s="109"/>
      <c r="Q948" s="109"/>
      <c r="R948" s="109"/>
      <c r="S948" s="109"/>
      <c r="T948" s="109"/>
      <c r="U948" s="109"/>
      <c r="V948" s="109"/>
      <c r="W948" s="109"/>
      <c r="X948" s="109"/>
      <c r="Y948" s="109"/>
      <c r="Z948" s="109"/>
      <c r="AA948" s="109"/>
      <c r="AB948" s="109"/>
      <c r="AC948" s="109"/>
      <c r="AD948" s="109"/>
      <c r="AE948" s="109"/>
      <c r="AF948" s="109"/>
      <c r="AG948" s="109"/>
      <c r="AH948" s="109"/>
      <c r="AI948" s="109"/>
      <c r="AJ948" s="109"/>
      <c r="AK948" s="109"/>
      <c r="AL948" s="109"/>
      <c r="AM948" s="109"/>
      <c r="AN948" s="109"/>
      <c r="AO948" s="109"/>
      <c r="AP948" s="109"/>
      <c r="AQ948" s="109"/>
      <c r="AR948" s="109"/>
      <c r="AS948" s="109"/>
      <c r="AT948" s="109"/>
      <c r="AU948" s="109"/>
      <c r="AV948" s="109"/>
      <c r="AW948" s="109"/>
      <c r="AX948" s="109"/>
      <c r="AY948" s="34" t="s">
        <v>487</v>
      </c>
      <c r="AZ948" s="34"/>
      <c r="BA948" s="70"/>
      <c r="BB948" s="70"/>
      <c r="BC948" s="149"/>
      <c r="BI948" s="42"/>
    </row>
    <row r="949" spans="1:61" s="24" customFormat="1" hidden="1">
      <c r="A949" s="32"/>
      <c r="B949" s="158"/>
      <c r="C949" s="78" t="s">
        <v>138</v>
      </c>
      <c r="D949" s="35">
        <f t="shared" si="147"/>
        <v>7.9999999999999988E-2</v>
      </c>
      <c r="E949" s="35"/>
      <c r="F949" s="35">
        <f t="shared" si="144"/>
        <v>7.9999999999999988E-2</v>
      </c>
      <c r="G949" s="147">
        <f t="shared" ref="G949:AW949" si="158">G946-G947-G948</f>
        <v>0.03</v>
      </c>
      <c r="H949" s="147">
        <f t="shared" si="158"/>
        <v>4.9999999999999989E-2</v>
      </c>
      <c r="I949" s="147">
        <f t="shared" si="158"/>
        <v>0</v>
      </c>
      <c r="J949" s="147">
        <f t="shared" si="158"/>
        <v>0</v>
      </c>
      <c r="K949" s="147">
        <f t="shared" si="158"/>
        <v>0</v>
      </c>
      <c r="L949" s="147">
        <f t="shared" si="158"/>
        <v>0</v>
      </c>
      <c r="M949" s="147">
        <f t="shared" si="158"/>
        <v>0</v>
      </c>
      <c r="N949" s="147">
        <f t="shared" si="158"/>
        <v>0</v>
      </c>
      <c r="O949" s="147">
        <f t="shared" si="158"/>
        <v>0</v>
      </c>
      <c r="P949" s="147">
        <f t="shared" si="158"/>
        <v>0</v>
      </c>
      <c r="Q949" s="147">
        <f t="shared" si="158"/>
        <v>0</v>
      </c>
      <c r="R949" s="147">
        <f t="shared" si="158"/>
        <v>0</v>
      </c>
      <c r="S949" s="147">
        <f t="shared" si="158"/>
        <v>0</v>
      </c>
      <c r="T949" s="147">
        <f t="shared" si="158"/>
        <v>0</v>
      </c>
      <c r="U949" s="147">
        <f t="shared" si="158"/>
        <v>0</v>
      </c>
      <c r="V949" s="147">
        <f t="shared" si="158"/>
        <v>0</v>
      </c>
      <c r="W949" s="147">
        <f t="shared" si="158"/>
        <v>0</v>
      </c>
      <c r="X949" s="147">
        <f t="shared" si="158"/>
        <v>0</v>
      </c>
      <c r="Y949" s="147">
        <f t="shared" si="158"/>
        <v>0</v>
      </c>
      <c r="Z949" s="147">
        <f t="shared" si="158"/>
        <v>0</v>
      </c>
      <c r="AA949" s="147">
        <f t="shared" si="158"/>
        <v>0</v>
      </c>
      <c r="AB949" s="147">
        <f t="shared" si="158"/>
        <v>0</v>
      </c>
      <c r="AC949" s="147">
        <f t="shared" si="158"/>
        <v>0</v>
      </c>
      <c r="AD949" s="147">
        <f t="shared" si="158"/>
        <v>0</v>
      </c>
      <c r="AE949" s="147">
        <f t="shared" si="158"/>
        <v>0</v>
      </c>
      <c r="AF949" s="147">
        <f t="shared" si="158"/>
        <v>0</v>
      </c>
      <c r="AG949" s="147">
        <f t="shared" si="158"/>
        <v>0</v>
      </c>
      <c r="AH949" s="147">
        <f t="shared" si="158"/>
        <v>0</v>
      </c>
      <c r="AI949" s="147">
        <f t="shared" si="158"/>
        <v>0</v>
      </c>
      <c r="AJ949" s="147">
        <f t="shared" si="158"/>
        <v>0</v>
      </c>
      <c r="AK949" s="147">
        <f t="shared" si="158"/>
        <v>0</v>
      </c>
      <c r="AL949" s="147">
        <f t="shared" si="158"/>
        <v>0</v>
      </c>
      <c r="AM949" s="147">
        <f t="shared" si="158"/>
        <v>0</v>
      </c>
      <c r="AN949" s="147">
        <f t="shared" si="158"/>
        <v>0</v>
      </c>
      <c r="AO949" s="147">
        <f t="shared" si="158"/>
        <v>0</v>
      </c>
      <c r="AP949" s="147">
        <f t="shared" si="158"/>
        <v>0</v>
      </c>
      <c r="AQ949" s="147">
        <f t="shared" si="158"/>
        <v>0</v>
      </c>
      <c r="AR949" s="147">
        <f t="shared" si="158"/>
        <v>0</v>
      </c>
      <c r="AS949" s="147">
        <f t="shared" si="158"/>
        <v>0</v>
      </c>
      <c r="AT949" s="147">
        <f t="shared" si="158"/>
        <v>0</v>
      </c>
      <c r="AU949" s="147">
        <f t="shared" si="158"/>
        <v>0</v>
      </c>
      <c r="AV949" s="147">
        <f t="shared" si="158"/>
        <v>0</v>
      </c>
      <c r="AW949" s="147">
        <f t="shared" si="158"/>
        <v>0</v>
      </c>
      <c r="AX949" s="147">
        <f>AX946-AX947-AX948</f>
        <v>0</v>
      </c>
      <c r="AY949" s="34" t="s">
        <v>487</v>
      </c>
      <c r="AZ949" s="34"/>
      <c r="BA949" s="70"/>
      <c r="BB949" s="70"/>
      <c r="BC949" s="149"/>
      <c r="BI949" s="42"/>
    </row>
    <row r="950" spans="1:61" s="24" customFormat="1" ht="31.5">
      <c r="A950" s="32">
        <f>A946+1</f>
        <v>682</v>
      </c>
      <c r="B950" s="158" t="s">
        <v>186</v>
      </c>
      <c r="C950" s="78" t="s">
        <v>59</v>
      </c>
      <c r="D950" s="35">
        <f t="shared" si="147"/>
        <v>0.12</v>
      </c>
      <c r="E950" s="35"/>
      <c r="F950" s="35">
        <f t="shared" ref="F950:F964" si="159">SUM(G950:AX950)</f>
        <v>0.12</v>
      </c>
      <c r="G950" s="109"/>
      <c r="H950" s="109">
        <v>0.12</v>
      </c>
      <c r="I950" s="109"/>
      <c r="J950" s="109"/>
      <c r="K950" s="109"/>
      <c r="L950" s="109"/>
      <c r="M950" s="109"/>
      <c r="N950" s="109"/>
      <c r="O950" s="109"/>
      <c r="P950" s="109"/>
      <c r="Q950" s="109"/>
      <c r="R950" s="109"/>
      <c r="S950" s="109"/>
      <c r="T950" s="109"/>
      <c r="U950" s="109"/>
      <c r="V950" s="109"/>
      <c r="W950" s="109"/>
      <c r="X950" s="109"/>
      <c r="Y950" s="109"/>
      <c r="Z950" s="109"/>
      <c r="AA950" s="109"/>
      <c r="AB950" s="109"/>
      <c r="AC950" s="109"/>
      <c r="AD950" s="109"/>
      <c r="AE950" s="109"/>
      <c r="AF950" s="109"/>
      <c r="AG950" s="109"/>
      <c r="AH950" s="109"/>
      <c r="AI950" s="109"/>
      <c r="AJ950" s="109"/>
      <c r="AK950" s="109"/>
      <c r="AL950" s="109"/>
      <c r="AM950" s="109"/>
      <c r="AN950" s="109"/>
      <c r="AO950" s="109"/>
      <c r="AP950" s="109"/>
      <c r="AQ950" s="109"/>
      <c r="AR950" s="109"/>
      <c r="AS950" s="109"/>
      <c r="AT950" s="109"/>
      <c r="AU950" s="109"/>
      <c r="AV950" s="109"/>
      <c r="AW950" s="109"/>
      <c r="AX950" s="109"/>
      <c r="AY950" s="34" t="s">
        <v>487</v>
      </c>
      <c r="AZ950" s="34" t="s">
        <v>1449</v>
      </c>
      <c r="BA950" s="70" t="s">
        <v>291</v>
      </c>
      <c r="BB950" s="70"/>
      <c r="BC950" s="149" t="s">
        <v>1450</v>
      </c>
      <c r="BI950" s="42">
        <v>1</v>
      </c>
    </row>
    <row r="951" spans="1:61" s="24" customFormat="1" ht="31.5">
      <c r="A951" s="32">
        <f>A950+1</f>
        <v>683</v>
      </c>
      <c r="B951" s="158" t="s">
        <v>186</v>
      </c>
      <c r="C951" s="78" t="s">
        <v>59</v>
      </c>
      <c r="D951" s="35">
        <f t="shared" si="147"/>
        <v>0.25</v>
      </c>
      <c r="E951" s="35"/>
      <c r="F951" s="35">
        <f t="shared" si="159"/>
        <v>0.25</v>
      </c>
      <c r="G951" s="109"/>
      <c r="H951" s="109"/>
      <c r="I951" s="109"/>
      <c r="J951" s="109"/>
      <c r="K951" s="109"/>
      <c r="L951" s="109"/>
      <c r="M951" s="109">
        <v>0.25</v>
      </c>
      <c r="N951" s="109"/>
      <c r="O951" s="109"/>
      <c r="P951" s="109"/>
      <c r="Q951" s="109"/>
      <c r="R951" s="109"/>
      <c r="S951" s="109"/>
      <c r="T951" s="109"/>
      <c r="U951" s="109"/>
      <c r="V951" s="109"/>
      <c r="W951" s="109"/>
      <c r="X951" s="109"/>
      <c r="Y951" s="109"/>
      <c r="Z951" s="109"/>
      <c r="AA951" s="109"/>
      <c r="AB951" s="109"/>
      <c r="AC951" s="109"/>
      <c r="AD951" s="109"/>
      <c r="AE951" s="109"/>
      <c r="AF951" s="109"/>
      <c r="AG951" s="109"/>
      <c r="AH951" s="109"/>
      <c r="AI951" s="109"/>
      <c r="AJ951" s="109"/>
      <c r="AK951" s="109"/>
      <c r="AL951" s="109"/>
      <c r="AM951" s="109"/>
      <c r="AN951" s="109"/>
      <c r="AO951" s="109"/>
      <c r="AP951" s="109"/>
      <c r="AQ951" s="109"/>
      <c r="AR951" s="109"/>
      <c r="AS951" s="109"/>
      <c r="AT951" s="109"/>
      <c r="AU951" s="109"/>
      <c r="AV951" s="109"/>
      <c r="AW951" s="109"/>
      <c r="AX951" s="109"/>
      <c r="AY951" s="34" t="s">
        <v>487</v>
      </c>
      <c r="AZ951" s="34" t="s">
        <v>1451</v>
      </c>
      <c r="BA951" s="70" t="s">
        <v>291</v>
      </c>
      <c r="BB951" s="70"/>
      <c r="BC951" s="149" t="s">
        <v>1452</v>
      </c>
      <c r="BI951" s="42">
        <v>1</v>
      </c>
    </row>
    <row r="952" spans="1:61" s="24" customFormat="1" ht="31.5">
      <c r="A952" s="32">
        <f>A951+1</f>
        <v>684</v>
      </c>
      <c r="B952" s="158" t="s">
        <v>186</v>
      </c>
      <c r="C952" s="78" t="s">
        <v>1260</v>
      </c>
      <c r="D952" s="35">
        <f t="shared" si="147"/>
        <v>0.5</v>
      </c>
      <c r="E952" s="35"/>
      <c r="F952" s="35">
        <f t="shared" si="159"/>
        <v>0.5</v>
      </c>
      <c r="G952" s="109"/>
      <c r="H952" s="109">
        <v>0.26</v>
      </c>
      <c r="I952" s="109"/>
      <c r="J952" s="109">
        <v>0.24</v>
      </c>
      <c r="K952" s="109"/>
      <c r="L952" s="109"/>
      <c r="M952" s="109"/>
      <c r="N952" s="109"/>
      <c r="O952" s="109"/>
      <c r="P952" s="109"/>
      <c r="Q952" s="109"/>
      <c r="R952" s="109"/>
      <c r="S952" s="109"/>
      <c r="T952" s="109"/>
      <c r="U952" s="109"/>
      <c r="V952" s="109"/>
      <c r="W952" s="109"/>
      <c r="X952" s="109"/>
      <c r="Y952" s="109"/>
      <c r="Z952" s="109"/>
      <c r="AA952" s="109"/>
      <c r="AB952" s="109"/>
      <c r="AC952" s="109"/>
      <c r="AD952" s="109"/>
      <c r="AE952" s="109"/>
      <c r="AF952" s="109"/>
      <c r="AG952" s="109"/>
      <c r="AH952" s="109"/>
      <c r="AI952" s="109"/>
      <c r="AJ952" s="109"/>
      <c r="AK952" s="109"/>
      <c r="AL952" s="109"/>
      <c r="AM952" s="109"/>
      <c r="AN952" s="109"/>
      <c r="AO952" s="109"/>
      <c r="AP952" s="109"/>
      <c r="AQ952" s="109"/>
      <c r="AR952" s="109"/>
      <c r="AS952" s="109"/>
      <c r="AT952" s="109"/>
      <c r="AU952" s="109"/>
      <c r="AV952" s="109"/>
      <c r="AW952" s="109"/>
      <c r="AX952" s="109"/>
      <c r="AY952" s="34" t="s">
        <v>487</v>
      </c>
      <c r="AZ952" s="34" t="s">
        <v>1453</v>
      </c>
      <c r="BA952" s="70" t="s">
        <v>291</v>
      </c>
      <c r="BB952" s="70"/>
      <c r="BC952" s="149" t="s">
        <v>1454</v>
      </c>
      <c r="BI952" s="42">
        <v>1</v>
      </c>
    </row>
    <row r="953" spans="1:61" s="24" customFormat="1" hidden="1">
      <c r="A953" s="32"/>
      <c r="B953" s="158"/>
      <c r="C953" s="78" t="s">
        <v>59</v>
      </c>
      <c r="D953" s="35">
        <f t="shared" si="147"/>
        <v>0.2</v>
      </c>
      <c r="E953" s="35"/>
      <c r="F953" s="35">
        <f t="shared" si="159"/>
        <v>0.2</v>
      </c>
      <c r="G953" s="109"/>
      <c r="H953" s="109">
        <v>0.1</v>
      </c>
      <c r="I953" s="109"/>
      <c r="J953" s="109">
        <v>0.1</v>
      </c>
      <c r="K953" s="109"/>
      <c r="L953" s="109"/>
      <c r="M953" s="109"/>
      <c r="N953" s="109"/>
      <c r="O953" s="109"/>
      <c r="P953" s="109"/>
      <c r="Q953" s="109"/>
      <c r="R953" s="109"/>
      <c r="S953" s="109"/>
      <c r="T953" s="109"/>
      <c r="U953" s="109"/>
      <c r="V953" s="109"/>
      <c r="W953" s="109"/>
      <c r="X953" s="109"/>
      <c r="Y953" s="109"/>
      <c r="Z953" s="109"/>
      <c r="AA953" s="109"/>
      <c r="AB953" s="109"/>
      <c r="AC953" s="109"/>
      <c r="AD953" s="109"/>
      <c r="AE953" s="109"/>
      <c r="AF953" s="109"/>
      <c r="AG953" s="109"/>
      <c r="AH953" s="109"/>
      <c r="AI953" s="109"/>
      <c r="AJ953" s="109"/>
      <c r="AK953" s="109"/>
      <c r="AL953" s="109"/>
      <c r="AM953" s="109"/>
      <c r="AN953" s="109"/>
      <c r="AO953" s="109"/>
      <c r="AP953" s="109"/>
      <c r="AQ953" s="109"/>
      <c r="AR953" s="109"/>
      <c r="AS953" s="109"/>
      <c r="AT953" s="109"/>
      <c r="AU953" s="109"/>
      <c r="AV953" s="109"/>
      <c r="AW953" s="109"/>
      <c r="AX953" s="109"/>
      <c r="AY953" s="34" t="s">
        <v>487</v>
      </c>
      <c r="AZ953" s="34"/>
      <c r="BA953" s="70"/>
      <c r="BB953" s="70"/>
      <c r="BC953" s="149"/>
      <c r="BI953" s="42"/>
    </row>
    <row r="954" spans="1:61" s="24" customFormat="1" hidden="1">
      <c r="A954" s="32"/>
      <c r="B954" s="158"/>
      <c r="C954" s="78" t="s">
        <v>44</v>
      </c>
      <c r="D954" s="35">
        <f t="shared" si="147"/>
        <v>0.2</v>
      </c>
      <c r="E954" s="35"/>
      <c r="F954" s="35">
        <f t="shared" si="159"/>
        <v>0.2</v>
      </c>
      <c r="G954" s="109"/>
      <c r="H954" s="109">
        <v>0.06</v>
      </c>
      <c r="I954" s="109"/>
      <c r="J954" s="109">
        <v>0.14000000000000001</v>
      </c>
      <c r="K954" s="109"/>
      <c r="L954" s="109"/>
      <c r="M954" s="109"/>
      <c r="N954" s="109"/>
      <c r="O954" s="109"/>
      <c r="P954" s="109"/>
      <c r="Q954" s="109"/>
      <c r="R954" s="109"/>
      <c r="S954" s="109"/>
      <c r="T954" s="109"/>
      <c r="U954" s="109"/>
      <c r="V954" s="109"/>
      <c r="W954" s="109"/>
      <c r="X954" s="109"/>
      <c r="Y954" s="109"/>
      <c r="Z954" s="109"/>
      <c r="AA954" s="109"/>
      <c r="AB954" s="109"/>
      <c r="AC954" s="109"/>
      <c r="AD954" s="109"/>
      <c r="AE954" s="109"/>
      <c r="AF954" s="109"/>
      <c r="AG954" s="109"/>
      <c r="AH954" s="109"/>
      <c r="AI954" s="109"/>
      <c r="AJ954" s="109"/>
      <c r="AK954" s="109"/>
      <c r="AL954" s="109"/>
      <c r="AM954" s="109"/>
      <c r="AN954" s="109"/>
      <c r="AO954" s="109"/>
      <c r="AP954" s="109"/>
      <c r="AQ954" s="109"/>
      <c r="AR954" s="109"/>
      <c r="AS954" s="109"/>
      <c r="AT954" s="109"/>
      <c r="AU954" s="109"/>
      <c r="AV954" s="109"/>
      <c r="AW954" s="109"/>
      <c r="AX954" s="109"/>
      <c r="AY954" s="34" t="s">
        <v>487</v>
      </c>
      <c r="AZ954" s="34"/>
      <c r="BA954" s="70"/>
      <c r="BB954" s="70"/>
      <c r="BC954" s="149"/>
      <c r="BI954" s="42"/>
    </row>
    <row r="955" spans="1:61" s="24" customFormat="1" hidden="1">
      <c r="A955" s="32"/>
      <c r="B955" s="158"/>
      <c r="C955" s="78" t="s">
        <v>138</v>
      </c>
      <c r="D955" s="35">
        <f t="shared" si="147"/>
        <v>0.1</v>
      </c>
      <c r="E955" s="35"/>
      <c r="F955" s="35">
        <f t="shared" si="159"/>
        <v>0.1</v>
      </c>
      <c r="G955" s="147">
        <f>G952-G953-G954</f>
        <v>0</v>
      </c>
      <c r="H955" s="147">
        <f t="shared" ref="H955:AX955" si="160">H952-H953-H954</f>
        <v>0.1</v>
      </c>
      <c r="I955" s="147">
        <f t="shared" si="160"/>
        <v>0</v>
      </c>
      <c r="J955" s="147">
        <f t="shared" si="160"/>
        <v>0</v>
      </c>
      <c r="K955" s="147">
        <f t="shared" si="160"/>
        <v>0</v>
      </c>
      <c r="L955" s="147">
        <f t="shared" si="160"/>
        <v>0</v>
      </c>
      <c r="M955" s="147">
        <f t="shared" si="160"/>
        <v>0</v>
      </c>
      <c r="N955" s="147">
        <f t="shared" si="160"/>
        <v>0</v>
      </c>
      <c r="O955" s="147">
        <f t="shared" si="160"/>
        <v>0</v>
      </c>
      <c r="P955" s="147">
        <f t="shared" si="160"/>
        <v>0</v>
      </c>
      <c r="Q955" s="147">
        <f t="shared" si="160"/>
        <v>0</v>
      </c>
      <c r="R955" s="147">
        <f t="shared" si="160"/>
        <v>0</v>
      </c>
      <c r="S955" s="147">
        <f t="shared" si="160"/>
        <v>0</v>
      </c>
      <c r="T955" s="147">
        <f t="shared" si="160"/>
        <v>0</v>
      </c>
      <c r="U955" s="147">
        <f t="shared" si="160"/>
        <v>0</v>
      </c>
      <c r="V955" s="147">
        <f t="shared" si="160"/>
        <v>0</v>
      </c>
      <c r="W955" s="147">
        <f t="shared" si="160"/>
        <v>0</v>
      </c>
      <c r="X955" s="147">
        <f t="shared" si="160"/>
        <v>0</v>
      </c>
      <c r="Y955" s="147">
        <f t="shared" si="160"/>
        <v>0</v>
      </c>
      <c r="Z955" s="147">
        <f t="shared" si="160"/>
        <v>0</v>
      </c>
      <c r="AA955" s="147">
        <f t="shared" si="160"/>
        <v>0</v>
      </c>
      <c r="AB955" s="147">
        <f t="shared" si="160"/>
        <v>0</v>
      </c>
      <c r="AC955" s="147">
        <f t="shared" si="160"/>
        <v>0</v>
      </c>
      <c r="AD955" s="147">
        <f t="shared" si="160"/>
        <v>0</v>
      </c>
      <c r="AE955" s="147">
        <f t="shared" si="160"/>
        <v>0</v>
      </c>
      <c r="AF955" s="147">
        <f t="shared" si="160"/>
        <v>0</v>
      </c>
      <c r="AG955" s="147">
        <f t="shared" si="160"/>
        <v>0</v>
      </c>
      <c r="AH955" s="147">
        <f t="shared" si="160"/>
        <v>0</v>
      </c>
      <c r="AI955" s="147">
        <f t="shared" si="160"/>
        <v>0</v>
      </c>
      <c r="AJ955" s="147">
        <f t="shared" si="160"/>
        <v>0</v>
      </c>
      <c r="AK955" s="147">
        <f t="shared" si="160"/>
        <v>0</v>
      </c>
      <c r="AL955" s="147">
        <f t="shared" si="160"/>
        <v>0</v>
      </c>
      <c r="AM955" s="147">
        <f t="shared" si="160"/>
        <v>0</v>
      </c>
      <c r="AN955" s="147">
        <f t="shared" si="160"/>
        <v>0</v>
      </c>
      <c r="AO955" s="147">
        <f t="shared" si="160"/>
        <v>0</v>
      </c>
      <c r="AP955" s="147">
        <f t="shared" si="160"/>
        <v>0</v>
      </c>
      <c r="AQ955" s="147">
        <f t="shared" si="160"/>
        <v>0</v>
      </c>
      <c r="AR955" s="147">
        <f t="shared" si="160"/>
        <v>0</v>
      </c>
      <c r="AS955" s="147">
        <f t="shared" si="160"/>
        <v>0</v>
      </c>
      <c r="AT955" s="147">
        <f t="shared" si="160"/>
        <v>0</v>
      </c>
      <c r="AU955" s="147">
        <f t="shared" si="160"/>
        <v>0</v>
      </c>
      <c r="AV955" s="147">
        <f t="shared" si="160"/>
        <v>0</v>
      </c>
      <c r="AW955" s="147">
        <f t="shared" si="160"/>
        <v>0</v>
      </c>
      <c r="AX955" s="147">
        <f t="shared" si="160"/>
        <v>0</v>
      </c>
      <c r="AY955" s="34" t="s">
        <v>487</v>
      </c>
      <c r="AZ955" s="34"/>
      <c r="BA955" s="70"/>
      <c r="BB955" s="70"/>
      <c r="BC955" s="149"/>
      <c r="BI955" s="42"/>
    </row>
    <row r="956" spans="1:61" s="24" customFormat="1" ht="31.5">
      <c r="A956" s="32">
        <f>A952+1</f>
        <v>685</v>
      </c>
      <c r="B956" s="158" t="s">
        <v>186</v>
      </c>
      <c r="C956" s="78" t="s">
        <v>1260</v>
      </c>
      <c r="D956" s="35">
        <f t="shared" si="147"/>
        <v>0.42</v>
      </c>
      <c r="E956" s="35"/>
      <c r="F956" s="35">
        <f t="shared" si="159"/>
        <v>0.42</v>
      </c>
      <c r="G956" s="109"/>
      <c r="H956" s="109"/>
      <c r="I956" s="109"/>
      <c r="J956" s="109">
        <v>0.42</v>
      </c>
      <c r="K956" s="109"/>
      <c r="L956" s="109"/>
      <c r="M956" s="109"/>
      <c r="N956" s="109"/>
      <c r="O956" s="109"/>
      <c r="P956" s="109"/>
      <c r="Q956" s="109"/>
      <c r="R956" s="109"/>
      <c r="S956" s="109"/>
      <c r="T956" s="109"/>
      <c r="U956" s="109"/>
      <c r="V956" s="109"/>
      <c r="W956" s="109"/>
      <c r="X956" s="109"/>
      <c r="Y956" s="109"/>
      <c r="Z956" s="109"/>
      <c r="AA956" s="109"/>
      <c r="AB956" s="109"/>
      <c r="AC956" s="109"/>
      <c r="AD956" s="109"/>
      <c r="AE956" s="109"/>
      <c r="AF956" s="109"/>
      <c r="AG956" s="109"/>
      <c r="AH956" s="109"/>
      <c r="AI956" s="109"/>
      <c r="AJ956" s="109"/>
      <c r="AK956" s="109"/>
      <c r="AL956" s="109"/>
      <c r="AM956" s="109"/>
      <c r="AN956" s="109"/>
      <c r="AO956" s="109"/>
      <c r="AP956" s="109"/>
      <c r="AQ956" s="109"/>
      <c r="AR956" s="109"/>
      <c r="AS956" s="109"/>
      <c r="AT956" s="109"/>
      <c r="AU956" s="109"/>
      <c r="AV956" s="109"/>
      <c r="AW956" s="109"/>
      <c r="AX956" s="109"/>
      <c r="AY956" s="34" t="s">
        <v>487</v>
      </c>
      <c r="AZ956" s="34" t="s">
        <v>1455</v>
      </c>
      <c r="BA956" s="70" t="s">
        <v>291</v>
      </c>
      <c r="BB956" s="70"/>
      <c r="BC956" s="149" t="s">
        <v>1456</v>
      </c>
      <c r="BI956" s="42">
        <v>1</v>
      </c>
    </row>
    <row r="957" spans="1:61" s="24" customFormat="1" hidden="1">
      <c r="A957" s="32"/>
      <c r="B957" s="158"/>
      <c r="C957" s="78" t="s">
        <v>59</v>
      </c>
      <c r="D957" s="35">
        <f t="shared" si="147"/>
        <v>0.16</v>
      </c>
      <c r="E957" s="35"/>
      <c r="F957" s="35">
        <f t="shared" si="159"/>
        <v>0.16</v>
      </c>
      <c r="G957" s="109"/>
      <c r="H957" s="109"/>
      <c r="I957" s="109"/>
      <c r="J957" s="109">
        <v>0.16</v>
      </c>
      <c r="K957" s="109"/>
      <c r="L957" s="109"/>
      <c r="M957" s="109"/>
      <c r="N957" s="109"/>
      <c r="O957" s="109"/>
      <c r="P957" s="109"/>
      <c r="Q957" s="109"/>
      <c r="R957" s="109"/>
      <c r="S957" s="109"/>
      <c r="T957" s="109"/>
      <c r="U957" s="109"/>
      <c r="V957" s="109"/>
      <c r="W957" s="109"/>
      <c r="X957" s="109"/>
      <c r="Y957" s="109"/>
      <c r="Z957" s="109"/>
      <c r="AA957" s="109"/>
      <c r="AB957" s="109"/>
      <c r="AC957" s="109"/>
      <c r="AD957" s="109"/>
      <c r="AE957" s="109"/>
      <c r="AF957" s="109"/>
      <c r="AG957" s="109"/>
      <c r="AH957" s="109"/>
      <c r="AI957" s="109"/>
      <c r="AJ957" s="109"/>
      <c r="AK957" s="109"/>
      <c r="AL957" s="109"/>
      <c r="AM957" s="109"/>
      <c r="AN957" s="109"/>
      <c r="AO957" s="109"/>
      <c r="AP957" s="109"/>
      <c r="AQ957" s="109"/>
      <c r="AR957" s="109"/>
      <c r="AS957" s="109"/>
      <c r="AT957" s="109"/>
      <c r="AU957" s="109"/>
      <c r="AV957" s="109"/>
      <c r="AW957" s="109"/>
      <c r="AX957" s="109"/>
      <c r="AY957" s="34" t="s">
        <v>487</v>
      </c>
      <c r="AZ957" s="34"/>
      <c r="BA957" s="70"/>
      <c r="BB957" s="70"/>
      <c r="BC957" s="149"/>
      <c r="BI957" s="42"/>
    </row>
    <row r="958" spans="1:61" s="24" customFormat="1" hidden="1">
      <c r="A958" s="32"/>
      <c r="B958" s="158"/>
      <c r="C958" s="78" t="s">
        <v>44</v>
      </c>
      <c r="D958" s="35">
        <f t="shared" si="147"/>
        <v>0.16</v>
      </c>
      <c r="E958" s="35"/>
      <c r="F958" s="35">
        <f t="shared" si="159"/>
        <v>0.16</v>
      </c>
      <c r="G958" s="109"/>
      <c r="H958" s="109"/>
      <c r="I958" s="109"/>
      <c r="J958" s="109">
        <v>0.16</v>
      </c>
      <c r="K958" s="109"/>
      <c r="L958" s="109"/>
      <c r="M958" s="109"/>
      <c r="N958" s="109"/>
      <c r="O958" s="109"/>
      <c r="P958" s="109"/>
      <c r="Q958" s="109"/>
      <c r="R958" s="109"/>
      <c r="S958" s="109"/>
      <c r="T958" s="109"/>
      <c r="U958" s="109"/>
      <c r="V958" s="109"/>
      <c r="W958" s="109"/>
      <c r="X958" s="109"/>
      <c r="Y958" s="109"/>
      <c r="Z958" s="109"/>
      <c r="AA958" s="109"/>
      <c r="AB958" s="109"/>
      <c r="AC958" s="109"/>
      <c r="AD958" s="109"/>
      <c r="AE958" s="109"/>
      <c r="AF958" s="109"/>
      <c r="AG958" s="109"/>
      <c r="AH958" s="109"/>
      <c r="AI958" s="109"/>
      <c r="AJ958" s="109"/>
      <c r="AK958" s="109"/>
      <c r="AL958" s="109"/>
      <c r="AM958" s="109"/>
      <c r="AN958" s="109"/>
      <c r="AO958" s="109"/>
      <c r="AP958" s="109"/>
      <c r="AQ958" s="109"/>
      <c r="AR958" s="109"/>
      <c r="AS958" s="109"/>
      <c r="AT958" s="109"/>
      <c r="AU958" s="109"/>
      <c r="AV958" s="109"/>
      <c r="AW958" s="109"/>
      <c r="AX958" s="109"/>
      <c r="AY958" s="34" t="s">
        <v>487</v>
      </c>
      <c r="AZ958" s="34"/>
      <c r="BA958" s="70"/>
      <c r="BB958" s="70"/>
      <c r="BC958" s="149"/>
      <c r="BI958" s="42"/>
    </row>
    <row r="959" spans="1:61" s="24" customFormat="1" hidden="1">
      <c r="A959" s="32"/>
      <c r="B959" s="158"/>
      <c r="C959" s="78" t="s">
        <v>138</v>
      </c>
      <c r="D959" s="35">
        <f t="shared" si="147"/>
        <v>0.1</v>
      </c>
      <c r="E959" s="35"/>
      <c r="F959" s="35">
        <f t="shared" si="159"/>
        <v>0.1</v>
      </c>
      <c r="G959" s="147">
        <f t="shared" ref="G959:AW959" si="161">G956-G957-G958</f>
        <v>0</v>
      </c>
      <c r="H959" s="147">
        <f t="shared" si="161"/>
        <v>0</v>
      </c>
      <c r="I959" s="147">
        <f t="shared" si="161"/>
        <v>0</v>
      </c>
      <c r="J959" s="147">
        <f t="shared" si="161"/>
        <v>0.1</v>
      </c>
      <c r="K959" s="147">
        <f t="shared" si="161"/>
        <v>0</v>
      </c>
      <c r="L959" s="147">
        <f t="shared" si="161"/>
        <v>0</v>
      </c>
      <c r="M959" s="147">
        <f t="shared" si="161"/>
        <v>0</v>
      </c>
      <c r="N959" s="147">
        <f t="shared" si="161"/>
        <v>0</v>
      </c>
      <c r="O959" s="147">
        <f t="shared" si="161"/>
        <v>0</v>
      </c>
      <c r="P959" s="147">
        <f t="shared" si="161"/>
        <v>0</v>
      </c>
      <c r="Q959" s="147">
        <f t="shared" si="161"/>
        <v>0</v>
      </c>
      <c r="R959" s="147">
        <f t="shared" si="161"/>
        <v>0</v>
      </c>
      <c r="S959" s="147">
        <f t="shared" si="161"/>
        <v>0</v>
      </c>
      <c r="T959" s="147">
        <f t="shared" si="161"/>
        <v>0</v>
      </c>
      <c r="U959" s="147">
        <f t="shared" si="161"/>
        <v>0</v>
      </c>
      <c r="V959" s="147">
        <f t="shared" si="161"/>
        <v>0</v>
      </c>
      <c r="W959" s="147">
        <f t="shared" si="161"/>
        <v>0</v>
      </c>
      <c r="X959" s="147">
        <f t="shared" si="161"/>
        <v>0</v>
      </c>
      <c r="Y959" s="147">
        <f t="shared" si="161"/>
        <v>0</v>
      </c>
      <c r="Z959" s="147">
        <f t="shared" si="161"/>
        <v>0</v>
      </c>
      <c r="AA959" s="147">
        <f t="shared" si="161"/>
        <v>0</v>
      </c>
      <c r="AB959" s="147">
        <f t="shared" si="161"/>
        <v>0</v>
      </c>
      <c r="AC959" s="147">
        <f t="shared" si="161"/>
        <v>0</v>
      </c>
      <c r="AD959" s="147">
        <f t="shared" si="161"/>
        <v>0</v>
      </c>
      <c r="AE959" s="147">
        <f t="shared" si="161"/>
        <v>0</v>
      </c>
      <c r="AF959" s="147">
        <f t="shared" si="161"/>
        <v>0</v>
      </c>
      <c r="AG959" s="147">
        <f t="shared" si="161"/>
        <v>0</v>
      </c>
      <c r="AH959" s="147">
        <f t="shared" si="161"/>
        <v>0</v>
      </c>
      <c r="AI959" s="147">
        <f t="shared" si="161"/>
        <v>0</v>
      </c>
      <c r="AJ959" s="147">
        <f t="shared" si="161"/>
        <v>0</v>
      </c>
      <c r="AK959" s="147">
        <f t="shared" si="161"/>
        <v>0</v>
      </c>
      <c r="AL959" s="147">
        <f t="shared" si="161"/>
        <v>0</v>
      </c>
      <c r="AM959" s="147">
        <f t="shared" si="161"/>
        <v>0</v>
      </c>
      <c r="AN959" s="147">
        <f t="shared" si="161"/>
        <v>0</v>
      </c>
      <c r="AO959" s="147">
        <f t="shared" si="161"/>
        <v>0</v>
      </c>
      <c r="AP959" s="147">
        <f t="shared" si="161"/>
        <v>0</v>
      </c>
      <c r="AQ959" s="147">
        <f t="shared" si="161"/>
        <v>0</v>
      </c>
      <c r="AR959" s="147">
        <f t="shared" si="161"/>
        <v>0</v>
      </c>
      <c r="AS959" s="147">
        <f t="shared" si="161"/>
        <v>0</v>
      </c>
      <c r="AT959" s="147">
        <f t="shared" si="161"/>
        <v>0</v>
      </c>
      <c r="AU959" s="147">
        <f t="shared" si="161"/>
        <v>0</v>
      </c>
      <c r="AV959" s="147">
        <f t="shared" si="161"/>
        <v>0</v>
      </c>
      <c r="AW959" s="147">
        <f t="shared" si="161"/>
        <v>0</v>
      </c>
      <c r="AX959" s="147">
        <f>AX956-AX957-AX958</f>
        <v>0</v>
      </c>
      <c r="AY959" s="34" t="s">
        <v>487</v>
      </c>
      <c r="AZ959" s="34"/>
      <c r="BA959" s="70"/>
      <c r="BB959" s="70"/>
      <c r="BC959" s="149"/>
      <c r="BI959" s="42"/>
    </row>
    <row r="960" spans="1:61" s="24" customFormat="1" ht="31.5">
      <c r="A960" s="32">
        <f>A956+1</f>
        <v>686</v>
      </c>
      <c r="B960" s="158" t="s">
        <v>186</v>
      </c>
      <c r="C960" s="78" t="s">
        <v>1260</v>
      </c>
      <c r="D960" s="35">
        <f t="shared" si="147"/>
        <v>0.66</v>
      </c>
      <c r="E960" s="35"/>
      <c r="F960" s="35">
        <f t="shared" si="159"/>
        <v>0.66</v>
      </c>
      <c r="G960" s="109">
        <v>0.66</v>
      </c>
      <c r="H960" s="109"/>
      <c r="I960" s="109"/>
      <c r="J960" s="109"/>
      <c r="K960" s="109"/>
      <c r="L960" s="109"/>
      <c r="M960" s="109"/>
      <c r="N960" s="109"/>
      <c r="O960" s="109"/>
      <c r="P960" s="109"/>
      <c r="Q960" s="109"/>
      <c r="R960" s="109"/>
      <c r="S960" s="109"/>
      <c r="T960" s="109"/>
      <c r="U960" s="109"/>
      <c r="V960" s="109"/>
      <c r="W960" s="109"/>
      <c r="X960" s="109"/>
      <c r="Y960" s="109"/>
      <c r="Z960" s="109"/>
      <c r="AA960" s="109"/>
      <c r="AB960" s="109"/>
      <c r="AC960" s="109"/>
      <c r="AD960" s="109"/>
      <c r="AE960" s="109"/>
      <c r="AF960" s="109"/>
      <c r="AG960" s="109"/>
      <c r="AH960" s="109"/>
      <c r="AI960" s="109"/>
      <c r="AJ960" s="109"/>
      <c r="AK960" s="109"/>
      <c r="AL960" s="109"/>
      <c r="AM960" s="109"/>
      <c r="AN960" s="109"/>
      <c r="AO960" s="109"/>
      <c r="AP960" s="109"/>
      <c r="AQ960" s="109"/>
      <c r="AR960" s="109"/>
      <c r="AS960" s="109"/>
      <c r="AT960" s="109"/>
      <c r="AU960" s="109"/>
      <c r="AV960" s="109"/>
      <c r="AW960" s="109"/>
      <c r="AX960" s="109"/>
      <c r="AY960" s="34" t="s">
        <v>228</v>
      </c>
      <c r="AZ960" s="34" t="s">
        <v>1457</v>
      </c>
      <c r="BA960" s="47" t="s">
        <v>298</v>
      </c>
      <c r="BB960" s="47"/>
      <c r="BC960" s="56" t="s">
        <v>1458</v>
      </c>
      <c r="BI960" s="42">
        <v>1</v>
      </c>
    </row>
    <row r="961" spans="1:72" s="24" customFormat="1" hidden="1">
      <c r="A961" s="32"/>
      <c r="B961" s="158"/>
      <c r="C961" s="78" t="s">
        <v>59</v>
      </c>
      <c r="D961" s="35">
        <f t="shared" ref="D961:D1024" si="162">F961+E961</f>
        <v>0.23</v>
      </c>
      <c r="E961" s="35"/>
      <c r="F961" s="35">
        <f t="shared" si="159"/>
        <v>0.23</v>
      </c>
      <c r="G961" s="109">
        <v>0.23</v>
      </c>
      <c r="H961" s="109"/>
      <c r="I961" s="109"/>
      <c r="J961" s="109"/>
      <c r="K961" s="109"/>
      <c r="L961" s="109"/>
      <c r="M961" s="109"/>
      <c r="N961" s="109"/>
      <c r="O961" s="109"/>
      <c r="P961" s="109"/>
      <c r="Q961" s="109"/>
      <c r="R961" s="109"/>
      <c r="S961" s="109"/>
      <c r="T961" s="109"/>
      <c r="U961" s="109"/>
      <c r="V961" s="109"/>
      <c r="W961" s="109"/>
      <c r="X961" s="109"/>
      <c r="Y961" s="109"/>
      <c r="Z961" s="109"/>
      <c r="AA961" s="109"/>
      <c r="AB961" s="109"/>
      <c r="AC961" s="109"/>
      <c r="AD961" s="109"/>
      <c r="AE961" s="109"/>
      <c r="AF961" s="109"/>
      <c r="AG961" s="109"/>
      <c r="AH961" s="109"/>
      <c r="AI961" s="109"/>
      <c r="AJ961" s="109"/>
      <c r="AK961" s="109"/>
      <c r="AL961" s="109"/>
      <c r="AM961" s="109"/>
      <c r="AN961" s="109"/>
      <c r="AO961" s="109"/>
      <c r="AP961" s="109"/>
      <c r="AQ961" s="109"/>
      <c r="AR961" s="109"/>
      <c r="AS961" s="109"/>
      <c r="AT961" s="109"/>
      <c r="AU961" s="109"/>
      <c r="AV961" s="109"/>
      <c r="AW961" s="109"/>
      <c r="AX961" s="109"/>
      <c r="AY961" s="34" t="s">
        <v>487</v>
      </c>
      <c r="AZ961" s="34"/>
      <c r="BA961" s="47"/>
      <c r="BB961" s="47"/>
      <c r="BC961" s="56"/>
      <c r="BI961" s="42"/>
    </row>
    <row r="962" spans="1:72" s="24" customFormat="1" hidden="1">
      <c r="A962" s="32"/>
      <c r="B962" s="158"/>
      <c r="C962" s="78" t="s">
        <v>44</v>
      </c>
      <c r="D962" s="35">
        <f t="shared" si="162"/>
        <v>0.26</v>
      </c>
      <c r="E962" s="35"/>
      <c r="F962" s="35">
        <f t="shared" si="159"/>
        <v>0.26</v>
      </c>
      <c r="G962" s="109">
        <v>0.26</v>
      </c>
      <c r="H962" s="109"/>
      <c r="I962" s="109"/>
      <c r="J962" s="109"/>
      <c r="K962" s="109"/>
      <c r="L962" s="109"/>
      <c r="M962" s="109"/>
      <c r="N962" s="109"/>
      <c r="O962" s="109"/>
      <c r="P962" s="109"/>
      <c r="Q962" s="109"/>
      <c r="R962" s="109"/>
      <c r="S962" s="109"/>
      <c r="T962" s="109"/>
      <c r="U962" s="109"/>
      <c r="V962" s="109"/>
      <c r="W962" s="109"/>
      <c r="X962" s="109"/>
      <c r="Y962" s="109"/>
      <c r="Z962" s="109"/>
      <c r="AA962" s="109"/>
      <c r="AB962" s="109"/>
      <c r="AC962" s="109"/>
      <c r="AD962" s="109"/>
      <c r="AE962" s="109"/>
      <c r="AF962" s="109"/>
      <c r="AG962" s="109"/>
      <c r="AH962" s="109"/>
      <c r="AI962" s="109"/>
      <c r="AJ962" s="109"/>
      <c r="AK962" s="109"/>
      <c r="AL962" s="109"/>
      <c r="AM962" s="109"/>
      <c r="AN962" s="109"/>
      <c r="AO962" s="109"/>
      <c r="AP962" s="109"/>
      <c r="AQ962" s="109"/>
      <c r="AR962" s="109"/>
      <c r="AS962" s="109"/>
      <c r="AT962" s="109"/>
      <c r="AU962" s="109"/>
      <c r="AV962" s="109"/>
      <c r="AW962" s="109"/>
      <c r="AX962" s="109"/>
      <c r="AY962" s="34" t="s">
        <v>487</v>
      </c>
      <c r="AZ962" s="34"/>
      <c r="BA962" s="47"/>
      <c r="BB962" s="47"/>
      <c r="BC962" s="56"/>
      <c r="BI962" s="42"/>
    </row>
    <row r="963" spans="1:72" s="24" customFormat="1" hidden="1">
      <c r="A963" s="32"/>
      <c r="B963" s="158"/>
      <c r="C963" s="78" t="s">
        <v>138</v>
      </c>
      <c r="D963" s="35">
        <f t="shared" si="162"/>
        <v>0.17000000000000004</v>
      </c>
      <c r="E963" s="35"/>
      <c r="F963" s="35">
        <f t="shared" si="159"/>
        <v>0.17000000000000004</v>
      </c>
      <c r="G963" s="147">
        <f t="shared" ref="G963:AW963" si="163">G960-G961-G962</f>
        <v>0.17000000000000004</v>
      </c>
      <c r="H963" s="147">
        <f t="shared" si="163"/>
        <v>0</v>
      </c>
      <c r="I963" s="147">
        <f t="shared" si="163"/>
        <v>0</v>
      </c>
      <c r="J963" s="147">
        <f t="shared" si="163"/>
        <v>0</v>
      </c>
      <c r="K963" s="147">
        <f t="shared" si="163"/>
        <v>0</v>
      </c>
      <c r="L963" s="147">
        <f t="shared" si="163"/>
        <v>0</v>
      </c>
      <c r="M963" s="147">
        <f t="shared" si="163"/>
        <v>0</v>
      </c>
      <c r="N963" s="147">
        <f t="shared" si="163"/>
        <v>0</v>
      </c>
      <c r="O963" s="147">
        <f t="shared" si="163"/>
        <v>0</v>
      </c>
      <c r="P963" s="147">
        <f t="shared" si="163"/>
        <v>0</v>
      </c>
      <c r="Q963" s="147">
        <f t="shared" si="163"/>
        <v>0</v>
      </c>
      <c r="R963" s="147">
        <f t="shared" si="163"/>
        <v>0</v>
      </c>
      <c r="S963" s="147">
        <f t="shared" si="163"/>
        <v>0</v>
      </c>
      <c r="T963" s="147">
        <f t="shared" si="163"/>
        <v>0</v>
      </c>
      <c r="U963" s="147">
        <f t="shared" si="163"/>
        <v>0</v>
      </c>
      <c r="V963" s="147">
        <f t="shared" si="163"/>
        <v>0</v>
      </c>
      <c r="W963" s="147">
        <f t="shared" si="163"/>
        <v>0</v>
      </c>
      <c r="X963" s="147">
        <f t="shared" si="163"/>
        <v>0</v>
      </c>
      <c r="Y963" s="147">
        <f t="shared" si="163"/>
        <v>0</v>
      </c>
      <c r="Z963" s="147">
        <f t="shared" si="163"/>
        <v>0</v>
      </c>
      <c r="AA963" s="147">
        <f t="shared" si="163"/>
        <v>0</v>
      </c>
      <c r="AB963" s="147">
        <f t="shared" si="163"/>
        <v>0</v>
      </c>
      <c r="AC963" s="147">
        <f t="shared" si="163"/>
        <v>0</v>
      </c>
      <c r="AD963" s="147">
        <f t="shared" si="163"/>
        <v>0</v>
      </c>
      <c r="AE963" s="147">
        <f t="shared" si="163"/>
        <v>0</v>
      </c>
      <c r="AF963" s="147">
        <f t="shared" si="163"/>
        <v>0</v>
      </c>
      <c r="AG963" s="147">
        <f t="shared" si="163"/>
        <v>0</v>
      </c>
      <c r="AH963" s="147">
        <f t="shared" si="163"/>
        <v>0</v>
      </c>
      <c r="AI963" s="147">
        <f t="shared" si="163"/>
        <v>0</v>
      </c>
      <c r="AJ963" s="147">
        <f t="shared" si="163"/>
        <v>0</v>
      </c>
      <c r="AK963" s="147">
        <f t="shared" si="163"/>
        <v>0</v>
      </c>
      <c r="AL963" s="147">
        <f t="shared" si="163"/>
        <v>0</v>
      </c>
      <c r="AM963" s="147">
        <f t="shared" si="163"/>
        <v>0</v>
      </c>
      <c r="AN963" s="147">
        <f t="shared" si="163"/>
        <v>0</v>
      </c>
      <c r="AO963" s="147">
        <f t="shared" si="163"/>
        <v>0</v>
      </c>
      <c r="AP963" s="147">
        <f t="shared" si="163"/>
        <v>0</v>
      </c>
      <c r="AQ963" s="147">
        <f t="shared" si="163"/>
        <v>0</v>
      </c>
      <c r="AR963" s="147">
        <f t="shared" si="163"/>
        <v>0</v>
      </c>
      <c r="AS963" s="147">
        <f t="shared" si="163"/>
        <v>0</v>
      </c>
      <c r="AT963" s="147">
        <f t="shared" si="163"/>
        <v>0</v>
      </c>
      <c r="AU963" s="147">
        <f t="shared" si="163"/>
        <v>0</v>
      </c>
      <c r="AV963" s="147">
        <f t="shared" si="163"/>
        <v>0</v>
      </c>
      <c r="AW963" s="147">
        <f t="shared" si="163"/>
        <v>0</v>
      </c>
      <c r="AX963" s="147">
        <f>AX960-AX961-AX962</f>
        <v>0</v>
      </c>
      <c r="AY963" s="34" t="s">
        <v>487</v>
      </c>
      <c r="AZ963" s="34"/>
      <c r="BA963" s="47"/>
      <c r="BB963" s="47"/>
      <c r="BC963" s="56"/>
      <c r="BI963" s="42"/>
    </row>
    <row r="964" spans="1:72" s="24" customFormat="1" ht="35.1" customHeight="1">
      <c r="A964" s="32">
        <f>A960+1</f>
        <v>687</v>
      </c>
      <c r="B964" s="158" t="s">
        <v>186</v>
      </c>
      <c r="C964" s="78" t="s">
        <v>59</v>
      </c>
      <c r="D964" s="35">
        <f t="shared" si="162"/>
        <v>0.09</v>
      </c>
      <c r="E964" s="35">
        <v>0.09</v>
      </c>
      <c r="F964" s="89">
        <f t="shared" si="159"/>
        <v>0</v>
      </c>
      <c r="G964" s="109"/>
      <c r="H964" s="109"/>
      <c r="I964" s="109"/>
      <c r="J964" s="109"/>
      <c r="K964" s="109"/>
      <c r="L964" s="109"/>
      <c r="M964" s="109"/>
      <c r="N964" s="109"/>
      <c r="O964" s="109"/>
      <c r="P964" s="109"/>
      <c r="Q964" s="109"/>
      <c r="R964" s="109"/>
      <c r="S964" s="109"/>
      <c r="T964" s="109"/>
      <c r="U964" s="109"/>
      <c r="V964" s="109"/>
      <c r="W964" s="109"/>
      <c r="X964" s="109"/>
      <c r="Y964" s="109"/>
      <c r="Z964" s="109"/>
      <c r="AA964" s="109"/>
      <c r="AB964" s="109"/>
      <c r="AC964" s="109"/>
      <c r="AD964" s="109"/>
      <c r="AE964" s="109"/>
      <c r="AF964" s="109"/>
      <c r="AG964" s="109"/>
      <c r="AH964" s="109"/>
      <c r="AI964" s="109"/>
      <c r="AJ964" s="109"/>
      <c r="AK964" s="109"/>
      <c r="AL964" s="109"/>
      <c r="AM964" s="109"/>
      <c r="AN964" s="109"/>
      <c r="AO964" s="109"/>
      <c r="AP964" s="109"/>
      <c r="AQ964" s="109"/>
      <c r="AR964" s="109"/>
      <c r="AS964" s="109"/>
      <c r="AT964" s="109"/>
      <c r="AU964" s="109"/>
      <c r="AV964" s="109"/>
      <c r="AW964" s="109"/>
      <c r="AX964" s="109"/>
      <c r="AY964" s="34" t="s">
        <v>228</v>
      </c>
      <c r="AZ964" s="34" t="s">
        <v>1459</v>
      </c>
      <c r="BA964" s="47" t="s">
        <v>298</v>
      </c>
      <c r="BB964" s="47"/>
      <c r="BC964" s="56"/>
      <c r="BG964" s="24" t="s">
        <v>311</v>
      </c>
      <c r="BI964" s="42"/>
      <c r="BT964" s="24" t="s">
        <v>1460</v>
      </c>
    </row>
    <row r="965" spans="1:72" s="24" customFormat="1" ht="48.6" customHeight="1">
      <c r="A965" s="32">
        <f>A964+1</f>
        <v>688</v>
      </c>
      <c r="B965" s="56" t="s">
        <v>1461</v>
      </c>
      <c r="C965" s="78" t="s">
        <v>59</v>
      </c>
      <c r="D965" s="35">
        <f t="shared" si="162"/>
        <v>0.28999999999999998</v>
      </c>
      <c r="E965" s="35"/>
      <c r="F965" s="35">
        <f t="shared" ref="F965:F1028" si="164">SUM(G965:AX965)</f>
        <v>0.28999999999999998</v>
      </c>
      <c r="G965" s="109">
        <v>0.28999999999999998</v>
      </c>
      <c r="H965" s="109"/>
      <c r="I965" s="109"/>
      <c r="J965" s="109"/>
      <c r="K965" s="109"/>
      <c r="L965" s="109"/>
      <c r="M965" s="109"/>
      <c r="N965" s="109"/>
      <c r="O965" s="109"/>
      <c r="P965" s="109"/>
      <c r="Q965" s="109"/>
      <c r="R965" s="109"/>
      <c r="S965" s="109"/>
      <c r="T965" s="109"/>
      <c r="U965" s="109"/>
      <c r="V965" s="109"/>
      <c r="W965" s="109"/>
      <c r="X965" s="109"/>
      <c r="Y965" s="109"/>
      <c r="Z965" s="109"/>
      <c r="AA965" s="109"/>
      <c r="AB965" s="109"/>
      <c r="AC965" s="109"/>
      <c r="AD965" s="109"/>
      <c r="AE965" s="109"/>
      <c r="AF965" s="109"/>
      <c r="AG965" s="109"/>
      <c r="AH965" s="109"/>
      <c r="AI965" s="109"/>
      <c r="AJ965" s="109"/>
      <c r="AK965" s="109"/>
      <c r="AL965" s="109"/>
      <c r="AM965" s="109"/>
      <c r="AN965" s="109"/>
      <c r="AO965" s="109"/>
      <c r="AP965" s="109"/>
      <c r="AQ965" s="109"/>
      <c r="AR965" s="109"/>
      <c r="AS965" s="109"/>
      <c r="AT965" s="109"/>
      <c r="AU965" s="109"/>
      <c r="AV965" s="109"/>
      <c r="AW965" s="109"/>
      <c r="AX965" s="109"/>
      <c r="AY965" s="34" t="s">
        <v>228</v>
      </c>
      <c r="AZ965" s="34" t="s">
        <v>1145</v>
      </c>
      <c r="BA965" s="63" t="s">
        <v>291</v>
      </c>
      <c r="BB965" s="63"/>
      <c r="BC965" s="56" t="s">
        <v>1461</v>
      </c>
      <c r="BI965" s="42">
        <v>1</v>
      </c>
    </row>
    <row r="966" spans="1:72" s="24" customFormat="1" ht="20.85" customHeight="1">
      <c r="A966" s="32">
        <f>A965+1</f>
        <v>689</v>
      </c>
      <c r="B966" s="56" t="s">
        <v>1462</v>
      </c>
      <c r="C966" s="78" t="s">
        <v>59</v>
      </c>
      <c r="D966" s="35">
        <f t="shared" si="162"/>
        <v>0.3</v>
      </c>
      <c r="E966" s="35"/>
      <c r="F966" s="35">
        <f t="shared" si="164"/>
        <v>0.3</v>
      </c>
      <c r="G966" s="109">
        <v>0.3</v>
      </c>
      <c r="H966" s="109"/>
      <c r="I966" s="109"/>
      <c r="J966" s="109"/>
      <c r="K966" s="109"/>
      <c r="L966" s="109"/>
      <c r="M966" s="109"/>
      <c r="N966" s="109"/>
      <c r="O966" s="109"/>
      <c r="P966" s="109"/>
      <c r="Q966" s="109"/>
      <c r="R966" s="109"/>
      <c r="S966" s="109"/>
      <c r="T966" s="109"/>
      <c r="U966" s="109"/>
      <c r="V966" s="109"/>
      <c r="W966" s="109"/>
      <c r="X966" s="109"/>
      <c r="Y966" s="109"/>
      <c r="Z966" s="109"/>
      <c r="AA966" s="109"/>
      <c r="AB966" s="109"/>
      <c r="AC966" s="109"/>
      <c r="AD966" s="109"/>
      <c r="AE966" s="109"/>
      <c r="AF966" s="109"/>
      <c r="AG966" s="109"/>
      <c r="AH966" s="109"/>
      <c r="AI966" s="109"/>
      <c r="AJ966" s="109"/>
      <c r="AK966" s="109"/>
      <c r="AL966" s="109"/>
      <c r="AM966" s="109"/>
      <c r="AN966" s="109"/>
      <c r="AO966" s="109"/>
      <c r="AP966" s="109"/>
      <c r="AQ966" s="109"/>
      <c r="AR966" s="109"/>
      <c r="AS966" s="109"/>
      <c r="AT966" s="109"/>
      <c r="AU966" s="109"/>
      <c r="AV966" s="109"/>
      <c r="AW966" s="109"/>
      <c r="AX966" s="109"/>
      <c r="AY966" s="34" t="s">
        <v>228</v>
      </c>
      <c r="AZ966" s="34" t="s">
        <v>1145</v>
      </c>
      <c r="BA966" s="47" t="s">
        <v>298</v>
      </c>
      <c r="BB966" s="47"/>
      <c r="BC966" s="56" t="s">
        <v>1462</v>
      </c>
      <c r="BI966" s="42">
        <v>1</v>
      </c>
    </row>
    <row r="967" spans="1:72" s="24" customFormat="1" ht="20.85" customHeight="1">
      <c r="A967" s="32">
        <f>A966+1</f>
        <v>690</v>
      </c>
      <c r="B967" s="56" t="s">
        <v>1299</v>
      </c>
      <c r="C967" s="78" t="s">
        <v>59</v>
      </c>
      <c r="D967" s="35">
        <f t="shared" si="162"/>
        <v>1.2</v>
      </c>
      <c r="E967" s="108"/>
      <c r="F967" s="35">
        <f t="shared" si="164"/>
        <v>1.2</v>
      </c>
      <c r="G967" s="109"/>
      <c r="H967" s="109"/>
      <c r="I967" s="109"/>
      <c r="J967" s="109">
        <v>1.2</v>
      </c>
      <c r="K967" s="109"/>
      <c r="L967" s="109"/>
      <c r="M967" s="109"/>
      <c r="N967" s="109"/>
      <c r="O967" s="109"/>
      <c r="P967" s="109"/>
      <c r="Q967" s="109"/>
      <c r="R967" s="109"/>
      <c r="S967" s="109"/>
      <c r="T967" s="109"/>
      <c r="U967" s="109"/>
      <c r="V967" s="109"/>
      <c r="W967" s="109"/>
      <c r="X967" s="109"/>
      <c r="Y967" s="109"/>
      <c r="Z967" s="109"/>
      <c r="AA967" s="109"/>
      <c r="AB967" s="109"/>
      <c r="AC967" s="109"/>
      <c r="AD967" s="109"/>
      <c r="AE967" s="109"/>
      <c r="AF967" s="109"/>
      <c r="AG967" s="109"/>
      <c r="AH967" s="109"/>
      <c r="AI967" s="109"/>
      <c r="AJ967" s="109"/>
      <c r="AK967" s="109"/>
      <c r="AL967" s="109"/>
      <c r="AM967" s="109"/>
      <c r="AN967" s="109"/>
      <c r="AO967" s="109"/>
      <c r="AP967" s="109"/>
      <c r="AQ967" s="109"/>
      <c r="AR967" s="109"/>
      <c r="AS967" s="109"/>
      <c r="AT967" s="109"/>
      <c r="AU967" s="109"/>
      <c r="AV967" s="109"/>
      <c r="AW967" s="109"/>
      <c r="AX967" s="109"/>
      <c r="AY967" s="34" t="s">
        <v>228</v>
      </c>
      <c r="AZ967" s="34" t="s">
        <v>615</v>
      </c>
      <c r="BA967" s="63" t="s">
        <v>291</v>
      </c>
      <c r="BB967" s="64"/>
      <c r="BC967" s="24" t="s">
        <v>1463</v>
      </c>
      <c r="BI967" s="42">
        <v>1</v>
      </c>
    </row>
    <row r="968" spans="1:72" s="24" customFormat="1" ht="20.85" customHeight="1">
      <c r="A968" s="32" t="s">
        <v>1464</v>
      </c>
      <c r="B968" s="158" t="s">
        <v>186</v>
      </c>
      <c r="C968" s="78" t="s">
        <v>1260</v>
      </c>
      <c r="D968" s="35">
        <f>E968+F968</f>
        <v>6.9200000000000008</v>
      </c>
      <c r="E968" s="89">
        <f>E969+E973+E977+E981+E982+E983+E987+E991+E995+E999+E1000</f>
        <v>0</v>
      </c>
      <c r="F968" s="141">
        <f>F969+F973+F977+F981+F982+F983+F987+F991+F995+F999+F1000</f>
        <v>6.9200000000000008</v>
      </c>
      <c r="G968" s="141">
        <f t="shared" ref="G968:AX968" si="165">G969+G973+G977+G981+G982+G983+G987+G991+G995+G999+G1000</f>
        <v>2.92</v>
      </c>
      <c r="H968" s="141">
        <f t="shared" si="165"/>
        <v>0.56000000000000005</v>
      </c>
      <c r="I968" s="141">
        <f t="shared" si="165"/>
        <v>0.55000000000000004</v>
      </c>
      <c r="J968" s="141">
        <f t="shared" si="165"/>
        <v>1.65</v>
      </c>
      <c r="K968" s="141">
        <f t="shared" si="165"/>
        <v>0</v>
      </c>
      <c r="L968" s="141">
        <f t="shared" si="165"/>
        <v>0</v>
      </c>
      <c r="M968" s="141">
        <f t="shared" si="165"/>
        <v>0.97000000000000008</v>
      </c>
      <c r="N968" s="141">
        <f t="shared" si="165"/>
        <v>0</v>
      </c>
      <c r="O968" s="141">
        <f t="shared" si="165"/>
        <v>0</v>
      </c>
      <c r="P968" s="141">
        <f t="shared" si="165"/>
        <v>0.2</v>
      </c>
      <c r="Q968" s="141">
        <f t="shared" si="165"/>
        <v>0</v>
      </c>
      <c r="R968" s="141">
        <f t="shared" si="165"/>
        <v>0</v>
      </c>
      <c r="S968" s="141">
        <f t="shared" si="165"/>
        <v>0</v>
      </c>
      <c r="T968" s="141">
        <f t="shared" si="165"/>
        <v>0</v>
      </c>
      <c r="U968" s="141">
        <f t="shared" si="165"/>
        <v>0</v>
      </c>
      <c r="V968" s="141">
        <f t="shared" si="165"/>
        <v>0</v>
      </c>
      <c r="W968" s="141">
        <f t="shared" si="165"/>
        <v>0</v>
      </c>
      <c r="X968" s="141">
        <f t="shared" si="165"/>
        <v>0</v>
      </c>
      <c r="Y968" s="141">
        <f t="shared" si="165"/>
        <v>0</v>
      </c>
      <c r="Z968" s="141">
        <f t="shared" si="165"/>
        <v>0</v>
      </c>
      <c r="AA968" s="141">
        <f t="shared" si="165"/>
        <v>0</v>
      </c>
      <c r="AB968" s="141">
        <f t="shared" si="165"/>
        <v>0</v>
      </c>
      <c r="AC968" s="141">
        <f t="shared" si="165"/>
        <v>0</v>
      </c>
      <c r="AD968" s="141">
        <f t="shared" si="165"/>
        <v>0</v>
      </c>
      <c r="AE968" s="141">
        <f t="shared" si="165"/>
        <v>0</v>
      </c>
      <c r="AF968" s="141">
        <f t="shared" si="165"/>
        <v>0</v>
      </c>
      <c r="AG968" s="141">
        <f t="shared" si="165"/>
        <v>0</v>
      </c>
      <c r="AH968" s="141">
        <f t="shared" si="165"/>
        <v>0</v>
      </c>
      <c r="AI968" s="141">
        <f t="shared" si="165"/>
        <v>0</v>
      </c>
      <c r="AJ968" s="141">
        <f t="shared" si="165"/>
        <v>0</v>
      </c>
      <c r="AK968" s="141">
        <f t="shared" si="165"/>
        <v>0</v>
      </c>
      <c r="AL968" s="141">
        <f t="shared" si="165"/>
        <v>0</v>
      </c>
      <c r="AM968" s="141">
        <f t="shared" si="165"/>
        <v>0</v>
      </c>
      <c r="AN968" s="141">
        <f t="shared" si="165"/>
        <v>7.0000000000000007E-2</v>
      </c>
      <c r="AO968" s="141">
        <f t="shared" si="165"/>
        <v>0</v>
      </c>
      <c r="AP968" s="141">
        <f t="shared" si="165"/>
        <v>0</v>
      </c>
      <c r="AQ968" s="141">
        <f t="shared" si="165"/>
        <v>0</v>
      </c>
      <c r="AR968" s="141">
        <f t="shared" si="165"/>
        <v>0</v>
      </c>
      <c r="AS968" s="141">
        <f t="shared" si="165"/>
        <v>0</v>
      </c>
      <c r="AT968" s="141">
        <f t="shared" si="165"/>
        <v>0</v>
      </c>
      <c r="AU968" s="141">
        <f t="shared" si="165"/>
        <v>0</v>
      </c>
      <c r="AV968" s="141">
        <f t="shared" si="165"/>
        <v>0</v>
      </c>
      <c r="AW968" s="141">
        <f t="shared" si="165"/>
        <v>0</v>
      </c>
      <c r="AX968" s="141">
        <f t="shared" si="165"/>
        <v>0</v>
      </c>
      <c r="AY968" s="34" t="s">
        <v>229</v>
      </c>
      <c r="AZ968" s="34"/>
      <c r="BA968" s="63"/>
      <c r="BB968" s="64"/>
      <c r="BI968" s="42"/>
    </row>
    <row r="969" spans="1:72" s="24" customFormat="1" ht="46.35" customHeight="1">
      <c r="A969" s="32">
        <f>A967+1</f>
        <v>691</v>
      </c>
      <c r="B969" s="158" t="s">
        <v>186</v>
      </c>
      <c r="C969" s="78" t="s">
        <v>1260</v>
      </c>
      <c r="D969" s="35">
        <f t="shared" si="162"/>
        <v>0.8</v>
      </c>
      <c r="E969" s="35"/>
      <c r="F969" s="35">
        <f t="shared" si="164"/>
        <v>0.8</v>
      </c>
      <c r="G969" s="109">
        <v>0.65</v>
      </c>
      <c r="H969" s="109">
        <v>0.15</v>
      </c>
      <c r="I969" s="109"/>
      <c r="J969" s="109"/>
      <c r="K969" s="46"/>
      <c r="L969" s="46"/>
      <c r="M969" s="109"/>
      <c r="N969" s="46"/>
      <c r="O969" s="46"/>
      <c r="P969" s="109"/>
      <c r="Q969" s="46"/>
      <c r="R969" s="46"/>
      <c r="S969" s="46"/>
      <c r="T969" s="46"/>
      <c r="U969" s="46"/>
      <c r="V969" s="46"/>
      <c r="W969" s="46"/>
      <c r="X969" s="46"/>
      <c r="Y969" s="46"/>
      <c r="Z969" s="46"/>
      <c r="AA969" s="46"/>
      <c r="AB969" s="46"/>
      <c r="AC969" s="46"/>
      <c r="AD969" s="46"/>
      <c r="AE969" s="46"/>
      <c r="AF969" s="46"/>
      <c r="AG969" s="46"/>
      <c r="AH969" s="46"/>
      <c r="AI969" s="46"/>
      <c r="AJ969" s="46"/>
      <c r="AK969" s="46"/>
      <c r="AL969" s="46"/>
      <c r="AM969" s="46"/>
      <c r="AN969" s="109"/>
      <c r="AO969" s="46"/>
      <c r="AP969" s="46"/>
      <c r="AQ969" s="46"/>
      <c r="AR969" s="46"/>
      <c r="AS969" s="46"/>
      <c r="AT969" s="46"/>
      <c r="AU969" s="46"/>
      <c r="AV969" s="46"/>
      <c r="AW969" s="46"/>
      <c r="AX969" s="46"/>
      <c r="AY969" s="34" t="s">
        <v>229</v>
      </c>
      <c r="AZ969" s="47" t="s">
        <v>1465</v>
      </c>
      <c r="BA969" s="93" t="s">
        <v>291</v>
      </c>
      <c r="BB969" s="126" t="s">
        <v>1466</v>
      </c>
      <c r="BC969" s="158" t="s">
        <v>1467</v>
      </c>
      <c r="BI969" s="42">
        <v>1</v>
      </c>
    </row>
    <row r="970" spans="1:72" s="24" customFormat="1" ht="24.6" hidden="1" customHeight="1">
      <c r="A970" s="32"/>
      <c r="B970" s="158"/>
      <c r="C970" s="78" t="s">
        <v>59</v>
      </c>
      <c r="D970" s="35">
        <f t="shared" si="162"/>
        <v>0.28000000000000003</v>
      </c>
      <c r="E970" s="35"/>
      <c r="F970" s="35">
        <f t="shared" si="164"/>
        <v>0.28000000000000003</v>
      </c>
      <c r="G970" s="109">
        <v>0.28000000000000003</v>
      </c>
      <c r="H970" s="109"/>
      <c r="I970" s="109"/>
      <c r="J970" s="109"/>
      <c r="K970" s="46"/>
      <c r="L970" s="46"/>
      <c r="M970" s="109"/>
      <c r="N970" s="46"/>
      <c r="O970" s="46"/>
      <c r="P970" s="109"/>
      <c r="Q970" s="46"/>
      <c r="R970" s="46"/>
      <c r="S970" s="46"/>
      <c r="T970" s="46"/>
      <c r="U970" s="46"/>
      <c r="V970" s="46"/>
      <c r="W970" s="46"/>
      <c r="X970" s="46"/>
      <c r="Y970" s="46"/>
      <c r="Z970" s="46"/>
      <c r="AA970" s="46"/>
      <c r="AB970" s="46"/>
      <c r="AC970" s="46"/>
      <c r="AD970" s="46"/>
      <c r="AE970" s="46"/>
      <c r="AF970" s="46"/>
      <c r="AG970" s="46"/>
      <c r="AH970" s="46"/>
      <c r="AI970" s="46"/>
      <c r="AJ970" s="46"/>
      <c r="AK970" s="46"/>
      <c r="AL970" s="46"/>
      <c r="AM970" s="46"/>
      <c r="AN970" s="109"/>
      <c r="AO970" s="46"/>
      <c r="AP970" s="46"/>
      <c r="AQ970" s="46"/>
      <c r="AR970" s="46"/>
      <c r="AS970" s="46"/>
      <c r="AT970" s="46"/>
      <c r="AU970" s="46"/>
      <c r="AV970" s="46"/>
      <c r="AW970" s="46"/>
      <c r="AX970" s="46"/>
      <c r="AY970" s="34" t="s">
        <v>229</v>
      </c>
      <c r="AZ970" s="47"/>
      <c r="BA970" s="93"/>
      <c r="BB970" s="126"/>
      <c r="BC970" s="158"/>
      <c r="BI970" s="42"/>
    </row>
    <row r="971" spans="1:72" s="24" customFormat="1" ht="24.6" hidden="1" customHeight="1">
      <c r="A971" s="32"/>
      <c r="B971" s="158"/>
      <c r="C971" s="78" t="s">
        <v>44</v>
      </c>
      <c r="D971" s="35">
        <f t="shared" si="162"/>
        <v>0.32</v>
      </c>
      <c r="E971" s="35"/>
      <c r="F971" s="35">
        <f t="shared" si="164"/>
        <v>0.32</v>
      </c>
      <c r="G971" s="109">
        <v>0.25</v>
      </c>
      <c r="H971" s="109">
        <v>7.0000000000000007E-2</v>
      </c>
      <c r="I971" s="109"/>
      <c r="J971" s="109"/>
      <c r="K971" s="46"/>
      <c r="L971" s="46"/>
      <c r="M971" s="109"/>
      <c r="N971" s="46"/>
      <c r="O971" s="46"/>
      <c r="P971" s="109"/>
      <c r="Q971" s="46"/>
      <c r="R971" s="46"/>
      <c r="S971" s="46"/>
      <c r="T971" s="46"/>
      <c r="U971" s="46"/>
      <c r="V971" s="46"/>
      <c r="W971" s="46"/>
      <c r="X971" s="46"/>
      <c r="Y971" s="46"/>
      <c r="Z971" s="46"/>
      <c r="AA971" s="46"/>
      <c r="AB971" s="46"/>
      <c r="AC971" s="46"/>
      <c r="AD971" s="46"/>
      <c r="AE971" s="46"/>
      <c r="AF971" s="46"/>
      <c r="AG971" s="46"/>
      <c r="AH971" s="46"/>
      <c r="AI971" s="46"/>
      <c r="AJ971" s="46"/>
      <c r="AK971" s="46"/>
      <c r="AL971" s="46"/>
      <c r="AM971" s="46"/>
      <c r="AN971" s="109"/>
      <c r="AO971" s="46"/>
      <c r="AP971" s="46"/>
      <c r="AQ971" s="46"/>
      <c r="AR971" s="46"/>
      <c r="AS971" s="46"/>
      <c r="AT971" s="46"/>
      <c r="AU971" s="46"/>
      <c r="AV971" s="46"/>
      <c r="AW971" s="46"/>
      <c r="AX971" s="46"/>
      <c r="AY971" s="34" t="s">
        <v>229</v>
      </c>
      <c r="AZ971" s="47"/>
      <c r="BA971" s="93"/>
      <c r="BB971" s="126"/>
      <c r="BC971" s="158"/>
      <c r="BI971" s="42"/>
    </row>
    <row r="972" spans="1:72" s="24" customFormat="1" ht="24.6" hidden="1" customHeight="1">
      <c r="A972" s="32"/>
      <c r="B972" s="158"/>
      <c r="C972" s="78" t="s">
        <v>138</v>
      </c>
      <c r="D972" s="35">
        <f t="shared" si="162"/>
        <v>0.19999999999999998</v>
      </c>
      <c r="E972" s="35"/>
      <c r="F972" s="35">
        <f t="shared" si="164"/>
        <v>0.19999999999999998</v>
      </c>
      <c r="G972" s="147">
        <f>G969-G970-G971</f>
        <v>0.12</v>
      </c>
      <c r="H972" s="147">
        <f t="shared" ref="H972:AX972" si="166">H969-H970-H971</f>
        <v>7.9999999999999988E-2</v>
      </c>
      <c r="I972" s="147">
        <f t="shared" si="166"/>
        <v>0</v>
      </c>
      <c r="J972" s="147">
        <f t="shared" si="166"/>
        <v>0</v>
      </c>
      <c r="K972" s="147">
        <f t="shared" si="166"/>
        <v>0</v>
      </c>
      <c r="L972" s="147">
        <f t="shared" si="166"/>
        <v>0</v>
      </c>
      <c r="M972" s="147">
        <f t="shared" si="166"/>
        <v>0</v>
      </c>
      <c r="N972" s="147">
        <f t="shared" si="166"/>
        <v>0</v>
      </c>
      <c r="O972" s="147">
        <f t="shared" si="166"/>
        <v>0</v>
      </c>
      <c r="P972" s="147">
        <f t="shared" si="166"/>
        <v>0</v>
      </c>
      <c r="Q972" s="147">
        <f t="shared" si="166"/>
        <v>0</v>
      </c>
      <c r="R972" s="147">
        <f t="shared" si="166"/>
        <v>0</v>
      </c>
      <c r="S972" s="147">
        <f t="shared" si="166"/>
        <v>0</v>
      </c>
      <c r="T972" s="147">
        <f t="shared" si="166"/>
        <v>0</v>
      </c>
      <c r="U972" s="147">
        <f t="shared" si="166"/>
        <v>0</v>
      </c>
      <c r="V972" s="147">
        <f t="shared" si="166"/>
        <v>0</v>
      </c>
      <c r="W972" s="147">
        <f t="shared" si="166"/>
        <v>0</v>
      </c>
      <c r="X972" s="147">
        <f t="shared" si="166"/>
        <v>0</v>
      </c>
      <c r="Y972" s="147">
        <f t="shared" si="166"/>
        <v>0</v>
      </c>
      <c r="Z972" s="147">
        <f t="shared" si="166"/>
        <v>0</v>
      </c>
      <c r="AA972" s="147">
        <f t="shared" si="166"/>
        <v>0</v>
      </c>
      <c r="AB972" s="147">
        <f t="shared" si="166"/>
        <v>0</v>
      </c>
      <c r="AC972" s="147">
        <f t="shared" si="166"/>
        <v>0</v>
      </c>
      <c r="AD972" s="147">
        <f t="shared" si="166"/>
        <v>0</v>
      </c>
      <c r="AE972" s="147">
        <f t="shared" si="166"/>
        <v>0</v>
      </c>
      <c r="AF972" s="147">
        <f t="shared" si="166"/>
        <v>0</v>
      </c>
      <c r="AG972" s="147">
        <f t="shared" si="166"/>
        <v>0</v>
      </c>
      <c r="AH972" s="147">
        <f t="shared" si="166"/>
        <v>0</v>
      </c>
      <c r="AI972" s="147">
        <f t="shared" si="166"/>
        <v>0</v>
      </c>
      <c r="AJ972" s="147">
        <f t="shared" si="166"/>
        <v>0</v>
      </c>
      <c r="AK972" s="147">
        <f t="shared" si="166"/>
        <v>0</v>
      </c>
      <c r="AL972" s="147">
        <f t="shared" si="166"/>
        <v>0</v>
      </c>
      <c r="AM972" s="147">
        <f t="shared" si="166"/>
        <v>0</v>
      </c>
      <c r="AN972" s="147">
        <f t="shared" si="166"/>
        <v>0</v>
      </c>
      <c r="AO972" s="147">
        <f t="shared" si="166"/>
        <v>0</v>
      </c>
      <c r="AP972" s="147">
        <f t="shared" si="166"/>
        <v>0</v>
      </c>
      <c r="AQ972" s="147">
        <f t="shared" si="166"/>
        <v>0</v>
      </c>
      <c r="AR972" s="147">
        <f t="shared" si="166"/>
        <v>0</v>
      </c>
      <c r="AS972" s="147">
        <f t="shared" si="166"/>
        <v>0</v>
      </c>
      <c r="AT972" s="147">
        <f t="shared" si="166"/>
        <v>0</v>
      </c>
      <c r="AU972" s="147">
        <f t="shared" si="166"/>
        <v>0</v>
      </c>
      <c r="AV972" s="147">
        <f t="shared" si="166"/>
        <v>0</v>
      </c>
      <c r="AW972" s="147">
        <f t="shared" si="166"/>
        <v>0</v>
      </c>
      <c r="AX972" s="147">
        <f t="shared" si="166"/>
        <v>0</v>
      </c>
      <c r="AY972" s="34" t="s">
        <v>229</v>
      </c>
      <c r="AZ972" s="47"/>
      <c r="BA972" s="93"/>
      <c r="BB972" s="126"/>
      <c r="BC972" s="158"/>
      <c r="BI972" s="42"/>
    </row>
    <row r="973" spans="1:72" s="24" customFormat="1" ht="33" customHeight="1">
      <c r="A973" s="32">
        <f>A969+1</f>
        <v>692</v>
      </c>
      <c r="B973" s="158" t="s">
        <v>186</v>
      </c>
      <c r="C973" s="78" t="s">
        <v>1260</v>
      </c>
      <c r="D973" s="35">
        <f t="shared" si="162"/>
        <v>1.1200000000000001</v>
      </c>
      <c r="E973" s="35"/>
      <c r="F973" s="35">
        <f t="shared" si="164"/>
        <v>1.1200000000000001</v>
      </c>
      <c r="G973" s="109">
        <v>0.56999999999999995</v>
      </c>
      <c r="H973" s="109"/>
      <c r="I973" s="109">
        <v>0.45</v>
      </c>
      <c r="J973" s="109"/>
      <c r="K973" s="46"/>
      <c r="L973" s="46"/>
      <c r="M973" s="109"/>
      <c r="N973" s="46"/>
      <c r="O973" s="46"/>
      <c r="P973" s="109">
        <v>0.1</v>
      </c>
      <c r="Q973" s="46"/>
      <c r="R973" s="46"/>
      <c r="S973" s="46"/>
      <c r="T973" s="46"/>
      <c r="U973" s="46"/>
      <c r="V973" s="46"/>
      <c r="W973" s="46"/>
      <c r="X973" s="46"/>
      <c r="Y973" s="46"/>
      <c r="Z973" s="46"/>
      <c r="AA973" s="46"/>
      <c r="AB973" s="46"/>
      <c r="AC973" s="46"/>
      <c r="AD973" s="46"/>
      <c r="AE973" s="46"/>
      <c r="AF973" s="46"/>
      <c r="AG973" s="46"/>
      <c r="AH973" s="46"/>
      <c r="AI973" s="46"/>
      <c r="AJ973" s="46"/>
      <c r="AK973" s="46"/>
      <c r="AL973" s="46"/>
      <c r="AM973" s="46"/>
      <c r="AN973" s="109"/>
      <c r="AO973" s="46"/>
      <c r="AP973" s="46"/>
      <c r="AQ973" s="46"/>
      <c r="AR973" s="46"/>
      <c r="AS973" s="46"/>
      <c r="AT973" s="46"/>
      <c r="AU973" s="46"/>
      <c r="AV973" s="46"/>
      <c r="AW973" s="46"/>
      <c r="AX973" s="46"/>
      <c r="AY973" s="34" t="s">
        <v>229</v>
      </c>
      <c r="AZ973" s="47" t="s">
        <v>1468</v>
      </c>
      <c r="BA973" s="93" t="s">
        <v>291</v>
      </c>
      <c r="BB973" s="47" t="s">
        <v>1469</v>
      </c>
      <c r="BC973" s="158" t="s">
        <v>1470</v>
      </c>
      <c r="BI973" s="42">
        <v>1</v>
      </c>
    </row>
    <row r="974" spans="1:72" s="24" customFormat="1" ht="22.35" hidden="1" customHeight="1">
      <c r="A974" s="32"/>
      <c r="B974" s="158"/>
      <c r="C974" s="78" t="s">
        <v>59</v>
      </c>
      <c r="D974" s="35">
        <f t="shared" si="162"/>
        <v>0.39</v>
      </c>
      <c r="E974" s="35"/>
      <c r="F974" s="35">
        <f t="shared" si="164"/>
        <v>0.39</v>
      </c>
      <c r="G974" s="109">
        <v>0.2</v>
      </c>
      <c r="H974" s="109"/>
      <c r="I974" s="109">
        <v>0.19</v>
      </c>
      <c r="J974" s="109"/>
      <c r="K974" s="46"/>
      <c r="L974" s="46"/>
      <c r="M974" s="109"/>
      <c r="N974" s="46"/>
      <c r="O974" s="46"/>
      <c r="P974" s="109"/>
      <c r="Q974" s="46"/>
      <c r="R974" s="46"/>
      <c r="S974" s="46"/>
      <c r="T974" s="46"/>
      <c r="U974" s="46"/>
      <c r="V974" s="46"/>
      <c r="W974" s="46"/>
      <c r="X974" s="46"/>
      <c r="Y974" s="46"/>
      <c r="Z974" s="46"/>
      <c r="AA974" s="46"/>
      <c r="AB974" s="46"/>
      <c r="AC974" s="46"/>
      <c r="AD974" s="46"/>
      <c r="AE974" s="46"/>
      <c r="AF974" s="46"/>
      <c r="AG974" s="46"/>
      <c r="AH974" s="46"/>
      <c r="AI974" s="46"/>
      <c r="AJ974" s="46"/>
      <c r="AK974" s="46"/>
      <c r="AL974" s="46"/>
      <c r="AM974" s="46"/>
      <c r="AN974" s="109"/>
      <c r="AO974" s="46"/>
      <c r="AP974" s="46"/>
      <c r="AQ974" s="46"/>
      <c r="AR974" s="46"/>
      <c r="AS974" s="46"/>
      <c r="AT974" s="46"/>
      <c r="AU974" s="46"/>
      <c r="AV974" s="46"/>
      <c r="AW974" s="46"/>
      <c r="AX974" s="46"/>
      <c r="AY974" s="34" t="s">
        <v>229</v>
      </c>
      <c r="AZ974" s="47"/>
      <c r="BA974" s="93"/>
      <c r="BB974" s="47"/>
      <c r="BC974" s="158"/>
      <c r="BI974" s="42"/>
    </row>
    <row r="975" spans="1:72" s="24" customFormat="1" ht="22.35" hidden="1" customHeight="1">
      <c r="A975" s="32"/>
      <c r="B975" s="158"/>
      <c r="C975" s="78" t="s">
        <v>44</v>
      </c>
      <c r="D975" s="35">
        <f t="shared" si="162"/>
        <v>0.44999999999999996</v>
      </c>
      <c r="E975" s="35"/>
      <c r="F975" s="35">
        <f t="shared" si="164"/>
        <v>0.44999999999999996</v>
      </c>
      <c r="G975" s="109">
        <v>0.2</v>
      </c>
      <c r="H975" s="109"/>
      <c r="I975" s="109">
        <v>0.15</v>
      </c>
      <c r="J975" s="109"/>
      <c r="K975" s="46"/>
      <c r="L975" s="46"/>
      <c r="M975" s="109"/>
      <c r="N975" s="46"/>
      <c r="O975" s="46"/>
      <c r="P975" s="109">
        <v>0.1</v>
      </c>
      <c r="Q975" s="46"/>
      <c r="R975" s="46"/>
      <c r="S975" s="46"/>
      <c r="T975" s="46"/>
      <c r="U975" s="46"/>
      <c r="V975" s="46"/>
      <c r="W975" s="46"/>
      <c r="X975" s="46"/>
      <c r="Y975" s="46"/>
      <c r="Z975" s="46"/>
      <c r="AA975" s="46"/>
      <c r="AB975" s="46"/>
      <c r="AC975" s="46"/>
      <c r="AD975" s="46"/>
      <c r="AE975" s="46"/>
      <c r="AF975" s="46"/>
      <c r="AG975" s="46"/>
      <c r="AH975" s="46"/>
      <c r="AI975" s="46"/>
      <c r="AJ975" s="46"/>
      <c r="AK975" s="46"/>
      <c r="AL975" s="46"/>
      <c r="AM975" s="46"/>
      <c r="AN975" s="109"/>
      <c r="AO975" s="46"/>
      <c r="AP975" s="46"/>
      <c r="AQ975" s="46"/>
      <c r="AR975" s="46"/>
      <c r="AS975" s="46"/>
      <c r="AT975" s="46"/>
      <c r="AU975" s="46"/>
      <c r="AV975" s="46"/>
      <c r="AW975" s="46"/>
      <c r="AX975" s="46"/>
      <c r="AY975" s="34" t="s">
        <v>229</v>
      </c>
      <c r="AZ975" s="47"/>
      <c r="BA975" s="93"/>
      <c r="BB975" s="47"/>
      <c r="BC975" s="158"/>
      <c r="BI975" s="42"/>
    </row>
    <row r="976" spans="1:72" s="24" customFormat="1" ht="22.35" hidden="1" customHeight="1">
      <c r="A976" s="32"/>
      <c r="B976" s="158"/>
      <c r="C976" s="78" t="s">
        <v>138</v>
      </c>
      <c r="D976" s="35">
        <f t="shared" si="162"/>
        <v>0.27999999999999992</v>
      </c>
      <c r="E976" s="35"/>
      <c r="F976" s="35">
        <f t="shared" si="164"/>
        <v>0.27999999999999992</v>
      </c>
      <c r="G976" s="153">
        <f t="shared" ref="G976:AW976" si="167">G973-G974-G975</f>
        <v>0.16999999999999993</v>
      </c>
      <c r="H976" s="153">
        <f t="shared" si="167"/>
        <v>0</v>
      </c>
      <c r="I976" s="153">
        <f t="shared" si="167"/>
        <v>0.11000000000000001</v>
      </c>
      <c r="J976" s="153">
        <f t="shared" si="167"/>
        <v>0</v>
      </c>
      <c r="K976" s="153">
        <f t="shared" si="167"/>
        <v>0</v>
      </c>
      <c r="L976" s="153">
        <f t="shared" si="167"/>
        <v>0</v>
      </c>
      <c r="M976" s="153">
        <f t="shared" si="167"/>
        <v>0</v>
      </c>
      <c r="N976" s="153">
        <f t="shared" si="167"/>
        <v>0</v>
      </c>
      <c r="O976" s="153">
        <f t="shared" si="167"/>
        <v>0</v>
      </c>
      <c r="P976" s="154">
        <f t="shared" si="167"/>
        <v>0</v>
      </c>
      <c r="Q976" s="153">
        <f t="shared" si="167"/>
        <v>0</v>
      </c>
      <c r="R976" s="153">
        <f t="shared" si="167"/>
        <v>0</v>
      </c>
      <c r="S976" s="153">
        <f t="shared" si="167"/>
        <v>0</v>
      </c>
      <c r="T976" s="153">
        <f t="shared" si="167"/>
        <v>0</v>
      </c>
      <c r="U976" s="153">
        <f t="shared" si="167"/>
        <v>0</v>
      </c>
      <c r="V976" s="153">
        <f t="shared" si="167"/>
        <v>0</v>
      </c>
      <c r="W976" s="153">
        <f t="shared" si="167"/>
        <v>0</v>
      </c>
      <c r="X976" s="153">
        <f t="shared" si="167"/>
        <v>0</v>
      </c>
      <c r="Y976" s="153">
        <f t="shared" si="167"/>
        <v>0</v>
      </c>
      <c r="Z976" s="153">
        <f t="shared" si="167"/>
        <v>0</v>
      </c>
      <c r="AA976" s="153">
        <f t="shared" si="167"/>
        <v>0</v>
      </c>
      <c r="AB976" s="153">
        <f t="shared" si="167"/>
        <v>0</v>
      </c>
      <c r="AC976" s="153">
        <f t="shared" si="167"/>
        <v>0</v>
      </c>
      <c r="AD976" s="153">
        <f t="shared" si="167"/>
        <v>0</v>
      </c>
      <c r="AE976" s="153">
        <f t="shared" si="167"/>
        <v>0</v>
      </c>
      <c r="AF976" s="153">
        <f t="shared" si="167"/>
        <v>0</v>
      </c>
      <c r="AG976" s="153">
        <f t="shared" si="167"/>
        <v>0</v>
      </c>
      <c r="AH976" s="153">
        <f t="shared" si="167"/>
        <v>0</v>
      </c>
      <c r="AI976" s="153">
        <f t="shared" si="167"/>
        <v>0</v>
      </c>
      <c r="AJ976" s="153">
        <f t="shared" si="167"/>
        <v>0</v>
      </c>
      <c r="AK976" s="153">
        <f t="shared" si="167"/>
        <v>0</v>
      </c>
      <c r="AL976" s="153">
        <f t="shared" si="167"/>
        <v>0</v>
      </c>
      <c r="AM976" s="153">
        <f t="shared" si="167"/>
        <v>0</v>
      </c>
      <c r="AN976" s="153">
        <f t="shared" si="167"/>
        <v>0</v>
      </c>
      <c r="AO976" s="153">
        <f t="shared" si="167"/>
        <v>0</v>
      </c>
      <c r="AP976" s="153">
        <f t="shared" si="167"/>
        <v>0</v>
      </c>
      <c r="AQ976" s="153">
        <f t="shared" si="167"/>
        <v>0</v>
      </c>
      <c r="AR976" s="153">
        <f t="shared" si="167"/>
        <v>0</v>
      </c>
      <c r="AS976" s="153">
        <f t="shared" si="167"/>
        <v>0</v>
      </c>
      <c r="AT976" s="153">
        <f t="shared" si="167"/>
        <v>0</v>
      </c>
      <c r="AU976" s="153">
        <f t="shared" si="167"/>
        <v>0</v>
      </c>
      <c r="AV976" s="153">
        <f t="shared" si="167"/>
        <v>0</v>
      </c>
      <c r="AW976" s="153">
        <f t="shared" si="167"/>
        <v>0</v>
      </c>
      <c r="AX976" s="153">
        <f>AX973-AX974-AX975</f>
        <v>0</v>
      </c>
      <c r="AY976" s="34" t="s">
        <v>229</v>
      </c>
      <c r="AZ976" s="47"/>
      <c r="BA976" s="93"/>
      <c r="BB976" s="47"/>
      <c r="BC976" s="158"/>
      <c r="BI976" s="42"/>
    </row>
    <row r="977" spans="1:61" s="24" customFormat="1" ht="45" customHeight="1">
      <c r="A977" s="32">
        <f>A973+1</f>
        <v>693</v>
      </c>
      <c r="B977" s="158" t="s">
        <v>186</v>
      </c>
      <c r="C977" s="78" t="s">
        <v>1260</v>
      </c>
      <c r="D977" s="35">
        <f t="shared" si="162"/>
        <v>0.58000000000000007</v>
      </c>
      <c r="E977" s="35"/>
      <c r="F977" s="35">
        <f t="shared" si="164"/>
        <v>0.58000000000000007</v>
      </c>
      <c r="G977" s="109"/>
      <c r="H977" s="109"/>
      <c r="I977" s="109"/>
      <c r="J977" s="109">
        <v>0.18</v>
      </c>
      <c r="K977" s="46"/>
      <c r="L977" s="46"/>
      <c r="M977" s="109">
        <v>0.4</v>
      </c>
      <c r="N977" s="46"/>
      <c r="O977" s="46"/>
      <c r="P977" s="109"/>
      <c r="Q977" s="46"/>
      <c r="R977" s="46"/>
      <c r="S977" s="46"/>
      <c r="T977" s="46"/>
      <c r="U977" s="46"/>
      <c r="V977" s="46"/>
      <c r="W977" s="46"/>
      <c r="X977" s="46"/>
      <c r="Y977" s="46"/>
      <c r="Z977" s="46"/>
      <c r="AA977" s="46"/>
      <c r="AB977" s="46"/>
      <c r="AC977" s="46"/>
      <c r="AD977" s="46"/>
      <c r="AE977" s="46"/>
      <c r="AF977" s="46"/>
      <c r="AG977" s="46"/>
      <c r="AH977" s="46"/>
      <c r="AI977" s="46"/>
      <c r="AJ977" s="46"/>
      <c r="AK977" s="46"/>
      <c r="AL977" s="46"/>
      <c r="AM977" s="46"/>
      <c r="AN977" s="109"/>
      <c r="AO977" s="46"/>
      <c r="AP977" s="46"/>
      <c r="AQ977" s="46"/>
      <c r="AR977" s="46"/>
      <c r="AS977" s="46"/>
      <c r="AT977" s="46"/>
      <c r="AU977" s="46"/>
      <c r="AV977" s="46"/>
      <c r="AW977" s="46"/>
      <c r="AX977" s="46"/>
      <c r="AY977" s="34" t="s">
        <v>229</v>
      </c>
      <c r="AZ977" s="47" t="s">
        <v>1471</v>
      </c>
      <c r="BA977" s="93" t="s">
        <v>291</v>
      </c>
      <c r="BB977" s="47" t="s">
        <v>1469</v>
      </c>
      <c r="BC977" s="158" t="s">
        <v>1472</v>
      </c>
      <c r="BI977" s="42">
        <v>1</v>
      </c>
    </row>
    <row r="978" spans="1:61" s="24" customFormat="1" ht="23.1" hidden="1" customHeight="1">
      <c r="A978" s="32"/>
      <c r="B978" s="158"/>
      <c r="C978" s="78" t="s">
        <v>59</v>
      </c>
      <c r="D978" s="35">
        <f t="shared" si="162"/>
        <v>0.23</v>
      </c>
      <c r="E978" s="35"/>
      <c r="F978" s="35">
        <f t="shared" si="164"/>
        <v>0.23</v>
      </c>
      <c r="G978" s="109"/>
      <c r="H978" s="109"/>
      <c r="I978" s="109"/>
      <c r="J978" s="109"/>
      <c r="K978" s="46"/>
      <c r="L978" s="46"/>
      <c r="M978" s="109">
        <v>0.23</v>
      </c>
      <c r="N978" s="46"/>
      <c r="O978" s="46"/>
      <c r="P978" s="109"/>
      <c r="Q978" s="46"/>
      <c r="R978" s="46"/>
      <c r="S978" s="46"/>
      <c r="T978" s="46"/>
      <c r="U978" s="46"/>
      <c r="V978" s="46"/>
      <c r="W978" s="46"/>
      <c r="X978" s="46"/>
      <c r="Y978" s="46"/>
      <c r="Z978" s="46"/>
      <c r="AA978" s="46"/>
      <c r="AB978" s="46"/>
      <c r="AC978" s="46"/>
      <c r="AD978" s="46"/>
      <c r="AE978" s="46"/>
      <c r="AF978" s="46"/>
      <c r="AG978" s="46"/>
      <c r="AH978" s="46"/>
      <c r="AI978" s="46"/>
      <c r="AJ978" s="46"/>
      <c r="AK978" s="46"/>
      <c r="AL978" s="46"/>
      <c r="AM978" s="46"/>
      <c r="AN978" s="109"/>
      <c r="AO978" s="46"/>
      <c r="AP978" s="46"/>
      <c r="AQ978" s="46"/>
      <c r="AR978" s="46"/>
      <c r="AS978" s="46"/>
      <c r="AT978" s="46"/>
      <c r="AU978" s="46"/>
      <c r="AV978" s="46"/>
      <c r="AW978" s="46"/>
      <c r="AX978" s="46"/>
      <c r="AY978" s="34" t="s">
        <v>229</v>
      </c>
      <c r="AZ978" s="47"/>
      <c r="BA978" s="93"/>
      <c r="BB978" s="47"/>
      <c r="BC978" s="158"/>
      <c r="BI978" s="42"/>
    </row>
    <row r="979" spans="1:61" s="24" customFormat="1" ht="23.1" hidden="1" customHeight="1">
      <c r="A979" s="32"/>
      <c r="B979" s="158"/>
      <c r="C979" s="78" t="s">
        <v>44</v>
      </c>
      <c r="D979" s="35">
        <f t="shared" si="162"/>
        <v>0.23</v>
      </c>
      <c r="E979" s="35"/>
      <c r="F979" s="35">
        <f t="shared" si="164"/>
        <v>0.23</v>
      </c>
      <c r="G979" s="109"/>
      <c r="H979" s="109"/>
      <c r="I979" s="109"/>
      <c r="J979" s="109">
        <v>0.1</v>
      </c>
      <c r="K979" s="46"/>
      <c r="L979" s="46"/>
      <c r="M979" s="109">
        <v>0.13</v>
      </c>
      <c r="N979" s="46"/>
      <c r="O979" s="46"/>
      <c r="P979" s="109"/>
      <c r="Q979" s="46"/>
      <c r="R979" s="46"/>
      <c r="S979" s="46"/>
      <c r="T979" s="46"/>
      <c r="U979" s="46"/>
      <c r="V979" s="46"/>
      <c r="W979" s="46"/>
      <c r="X979" s="46"/>
      <c r="Y979" s="46"/>
      <c r="Z979" s="46"/>
      <c r="AA979" s="46"/>
      <c r="AB979" s="46"/>
      <c r="AC979" s="46"/>
      <c r="AD979" s="46"/>
      <c r="AE979" s="46"/>
      <c r="AF979" s="46"/>
      <c r="AG979" s="46"/>
      <c r="AH979" s="46"/>
      <c r="AI979" s="46"/>
      <c r="AJ979" s="46"/>
      <c r="AK979" s="46"/>
      <c r="AL979" s="46"/>
      <c r="AM979" s="46"/>
      <c r="AN979" s="109"/>
      <c r="AO979" s="46"/>
      <c r="AP979" s="46"/>
      <c r="AQ979" s="46"/>
      <c r="AR979" s="46"/>
      <c r="AS979" s="46"/>
      <c r="AT979" s="46"/>
      <c r="AU979" s="46"/>
      <c r="AV979" s="46"/>
      <c r="AW979" s="46"/>
      <c r="AX979" s="46"/>
      <c r="AY979" s="34" t="s">
        <v>229</v>
      </c>
      <c r="AZ979" s="47"/>
      <c r="BA979" s="93"/>
      <c r="BB979" s="47"/>
      <c r="BC979" s="158"/>
      <c r="BI979" s="42"/>
    </row>
    <row r="980" spans="1:61" s="24" customFormat="1" ht="23.1" hidden="1" customHeight="1">
      <c r="A980" s="32"/>
      <c r="B980" s="158"/>
      <c r="C980" s="78" t="s">
        <v>138</v>
      </c>
      <c r="D980" s="35">
        <f t="shared" si="162"/>
        <v>0.12</v>
      </c>
      <c r="E980" s="35"/>
      <c r="F980" s="35">
        <f t="shared" si="164"/>
        <v>0.12</v>
      </c>
      <c r="G980" s="147">
        <f t="shared" ref="G980:AX980" si="168">G977-G978-G979</f>
        <v>0</v>
      </c>
      <c r="H980" s="147">
        <f t="shared" si="168"/>
        <v>0</v>
      </c>
      <c r="I980" s="147">
        <f t="shared" si="168"/>
        <v>0</v>
      </c>
      <c r="J980" s="147">
        <f t="shared" si="168"/>
        <v>7.9999999999999988E-2</v>
      </c>
      <c r="K980" s="147">
        <f t="shared" si="168"/>
        <v>0</v>
      </c>
      <c r="L980" s="147">
        <f t="shared" si="168"/>
        <v>0</v>
      </c>
      <c r="M980" s="147">
        <f t="shared" si="168"/>
        <v>4.0000000000000008E-2</v>
      </c>
      <c r="N980" s="147">
        <f t="shared" si="168"/>
        <v>0</v>
      </c>
      <c r="O980" s="147">
        <f t="shared" si="168"/>
        <v>0</v>
      </c>
      <c r="P980" s="147">
        <f t="shared" si="168"/>
        <v>0</v>
      </c>
      <c r="Q980" s="147">
        <f t="shared" si="168"/>
        <v>0</v>
      </c>
      <c r="R980" s="147">
        <f t="shared" si="168"/>
        <v>0</v>
      </c>
      <c r="S980" s="147">
        <f t="shared" si="168"/>
        <v>0</v>
      </c>
      <c r="T980" s="147">
        <f t="shared" si="168"/>
        <v>0</v>
      </c>
      <c r="U980" s="147">
        <f t="shared" si="168"/>
        <v>0</v>
      </c>
      <c r="V980" s="147">
        <f t="shared" si="168"/>
        <v>0</v>
      </c>
      <c r="W980" s="147">
        <f t="shared" si="168"/>
        <v>0</v>
      </c>
      <c r="X980" s="147">
        <f t="shared" si="168"/>
        <v>0</v>
      </c>
      <c r="Y980" s="147">
        <f t="shared" si="168"/>
        <v>0</v>
      </c>
      <c r="Z980" s="147">
        <f t="shared" si="168"/>
        <v>0</v>
      </c>
      <c r="AA980" s="147">
        <f t="shared" si="168"/>
        <v>0</v>
      </c>
      <c r="AB980" s="147">
        <f t="shared" si="168"/>
        <v>0</v>
      </c>
      <c r="AC980" s="147">
        <f t="shared" si="168"/>
        <v>0</v>
      </c>
      <c r="AD980" s="147">
        <f t="shared" si="168"/>
        <v>0</v>
      </c>
      <c r="AE980" s="147">
        <f t="shared" si="168"/>
        <v>0</v>
      </c>
      <c r="AF980" s="147">
        <f t="shared" si="168"/>
        <v>0</v>
      </c>
      <c r="AG980" s="147">
        <f t="shared" si="168"/>
        <v>0</v>
      </c>
      <c r="AH980" s="147">
        <f t="shared" si="168"/>
        <v>0</v>
      </c>
      <c r="AI980" s="147">
        <f t="shared" si="168"/>
        <v>0</v>
      </c>
      <c r="AJ980" s="147">
        <f t="shared" si="168"/>
        <v>0</v>
      </c>
      <c r="AK980" s="147">
        <f t="shared" si="168"/>
        <v>0</v>
      </c>
      <c r="AL980" s="147">
        <f t="shared" si="168"/>
        <v>0</v>
      </c>
      <c r="AM980" s="147">
        <f t="shared" si="168"/>
        <v>0</v>
      </c>
      <c r="AN980" s="147">
        <f t="shared" si="168"/>
        <v>0</v>
      </c>
      <c r="AO980" s="147">
        <f t="shared" si="168"/>
        <v>0</v>
      </c>
      <c r="AP980" s="147">
        <f t="shared" si="168"/>
        <v>0</v>
      </c>
      <c r="AQ980" s="147">
        <f t="shared" si="168"/>
        <v>0</v>
      </c>
      <c r="AR980" s="147">
        <f t="shared" si="168"/>
        <v>0</v>
      </c>
      <c r="AS980" s="147">
        <f t="shared" si="168"/>
        <v>0</v>
      </c>
      <c r="AT980" s="147">
        <f t="shared" si="168"/>
        <v>0</v>
      </c>
      <c r="AU980" s="147">
        <f t="shared" si="168"/>
        <v>0</v>
      </c>
      <c r="AV980" s="147">
        <f t="shared" si="168"/>
        <v>0</v>
      </c>
      <c r="AW980" s="147">
        <f t="shared" si="168"/>
        <v>0</v>
      </c>
      <c r="AX980" s="147">
        <f t="shared" si="168"/>
        <v>0</v>
      </c>
      <c r="AY980" s="34" t="s">
        <v>229</v>
      </c>
      <c r="AZ980" s="47"/>
      <c r="BA980" s="93"/>
      <c r="BB980" s="47"/>
      <c r="BC980" s="158"/>
      <c r="BI980" s="42"/>
    </row>
    <row r="981" spans="1:61" s="24" customFormat="1" ht="30.6" customHeight="1">
      <c r="A981" s="32">
        <f>A977+1</f>
        <v>694</v>
      </c>
      <c r="B981" s="158" t="s">
        <v>186</v>
      </c>
      <c r="C981" s="78" t="s">
        <v>59</v>
      </c>
      <c r="D981" s="35">
        <f t="shared" si="162"/>
        <v>0.25</v>
      </c>
      <c r="E981" s="35"/>
      <c r="F981" s="35">
        <f t="shared" si="164"/>
        <v>0.25</v>
      </c>
      <c r="G981" s="109">
        <v>0.14000000000000001</v>
      </c>
      <c r="H981" s="109">
        <v>0.11</v>
      </c>
      <c r="I981" s="109"/>
      <c r="J981" s="109"/>
      <c r="K981" s="46"/>
      <c r="L981" s="46"/>
      <c r="M981" s="109"/>
      <c r="N981" s="46"/>
      <c r="O981" s="46"/>
      <c r="P981" s="109"/>
      <c r="Q981" s="46"/>
      <c r="R981" s="46"/>
      <c r="S981" s="46"/>
      <c r="T981" s="46"/>
      <c r="U981" s="46"/>
      <c r="V981" s="46"/>
      <c r="W981" s="46"/>
      <c r="X981" s="46"/>
      <c r="Y981" s="46"/>
      <c r="Z981" s="46"/>
      <c r="AA981" s="46"/>
      <c r="AB981" s="46"/>
      <c r="AC981" s="46"/>
      <c r="AD981" s="46"/>
      <c r="AE981" s="46"/>
      <c r="AF981" s="46"/>
      <c r="AG981" s="46"/>
      <c r="AH981" s="46"/>
      <c r="AI981" s="46"/>
      <c r="AJ981" s="46"/>
      <c r="AK981" s="46"/>
      <c r="AL981" s="46"/>
      <c r="AM981" s="46"/>
      <c r="AN981" s="109"/>
      <c r="AO981" s="46"/>
      <c r="AP981" s="46"/>
      <c r="AQ981" s="46"/>
      <c r="AR981" s="46"/>
      <c r="AS981" s="46"/>
      <c r="AT981" s="46"/>
      <c r="AU981" s="46"/>
      <c r="AV981" s="46"/>
      <c r="AW981" s="46"/>
      <c r="AX981" s="46"/>
      <c r="AY981" s="34" t="s">
        <v>229</v>
      </c>
      <c r="AZ981" s="47" t="s">
        <v>1473</v>
      </c>
      <c r="BA981" s="93" t="s">
        <v>291</v>
      </c>
      <c r="BB981" s="93" t="s">
        <v>1474</v>
      </c>
      <c r="BC981" s="158" t="s">
        <v>1475</v>
      </c>
      <c r="BI981" s="42">
        <v>1</v>
      </c>
    </row>
    <row r="982" spans="1:61" s="24" customFormat="1" ht="21" customHeight="1">
      <c r="A982" s="32">
        <f>A981+1</f>
        <v>695</v>
      </c>
      <c r="B982" s="158" t="s">
        <v>186</v>
      </c>
      <c r="C982" s="78" t="s">
        <v>59</v>
      </c>
      <c r="D982" s="35">
        <f t="shared" si="162"/>
        <v>0.2</v>
      </c>
      <c r="E982" s="35"/>
      <c r="F982" s="35">
        <f t="shared" si="164"/>
        <v>0.2</v>
      </c>
      <c r="G982" s="109"/>
      <c r="H982" s="109"/>
      <c r="I982" s="109"/>
      <c r="J982" s="109"/>
      <c r="K982" s="46"/>
      <c r="L982" s="46"/>
      <c r="M982" s="109">
        <v>0.2</v>
      </c>
      <c r="N982" s="46"/>
      <c r="O982" s="46"/>
      <c r="P982" s="109"/>
      <c r="Q982" s="46"/>
      <c r="R982" s="46"/>
      <c r="S982" s="46"/>
      <c r="T982" s="46"/>
      <c r="U982" s="46"/>
      <c r="V982" s="46"/>
      <c r="W982" s="46"/>
      <c r="X982" s="46"/>
      <c r="Y982" s="46"/>
      <c r="Z982" s="46"/>
      <c r="AA982" s="46"/>
      <c r="AB982" s="46"/>
      <c r="AC982" s="46"/>
      <c r="AD982" s="46"/>
      <c r="AE982" s="46"/>
      <c r="AF982" s="46"/>
      <c r="AG982" s="46"/>
      <c r="AH982" s="46"/>
      <c r="AI982" s="46"/>
      <c r="AJ982" s="46"/>
      <c r="AK982" s="46"/>
      <c r="AL982" s="46"/>
      <c r="AM982" s="46"/>
      <c r="AN982" s="109"/>
      <c r="AO982" s="46"/>
      <c r="AP982" s="46"/>
      <c r="AQ982" s="46"/>
      <c r="AR982" s="46"/>
      <c r="AS982" s="46"/>
      <c r="AT982" s="46"/>
      <c r="AU982" s="46"/>
      <c r="AV982" s="46"/>
      <c r="AW982" s="46"/>
      <c r="AX982" s="46"/>
      <c r="AY982" s="34" t="s">
        <v>229</v>
      </c>
      <c r="AZ982" s="47" t="s">
        <v>328</v>
      </c>
      <c r="BA982" s="93" t="s">
        <v>291</v>
      </c>
      <c r="BB982" s="93"/>
      <c r="BC982" s="158" t="s">
        <v>1476</v>
      </c>
      <c r="BI982" s="42">
        <v>1</v>
      </c>
    </row>
    <row r="983" spans="1:61" s="24" customFormat="1" ht="33" customHeight="1">
      <c r="A983" s="32">
        <f>A982+1</f>
        <v>696</v>
      </c>
      <c r="B983" s="158" t="s">
        <v>186</v>
      </c>
      <c r="C983" s="78" t="s">
        <v>1260</v>
      </c>
      <c r="D983" s="35">
        <f t="shared" si="162"/>
        <v>0.71</v>
      </c>
      <c r="E983" s="35"/>
      <c r="F983" s="35">
        <f t="shared" si="164"/>
        <v>0.71</v>
      </c>
      <c r="G983" s="109">
        <v>0.61</v>
      </c>
      <c r="H983" s="109"/>
      <c r="I983" s="109"/>
      <c r="J983" s="109"/>
      <c r="K983" s="46"/>
      <c r="L983" s="46"/>
      <c r="M983" s="109"/>
      <c r="N983" s="46"/>
      <c r="O983" s="46"/>
      <c r="P983" s="109">
        <v>0.1</v>
      </c>
      <c r="Q983" s="46"/>
      <c r="R983" s="46"/>
      <c r="S983" s="46"/>
      <c r="T983" s="46"/>
      <c r="U983" s="46"/>
      <c r="V983" s="46"/>
      <c r="W983" s="46"/>
      <c r="X983" s="46"/>
      <c r="Y983" s="46"/>
      <c r="Z983" s="46"/>
      <c r="AA983" s="46"/>
      <c r="AB983" s="46"/>
      <c r="AC983" s="46"/>
      <c r="AD983" s="46"/>
      <c r="AE983" s="46"/>
      <c r="AF983" s="46"/>
      <c r="AG983" s="46"/>
      <c r="AH983" s="46"/>
      <c r="AI983" s="46"/>
      <c r="AJ983" s="46"/>
      <c r="AK983" s="46"/>
      <c r="AL983" s="46"/>
      <c r="AM983" s="46"/>
      <c r="AN983" s="109"/>
      <c r="AO983" s="46"/>
      <c r="AP983" s="46"/>
      <c r="AQ983" s="46"/>
      <c r="AR983" s="46"/>
      <c r="AS983" s="46"/>
      <c r="AT983" s="46"/>
      <c r="AU983" s="46"/>
      <c r="AV983" s="46"/>
      <c r="AW983" s="46"/>
      <c r="AX983" s="46"/>
      <c r="AY983" s="34" t="s">
        <v>229</v>
      </c>
      <c r="AZ983" s="47" t="s">
        <v>1477</v>
      </c>
      <c r="BA983" s="93" t="s">
        <v>291</v>
      </c>
      <c r="BB983" s="15" t="s">
        <v>1478</v>
      </c>
      <c r="BC983" s="158" t="s">
        <v>1479</v>
      </c>
      <c r="BI983" s="42">
        <v>1</v>
      </c>
    </row>
    <row r="984" spans="1:61" s="24" customFormat="1" ht="20.100000000000001" hidden="1" customHeight="1">
      <c r="A984" s="32"/>
      <c r="B984" s="158"/>
      <c r="C984" s="78" t="s">
        <v>59</v>
      </c>
      <c r="D984" s="35">
        <f t="shared" si="162"/>
        <v>0.25</v>
      </c>
      <c r="E984" s="35"/>
      <c r="F984" s="35">
        <f t="shared" si="164"/>
        <v>0.25</v>
      </c>
      <c r="G984" s="109">
        <v>0.25</v>
      </c>
      <c r="H984" s="109"/>
      <c r="I984" s="109"/>
      <c r="J984" s="109"/>
      <c r="K984" s="46"/>
      <c r="L984" s="46"/>
      <c r="M984" s="109"/>
      <c r="N984" s="46"/>
      <c r="O984" s="46"/>
      <c r="P984" s="109"/>
      <c r="Q984" s="46"/>
      <c r="R984" s="46"/>
      <c r="S984" s="46"/>
      <c r="T984" s="46"/>
      <c r="U984" s="46"/>
      <c r="V984" s="46"/>
      <c r="W984" s="46"/>
      <c r="X984" s="46"/>
      <c r="Y984" s="46"/>
      <c r="Z984" s="46"/>
      <c r="AA984" s="46"/>
      <c r="AB984" s="46"/>
      <c r="AC984" s="46"/>
      <c r="AD984" s="46"/>
      <c r="AE984" s="46"/>
      <c r="AF984" s="46"/>
      <c r="AG984" s="46"/>
      <c r="AH984" s="46"/>
      <c r="AI984" s="46"/>
      <c r="AJ984" s="46"/>
      <c r="AK984" s="46"/>
      <c r="AL984" s="46"/>
      <c r="AM984" s="46"/>
      <c r="AN984" s="109"/>
      <c r="AO984" s="46"/>
      <c r="AP984" s="46"/>
      <c r="AQ984" s="46"/>
      <c r="AR984" s="46"/>
      <c r="AS984" s="46"/>
      <c r="AT984" s="46"/>
      <c r="AU984" s="46"/>
      <c r="AV984" s="46"/>
      <c r="AW984" s="46"/>
      <c r="AX984" s="46"/>
      <c r="AY984" s="34" t="s">
        <v>229</v>
      </c>
      <c r="AZ984" s="47"/>
      <c r="BA984" s="93"/>
      <c r="BB984" s="15"/>
      <c r="BC984" s="158"/>
      <c r="BI984" s="42"/>
    </row>
    <row r="985" spans="1:61" s="24" customFormat="1" ht="20.100000000000001" hidden="1" customHeight="1">
      <c r="A985" s="32"/>
      <c r="B985" s="158"/>
      <c r="C985" s="78" t="s">
        <v>44</v>
      </c>
      <c r="D985" s="35">
        <f t="shared" si="162"/>
        <v>0.28000000000000003</v>
      </c>
      <c r="E985" s="35"/>
      <c r="F985" s="35">
        <f t="shared" si="164"/>
        <v>0.28000000000000003</v>
      </c>
      <c r="G985" s="109">
        <v>0.28000000000000003</v>
      </c>
      <c r="H985" s="109"/>
      <c r="I985" s="109"/>
      <c r="J985" s="109"/>
      <c r="K985" s="46"/>
      <c r="L985" s="46"/>
      <c r="M985" s="109"/>
      <c r="N985" s="46"/>
      <c r="O985" s="46"/>
      <c r="P985" s="109"/>
      <c r="Q985" s="46"/>
      <c r="R985" s="46"/>
      <c r="S985" s="46"/>
      <c r="T985" s="46"/>
      <c r="U985" s="46"/>
      <c r="V985" s="46"/>
      <c r="W985" s="46"/>
      <c r="X985" s="46"/>
      <c r="Y985" s="46"/>
      <c r="Z985" s="46"/>
      <c r="AA985" s="46"/>
      <c r="AB985" s="46"/>
      <c r="AC985" s="46"/>
      <c r="AD985" s="46"/>
      <c r="AE985" s="46"/>
      <c r="AF985" s="46"/>
      <c r="AG985" s="46"/>
      <c r="AH985" s="46"/>
      <c r="AI985" s="46"/>
      <c r="AJ985" s="46"/>
      <c r="AK985" s="46"/>
      <c r="AL985" s="46"/>
      <c r="AM985" s="46"/>
      <c r="AN985" s="109"/>
      <c r="AO985" s="46"/>
      <c r="AP985" s="46"/>
      <c r="AQ985" s="46"/>
      <c r="AR985" s="46"/>
      <c r="AS985" s="46"/>
      <c r="AT985" s="46"/>
      <c r="AU985" s="46"/>
      <c r="AV985" s="46"/>
      <c r="AW985" s="46"/>
      <c r="AX985" s="46"/>
      <c r="AY985" s="34" t="s">
        <v>229</v>
      </c>
      <c r="AZ985" s="47"/>
      <c r="BA985" s="93"/>
      <c r="BB985" s="15"/>
      <c r="BC985" s="158"/>
      <c r="BI985" s="42"/>
    </row>
    <row r="986" spans="1:61" s="24" customFormat="1" ht="20.100000000000001" hidden="1" customHeight="1">
      <c r="A986" s="32"/>
      <c r="B986" s="158"/>
      <c r="C986" s="78" t="s">
        <v>138</v>
      </c>
      <c r="D986" s="35">
        <f t="shared" si="162"/>
        <v>0.17999999999999997</v>
      </c>
      <c r="E986" s="35"/>
      <c r="F986" s="35">
        <f t="shared" si="164"/>
        <v>0.17999999999999997</v>
      </c>
      <c r="G986" s="147">
        <f>G983-G984-G985</f>
        <v>7.999999999999996E-2</v>
      </c>
      <c r="H986" s="147">
        <f t="shared" ref="H986:AX986" si="169">H983-H984-H985</f>
        <v>0</v>
      </c>
      <c r="I986" s="147">
        <f t="shared" si="169"/>
        <v>0</v>
      </c>
      <c r="J986" s="147">
        <f t="shared" si="169"/>
        <v>0</v>
      </c>
      <c r="K986" s="147">
        <f t="shared" si="169"/>
        <v>0</v>
      </c>
      <c r="L986" s="147">
        <f t="shared" si="169"/>
        <v>0</v>
      </c>
      <c r="M986" s="147">
        <f t="shared" si="169"/>
        <v>0</v>
      </c>
      <c r="N986" s="147">
        <f t="shared" si="169"/>
        <v>0</v>
      </c>
      <c r="O986" s="147">
        <f t="shared" si="169"/>
        <v>0</v>
      </c>
      <c r="P986" s="147">
        <f t="shared" si="169"/>
        <v>0.1</v>
      </c>
      <c r="Q986" s="147">
        <f t="shared" si="169"/>
        <v>0</v>
      </c>
      <c r="R986" s="147">
        <f t="shared" si="169"/>
        <v>0</v>
      </c>
      <c r="S986" s="147">
        <f t="shared" si="169"/>
        <v>0</v>
      </c>
      <c r="T986" s="147">
        <f t="shared" si="169"/>
        <v>0</v>
      </c>
      <c r="U986" s="147">
        <f t="shared" si="169"/>
        <v>0</v>
      </c>
      <c r="V986" s="147">
        <f t="shared" si="169"/>
        <v>0</v>
      </c>
      <c r="W986" s="147">
        <f t="shared" si="169"/>
        <v>0</v>
      </c>
      <c r="X986" s="147">
        <f t="shared" si="169"/>
        <v>0</v>
      </c>
      <c r="Y986" s="147">
        <f t="shared" si="169"/>
        <v>0</v>
      </c>
      <c r="Z986" s="147">
        <f t="shared" si="169"/>
        <v>0</v>
      </c>
      <c r="AA986" s="147">
        <f t="shared" si="169"/>
        <v>0</v>
      </c>
      <c r="AB986" s="147">
        <f t="shared" si="169"/>
        <v>0</v>
      </c>
      <c r="AC986" s="147">
        <f t="shared" si="169"/>
        <v>0</v>
      </c>
      <c r="AD986" s="147">
        <f t="shared" si="169"/>
        <v>0</v>
      </c>
      <c r="AE986" s="147">
        <f t="shared" si="169"/>
        <v>0</v>
      </c>
      <c r="AF986" s="147">
        <f t="shared" si="169"/>
        <v>0</v>
      </c>
      <c r="AG986" s="147">
        <f t="shared" si="169"/>
        <v>0</v>
      </c>
      <c r="AH986" s="147">
        <f t="shared" si="169"/>
        <v>0</v>
      </c>
      <c r="AI986" s="147">
        <f t="shared" si="169"/>
        <v>0</v>
      </c>
      <c r="AJ986" s="147">
        <f t="shared" si="169"/>
        <v>0</v>
      </c>
      <c r="AK986" s="147">
        <f t="shared" si="169"/>
        <v>0</v>
      </c>
      <c r="AL986" s="147">
        <f t="shared" si="169"/>
        <v>0</v>
      </c>
      <c r="AM986" s="147">
        <f t="shared" si="169"/>
        <v>0</v>
      </c>
      <c r="AN986" s="147">
        <f t="shared" si="169"/>
        <v>0</v>
      </c>
      <c r="AO986" s="147">
        <f t="shared" si="169"/>
        <v>0</v>
      </c>
      <c r="AP986" s="147">
        <f t="shared" si="169"/>
        <v>0</v>
      </c>
      <c r="AQ986" s="147">
        <f t="shared" si="169"/>
        <v>0</v>
      </c>
      <c r="AR986" s="147">
        <f t="shared" si="169"/>
        <v>0</v>
      </c>
      <c r="AS986" s="147">
        <f t="shared" si="169"/>
        <v>0</v>
      </c>
      <c r="AT986" s="147">
        <f t="shared" si="169"/>
        <v>0</v>
      </c>
      <c r="AU986" s="147">
        <f t="shared" si="169"/>
        <v>0</v>
      </c>
      <c r="AV986" s="147">
        <f t="shared" si="169"/>
        <v>0</v>
      </c>
      <c r="AW986" s="147">
        <f t="shared" si="169"/>
        <v>0</v>
      </c>
      <c r="AX986" s="147">
        <f t="shared" si="169"/>
        <v>0</v>
      </c>
      <c r="AY986" s="34" t="s">
        <v>229</v>
      </c>
      <c r="AZ986" s="47"/>
      <c r="BA986" s="93"/>
      <c r="BB986" s="15"/>
      <c r="BC986" s="158"/>
      <c r="BI986" s="42"/>
    </row>
    <row r="987" spans="1:61" s="24" customFormat="1" ht="22.35" customHeight="1">
      <c r="A987" s="32">
        <f>A983+1</f>
        <v>697</v>
      </c>
      <c r="B987" s="158" t="s">
        <v>186</v>
      </c>
      <c r="C987" s="78" t="s">
        <v>1260</v>
      </c>
      <c r="D987" s="35">
        <f t="shared" si="162"/>
        <v>0.5</v>
      </c>
      <c r="E987" s="35"/>
      <c r="F987" s="35">
        <f t="shared" si="164"/>
        <v>0.5</v>
      </c>
      <c r="G987" s="109">
        <v>0.45</v>
      </c>
      <c r="H987" s="109"/>
      <c r="I987" s="109">
        <v>0.05</v>
      </c>
      <c r="J987" s="109"/>
      <c r="K987" s="46"/>
      <c r="L987" s="46"/>
      <c r="M987" s="109"/>
      <c r="N987" s="46"/>
      <c r="O987" s="46"/>
      <c r="P987" s="109"/>
      <c r="Q987" s="46"/>
      <c r="R987" s="46"/>
      <c r="S987" s="46"/>
      <c r="T987" s="46"/>
      <c r="U987" s="46"/>
      <c r="V987" s="46"/>
      <c r="W987" s="46"/>
      <c r="X987" s="46"/>
      <c r="Y987" s="46"/>
      <c r="Z987" s="46"/>
      <c r="AA987" s="46"/>
      <c r="AB987" s="46"/>
      <c r="AC987" s="46"/>
      <c r="AD987" s="46"/>
      <c r="AE987" s="46"/>
      <c r="AF987" s="46"/>
      <c r="AG987" s="46"/>
      <c r="AH987" s="46"/>
      <c r="AI987" s="46"/>
      <c r="AJ987" s="46"/>
      <c r="AK987" s="46"/>
      <c r="AL987" s="46"/>
      <c r="AM987" s="46"/>
      <c r="AN987" s="109"/>
      <c r="AO987" s="46"/>
      <c r="AP987" s="46"/>
      <c r="AQ987" s="46"/>
      <c r="AR987" s="46"/>
      <c r="AS987" s="46"/>
      <c r="AT987" s="46"/>
      <c r="AU987" s="46"/>
      <c r="AV987" s="46"/>
      <c r="AW987" s="46"/>
      <c r="AX987" s="46"/>
      <c r="AY987" s="34" t="s">
        <v>229</v>
      </c>
      <c r="AZ987" s="47" t="s">
        <v>1480</v>
      </c>
      <c r="BA987" s="93" t="s">
        <v>291</v>
      </c>
      <c r="BB987" s="93"/>
      <c r="BC987" s="158" t="s">
        <v>1481</v>
      </c>
      <c r="BI987" s="42">
        <v>1</v>
      </c>
    </row>
    <row r="988" spans="1:61" s="24" customFormat="1" ht="22.35" hidden="1" customHeight="1">
      <c r="A988" s="32"/>
      <c r="B988" s="158"/>
      <c r="C988" s="78" t="s">
        <v>59</v>
      </c>
      <c r="D988" s="35">
        <f t="shared" si="162"/>
        <v>0.2</v>
      </c>
      <c r="E988" s="35"/>
      <c r="F988" s="35">
        <f t="shared" si="164"/>
        <v>0.2</v>
      </c>
      <c r="G988" s="109">
        <v>0.2</v>
      </c>
      <c r="H988" s="109"/>
      <c r="I988" s="109"/>
      <c r="J988" s="109"/>
      <c r="K988" s="46"/>
      <c r="L988" s="46"/>
      <c r="M988" s="109"/>
      <c r="N988" s="46"/>
      <c r="O988" s="46"/>
      <c r="P988" s="109"/>
      <c r="Q988" s="46"/>
      <c r="R988" s="46"/>
      <c r="S988" s="46"/>
      <c r="T988" s="46"/>
      <c r="U988" s="46"/>
      <c r="V988" s="46"/>
      <c r="W988" s="46"/>
      <c r="X988" s="46"/>
      <c r="Y988" s="46"/>
      <c r="Z988" s="46"/>
      <c r="AA988" s="46"/>
      <c r="AB988" s="46"/>
      <c r="AC988" s="46"/>
      <c r="AD988" s="46"/>
      <c r="AE988" s="46"/>
      <c r="AF988" s="46"/>
      <c r="AG988" s="46"/>
      <c r="AH988" s="46"/>
      <c r="AI988" s="46"/>
      <c r="AJ988" s="46"/>
      <c r="AK988" s="46"/>
      <c r="AL988" s="46"/>
      <c r="AM988" s="46"/>
      <c r="AN988" s="109"/>
      <c r="AO988" s="46"/>
      <c r="AP988" s="46"/>
      <c r="AQ988" s="46"/>
      <c r="AR988" s="46"/>
      <c r="AS988" s="46"/>
      <c r="AT988" s="46"/>
      <c r="AU988" s="46"/>
      <c r="AV988" s="46"/>
      <c r="AW988" s="46"/>
      <c r="AX988" s="46"/>
      <c r="AY988" s="34" t="s">
        <v>229</v>
      </c>
      <c r="AZ988" s="47"/>
      <c r="BA988" s="93"/>
      <c r="BB988" s="50"/>
      <c r="BC988" s="158"/>
      <c r="BI988" s="42"/>
    </row>
    <row r="989" spans="1:61" s="24" customFormat="1" ht="22.35" hidden="1" customHeight="1">
      <c r="A989" s="32"/>
      <c r="B989" s="158"/>
      <c r="C989" s="78" t="s">
        <v>44</v>
      </c>
      <c r="D989" s="35">
        <f t="shared" si="162"/>
        <v>0.15000000000000002</v>
      </c>
      <c r="E989" s="35"/>
      <c r="F989" s="35">
        <f t="shared" si="164"/>
        <v>0.15000000000000002</v>
      </c>
      <c r="G989" s="109">
        <v>0.1</v>
      </c>
      <c r="H989" s="109"/>
      <c r="I989" s="109">
        <v>0.05</v>
      </c>
      <c r="J989" s="109"/>
      <c r="K989" s="46"/>
      <c r="L989" s="46"/>
      <c r="M989" s="109"/>
      <c r="N989" s="46"/>
      <c r="O989" s="46"/>
      <c r="P989" s="109"/>
      <c r="Q989" s="46"/>
      <c r="R989" s="46"/>
      <c r="S989" s="46"/>
      <c r="T989" s="46"/>
      <c r="U989" s="46"/>
      <c r="V989" s="46"/>
      <c r="W989" s="46"/>
      <c r="X989" s="46"/>
      <c r="Y989" s="46"/>
      <c r="Z989" s="46"/>
      <c r="AA989" s="46"/>
      <c r="AB989" s="46"/>
      <c r="AC989" s="46"/>
      <c r="AD989" s="46"/>
      <c r="AE989" s="46"/>
      <c r="AF989" s="46"/>
      <c r="AG989" s="46"/>
      <c r="AH989" s="46"/>
      <c r="AI989" s="46"/>
      <c r="AJ989" s="46"/>
      <c r="AK989" s="46"/>
      <c r="AL989" s="46"/>
      <c r="AM989" s="46"/>
      <c r="AN989" s="109"/>
      <c r="AO989" s="46"/>
      <c r="AP989" s="46"/>
      <c r="AQ989" s="46"/>
      <c r="AR989" s="46"/>
      <c r="AS989" s="46"/>
      <c r="AT989" s="46"/>
      <c r="AU989" s="46"/>
      <c r="AV989" s="46"/>
      <c r="AW989" s="46"/>
      <c r="AX989" s="46"/>
      <c r="AY989" s="34" t="s">
        <v>229</v>
      </c>
      <c r="AZ989" s="47"/>
      <c r="BA989" s="93"/>
      <c r="BB989" s="50"/>
      <c r="BC989" s="158"/>
      <c r="BI989" s="42"/>
    </row>
    <row r="990" spans="1:61" s="24" customFormat="1" ht="22.35" hidden="1" customHeight="1">
      <c r="A990" s="32"/>
      <c r="B990" s="158"/>
      <c r="C990" s="78" t="s">
        <v>138</v>
      </c>
      <c r="D990" s="35">
        <f t="shared" si="162"/>
        <v>0.15</v>
      </c>
      <c r="E990" s="35"/>
      <c r="F990" s="35">
        <f t="shared" si="164"/>
        <v>0.15</v>
      </c>
      <c r="G990" s="153">
        <f t="shared" ref="G990:AW990" si="170">G987-G988-G989</f>
        <v>0.15</v>
      </c>
      <c r="H990" s="153">
        <f t="shared" si="170"/>
        <v>0</v>
      </c>
      <c r="I990" s="153">
        <f t="shared" si="170"/>
        <v>0</v>
      </c>
      <c r="J990" s="153">
        <f t="shared" si="170"/>
        <v>0</v>
      </c>
      <c r="K990" s="153">
        <f t="shared" si="170"/>
        <v>0</v>
      </c>
      <c r="L990" s="153">
        <f t="shared" si="170"/>
        <v>0</v>
      </c>
      <c r="M990" s="153">
        <f t="shared" si="170"/>
        <v>0</v>
      </c>
      <c r="N990" s="153">
        <f t="shared" si="170"/>
        <v>0</v>
      </c>
      <c r="O990" s="153">
        <f t="shared" si="170"/>
        <v>0</v>
      </c>
      <c r="P990" s="153">
        <f t="shared" si="170"/>
        <v>0</v>
      </c>
      <c r="Q990" s="153">
        <f t="shared" si="170"/>
        <v>0</v>
      </c>
      <c r="R990" s="153">
        <f t="shared" si="170"/>
        <v>0</v>
      </c>
      <c r="S990" s="153">
        <f t="shared" si="170"/>
        <v>0</v>
      </c>
      <c r="T990" s="153">
        <f t="shared" si="170"/>
        <v>0</v>
      </c>
      <c r="U990" s="153">
        <f t="shared" si="170"/>
        <v>0</v>
      </c>
      <c r="V990" s="153">
        <f t="shared" si="170"/>
        <v>0</v>
      </c>
      <c r="W990" s="153">
        <f t="shared" si="170"/>
        <v>0</v>
      </c>
      <c r="X990" s="153">
        <f t="shared" si="170"/>
        <v>0</v>
      </c>
      <c r="Y990" s="153">
        <f t="shared" si="170"/>
        <v>0</v>
      </c>
      <c r="Z990" s="153">
        <f t="shared" si="170"/>
        <v>0</v>
      </c>
      <c r="AA990" s="153">
        <f t="shared" si="170"/>
        <v>0</v>
      </c>
      <c r="AB990" s="153">
        <f t="shared" si="170"/>
        <v>0</v>
      </c>
      <c r="AC990" s="153">
        <f t="shared" si="170"/>
        <v>0</v>
      </c>
      <c r="AD990" s="153">
        <f t="shared" si="170"/>
        <v>0</v>
      </c>
      <c r="AE990" s="153">
        <f t="shared" si="170"/>
        <v>0</v>
      </c>
      <c r="AF990" s="153">
        <f t="shared" si="170"/>
        <v>0</v>
      </c>
      <c r="AG990" s="153">
        <f t="shared" si="170"/>
        <v>0</v>
      </c>
      <c r="AH990" s="153">
        <f t="shared" si="170"/>
        <v>0</v>
      </c>
      <c r="AI990" s="153">
        <f t="shared" si="170"/>
        <v>0</v>
      </c>
      <c r="AJ990" s="153">
        <f t="shared" si="170"/>
        <v>0</v>
      </c>
      <c r="AK990" s="153">
        <f t="shared" si="170"/>
        <v>0</v>
      </c>
      <c r="AL990" s="153">
        <f t="shared" si="170"/>
        <v>0</v>
      </c>
      <c r="AM990" s="153">
        <f t="shared" si="170"/>
        <v>0</v>
      </c>
      <c r="AN990" s="153">
        <f t="shared" si="170"/>
        <v>0</v>
      </c>
      <c r="AO990" s="153">
        <f t="shared" si="170"/>
        <v>0</v>
      </c>
      <c r="AP990" s="153">
        <f t="shared" si="170"/>
        <v>0</v>
      </c>
      <c r="AQ990" s="153">
        <f t="shared" si="170"/>
        <v>0</v>
      </c>
      <c r="AR990" s="153">
        <f t="shared" si="170"/>
        <v>0</v>
      </c>
      <c r="AS990" s="153">
        <f t="shared" si="170"/>
        <v>0</v>
      </c>
      <c r="AT990" s="153">
        <f t="shared" si="170"/>
        <v>0</v>
      </c>
      <c r="AU990" s="153">
        <f t="shared" si="170"/>
        <v>0</v>
      </c>
      <c r="AV990" s="153">
        <f t="shared" si="170"/>
        <v>0</v>
      </c>
      <c r="AW990" s="153">
        <f t="shared" si="170"/>
        <v>0</v>
      </c>
      <c r="AX990" s="153">
        <f>AX987-AX988-AX989</f>
        <v>0</v>
      </c>
      <c r="AY990" s="34" t="s">
        <v>229</v>
      </c>
      <c r="AZ990" s="47"/>
      <c r="BA990" s="93"/>
      <c r="BB990" s="50"/>
      <c r="BC990" s="158"/>
      <c r="BI990" s="42"/>
    </row>
    <row r="991" spans="1:61" s="24" customFormat="1" ht="46.35" customHeight="1">
      <c r="A991" s="32">
        <f>A987+1</f>
        <v>698</v>
      </c>
      <c r="B991" s="158" t="s">
        <v>186</v>
      </c>
      <c r="C991" s="78" t="s">
        <v>1260</v>
      </c>
      <c r="D991" s="35">
        <f t="shared" si="162"/>
        <v>0.44</v>
      </c>
      <c r="E991" s="35"/>
      <c r="F991" s="35">
        <f t="shared" si="164"/>
        <v>0.44</v>
      </c>
      <c r="G991" s="109"/>
      <c r="H991" s="109"/>
      <c r="I991" s="109"/>
      <c r="J991" s="109"/>
      <c r="K991" s="46"/>
      <c r="L991" s="46"/>
      <c r="M991" s="109">
        <v>0.37</v>
      </c>
      <c r="N991" s="46"/>
      <c r="O991" s="46"/>
      <c r="P991" s="109"/>
      <c r="Q991" s="46"/>
      <c r="R991" s="46"/>
      <c r="S991" s="46"/>
      <c r="T991" s="46"/>
      <c r="U991" s="46"/>
      <c r="V991" s="46"/>
      <c r="W991" s="46"/>
      <c r="X991" s="46"/>
      <c r="Y991" s="46"/>
      <c r="Z991" s="46"/>
      <c r="AA991" s="46"/>
      <c r="AB991" s="46"/>
      <c r="AC991" s="46"/>
      <c r="AD991" s="46"/>
      <c r="AE991" s="46"/>
      <c r="AF991" s="46"/>
      <c r="AG991" s="46"/>
      <c r="AH991" s="46"/>
      <c r="AI991" s="46"/>
      <c r="AJ991" s="46"/>
      <c r="AK991" s="46"/>
      <c r="AL991" s="46"/>
      <c r="AM991" s="46"/>
      <c r="AN991" s="109">
        <v>7.0000000000000007E-2</v>
      </c>
      <c r="AO991" s="46"/>
      <c r="AP991" s="46"/>
      <c r="AQ991" s="46"/>
      <c r="AR991" s="46"/>
      <c r="AS991" s="46"/>
      <c r="AT991" s="46"/>
      <c r="AU991" s="46"/>
      <c r="AV991" s="46"/>
      <c r="AW991" s="46"/>
      <c r="AX991" s="46"/>
      <c r="AY991" s="34" t="s">
        <v>229</v>
      </c>
      <c r="AZ991" s="47" t="s">
        <v>1482</v>
      </c>
      <c r="BA991" s="93" t="s">
        <v>291</v>
      </c>
      <c r="BB991" s="58" t="s">
        <v>1483</v>
      </c>
      <c r="BC991" s="158" t="s">
        <v>1484</v>
      </c>
      <c r="BI991" s="42">
        <v>1</v>
      </c>
    </row>
    <row r="992" spans="1:61" s="24" customFormat="1" ht="21" hidden="1" customHeight="1">
      <c r="A992" s="32"/>
      <c r="B992" s="158"/>
      <c r="C992" s="78" t="s">
        <v>59</v>
      </c>
      <c r="D992" s="35">
        <f t="shared" si="162"/>
        <v>0.22</v>
      </c>
      <c r="E992" s="35"/>
      <c r="F992" s="35">
        <f t="shared" si="164"/>
        <v>0.22</v>
      </c>
      <c r="G992" s="109"/>
      <c r="H992" s="109"/>
      <c r="I992" s="109"/>
      <c r="J992" s="109"/>
      <c r="K992" s="46"/>
      <c r="L992" s="46"/>
      <c r="M992" s="109">
        <v>0.22</v>
      </c>
      <c r="N992" s="46"/>
      <c r="O992" s="46"/>
      <c r="P992" s="109"/>
      <c r="Q992" s="46"/>
      <c r="R992" s="46"/>
      <c r="S992" s="46"/>
      <c r="T992" s="46"/>
      <c r="U992" s="46"/>
      <c r="V992" s="46"/>
      <c r="W992" s="46"/>
      <c r="X992" s="46"/>
      <c r="Y992" s="46"/>
      <c r="Z992" s="46"/>
      <c r="AA992" s="46"/>
      <c r="AB992" s="46"/>
      <c r="AC992" s="46"/>
      <c r="AD992" s="46"/>
      <c r="AE992" s="46"/>
      <c r="AF992" s="46"/>
      <c r="AG992" s="46"/>
      <c r="AH992" s="46"/>
      <c r="AI992" s="46"/>
      <c r="AJ992" s="46"/>
      <c r="AK992" s="46"/>
      <c r="AL992" s="46"/>
      <c r="AM992" s="46"/>
      <c r="AN992" s="109"/>
      <c r="AO992" s="46"/>
      <c r="AP992" s="46"/>
      <c r="AQ992" s="46"/>
      <c r="AR992" s="46"/>
      <c r="AS992" s="46"/>
      <c r="AT992" s="46"/>
      <c r="AU992" s="46"/>
      <c r="AV992" s="46"/>
      <c r="AW992" s="46"/>
      <c r="AX992" s="46"/>
      <c r="AY992" s="34" t="s">
        <v>229</v>
      </c>
      <c r="AZ992" s="47"/>
      <c r="BA992" s="93"/>
      <c r="BB992" s="58"/>
      <c r="BC992" s="158"/>
      <c r="BI992" s="42"/>
    </row>
    <row r="993" spans="1:61" s="24" customFormat="1" ht="21" hidden="1" customHeight="1">
      <c r="A993" s="32"/>
      <c r="B993" s="158"/>
      <c r="C993" s="78" t="s">
        <v>44</v>
      </c>
      <c r="D993" s="35">
        <f t="shared" si="162"/>
        <v>0.19</v>
      </c>
      <c r="E993" s="35"/>
      <c r="F993" s="35">
        <f t="shared" si="164"/>
        <v>0.19</v>
      </c>
      <c r="G993" s="109"/>
      <c r="H993" s="109"/>
      <c r="I993" s="109"/>
      <c r="J993" s="109"/>
      <c r="K993" s="46"/>
      <c r="L993" s="46"/>
      <c r="M993" s="109">
        <v>0.15</v>
      </c>
      <c r="N993" s="46"/>
      <c r="O993" s="46"/>
      <c r="P993" s="109"/>
      <c r="Q993" s="46"/>
      <c r="R993" s="46"/>
      <c r="S993" s="46"/>
      <c r="T993" s="46"/>
      <c r="U993" s="46"/>
      <c r="V993" s="46"/>
      <c r="W993" s="46"/>
      <c r="X993" s="46"/>
      <c r="Y993" s="46"/>
      <c r="Z993" s="46"/>
      <c r="AA993" s="46"/>
      <c r="AB993" s="46"/>
      <c r="AC993" s="46"/>
      <c r="AD993" s="46"/>
      <c r="AE993" s="46"/>
      <c r="AF993" s="46"/>
      <c r="AG993" s="46"/>
      <c r="AH993" s="46"/>
      <c r="AI993" s="46"/>
      <c r="AJ993" s="46"/>
      <c r="AK993" s="46"/>
      <c r="AL993" s="46"/>
      <c r="AM993" s="46"/>
      <c r="AN993" s="109">
        <v>0.04</v>
      </c>
      <c r="AO993" s="46"/>
      <c r="AP993" s="46"/>
      <c r="AQ993" s="46"/>
      <c r="AR993" s="46"/>
      <c r="AS993" s="46"/>
      <c r="AT993" s="46"/>
      <c r="AU993" s="46"/>
      <c r="AV993" s="46"/>
      <c r="AW993" s="46"/>
      <c r="AX993" s="46"/>
      <c r="AY993" s="34" t="s">
        <v>229</v>
      </c>
      <c r="AZ993" s="47"/>
      <c r="BA993" s="93"/>
      <c r="BB993" s="58"/>
      <c r="BC993" s="158"/>
      <c r="BI993" s="42"/>
    </row>
    <row r="994" spans="1:61" s="24" customFormat="1" ht="21" hidden="1" customHeight="1">
      <c r="A994" s="32"/>
      <c r="B994" s="158"/>
      <c r="C994" s="78" t="s">
        <v>138</v>
      </c>
      <c r="D994" s="35">
        <f t="shared" si="162"/>
        <v>3.0000000000000006E-2</v>
      </c>
      <c r="E994" s="35"/>
      <c r="F994" s="35">
        <f t="shared" si="164"/>
        <v>3.0000000000000006E-2</v>
      </c>
      <c r="G994" s="147">
        <f>G991-G992-G993</f>
        <v>0</v>
      </c>
      <c r="H994" s="147">
        <f t="shared" ref="H994:AX994" si="171">H991-H992-H993</f>
        <v>0</v>
      </c>
      <c r="I994" s="147">
        <f t="shared" si="171"/>
        <v>0</v>
      </c>
      <c r="J994" s="147">
        <f t="shared" si="171"/>
        <v>0</v>
      </c>
      <c r="K994" s="147">
        <f t="shared" si="171"/>
        <v>0</v>
      </c>
      <c r="L994" s="147">
        <f t="shared" si="171"/>
        <v>0</v>
      </c>
      <c r="M994" s="147">
        <f t="shared" si="171"/>
        <v>0</v>
      </c>
      <c r="N994" s="147">
        <f t="shared" si="171"/>
        <v>0</v>
      </c>
      <c r="O994" s="147">
        <f t="shared" si="171"/>
        <v>0</v>
      </c>
      <c r="P994" s="147">
        <f t="shared" si="171"/>
        <v>0</v>
      </c>
      <c r="Q994" s="147">
        <f t="shared" si="171"/>
        <v>0</v>
      </c>
      <c r="R994" s="147">
        <f t="shared" si="171"/>
        <v>0</v>
      </c>
      <c r="S994" s="147">
        <f t="shared" si="171"/>
        <v>0</v>
      </c>
      <c r="T994" s="147">
        <f t="shared" si="171"/>
        <v>0</v>
      </c>
      <c r="U994" s="147">
        <f t="shared" si="171"/>
        <v>0</v>
      </c>
      <c r="V994" s="147">
        <f t="shared" si="171"/>
        <v>0</v>
      </c>
      <c r="W994" s="147">
        <f t="shared" si="171"/>
        <v>0</v>
      </c>
      <c r="X994" s="147">
        <f t="shared" si="171"/>
        <v>0</v>
      </c>
      <c r="Y994" s="147">
        <f t="shared" si="171"/>
        <v>0</v>
      </c>
      <c r="Z994" s="147">
        <f t="shared" si="171"/>
        <v>0</v>
      </c>
      <c r="AA994" s="147">
        <f t="shared" si="171"/>
        <v>0</v>
      </c>
      <c r="AB994" s="147">
        <f t="shared" si="171"/>
        <v>0</v>
      </c>
      <c r="AC994" s="147">
        <f t="shared" si="171"/>
        <v>0</v>
      </c>
      <c r="AD994" s="147">
        <f t="shared" si="171"/>
        <v>0</v>
      </c>
      <c r="AE994" s="147">
        <f t="shared" si="171"/>
        <v>0</v>
      </c>
      <c r="AF994" s="147">
        <f t="shared" si="171"/>
        <v>0</v>
      </c>
      <c r="AG994" s="147">
        <f t="shared" si="171"/>
        <v>0</v>
      </c>
      <c r="AH994" s="147">
        <f t="shared" si="171"/>
        <v>0</v>
      </c>
      <c r="AI994" s="147">
        <f t="shared" si="171"/>
        <v>0</v>
      </c>
      <c r="AJ994" s="147">
        <f t="shared" si="171"/>
        <v>0</v>
      </c>
      <c r="AK994" s="147">
        <f t="shared" si="171"/>
        <v>0</v>
      </c>
      <c r="AL994" s="147">
        <f t="shared" si="171"/>
        <v>0</v>
      </c>
      <c r="AM994" s="147">
        <f t="shared" si="171"/>
        <v>0</v>
      </c>
      <c r="AN994" s="147">
        <f t="shared" si="171"/>
        <v>3.0000000000000006E-2</v>
      </c>
      <c r="AO994" s="147">
        <f t="shared" si="171"/>
        <v>0</v>
      </c>
      <c r="AP994" s="147">
        <f t="shared" si="171"/>
        <v>0</v>
      </c>
      <c r="AQ994" s="147">
        <f t="shared" si="171"/>
        <v>0</v>
      </c>
      <c r="AR994" s="147">
        <f t="shared" si="171"/>
        <v>0</v>
      </c>
      <c r="AS994" s="147">
        <f t="shared" si="171"/>
        <v>0</v>
      </c>
      <c r="AT994" s="147">
        <f t="shared" si="171"/>
        <v>0</v>
      </c>
      <c r="AU994" s="147">
        <f t="shared" si="171"/>
        <v>0</v>
      </c>
      <c r="AV994" s="147">
        <f t="shared" si="171"/>
        <v>0</v>
      </c>
      <c r="AW994" s="147">
        <f t="shared" si="171"/>
        <v>0</v>
      </c>
      <c r="AX994" s="147">
        <f t="shared" si="171"/>
        <v>0</v>
      </c>
      <c r="AY994" s="34" t="s">
        <v>229</v>
      </c>
      <c r="AZ994" s="47"/>
      <c r="BA994" s="93"/>
      <c r="BB994" s="58"/>
      <c r="BC994" s="158"/>
      <c r="BI994" s="42"/>
    </row>
    <row r="995" spans="1:61" s="24" customFormat="1" ht="20.85" customHeight="1">
      <c r="A995" s="32">
        <f>A991+1</f>
        <v>699</v>
      </c>
      <c r="B995" s="158" t="s">
        <v>186</v>
      </c>
      <c r="C995" s="78" t="s">
        <v>1260</v>
      </c>
      <c r="D995" s="35">
        <f t="shared" si="162"/>
        <v>0.77</v>
      </c>
      <c r="E995" s="35"/>
      <c r="F995" s="35">
        <f t="shared" si="164"/>
        <v>0.77</v>
      </c>
      <c r="G995" s="109">
        <v>0.3</v>
      </c>
      <c r="H995" s="109">
        <v>0.3</v>
      </c>
      <c r="I995" s="109"/>
      <c r="J995" s="109">
        <v>0.17</v>
      </c>
      <c r="K995" s="46"/>
      <c r="L995" s="46"/>
      <c r="M995" s="109"/>
      <c r="N995" s="46"/>
      <c r="O995" s="46"/>
      <c r="P995" s="109"/>
      <c r="Q995" s="46"/>
      <c r="R995" s="46"/>
      <c r="S995" s="46"/>
      <c r="T995" s="46"/>
      <c r="U995" s="46"/>
      <c r="V995" s="46"/>
      <c r="W995" s="46"/>
      <c r="X995" s="46"/>
      <c r="Y995" s="46"/>
      <c r="Z995" s="46"/>
      <c r="AA995" s="46"/>
      <c r="AB995" s="46"/>
      <c r="AC995" s="46"/>
      <c r="AD995" s="46"/>
      <c r="AE995" s="46"/>
      <c r="AF995" s="46"/>
      <c r="AG995" s="46"/>
      <c r="AH995" s="46"/>
      <c r="AI995" s="46"/>
      <c r="AJ995" s="46"/>
      <c r="AK995" s="46"/>
      <c r="AL995" s="46"/>
      <c r="AM995" s="46"/>
      <c r="AN995" s="109"/>
      <c r="AO995" s="46"/>
      <c r="AP995" s="46"/>
      <c r="AQ995" s="46"/>
      <c r="AR995" s="46"/>
      <c r="AS995" s="46"/>
      <c r="AT995" s="46"/>
      <c r="AU995" s="46"/>
      <c r="AV995" s="46"/>
      <c r="AW995" s="46"/>
      <c r="AX995" s="46"/>
      <c r="AY995" s="34" t="s">
        <v>229</v>
      </c>
      <c r="AZ995" s="47" t="s">
        <v>425</v>
      </c>
      <c r="BA995" s="47" t="s">
        <v>298</v>
      </c>
      <c r="BB995" s="15" t="s">
        <v>1485</v>
      </c>
      <c r="BC995" s="162" t="s">
        <v>1486</v>
      </c>
      <c r="BI995" s="42">
        <v>1</v>
      </c>
    </row>
    <row r="996" spans="1:61" s="24" customFormat="1" ht="20.85" hidden="1" customHeight="1">
      <c r="A996" s="32"/>
      <c r="B996" s="158"/>
      <c r="C996" s="78" t="s">
        <v>59</v>
      </c>
      <c r="D996" s="35">
        <f t="shared" si="162"/>
        <v>0.27</v>
      </c>
      <c r="E996" s="35"/>
      <c r="F996" s="35">
        <f t="shared" si="164"/>
        <v>0.27</v>
      </c>
      <c r="G996" s="109">
        <v>0.15</v>
      </c>
      <c r="H996" s="109">
        <v>0.12</v>
      </c>
      <c r="I996" s="109"/>
      <c r="J996" s="109"/>
      <c r="K996" s="46"/>
      <c r="L996" s="46"/>
      <c r="M996" s="109"/>
      <c r="N996" s="46"/>
      <c r="O996" s="46"/>
      <c r="P996" s="109"/>
      <c r="Q996" s="46"/>
      <c r="R996" s="46"/>
      <c r="S996" s="46"/>
      <c r="T996" s="46"/>
      <c r="U996" s="46"/>
      <c r="V996" s="46"/>
      <c r="W996" s="46"/>
      <c r="X996" s="46"/>
      <c r="Y996" s="46"/>
      <c r="Z996" s="46"/>
      <c r="AA996" s="46"/>
      <c r="AB996" s="46"/>
      <c r="AC996" s="46"/>
      <c r="AD996" s="46"/>
      <c r="AE996" s="46"/>
      <c r="AF996" s="46"/>
      <c r="AG996" s="46"/>
      <c r="AH996" s="46"/>
      <c r="AI996" s="46"/>
      <c r="AJ996" s="46"/>
      <c r="AK996" s="46"/>
      <c r="AL996" s="46"/>
      <c r="AM996" s="46"/>
      <c r="AN996" s="109"/>
      <c r="AO996" s="46"/>
      <c r="AP996" s="46"/>
      <c r="AQ996" s="46"/>
      <c r="AR996" s="46"/>
      <c r="AS996" s="46"/>
      <c r="AT996" s="46"/>
      <c r="AU996" s="46"/>
      <c r="AV996" s="46"/>
      <c r="AW996" s="46"/>
      <c r="AX996" s="46"/>
      <c r="AY996" s="34" t="s">
        <v>229</v>
      </c>
      <c r="AZ996" s="47"/>
      <c r="BA996" s="47"/>
      <c r="BB996" s="15"/>
      <c r="BC996" s="162"/>
      <c r="BI996" s="42"/>
    </row>
    <row r="997" spans="1:61" s="24" customFormat="1" ht="20.85" hidden="1" customHeight="1">
      <c r="A997" s="32"/>
      <c r="B997" s="158"/>
      <c r="C997" s="78" t="s">
        <v>44</v>
      </c>
      <c r="D997" s="35">
        <f t="shared" si="162"/>
        <v>0.31000000000000005</v>
      </c>
      <c r="E997" s="35"/>
      <c r="F997" s="35">
        <f t="shared" si="164"/>
        <v>0.31000000000000005</v>
      </c>
      <c r="G997" s="109">
        <v>0.11</v>
      </c>
      <c r="H997" s="109">
        <v>0.1</v>
      </c>
      <c r="I997" s="109"/>
      <c r="J997" s="109">
        <v>0.1</v>
      </c>
      <c r="K997" s="46"/>
      <c r="L997" s="46"/>
      <c r="M997" s="109"/>
      <c r="N997" s="46"/>
      <c r="O997" s="46"/>
      <c r="P997" s="109"/>
      <c r="Q997" s="46"/>
      <c r="R997" s="46"/>
      <c r="S997" s="46"/>
      <c r="T997" s="46"/>
      <c r="U997" s="46"/>
      <c r="V997" s="46"/>
      <c r="W997" s="46"/>
      <c r="X997" s="46"/>
      <c r="Y997" s="46"/>
      <c r="Z997" s="46"/>
      <c r="AA997" s="46"/>
      <c r="AB997" s="46"/>
      <c r="AC997" s="46"/>
      <c r="AD997" s="46"/>
      <c r="AE997" s="46"/>
      <c r="AF997" s="46"/>
      <c r="AG997" s="46"/>
      <c r="AH997" s="46"/>
      <c r="AI997" s="46"/>
      <c r="AJ997" s="46"/>
      <c r="AK997" s="46"/>
      <c r="AL997" s="46"/>
      <c r="AM997" s="46"/>
      <c r="AN997" s="109"/>
      <c r="AO997" s="46"/>
      <c r="AP997" s="46"/>
      <c r="AQ997" s="46"/>
      <c r="AR997" s="46"/>
      <c r="AS997" s="46"/>
      <c r="AT997" s="46"/>
      <c r="AU997" s="46"/>
      <c r="AV997" s="46"/>
      <c r="AW997" s="46"/>
      <c r="AX997" s="46"/>
      <c r="AY997" s="34" t="s">
        <v>229</v>
      </c>
      <c r="AZ997" s="47"/>
      <c r="BA997" s="47"/>
      <c r="BB997" s="15"/>
      <c r="BC997" s="162"/>
      <c r="BI997" s="42"/>
    </row>
    <row r="998" spans="1:61" s="24" customFormat="1" ht="20.85" hidden="1" customHeight="1">
      <c r="A998" s="32"/>
      <c r="B998" s="158"/>
      <c r="C998" s="78" t="s">
        <v>138</v>
      </c>
      <c r="D998" s="35">
        <f t="shared" si="162"/>
        <v>0.19</v>
      </c>
      <c r="E998" s="35"/>
      <c r="F998" s="35">
        <f t="shared" si="164"/>
        <v>0.19</v>
      </c>
      <c r="G998" s="147">
        <f>G995-G996-G997</f>
        <v>3.9999999999999994E-2</v>
      </c>
      <c r="H998" s="147">
        <f t="shared" ref="H998:AX998" si="172">H995-H996-H997</f>
        <v>7.9999999999999988E-2</v>
      </c>
      <c r="I998" s="147">
        <f t="shared" si="172"/>
        <v>0</v>
      </c>
      <c r="J998" s="147">
        <f t="shared" si="172"/>
        <v>7.0000000000000007E-2</v>
      </c>
      <c r="K998" s="147">
        <f t="shared" si="172"/>
        <v>0</v>
      </c>
      <c r="L998" s="147">
        <f t="shared" si="172"/>
        <v>0</v>
      </c>
      <c r="M998" s="147">
        <f t="shared" si="172"/>
        <v>0</v>
      </c>
      <c r="N998" s="147">
        <f t="shared" si="172"/>
        <v>0</v>
      </c>
      <c r="O998" s="147">
        <f t="shared" si="172"/>
        <v>0</v>
      </c>
      <c r="P998" s="147">
        <f t="shared" si="172"/>
        <v>0</v>
      </c>
      <c r="Q998" s="147">
        <f t="shared" si="172"/>
        <v>0</v>
      </c>
      <c r="R998" s="147">
        <f t="shared" si="172"/>
        <v>0</v>
      </c>
      <c r="S998" s="147">
        <f t="shared" si="172"/>
        <v>0</v>
      </c>
      <c r="T998" s="147">
        <f t="shared" si="172"/>
        <v>0</v>
      </c>
      <c r="U998" s="147">
        <f t="shared" si="172"/>
        <v>0</v>
      </c>
      <c r="V998" s="147">
        <f t="shared" si="172"/>
        <v>0</v>
      </c>
      <c r="W998" s="147">
        <f t="shared" si="172"/>
        <v>0</v>
      </c>
      <c r="X998" s="147">
        <f t="shared" si="172"/>
        <v>0</v>
      </c>
      <c r="Y998" s="147">
        <f t="shared" si="172"/>
        <v>0</v>
      </c>
      <c r="Z998" s="147">
        <f t="shared" si="172"/>
        <v>0</v>
      </c>
      <c r="AA998" s="147">
        <f t="shared" si="172"/>
        <v>0</v>
      </c>
      <c r="AB998" s="147">
        <f t="shared" si="172"/>
        <v>0</v>
      </c>
      <c r="AC998" s="147">
        <f t="shared" si="172"/>
        <v>0</v>
      </c>
      <c r="AD998" s="147">
        <f t="shared" si="172"/>
        <v>0</v>
      </c>
      <c r="AE998" s="147">
        <f t="shared" si="172"/>
        <v>0</v>
      </c>
      <c r="AF998" s="147">
        <f t="shared" si="172"/>
        <v>0</v>
      </c>
      <c r="AG998" s="147">
        <f t="shared" si="172"/>
        <v>0</v>
      </c>
      <c r="AH998" s="147">
        <f t="shared" si="172"/>
        <v>0</v>
      </c>
      <c r="AI998" s="147">
        <f t="shared" si="172"/>
        <v>0</v>
      </c>
      <c r="AJ998" s="147">
        <f t="shared" si="172"/>
        <v>0</v>
      </c>
      <c r="AK998" s="147">
        <f t="shared" si="172"/>
        <v>0</v>
      </c>
      <c r="AL998" s="147">
        <f t="shared" si="172"/>
        <v>0</v>
      </c>
      <c r="AM998" s="147">
        <f t="shared" si="172"/>
        <v>0</v>
      </c>
      <c r="AN998" s="147">
        <f t="shared" si="172"/>
        <v>0</v>
      </c>
      <c r="AO998" s="147">
        <f t="shared" si="172"/>
        <v>0</v>
      </c>
      <c r="AP998" s="147">
        <f t="shared" si="172"/>
        <v>0</v>
      </c>
      <c r="AQ998" s="147">
        <f t="shared" si="172"/>
        <v>0</v>
      </c>
      <c r="AR998" s="147">
        <f t="shared" si="172"/>
        <v>0</v>
      </c>
      <c r="AS998" s="147">
        <f t="shared" si="172"/>
        <v>0</v>
      </c>
      <c r="AT998" s="147">
        <f t="shared" si="172"/>
        <v>0</v>
      </c>
      <c r="AU998" s="147">
        <f t="shared" si="172"/>
        <v>0</v>
      </c>
      <c r="AV998" s="147">
        <f t="shared" si="172"/>
        <v>0</v>
      </c>
      <c r="AW998" s="147">
        <f t="shared" si="172"/>
        <v>0</v>
      </c>
      <c r="AX998" s="147">
        <f t="shared" si="172"/>
        <v>0</v>
      </c>
      <c r="AY998" s="34" t="s">
        <v>229</v>
      </c>
      <c r="AZ998" s="47"/>
      <c r="BA998" s="47"/>
      <c r="BB998" s="15"/>
      <c r="BC998" s="162"/>
      <c r="BI998" s="42"/>
    </row>
    <row r="999" spans="1:61" s="24" customFormat="1" ht="44.1" customHeight="1">
      <c r="A999" s="32">
        <f>A995+1</f>
        <v>700</v>
      </c>
      <c r="B999" s="158" t="s">
        <v>1487</v>
      </c>
      <c r="C999" s="78" t="s">
        <v>59</v>
      </c>
      <c r="D999" s="35">
        <f t="shared" si="162"/>
        <v>0.25</v>
      </c>
      <c r="E999" s="35"/>
      <c r="F999" s="35">
        <f t="shared" si="164"/>
        <v>0.25</v>
      </c>
      <c r="G999" s="109">
        <v>0.2</v>
      </c>
      <c r="H999" s="109"/>
      <c r="I999" s="109">
        <v>0.05</v>
      </c>
      <c r="J999" s="109"/>
      <c r="K999" s="46"/>
      <c r="L999" s="46"/>
      <c r="M999" s="109"/>
      <c r="N999" s="46"/>
      <c r="O999" s="46"/>
      <c r="P999" s="109"/>
      <c r="Q999" s="46"/>
      <c r="R999" s="46"/>
      <c r="S999" s="46"/>
      <c r="T999" s="46"/>
      <c r="U999" s="46"/>
      <c r="V999" s="46"/>
      <c r="W999" s="46"/>
      <c r="X999" s="46"/>
      <c r="Y999" s="46"/>
      <c r="Z999" s="46"/>
      <c r="AA999" s="46"/>
      <c r="AB999" s="46"/>
      <c r="AC999" s="46"/>
      <c r="AD999" s="46"/>
      <c r="AE999" s="46"/>
      <c r="AF999" s="46"/>
      <c r="AG999" s="46"/>
      <c r="AH999" s="46"/>
      <c r="AI999" s="46"/>
      <c r="AJ999" s="46"/>
      <c r="AK999" s="46"/>
      <c r="AL999" s="46"/>
      <c r="AM999" s="46"/>
      <c r="AN999" s="109"/>
      <c r="AO999" s="46"/>
      <c r="AP999" s="46"/>
      <c r="AQ999" s="46"/>
      <c r="AR999" s="46"/>
      <c r="AS999" s="46"/>
      <c r="AT999" s="46"/>
      <c r="AU999" s="46"/>
      <c r="AV999" s="46"/>
      <c r="AW999" s="46"/>
      <c r="AX999" s="46"/>
      <c r="AY999" s="34" t="s">
        <v>229</v>
      </c>
      <c r="AZ999" s="47" t="s">
        <v>387</v>
      </c>
      <c r="BA999" s="63" t="s">
        <v>291</v>
      </c>
      <c r="BB999" s="63"/>
      <c r="BC999" s="158" t="s">
        <v>1487</v>
      </c>
      <c r="BI999" s="42">
        <v>1</v>
      </c>
    </row>
    <row r="1000" spans="1:61" s="24" customFormat="1" ht="20.85" customHeight="1">
      <c r="A1000" s="32">
        <f>A999+1</f>
        <v>701</v>
      </c>
      <c r="B1000" s="60" t="s">
        <v>1299</v>
      </c>
      <c r="C1000" s="78" t="s">
        <v>59</v>
      </c>
      <c r="D1000" s="35">
        <f t="shared" si="162"/>
        <v>1.3</v>
      </c>
      <c r="E1000" s="35"/>
      <c r="F1000" s="35">
        <f t="shared" si="164"/>
        <v>1.3</v>
      </c>
      <c r="G1000" s="46"/>
      <c r="H1000" s="46"/>
      <c r="I1000" s="46"/>
      <c r="J1000" s="46">
        <v>1.3</v>
      </c>
      <c r="K1000" s="46"/>
      <c r="L1000" s="46"/>
      <c r="M1000" s="46"/>
      <c r="N1000" s="46"/>
      <c r="O1000" s="46"/>
      <c r="P1000" s="46"/>
      <c r="Q1000" s="46"/>
      <c r="R1000" s="46"/>
      <c r="S1000" s="46"/>
      <c r="T1000" s="46"/>
      <c r="U1000" s="46"/>
      <c r="V1000" s="46"/>
      <c r="W1000" s="46"/>
      <c r="X1000" s="46"/>
      <c r="Y1000" s="46"/>
      <c r="Z1000" s="46"/>
      <c r="AA1000" s="46"/>
      <c r="AB1000" s="46"/>
      <c r="AC1000" s="46"/>
      <c r="AD1000" s="46"/>
      <c r="AE1000" s="46"/>
      <c r="AF1000" s="46"/>
      <c r="AG1000" s="46"/>
      <c r="AH1000" s="46"/>
      <c r="AI1000" s="46"/>
      <c r="AJ1000" s="46"/>
      <c r="AK1000" s="46"/>
      <c r="AL1000" s="46"/>
      <c r="AM1000" s="46"/>
      <c r="AN1000" s="46"/>
      <c r="AO1000" s="46"/>
      <c r="AP1000" s="46"/>
      <c r="AQ1000" s="46"/>
      <c r="AR1000" s="46"/>
      <c r="AS1000" s="46"/>
      <c r="AT1000" s="46"/>
      <c r="AU1000" s="46"/>
      <c r="AV1000" s="46"/>
      <c r="AW1000" s="46"/>
      <c r="AX1000" s="46"/>
      <c r="AY1000" s="34" t="s">
        <v>229</v>
      </c>
      <c r="AZ1000" s="47" t="s">
        <v>615</v>
      </c>
      <c r="BA1000" s="63" t="s">
        <v>291</v>
      </c>
      <c r="BB1000" s="63"/>
      <c r="BC1000" s="60"/>
      <c r="BI1000" s="42">
        <v>1</v>
      </c>
    </row>
    <row r="1001" spans="1:61" s="24" customFormat="1" ht="20.85" customHeight="1">
      <c r="A1001" s="32" t="s">
        <v>1488</v>
      </c>
      <c r="B1001" s="158" t="s">
        <v>186</v>
      </c>
      <c r="C1001" s="78" t="s">
        <v>1260</v>
      </c>
      <c r="D1001" s="35">
        <f>E1001+F1001</f>
        <v>12.91</v>
      </c>
      <c r="E1001" s="89">
        <f>E1002+E1007+E1011+E1015+E1019+E1023+E1027+E1031+E1032+E1036+E1037+E1040+E1044+E1053+E1058</f>
        <v>0</v>
      </c>
      <c r="F1001" s="141">
        <f>F1002+F1007+F1011+F1015+F1019+F1023+F1027+F1031+F1032+F1036+F1037+F1040+F1044+F1053+F1058+F1048+F1057</f>
        <v>12.91</v>
      </c>
      <c r="G1001" s="141">
        <f t="shared" ref="G1001:AX1001" si="173">G1002+G1007+G1011+G1015+G1019+G1023+G1027+G1031+G1032+G1036+G1037+G1040+G1044+G1053+G1058+G1048+G1057</f>
        <v>6.13</v>
      </c>
      <c r="H1001" s="141">
        <f t="shared" si="173"/>
        <v>2.13</v>
      </c>
      <c r="I1001" s="141">
        <f t="shared" si="173"/>
        <v>1.7100000000000002</v>
      </c>
      <c r="J1001" s="141">
        <f t="shared" si="173"/>
        <v>0.8</v>
      </c>
      <c r="K1001" s="141">
        <f t="shared" si="173"/>
        <v>0</v>
      </c>
      <c r="L1001" s="141">
        <f t="shared" si="173"/>
        <v>0</v>
      </c>
      <c r="M1001" s="141">
        <f t="shared" si="173"/>
        <v>1.85</v>
      </c>
      <c r="N1001" s="141">
        <f t="shared" si="173"/>
        <v>0</v>
      </c>
      <c r="O1001" s="141">
        <f t="shared" si="173"/>
        <v>0</v>
      </c>
      <c r="P1001" s="141">
        <f t="shared" si="173"/>
        <v>0.08</v>
      </c>
      <c r="Q1001" s="141">
        <f t="shared" si="173"/>
        <v>0</v>
      </c>
      <c r="R1001" s="141">
        <f t="shared" si="173"/>
        <v>0</v>
      </c>
      <c r="S1001" s="141">
        <f t="shared" si="173"/>
        <v>0</v>
      </c>
      <c r="T1001" s="141">
        <f t="shared" si="173"/>
        <v>0</v>
      </c>
      <c r="U1001" s="141">
        <f t="shared" si="173"/>
        <v>0</v>
      </c>
      <c r="V1001" s="141">
        <f t="shared" si="173"/>
        <v>0</v>
      </c>
      <c r="W1001" s="141">
        <f t="shared" si="173"/>
        <v>0</v>
      </c>
      <c r="X1001" s="141">
        <f t="shared" si="173"/>
        <v>0</v>
      </c>
      <c r="Y1001" s="141">
        <f t="shared" si="173"/>
        <v>0</v>
      </c>
      <c r="Z1001" s="141">
        <f t="shared" si="173"/>
        <v>0.04</v>
      </c>
      <c r="AA1001" s="141">
        <f t="shared" si="173"/>
        <v>0.1</v>
      </c>
      <c r="AB1001" s="141">
        <f t="shared" si="173"/>
        <v>0</v>
      </c>
      <c r="AC1001" s="141">
        <f t="shared" si="173"/>
        <v>0</v>
      </c>
      <c r="AD1001" s="141">
        <f t="shared" si="173"/>
        <v>0</v>
      </c>
      <c r="AE1001" s="141">
        <f t="shared" si="173"/>
        <v>0</v>
      </c>
      <c r="AF1001" s="141">
        <f t="shared" si="173"/>
        <v>0</v>
      </c>
      <c r="AG1001" s="141">
        <f t="shared" si="173"/>
        <v>0</v>
      </c>
      <c r="AH1001" s="141">
        <f t="shared" si="173"/>
        <v>0</v>
      </c>
      <c r="AI1001" s="141">
        <f t="shared" si="173"/>
        <v>0</v>
      </c>
      <c r="AJ1001" s="141">
        <f t="shared" si="173"/>
        <v>0</v>
      </c>
      <c r="AK1001" s="141">
        <f t="shared" si="173"/>
        <v>0</v>
      </c>
      <c r="AL1001" s="141">
        <f t="shared" si="173"/>
        <v>0</v>
      </c>
      <c r="AM1001" s="141">
        <f t="shared" si="173"/>
        <v>0</v>
      </c>
      <c r="AN1001" s="141">
        <f t="shared" si="173"/>
        <v>0</v>
      </c>
      <c r="AO1001" s="141">
        <f t="shared" si="173"/>
        <v>0</v>
      </c>
      <c r="AP1001" s="141">
        <f t="shared" si="173"/>
        <v>0</v>
      </c>
      <c r="AQ1001" s="141">
        <f t="shared" si="173"/>
        <v>0</v>
      </c>
      <c r="AR1001" s="141">
        <f t="shared" si="173"/>
        <v>0</v>
      </c>
      <c r="AS1001" s="141">
        <f t="shared" si="173"/>
        <v>0</v>
      </c>
      <c r="AT1001" s="141">
        <f t="shared" si="173"/>
        <v>0</v>
      </c>
      <c r="AU1001" s="141">
        <f t="shared" si="173"/>
        <v>0</v>
      </c>
      <c r="AV1001" s="141">
        <f t="shared" si="173"/>
        <v>0</v>
      </c>
      <c r="AW1001" s="141">
        <f t="shared" si="173"/>
        <v>0</v>
      </c>
      <c r="AX1001" s="141">
        <f t="shared" si="173"/>
        <v>7.0000000000000007E-2</v>
      </c>
      <c r="AY1001" s="34" t="s">
        <v>230</v>
      </c>
      <c r="AZ1001" s="47"/>
      <c r="BA1001" s="63"/>
      <c r="BB1001" s="63"/>
      <c r="BC1001" s="60"/>
      <c r="BI1001" s="42"/>
    </row>
    <row r="1002" spans="1:61" s="24" customFormat="1" ht="20.85" customHeight="1">
      <c r="A1002" s="32">
        <f>A1000+1</f>
        <v>702</v>
      </c>
      <c r="B1002" s="158" t="s">
        <v>186</v>
      </c>
      <c r="C1002" s="78" t="s">
        <v>1260</v>
      </c>
      <c r="D1002" s="35">
        <f t="shared" si="162"/>
        <v>1.28</v>
      </c>
      <c r="E1002" s="35"/>
      <c r="F1002" s="35">
        <f t="shared" si="164"/>
        <v>1.28</v>
      </c>
      <c r="G1002" s="43">
        <v>0.28999999999999998</v>
      </c>
      <c r="H1002" s="43">
        <v>0.94</v>
      </c>
      <c r="I1002" s="109"/>
      <c r="J1002" s="109"/>
      <c r="K1002" s="109"/>
      <c r="L1002" s="109"/>
      <c r="M1002" s="109"/>
      <c r="N1002" s="109"/>
      <c r="O1002" s="109"/>
      <c r="P1002" s="109"/>
      <c r="Q1002" s="109"/>
      <c r="R1002" s="109"/>
      <c r="S1002" s="109"/>
      <c r="T1002" s="109"/>
      <c r="U1002" s="109"/>
      <c r="V1002" s="109"/>
      <c r="W1002" s="109"/>
      <c r="X1002" s="109"/>
      <c r="Y1002" s="109"/>
      <c r="Z1002" s="109"/>
      <c r="AA1002" s="109">
        <v>0.05</v>
      </c>
      <c r="AB1002" s="109"/>
      <c r="AC1002" s="109"/>
      <c r="AD1002" s="109"/>
      <c r="AE1002" s="109"/>
      <c r="AF1002" s="109"/>
      <c r="AG1002" s="109"/>
      <c r="AH1002" s="109"/>
      <c r="AI1002" s="109"/>
      <c r="AJ1002" s="109"/>
      <c r="AK1002" s="109"/>
      <c r="AL1002" s="109"/>
      <c r="AM1002" s="109"/>
      <c r="AN1002" s="109"/>
      <c r="AO1002" s="109"/>
      <c r="AP1002" s="109"/>
      <c r="AQ1002" s="109"/>
      <c r="AR1002" s="109"/>
      <c r="AS1002" s="109"/>
      <c r="AT1002" s="109"/>
      <c r="AU1002" s="109"/>
      <c r="AV1002" s="109"/>
      <c r="AW1002" s="109"/>
      <c r="AX1002" s="109"/>
      <c r="AY1002" s="34" t="s">
        <v>230</v>
      </c>
      <c r="AZ1002" s="34" t="s">
        <v>1489</v>
      </c>
      <c r="BA1002" s="63" t="s">
        <v>291</v>
      </c>
      <c r="BB1002" s="63"/>
      <c r="BC1002" s="163" t="s">
        <v>1490</v>
      </c>
      <c r="BI1002" s="42">
        <v>1</v>
      </c>
    </row>
    <row r="1003" spans="1:61" s="24" customFormat="1" ht="20.85" hidden="1" customHeight="1">
      <c r="A1003" s="32"/>
      <c r="B1003" s="158"/>
      <c r="C1003" s="78" t="s">
        <v>59</v>
      </c>
      <c r="D1003" s="35">
        <f t="shared" si="162"/>
        <v>0.44999999999999996</v>
      </c>
      <c r="E1003" s="35"/>
      <c r="F1003" s="35">
        <f t="shared" si="164"/>
        <v>0.44999999999999996</v>
      </c>
      <c r="G1003" s="43">
        <v>0.1</v>
      </c>
      <c r="H1003" s="43">
        <v>0.35</v>
      </c>
      <c r="I1003" s="109"/>
      <c r="J1003" s="109"/>
      <c r="K1003" s="109"/>
      <c r="L1003" s="109"/>
      <c r="M1003" s="109"/>
      <c r="N1003" s="109"/>
      <c r="O1003" s="109"/>
      <c r="P1003" s="109"/>
      <c r="Q1003" s="109"/>
      <c r="R1003" s="109"/>
      <c r="S1003" s="109"/>
      <c r="T1003" s="109"/>
      <c r="U1003" s="109"/>
      <c r="V1003" s="109"/>
      <c r="W1003" s="109"/>
      <c r="X1003" s="109"/>
      <c r="Y1003" s="109"/>
      <c r="Z1003" s="109"/>
      <c r="AA1003" s="109"/>
      <c r="AB1003" s="109"/>
      <c r="AC1003" s="109"/>
      <c r="AD1003" s="109"/>
      <c r="AE1003" s="109"/>
      <c r="AF1003" s="109"/>
      <c r="AG1003" s="109"/>
      <c r="AH1003" s="109"/>
      <c r="AI1003" s="109"/>
      <c r="AJ1003" s="109"/>
      <c r="AK1003" s="109"/>
      <c r="AL1003" s="109"/>
      <c r="AM1003" s="109"/>
      <c r="AN1003" s="109"/>
      <c r="AO1003" s="109"/>
      <c r="AP1003" s="109"/>
      <c r="AQ1003" s="109"/>
      <c r="AR1003" s="109"/>
      <c r="AS1003" s="109"/>
      <c r="AT1003" s="109"/>
      <c r="AU1003" s="109"/>
      <c r="AV1003" s="109"/>
      <c r="AW1003" s="109"/>
      <c r="AX1003" s="109"/>
      <c r="AY1003" s="34" t="s">
        <v>230</v>
      </c>
      <c r="AZ1003" s="34"/>
      <c r="BA1003" s="63"/>
      <c r="BB1003" s="63"/>
      <c r="BC1003" s="163"/>
      <c r="BI1003" s="42"/>
    </row>
    <row r="1004" spans="1:61" s="24" customFormat="1" ht="20.85" hidden="1" customHeight="1">
      <c r="A1004" s="32"/>
      <c r="B1004" s="158"/>
      <c r="C1004" s="78" t="s">
        <v>44</v>
      </c>
      <c r="D1004" s="35">
        <f t="shared" si="162"/>
        <v>0.45</v>
      </c>
      <c r="E1004" s="35"/>
      <c r="F1004" s="35">
        <f t="shared" si="164"/>
        <v>0.45</v>
      </c>
      <c r="G1004" s="43"/>
      <c r="H1004" s="43">
        <v>0.45</v>
      </c>
      <c r="I1004" s="109"/>
      <c r="J1004" s="109"/>
      <c r="K1004" s="109"/>
      <c r="L1004" s="109"/>
      <c r="M1004" s="109"/>
      <c r="N1004" s="109"/>
      <c r="O1004" s="109"/>
      <c r="P1004" s="109"/>
      <c r="Q1004" s="109"/>
      <c r="R1004" s="109"/>
      <c r="S1004" s="109"/>
      <c r="T1004" s="109"/>
      <c r="U1004" s="109"/>
      <c r="V1004" s="109"/>
      <c r="W1004" s="109"/>
      <c r="X1004" s="109"/>
      <c r="Y1004" s="109"/>
      <c r="Z1004" s="109"/>
      <c r="AA1004" s="109"/>
      <c r="AB1004" s="109"/>
      <c r="AC1004" s="109"/>
      <c r="AD1004" s="109"/>
      <c r="AE1004" s="109"/>
      <c r="AF1004" s="109"/>
      <c r="AG1004" s="109"/>
      <c r="AH1004" s="109"/>
      <c r="AI1004" s="109"/>
      <c r="AJ1004" s="109"/>
      <c r="AK1004" s="109"/>
      <c r="AL1004" s="109"/>
      <c r="AM1004" s="109"/>
      <c r="AN1004" s="109"/>
      <c r="AO1004" s="109"/>
      <c r="AP1004" s="109"/>
      <c r="AQ1004" s="109"/>
      <c r="AR1004" s="109"/>
      <c r="AS1004" s="109"/>
      <c r="AT1004" s="109"/>
      <c r="AU1004" s="109"/>
      <c r="AV1004" s="109"/>
      <c r="AW1004" s="109"/>
      <c r="AX1004" s="109"/>
      <c r="AY1004" s="34" t="s">
        <v>230</v>
      </c>
      <c r="AZ1004" s="34"/>
      <c r="BA1004" s="63"/>
      <c r="BB1004" s="63"/>
      <c r="BC1004" s="163"/>
      <c r="BI1004" s="42"/>
    </row>
    <row r="1005" spans="1:61" s="24" customFormat="1" ht="20.85" hidden="1" customHeight="1">
      <c r="A1005" s="32"/>
      <c r="B1005" s="158"/>
      <c r="C1005" s="78" t="s">
        <v>45</v>
      </c>
      <c r="D1005" s="35">
        <f t="shared" si="162"/>
        <v>0.13</v>
      </c>
      <c r="E1005" s="35"/>
      <c r="F1005" s="35">
        <f t="shared" si="164"/>
        <v>0.13</v>
      </c>
      <c r="G1005" s="43">
        <v>0.13</v>
      </c>
      <c r="H1005" s="43"/>
      <c r="I1005" s="109"/>
      <c r="J1005" s="109"/>
      <c r="K1005" s="109"/>
      <c r="L1005" s="109"/>
      <c r="M1005" s="109"/>
      <c r="N1005" s="109"/>
      <c r="O1005" s="109"/>
      <c r="P1005" s="109"/>
      <c r="Q1005" s="109"/>
      <c r="R1005" s="109"/>
      <c r="S1005" s="109"/>
      <c r="T1005" s="109"/>
      <c r="U1005" s="109"/>
      <c r="V1005" s="109"/>
      <c r="W1005" s="109"/>
      <c r="X1005" s="109"/>
      <c r="Y1005" s="109"/>
      <c r="Z1005" s="109"/>
      <c r="AA1005" s="109"/>
      <c r="AB1005" s="109"/>
      <c r="AC1005" s="109"/>
      <c r="AD1005" s="109"/>
      <c r="AE1005" s="109"/>
      <c r="AF1005" s="109"/>
      <c r="AG1005" s="109"/>
      <c r="AH1005" s="109"/>
      <c r="AI1005" s="109"/>
      <c r="AJ1005" s="109"/>
      <c r="AK1005" s="109"/>
      <c r="AL1005" s="109"/>
      <c r="AM1005" s="109"/>
      <c r="AN1005" s="109"/>
      <c r="AO1005" s="109"/>
      <c r="AP1005" s="109"/>
      <c r="AQ1005" s="109"/>
      <c r="AR1005" s="109"/>
      <c r="AS1005" s="109"/>
      <c r="AT1005" s="109"/>
      <c r="AU1005" s="109"/>
      <c r="AV1005" s="109"/>
      <c r="AW1005" s="109"/>
      <c r="AX1005" s="109"/>
      <c r="AY1005" s="34" t="s">
        <v>230</v>
      </c>
      <c r="AZ1005" s="34"/>
      <c r="BA1005" s="63"/>
      <c r="BB1005" s="63"/>
      <c r="BC1005" s="163"/>
      <c r="BI1005" s="42"/>
    </row>
    <row r="1006" spans="1:61" s="24" customFormat="1" ht="20.85" hidden="1" customHeight="1">
      <c r="A1006" s="32"/>
      <c r="B1006" s="158"/>
      <c r="C1006" s="78" t="s">
        <v>138</v>
      </c>
      <c r="D1006" s="35">
        <f t="shared" si="162"/>
        <v>0.24999999999999994</v>
      </c>
      <c r="E1006" s="35"/>
      <c r="F1006" s="35">
        <f t="shared" si="164"/>
        <v>0.24999999999999994</v>
      </c>
      <c r="G1006" s="147">
        <f>G1002-G1003-G1004-G1005</f>
        <v>5.999999999999997E-2</v>
      </c>
      <c r="H1006" s="147">
        <f t="shared" ref="H1006:AX1006" si="174">H1002-H1003-H1004-H1005</f>
        <v>0.13999999999999996</v>
      </c>
      <c r="I1006" s="147">
        <f t="shared" si="174"/>
        <v>0</v>
      </c>
      <c r="J1006" s="147">
        <f t="shared" si="174"/>
        <v>0</v>
      </c>
      <c r="K1006" s="147">
        <f t="shared" si="174"/>
        <v>0</v>
      </c>
      <c r="L1006" s="147">
        <f t="shared" si="174"/>
        <v>0</v>
      </c>
      <c r="M1006" s="147">
        <f t="shared" si="174"/>
        <v>0</v>
      </c>
      <c r="N1006" s="147">
        <f t="shared" si="174"/>
        <v>0</v>
      </c>
      <c r="O1006" s="147">
        <f t="shared" si="174"/>
        <v>0</v>
      </c>
      <c r="P1006" s="147">
        <f t="shared" si="174"/>
        <v>0</v>
      </c>
      <c r="Q1006" s="147">
        <f t="shared" si="174"/>
        <v>0</v>
      </c>
      <c r="R1006" s="147">
        <f t="shared" si="174"/>
        <v>0</v>
      </c>
      <c r="S1006" s="147">
        <f t="shared" si="174"/>
        <v>0</v>
      </c>
      <c r="T1006" s="147">
        <f t="shared" si="174"/>
        <v>0</v>
      </c>
      <c r="U1006" s="147">
        <f t="shared" si="174"/>
        <v>0</v>
      </c>
      <c r="V1006" s="147">
        <f t="shared" si="174"/>
        <v>0</v>
      </c>
      <c r="W1006" s="147">
        <f t="shared" si="174"/>
        <v>0</v>
      </c>
      <c r="X1006" s="147">
        <f t="shared" si="174"/>
        <v>0</v>
      </c>
      <c r="Y1006" s="147">
        <f t="shared" si="174"/>
        <v>0</v>
      </c>
      <c r="Z1006" s="147">
        <f t="shared" si="174"/>
        <v>0</v>
      </c>
      <c r="AA1006" s="147">
        <f t="shared" si="174"/>
        <v>0.05</v>
      </c>
      <c r="AB1006" s="147">
        <f t="shared" si="174"/>
        <v>0</v>
      </c>
      <c r="AC1006" s="147">
        <f t="shared" si="174"/>
        <v>0</v>
      </c>
      <c r="AD1006" s="147">
        <f t="shared" si="174"/>
        <v>0</v>
      </c>
      <c r="AE1006" s="147">
        <f t="shared" si="174"/>
        <v>0</v>
      </c>
      <c r="AF1006" s="147">
        <f t="shared" si="174"/>
        <v>0</v>
      </c>
      <c r="AG1006" s="147">
        <f t="shared" si="174"/>
        <v>0</v>
      </c>
      <c r="AH1006" s="147">
        <f t="shared" si="174"/>
        <v>0</v>
      </c>
      <c r="AI1006" s="147">
        <f t="shared" si="174"/>
        <v>0</v>
      </c>
      <c r="AJ1006" s="147">
        <f t="shared" si="174"/>
        <v>0</v>
      </c>
      <c r="AK1006" s="147">
        <f t="shared" si="174"/>
        <v>0</v>
      </c>
      <c r="AL1006" s="147">
        <f t="shared" si="174"/>
        <v>0</v>
      </c>
      <c r="AM1006" s="147">
        <f t="shared" si="174"/>
        <v>0</v>
      </c>
      <c r="AN1006" s="147">
        <f t="shared" si="174"/>
        <v>0</v>
      </c>
      <c r="AO1006" s="147">
        <f t="shared" si="174"/>
        <v>0</v>
      </c>
      <c r="AP1006" s="147">
        <f t="shared" si="174"/>
        <v>0</v>
      </c>
      <c r="AQ1006" s="147">
        <f t="shared" si="174"/>
        <v>0</v>
      </c>
      <c r="AR1006" s="147">
        <f t="shared" si="174"/>
        <v>0</v>
      </c>
      <c r="AS1006" s="147">
        <f t="shared" si="174"/>
        <v>0</v>
      </c>
      <c r="AT1006" s="147">
        <f t="shared" si="174"/>
        <v>0</v>
      </c>
      <c r="AU1006" s="147">
        <f t="shared" si="174"/>
        <v>0</v>
      </c>
      <c r="AV1006" s="147">
        <f t="shared" si="174"/>
        <v>0</v>
      </c>
      <c r="AW1006" s="147">
        <f t="shared" si="174"/>
        <v>0</v>
      </c>
      <c r="AX1006" s="147">
        <f t="shared" si="174"/>
        <v>0</v>
      </c>
      <c r="AY1006" s="34" t="s">
        <v>230</v>
      </c>
      <c r="AZ1006" s="34"/>
      <c r="BA1006" s="63"/>
      <c r="BB1006" s="63"/>
      <c r="BC1006" s="163"/>
      <c r="BI1006" s="42"/>
    </row>
    <row r="1007" spans="1:61" s="24" customFormat="1" ht="20.85" customHeight="1">
      <c r="A1007" s="32">
        <f>A1002+1</f>
        <v>703</v>
      </c>
      <c r="B1007" s="158" t="s">
        <v>186</v>
      </c>
      <c r="C1007" s="78" t="s">
        <v>1260</v>
      </c>
      <c r="D1007" s="35">
        <f t="shared" si="162"/>
        <v>1.2</v>
      </c>
      <c r="E1007" s="35"/>
      <c r="F1007" s="35">
        <f t="shared" si="164"/>
        <v>1.2</v>
      </c>
      <c r="G1007" s="43">
        <v>0.9</v>
      </c>
      <c r="H1007" s="109"/>
      <c r="I1007" s="109">
        <v>0.3</v>
      </c>
      <c r="J1007" s="109"/>
      <c r="K1007" s="109"/>
      <c r="L1007" s="109"/>
      <c r="M1007" s="109"/>
      <c r="N1007" s="109"/>
      <c r="O1007" s="109"/>
      <c r="P1007" s="109"/>
      <c r="Q1007" s="109"/>
      <c r="R1007" s="109"/>
      <c r="S1007" s="109"/>
      <c r="T1007" s="109"/>
      <c r="U1007" s="109"/>
      <c r="V1007" s="109"/>
      <c r="W1007" s="109"/>
      <c r="X1007" s="109"/>
      <c r="Y1007" s="109"/>
      <c r="Z1007" s="109"/>
      <c r="AA1007" s="109"/>
      <c r="AB1007" s="109"/>
      <c r="AC1007" s="109"/>
      <c r="AD1007" s="109"/>
      <c r="AE1007" s="109"/>
      <c r="AF1007" s="109"/>
      <c r="AG1007" s="109"/>
      <c r="AH1007" s="109"/>
      <c r="AI1007" s="109"/>
      <c r="AJ1007" s="109"/>
      <c r="AK1007" s="109"/>
      <c r="AL1007" s="109"/>
      <c r="AM1007" s="109"/>
      <c r="AN1007" s="109"/>
      <c r="AO1007" s="109"/>
      <c r="AP1007" s="109"/>
      <c r="AQ1007" s="109"/>
      <c r="AR1007" s="109"/>
      <c r="AS1007" s="109"/>
      <c r="AT1007" s="109"/>
      <c r="AU1007" s="109"/>
      <c r="AV1007" s="109"/>
      <c r="AW1007" s="109"/>
      <c r="AX1007" s="109"/>
      <c r="AY1007" s="34" t="s">
        <v>230</v>
      </c>
      <c r="AZ1007" s="34" t="s">
        <v>1491</v>
      </c>
      <c r="BA1007" s="63" t="s">
        <v>291</v>
      </c>
      <c r="BB1007" s="63"/>
      <c r="BC1007" s="163" t="s">
        <v>1492</v>
      </c>
      <c r="BI1007" s="42">
        <v>1</v>
      </c>
    </row>
    <row r="1008" spans="1:61" s="24" customFormat="1" ht="20.85" hidden="1" customHeight="1">
      <c r="A1008" s="32"/>
      <c r="B1008" s="158"/>
      <c r="C1008" s="78" t="s">
        <v>59</v>
      </c>
      <c r="D1008" s="35">
        <f t="shared" si="162"/>
        <v>0.42</v>
      </c>
      <c r="E1008" s="35"/>
      <c r="F1008" s="35">
        <f t="shared" si="164"/>
        <v>0.42</v>
      </c>
      <c r="G1008" s="43">
        <v>0.42</v>
      </c>
      <c r="H1008" s="109"/>
      <c r="I1008" s="109"/>
      <c r="J1008" s="109"/>
      <c r="K1008" s="109"/>
      <c r="L1008" s="109"/>
      <c r="M1008" s="109"/>
      <c r="N1008" s="109"/>
      <c r="O1008" s="109"/>
      <c r="P1008" s="109"/>
      <c r="Q1008" s="109"/>
      <c r="R1008" s="109"/>
      <c r="S1008" s="109"/>
      <c r="T1008" s="109"/>
      <c r="U1008" s="109"/>
      <c r="V1008" s="109"/>
      <c r="W1008" s="109"/>
      <c r="X1008" s="109"/>
      <c r="Y1008" s="109"/>
      <c r="Z1008" s="109"/>
      <c r="AA1008" s="109"/>
      <c r="AB1008" s="109"/>
      <c r="AC1008" s="109"/>
      <c r="AD1008" s="109"/>
      <c r="AE1008" s="109"/>
      <c r="AF1008" s="109"/>
      <c r="AG1008" s="109"/>
      <c r="AH1008" s="109"/>
      <c r="AI1008" s="109"/>
      <c r="AJ1008" s="109"/>
      <c r="AK1008" s="109"/>
      <c r="AL1008" s="109"/>
      <c r="AM1008" s="109"/>
      <c r="AN1008" s="109"/>
      <c r="AO1008" s="109"/>
      <c r="AP1008" s="109"/>
      <c r="AQ1008" s="109"/>
      <c r="AR1008" s="109"/>
      <c r="AS1008" s="109"/>
      <c r="AT1008" s="109"/>
      <c r="AU1008" s="109"/>
      <c r="AV1008" s="109"/>
      <c r="AW1008" s="109"/>
      <c r="AX1008" s="109"/>
      <c r="AY1008" s="34" t="s">
        <v>230</v>
      </c>
      <c r="AZ1008" s="34"/>
      <c r="BA1008" s="63"/>
      <c r="BB1008" s="63"/>
      <c r="BC1008" s="163"/>
      <c r="BI1008" s="42"/>
    </row>
    <row r="1009" spans="1:61" s="24" customFormat="1" ht="20.85" hidden="1" customHeight="1">
      <c r="A1009" s="32"/>
      <c r="B1009" s="158"/>
      <c r="C1009" s="78" t="s">
        <v>44</v>
      </c>
      <c r="D1009" s="35">
        <f t="shared" si="162"/>
        <v>0.48000000000000004</v>
      </c>
      <c r="E1009" s="35"/>
      <c r="F1009" s="35">
        <f t="shared" si="164"/>
        <v>0.48000000000000004</v>
      </c>
      <c r="G1009" s="43">
        <v>0.2</v>
      </c>
      <c r="H1009" s="109"/>
      <c r="I1009" s="109">
        <v>0.28000000000000003</v>
      </c>
      <c r="J1009" s="109"/>
      <c r="K1009" s="109"/>
      <c r="L1009" s="109"/>
      <c r="M1009" s="109"/>
      <c r="N1009" s="109"/>
      <c r="O1009" s="109"/>
      <c r="P1009" s="109"/>
      <c r="Q1009" s="109"/>
      <c r="R1009" s="109"/>
      <c r="S1009" s="109"/>
      <c r="T1009" s="109"/>
      <c r="U1009" s="109"/>
      <c r="V1009" s="109"/>
      <c r="W1009" s="109"/>
      <c r="X1009" s="109"/>
      <c r="Y1009" s="109"/>
      <c r="Z1009" s="109"/>
      <c r="AA1009" s="109"/>
      <c r="AB1009" s="109"/>
      <c r="AC1009" s="109"/>
      <c r="AD1009" s="109"/>
      <c r="AE1009" s="109"/>
      <c r="AF1009" s="109"/>
      <c r="AG1009" s="109"/>
      <c r="AH1009" s="109"/>
      <c r="AI1009" s="109"/>
      <c r="AJ1009" s="109"/>
      <c r="AK1009" s="109"/>
      <c r="AL1009" s="109"/>
      <c r="AM1009" s="109"/>
      <c r="AN1009" s="109"/>
      <c r="AO1009" s="109"/>
      <c r="AP1009" s="109"/>
      <c r="AQ1009" s="109"/>
      <c r="AR1009" s="109"/>
      <c r="AS1009" s="109"/>
      <c r="AT1009" s="109"/>
      <c r="AU1009" s="109"/>
      <c r="AV1009" s="109"/>
      <c r="AW1009" s="109"/>
      <c r="AX1009" s="109"/>
      <c r="AY1009" s="34" t="s">
        <v>230</v>
      </c>
      <c r="AZ1009" s="34"/>
      <c r="BA1009" s="63"/>
      <c r="BB1009" s="63"/>
      <c r="BC1009" s="163"/>
      <c r="BI1009" s="42"/>
    </row>
    <row r="1010" spans="1:61" s="24" customFormat="1" ht="20.85" hidden="1" customHeight="1">
      <c r="A1010" s="32"/>
      <c r="B1010" s="158"/>
      <c r="C1010" s="78" t="s">
        <v>138</v>
      </c>
      <c r="D1010" s="35">
        <f t="shared" si="162"/>
        <v>0.3</v>
      </c>
      <c r="E1010" s="35"/>
      <c r="F1010" s="35">
        <f t="shared" si="164"/>
        <v>0.3</v>
      </c>
      <c r="G1010" s="141">
        <f>G1007-G1008-G1009</f>
        <v>0.28000000000000003</v>
      </c>
      <c r="H1010" s="141">
        <f t="shared" ref="H1010:AX1010" si="175">H1007-H1008-H1009</f>
        <v>0</v>
      </c>
      <c r="I1010" s="141">
        <f t="shared" si="175"/>
        <v>1.9999999999999962E-2</v>
      </c>
      <c r="J1010" s="141">
        <f t="shared" si="175"/>
        <v>0</v>
      </c>
      <c r="K1010" s="141">
        <f t="shared" si="175"/>
        <v>0</v>
      </c>
      <c r="L1010" s="141">
        <f t="shared" si="175"/>
        <v>0</v>
      </c>
      <c r="M1010" s="141">
        <f t="shared" si="175"/>
        <v>0</v>
      </c>
      <c r="N1010" s="141">
        <f t="shared" si="175"/>
        <v>0</v>
      </c>
      <c r="O1010" s="141">
        <f t="shared" si="175"/>
        <v>0</v>
      </c>
      <c r="P1010" s="141">
        <f t="shared" si="175"/>
        <v>0</v>
      </c>
      <c r="Q1010" s="141">
        <f t="shared" si="175"/>
        <v>0</v>
      </c>
      <c r="R1010" s="141">
        <f t="shared" si="175"/>
        <v>0</v>
      </c>
      <c r="S1010" s="141">
        <f t="shared" si="175"/>
        <v>0</v>
      </c>
      <c r="T1010" s="141">
        <f t="shared" si="175"/>
        <v>0</v>
      </c>
      <c r="U1010" s="141">
        <f t="shared" si="175"/>
        <v>0</v>
      </c>
      <c r="V1010" s="141">
        <f t="shared" si="175"/>
        <v>0</v>
      </c>
      <c r="W1010" s="141">
        <f t="shared" si="175"/>
        <v>0</v>
      </c>
      <c r="X1010" s="141">
        <f t="shared" si="175"/>
        <v>0</v>
      </c>
      <c r="Y1010" s="141">
        <f t="shared" si="175"/>
        <v>0</v>
      </c>
      <c r="Z1010" s="141">
        <f t="shared" si="175"/>
        <v>0</v>
      </c>
      <c r="AA1010" s="141">
        <f t="shared" si="175"/>
        <v>0</v>
      </c>
      <c r="AB1010" s="141">
        <f t="shared" si="175"/>
        <v>0</v>
      </c>
      <c r="AC1010" s="141">
        <f t="shared" si="175"/>
        <v>0</v>
      </c>
      <c r="AD1010" s="141">
        <f t="shared" si="175"/>
        <v>0</v>
      </c>
      <c r="AE1010" s="141">
        <f t="shared" si="175"/>
        <v>0</v>
      </c>
      <c r="AF1010" s="141">
        <f t="shared" si="175"/>
        <v>0</v>
      </c>
      <c r="AG1010" s="141">
        <f t="shared" si="175"/>
        <v>0</v>
      </c>
      <c r="AH1010" s="141">
        <f t="shared" si="175"/>
        <v>0</v>
      </c>
      <c r="AI1010" s="141">
        <f t="shared" si="175"/>
        <v>0</v>
      </c>
      <c r="AJ1010" s="141">
        <f t="shared" si="175"/>
        <v>0</v>
      </c>
      <c r="AK1010" s="141">
        <f t="shared" si="175"/>
        <v>0</v>
      </c>
      <c r="AL1010" s="141">
        <f t="shared" si="175"/>
        <v>0</v>
      </c>
      <c r="AM1010" s="141">
        <f t="shared" si="175"/>
        <v>0</v>
      </c>
      <c r="AN1010" s="141">
        <f t="shared" si="175"/>
        <v>0</v>
      </c>
      <c r="AO1010" s="141">
        <f t="shared" si="175"/>
        <v>0</v>
      </c>
      <c r="AP1010" s="141">
        <f t="shared" si="175"/>
        <v>0</v>
      </c>
      <c r="AQ1010" s="141">
        <f t="shared" si="175"/>
        <v>0</v>
      </c>
      <c r="AR1010" s="141">
        <f t="shared" si="175"/>
        <v>0</v>
      </c>
      <c r="AS1010" s="141">
        <f t="shared" si="175"/>
        <v>0</v>
      </c>
      <c r="AT1010" s="141">
        <f t="shared" si="175"/>
        <v>0</v>
      </c>
      <c r="AU1010" s="141">
        <f t="shared" si="175"/>
        <v>0</v>
      </c>
      <c r="AV1010" s="141">
        <f t="shared" si="175"/>
        <v>0</v>
      </c>
      <c r="AW1010" s="141">
        <f t="shared" si="175"/>
        <v>0</v>
      </c>
      <c r="AX1010" s="141">
        <f t="shared" si="175"/>
        <v>0</v>
      </c>
      <c r="AY1010" s="34" t="s">
        <v>230</v>
      </c>
      <c r="AZ1010" s="34"/>
      <c r="BA1010" s="63"/>
      <c r="BB1010" s="63"/>
      <c r="BC1010" s="163"/>
      <c r="BI1010" s="42"/>
    </row>
    <row r="1011" spans="1:61" s="24" customFormat="1" ht="20.85" customHeight="1">
      <c r="A1011" s="32">
        <f>A1007+1</f>
        <v>704</v>
      </c>
      <c r="B1011" s="158" t="s">
        <v>186</v>
      </c>
      <c r="C1011" s="78" t="s">
        <v>1260</v>
      </c>
      <c r="D1011" s="35">
        <f t="shared" si="162"/>
        <v>1</v>
      </c>
      <c r="E1011" s="35"/>
      <c r="F1011" s="35">
        <f t="shared" si="164"/>
        <v>1</v>
      </c>
      <c r="G1011" s="109"/>
      <c r="H1011" s="109"/>
      <c r="I1011" s="109"/>
      <c r="J1011" s="109"/>
      <c r="K1011" s="109"/>
      <c r="L1011" s="109"/>
      <c r="M1011" s="109">
        <v>1</v>
      </c>
      <c r="N1011" s="109"/>
      <c r="O1011" s="109"/>
      <c r="P1011" s="109"/>
      <c r="Q1011" s="109"/>
      <c r="R1011" s="109"/>
      <c r="S1011" s="109"/>
      <c r="T1011" s="109"/>
      <c r="U1011" s="109"/>
      <c r="V1011" s="109"/>
      <c r="W1011" s="109"/>
      <c r="X1011" s="109"/>
      <c r="Y1011" s="109"/>
      <c r="Z1011" s="109"/>
      <c r="AA1011" s="109"/>
      <c r="AB1011" s="109"/>
      <c r="AC1011" s="109"/>
      <c r="AD1011" s="109"/>
      <c r="AE1011" s="109"/>
      <c r="AF1011" s="109"/>
      <c r="AG1011" s="109"/>
      <c r="AH1011" s="109"/>
      <c r="AI1011" s="109"/>
      <c r="AJ1011" s="109"/>
      <c r="AK1011" s="109"/>
      <c r="AL1011" s="109"/>
      <c r="AM1011" s="109"/>
      <c r="AN1011" s="109"/>
      <c r="AO1011" s="109"/>
      <c r="AP1011" s="109"/>
      <c r="AQ1011" s="109"/>
      <c r="AR1011" s="109"/>
      <c r="AS1011" s="109"/>
      <c r="AT1011" s="109"/>
      <c r="AU1011" s="109"/>
      <c r="AV1011" s="109"/>
      <c r="AW1011" s="109"/>
      <c r="AX1011" s="109"/>
      <c r="AY1011" s="34" t="s">
        <v>230</v>
      </c>
      <c r="AZ1011" s="34" t="s">
        <v>1493</v>
      </c>
      <c r="BA1011" s="63" t="s">
        <v>291</v>
      </c>
      <c r="BB1011" s="63"/>
      <c r="BC1011" s="163" t="s">
        <v>1494</v>
      </c>
      <c r="BI1011" s="42">
        <v>1</v>
      </c>
    </row>
    <row r="1012" spans="1:61" s="24" customFormat="1" ht="20.85" hidden="1" customHeight="1">
      <c r="A1012" s="32"/>
      <c r="B1012" s="158"/>
      <c r="C1012" s="78" t="s">
        <v>59</v>
      </c>
      <c r="D1012" s="35">
        <f t="shared" si="162"/>
        <v>0.35</v>
      </c>
      <c r="E1012" s="35"/>
      <c r="F1012" s="35">
        <f t="shared" si="164"/>
        <v>0.35</v>
      </c>
      <c r="G1012" s="109"/>
      <c r="H1012" s="109"/>
      <c r="I1012" s="109"/>
      <c r="J1012" s="109"/>
      <c r="K1012" s="109"/>
      <c r="L1012" s="109"/>
      <c r="M1012" s="109">
        <v>0.35</v>
      </c>
      <c r="N1012" s="109"/>
      <c r="O1012" s="109"/>
      <c r="P1012" s="109"/>
      <c r="Q1012" s="109"/>
      <c r="R1012" s="109"/>
      <c r="S1012" s="109"/>
      <c r="T1012" s="109"/>
      <c r="U1012" s="109"/>
      <c r="V1012" s="109"/>
      <c r="W1012" s="109"/>
      <c r="X1012" s="109"/>
      <c r="Y1012" s="109"/>
      <c r="Z1012" s="109"/>
      <c r="AA1012" s="109"/>
      <c r="AB1012" s="109"/>
      <c r="AC1012" s="109"/>
      <c r="AD1012" s="109"/>
      <c r="AE1012" s="109"/>
      <c r="AF1012" s="109"/>
      <c r="AG1012" s="109"/>
      <c r="AH1012" s="109"/>
      <c r="AI1012" s="109"/>
      <c r="AJ1012" s="109"/>
      <c r="AK1012" s="109"/>
      <c r="AL1012" s="109"/>
      <c r="AM1012" s="109"/>
      <c r="AN1012" s="109"/>
      <c r="AO1012" s="109"/>
      <c r="AP1012" s="109"/>
      <c r="AQ1012" s="109"/>
      <c r="AR1012" s="109"/>
      <c r="AS1012" s="109"/>
      <c r="AT1012" s="109"/>
      <c r="AU1012" s="109"/>
      <c r="AV1012" s="109"/>
      <c r="AW1012" s="109"/>
      <c r="AX1012" s="109"/>
      <c r="AY1012" s="34" t="s">
        <v>230</v>
      </c>
      <c r="AZ1012" s="34"/>
      <c r="BA1012" s="63"/>
      <c r="BB1012" s="63"/>
      <c r="BC1012" s="163"/>
      <c r="BI1012" s="42"/>
    </row>
    <row r="1013" spans="1:61" s="24" customFormat="1" ht="20.85" hidden="1" customHeight="1">
      <c r="A1013" s="32"/>
      <c r="B1013" s="158"/>
      <c r="C1013" s="78" t="s">
        <v>44</v>
      </c>
      <c r="D1013" s="35">
        <f t="shared" si="162"/>
        <v>0.4</v>
      </c>
      <c r="E1013" s="35"/>
      <c r="F1013" s="35">
        <f t="shared" si="164"/>
        <v>0.4</v>
      </c>
      <c r="G1013" s="109"/>
      <c r="H1013" s="109"/>
      <c r="I1013" s="109"/>
      <c r="J1013" s="109"/>
      <c r="K1013" s="109"/>
      <c r="L1013" s="109"/>
      <c r="M1013" s="109">
        <v>0.4</v>
      </c>
      <c r="N1013" s="109"/>
      <c r="O1013" s="109"/>
      <c r="P1013" s="109"/>
      <c r="Q1013" s="109"/>
      <c r="R1013" s="109"/>
      <c r="S1013" s="109"/>
      <c r="T1013" s="109"/>
      <c r="U1013" s="109"/>
      <c r="V1013" s="109"/>
      <c r="W1013" s="109"/>
      <c r="X1013" s="109"/>
      <c r="Y1013" s="109"/>
      <c r="Z1013" s="109"/>
      <c r="AA1013" s="109"/>
      <c r="AB1013" s="109"/>
      <c r="AC1013" s="109"/>
      <c r="AD1013" s="109"/>
      <c r="AE1013" s="109"/>
      <c r="AF1013" s="109"/>
      <c r="AG1013" s="109"/>
      <c r="AH1013" s="109"/>
      <c r="AI1013" s="109"/>
      <c r="AJ1013" s="109"/>
      <c r="AK1013" s="109"/>
      <c r="AL1013" s="109"/>
      <c r="AM1013" s="109"/>
      <c r="AN1013" s="109"/>
      <c r="AO1013" s="109"/>
      <c r="AP1013" s="109"/>
      <c r="AQ1013" s="109"/>
      <c r="AR1013" s="109"/>
      <c r="AS1013" s="109"/>
      <c r="AT1013" s="109"/>
      <c r="AU1013" s="109"/>
      <c r="AV1013" s="109"/>
      <c r="AW1013" s="109"/>
      <c r="AX1013" s="109"/>
      <c r="AY1013" s="34" t="s">
        <v>230</v>
      </c>
      <c r="AZ1013" s="34"/>
      <c r="BA1013" s="63"/>
      <c r="BB1013" s="63"/>
      <c r="BC1013" s="163"/>
      <c r="BI1013" s="42"/>
    </row>
    <row r="1014" spans="1:61" s="24" customFormat="1" ht="20.85" hidden="1" customHeight="1">
      <c r="A1014" s="32"/>
      <c r="B1014" s="158"/>
      <c r="C1014" s="78" t="s">
        <v>138</v>
      </c>
      <c r="D1014" s="35">
        <f t="shared" si="162"/>
        <v>0.25</v>
      </c>
      <c r="E1014" s="35"/>
      <c r="F1014" s="35">
        <f t="shared" si="164"/>
        <v>0.25</v>
      </c>
      <c r="G1014" s="147">
        <f t="shared" ref="G1014:AW1014" si="176">G1011-G1012-G1013</f>
        <v>0</v>
      </c>
      <c r="H1014" s="147">
        <f t="shared" si="176"/>
        <v>0</v>
      </c>
      <c r="I1014" s="147">
        <f t="shared" si="176"/>
        <v>0</v>
      </c>
      <c r="J1014" s="147">
        <f t="shared" si="176"/>
        <v>0</v>
      </c>
      <c r="K1014" s="147">
        <f t="shared" si="176"/>
        <v>0</v>
      </c>
      <c r="L1014" s="147">
        <f t="shared" si="176"/>
        <v>0</v>
      </c>
      <c r="M1014" s="147">
        <f t="shared" si="176"/>
        <v>0.25</v>
      </c>
      <c r="N1014" s="147">
        <f t="shared" si="176"/>
        <v>0</v>
      </c>
      <c r="O1014" s="147">
        <f t="shared" si="176"/>
        <v>0</v>
      </c>
      <c r="P1014" s="147">
        <f t="shared" si="176"/>
        <v>0</v>
      </c>
      <c r="Q1014" s="147">
        <f t="shared" si="176"/>
        <v>0</v>
      </c>
      <c r="R1014" s="147">
        <f t="shared" si="176"/>
        <v>0</v>
      </c>
      <c r="S1014" s="147">
        <f t="shared" si="176"/>
        <v>0</v>
      </c>
      <c r="T1014" s="147">
        <f t="shared" si="176"/>
        <v>0</v>
      </c>
      <c r="U1014" s="147">
        <f t="shared" si="176"/>
        <v>0</v>
      </c>
      <c r="V1014" s="147">
        <f t="shared" si="176"/>
        <v>0</v>
      </c>
      <c r="W1014" s="147">
        <f t="shared" si="176"/>
        <v>0</v>
      </c>
      <c r="X1014" s="147">
        <f t="shared" si="176"/>
        <v>0</v>
      </c>
      <c r="Y1014" s="147">
        <f t="shared" si="176"/>
        <v>0</v>
      </c>
      <c r="Z1014" s="147">
        <f t="shared" si="176"/>
        <v>0</v>
      </c>
      <c r="AA1014" s="147">
        <f t="shared" si="176"/>
        <v>0</v>
      </c>
      <c r="AB1014" s="147">
        <f t="shared" si="176"/>
        <v>0</v>
      </c>
      <c r="AC1014" s="147">
        <f t="shared" si="176"/>
        <v>0</v>
      </c>
      <c r="AD1014" s="147">
        <f t="shared" si="176"/>
        <v>0</v>
      </c>
      <c r="AE1014" s="147">
        <f t="shared" si="176"/>
        <v>0</v>
      </c>
      <c r="AF1014" s="147">
        <f t="shared" si="176"/>
        <v>0</v>
      </c>
      <c r="AG1014" s="147">
        <f t="shared" si="176"/>
        <v>0</v>
      </c>
      <c r="AH1014" s="147">
        <f t="shared" si="176"/>
        <v>0</v>
      </c>
      <c r="AI1014" s="147">
        <f t="shared" si="176"/>
        <v>0</v>
      </c>
      <c r="AJ1014" s="147">
        <f t="shared" si="176"/>
        <v>0</v>
      </c>
      <c r="AK1014" s="147">
        <f t="shared" si="176"/>
        <v>0</v>
      </c>
      <c r="AL1014" s="147">
        <f t="shared" si="176"/>
        <v>0</v>
      </c>
      <c r="AM1014" s="147">
        <f t="shared" si="176"/>
        <v>0</v>
      </c>
      <c r="AN1014" s="147">
        <f t="shared" si="176"/>
        <v>0</v>
      </c>
      <c r="AO1014" s="147">
        <f t="shared" si="176"/>
        <v>0</v>
      </c>
      <c r="AP1014" s="147">
        <f t="shared" si="176"/>
        <v>0</v>
      </c>
      <c r="AQ1014" s="147">
        <f t="shared" si="176"/>
        <v>0</v>
      </c>
      <c r="AR1014" s="147">
        <f t="shared" si="176"/>
        <v>0</v>
      </c>
      <c r="AS1014" s="147">
        <f t="shared" si="176"/>
        <v>0</v>
      </c>
      <c r="AT1014" s="147">
        <f t="shared" si="176"/>
        <v>0</v>
      </c>
      <c r="AU1014" s="147">
        <f t="shared" si="176"/>
        <v>0</v>
      </c>
      <c r="AV1014" s="147">
        <f t="shared" si="176"/>
        <v>0</v>
      </c>
      <c r="AW1014" s="147">
        <f t="shared" si="176"/>
        <v>0</v>
      </c>
      <c r="AX1014" s="147">
        <f>AX1011-AX1012-AX1013</f>
        <v>0</v>
      </c>
      <c r="AY1014" s="34" t="s">
        <v>230</v>
      </c>
      <c r="AZ1014" s="34"/>
      <c r="BA1014" s="63"/>
      <c r="BB1014" s="63"/>
      <c r="BC1014" s="163"/>
      <c r="BI1014" s="42"/>
    </row>
    <row r="1015" spans="1:61" s="24" customFormat="1" ht="33.6" customHeight="1">
      <c r="A1015" s="32">
        <f>A1011+1</f>
        <v>705</v>
      </c>
      <c r="B1015" s="158" t="s">
        <v>186</v>
      </c>
      <c r="C1015" s="78" t="s">
        <v>1260</v>
      </c>
      <c r="D1015" s="35">
        <f t="shared" si="162"/>
        <v>1</v>
      </c>
      <c r="E1015" s="35"/>
      <c r="F1015" s="35">
        <f t="shared" si="164"/>
        <v>1</v>
      </c>
      <c r="G1015" s="109"/>
      <c r="H1015" s="109"/>
      <c r="I1015" s="109">
        <v>1</v>
      </c>
      <c r="J1015" s="109"/>
      <c r="K1015" s="109"/>
      <c r="L1015" s="109"/>
      <c r="M1015" s="109"/>
      <c r="N1015" s="109"/>
      <c r="O1015" s="109"/>
      <c r="P1015" s="109"/>
      <c r="Q1015" s="109"/>
      <c r="R1015" s="109"/>
      <c r="S1015" s="109"/>
      <c r="T1015" s="109"/>
      <c r="U1015" s="109"/>
      <c r="V1015" s="109"/>
      <c r="W1015" s="109"/>
      <c r="X1015" s="109"/>
      <c r="Y1015" s="109"/>
      <c r="Z1015" s="109"/>
      <c r="AA1015" s="109"/>
      <c r="AB1015" s="109"/>
      <c r="AC1015" s="109"/>
      <c r="AD1015" s="109"/>
      <c r="AE1015" s="109"/>
      <c r="AF1015" s="109"/>
      <c r="AG1015" s="109"/>
      <c r="AH1015" s="109"/>
      <c r="AI1015" s="109"/>
      <c r="AJ1015" s="109"/>
      <c r="AK1015" s="109"/>
      <c r="AL1015" s="109"/>
      <c r="AM1015" s="109"/>
      <c r="AN1015" s="109"/>
      <c r="AO1015" s="109"/>
      <c r="AP1015" s="109"/>
      <c r="AQ1015" s="109"/>
      <c r="AR1015" s="109"/>
      <c r="AS1015" s="109"/>
      <c r="AT1015" s="109"/>
      <c r="AU1015" s="109"/>
      <c r="AV1015" s="109"/>
      <c r="AW1015" s="109"/>
      <c r="AX1015" s="109"/>
      <c r="AY1015" s="34" t="s">
        <v>230</v>
      </c>
      <c r="AZ1015" s="34" t="s">
        <v>1495</v>
      </c>
      <c r="BA1015" s="47" t="s">
        <v>298</v>
      </c>
      <c r="BB1015" s="47"/>
      <c r="BC1015" s="163" t="s">
        <v>381</v>
      </c>
      <c r="BI1015" s="42">
        <v>1</v>
      </c>
    </row>
    <row r="1016" spans="1:61" s="24" customFormat="1" ht="23.1" hidden="1" customHeight="1">
      <c r="A1016" s="32"/>
      <c r="B1016" s="158"/>
      <c r="C1016" s="78" t="s">
        <v>59</v>
      </c>
      <c r="D1016" s="35">
        <f t="shared" si="162"/>
        <v>0.35</v>
      </c>
      <c r="E1016" s="35"/>
      <c r="F1016" s="35">
        <f t="shared" si="164"/>
        <v>0.35</v>
      </c>
      <c r="G1016" s="109"/>
      <c r="H1016" s="109"/>
      <c r="I1016" s="109">
        <v>0.35</v>
      </c>
      <c r="J1016" s="109"/>
      <c r="K1016" s="109"/>
      <c r="L1016" s="109"/>
      <c r="M1016" s="109"/>
      <c r="N1016" s="109"/>
      <c r="O1016" s="109"/>
      <c r="P1016" s="109"/>
      <c r="Q1016" s="109"/>
      <c r="R1016" s="109"/>
      <c r="S1016" s="109"/>
      <c r="T1016" s="109"/>
      <c r="U1016" s="109"/>
      <c r="V1016" s="109"/>
      <c r="W1016" s="109"/>
      <c r="X1016" s="109"/>
      <c r="Y1016" s="109"/>
      <c r="Z1016" s="109"/>
      <c r="AA1016" s="109"/>
      <c r="AB1016" s="109"/>
      <c r="AC1016" s="109"/>
      <c r="AD1016" s="109"/>
      <c r="AE1016" s="109"/>
      <c r="AF1016" s="109"/>
      <c r="AG1016" s="109"/>
      <c r="AH1016" s="109"/>
      <c r="AI1016" s="109"/>
      <c r="AJ1016" s="109"/>
      <c r="AK1016" s="109"/>
      <c r="AL1016" s="109"/>
      <c r="AM1016" s="109"/>
      <c r="AN1016" s="109"/>
      <c r="AO1016" s="109"/>
      <c r="AP1016" s="109"/>
      <c r="AQ1016" s="109"/>
      <c r="AR1016" s="109"/>
      <c r="AS1016" s="109"/>
      <c r="AT1016" s="109"/>
      <c r="AU1016" s="109"/>
      <c r="AV1016" s="109"/>
      <c r="AW1016" s="109"/>
      <c r="AX1016" s="109"/>
      <c r="AY1016" s="34" t="s">
        <v>230</v>
      </c>
      <c r="AZ1016" s="34"/>
      <c r="BA1016" s="47"/>
      <c r="BB1016" s="47"/>
      <c r="BC1016" s="163"/>
      <c r="BI1016" s="42"/>
    </row>
    <row r="1017" spans="1:61" s="24" customFormat="1" ht="23.1" hidden="1" customHeight="1">
      <c r="A1017" s="32"/>
      <c r="B1017" s="158"/>
      <c r="C1017" s="78" t="s">
        <v>44</v>
      </c>
      <c r="D1017" s="35">
        <f t="shared" si="162"/>
        <v>0.4</v>
      </c>
      <c r="E1017" s="35"/>
      <c r="F1017" s="35">
        <f t="shared" si="164"/>
        <v>0.4</v>
      </c>
      <c r="G1017" s="109"/>
      <c r="H1017" s="109"/>
      <c r="I1017" s="109">
        <v>0.4</v>
      </c>
      <c r="J1017" s="109"/>
      <c r="K1017" s="109"/>
      <c r="L1017" s="109"/>
      <c r="M1017" s="109"/>
      <c r="N1017" s="109"/>
      <c r="O1017" s="109"/>
      <c r="P1017" s="109"/>
      <c r="Q1017" s="109"/>
      <c r="R1017" s="109"/>
      <c r="S1017" s="109"/>
      <c r="T1017" s="109"/>
      <c r="U1017" s="109"/>
      <c r="V1017" s="109"/>
      <c r="W1017" s="109"/>
      <c r="X1017" s="109"/>
      <c r="Y1017" s="109"/>
      <c r="Z1017" s="109"/>
      <c r="AA1017" s="109"/>
      <c r="AB1017" s="109"/>
      <c r="AC1017" s="109"/>
      <c r="AD1017" s="109"/>
      <c r="AE1017" s="109"/>
      <c r="AF1017" s="109"/>
      <c r="AG1017" s="109"/>
      <c r="AH1017" s="109"/>
      <c r="AI1017" s="109"/>
      <c r="AJ1017" s="109"/>
      <c r="AK1017" s="109"/>
      <c r="AL1017" s="109"/>
      <c r="AM1017" s="109"/>
      <c r="AN1017" s="109"/>
      <c r="AO1017" s="109"/>
      <c r="AP1017" s="109"/>
      <c r="AQ1017" s="109"/>
      <c r="AR1017" s="109"/>
      <c r="AS1017" s="109"/>
      <c r="AT1017" s="109"/>
      <c r="AU1017" s="109"/>
      <c r="AV1017" s="109"/>
      <c r="AW1017" s="109"/>
      <c r="AX1017" s="109"/>
      <c r="AY1017" s="34" t="s">
        <v>230</v>
      </c>
      <c r="AZ1017" s="34"/>
      <c r="BA1017" s="47"/>
      <c r="BB1017" s="47"/>
      <c r="BC1017" s="163"/>
      <c r="BI1017" s="42"/>
    </row>
    <row r="1018" spans="1:61" s="24" customFormat="1" ht="23.1" hidden="1" customHeight="1">
      <c r="A1018" s="32"/>
      <c r="B1018" s="158"/>
      <c r="C1018" s="78" t="s">
        <v>138</v>
      </c>
      <c r="D1018" s="35">
        <f t="shared" si="162"/>
        <v>0.25</v>
      </c>
      <c r="E1018" s="35"/>
      <c r="F1018" s="35">
        <f t="shared" si="164"/>
        <v>0.25</v>
      </c>
      <c r="G1018" s="147">
        <f>G1015-G1016-G1017</f>
        <v>0</v>
      </c>
      <c r="H1018" s="147">
        <f t="shared" ref="H1018:AX1018" si="177">H1015-H1016-H1017</f>
        <v>0</v>
      </c>
      <c r="I1018" s="147">
        <f t="shared" si="177"/>
        <v>0.25</v>
      </c>
      <c r="J1018" s="147">
        <f t="shared" si="177"/>
        <v>0</v>
      </c>
      <c r="K1018" s="147">
        <f t="shared" si="177"/>
        <v>0</v>
      </c>
      <c r="L1018" s="147">
        <f t="shared" si="177"/>
        <v>0</v>
      </c>
      <c r="M1018" s="147">
        <f t="shared" si="177"/>
        <v>0</v>
      </c>
      <c r="N1018" s="147">
        <f t="shared" si="177"/>
        <v>0</v>
      </c>
      <c r="O1018" s="147">
        <f t="shared" si="177"/>
        <v>0</v>
      </c>
      <c r="P1018" s="147">
        <f t="shared" si="177"/>
        <v>0</v>
      </c>
      <c r="Q1018" s="147">
        <f t="shared" si="177"/>
        <v>0</v>
      </c>
      <c r="R1018" s="147">
        <f t="shared" si="177"/>
        <v>0</v>
      </c>
      <c r="S1018" s="147">
        <f t="shared" si="177"/>
        <v>0</v>
      </c>
      <c r="T1018" s="147">
        <f t="shared" si="177"/>
        <v>0</v>
      </c>
      <c r="U1018" s="147">
        <f t="shared" si="177"/>
        <v>0</v>
      </c>
      <c r="V1018" s="147">
        <f t="shared" si="177"/>
        <v>0</v>
      </c>
      <c r="W1018" s="147">
        <f t="shared" si="177"/>
        <v>0</v>
      </c>
      <c r="X1018" s="147">
        <f t="shared" si="177"/>
        <v>0</v>
      </c>
      <c r="Y1018" s="147">
        <f t="shared" si="177"/>
        <v>0</v>
      </c>
      <c r="Z1018" s="147">
        <f t="shared" si="177"/>
        <v>0</v>
      </c>
      <c r="AA1018" s="147">
        <f t="shared" si="177"/>
        <v>0</v>
      </c>
      <c r="AB1018" s="147">
        <f t="shared" si="177"/>
        <v>0</v>
      </c>
      <c r="AC1018" s="147">
        <f t="shared" si="177"/>
        <v>0</v>
      </c>
      <c r="AD1018" s="147">
        <f t="shared" si="177"/>
        <v>0</v>
      </c>
      <c r="AE1018" s="147">
        <f t="shared" si="177"/>
        <v>0</v>
      </c>
      <c r="AF1018" s="147">
        <f t="shared" si="177"/>
        <v>0</v>
      </c>
      <c r="AG1018" s="147">
        <f t="shared" si="177"/>
        <v>0</v>
      </c>
      <c r="AH1018" s="147">
        <f t="shared" si="177"/>
        <v>0</v>
      </c>
      <c r="AI1018" s="147">
        <f t="shared" si="177"/>
        <v>0</v>
      </c>
      <c r="AJ1018" s="147">
        <f t="shared" si="177"/>
        <v>0</v>
      </c>
      <c r="AK1018" s="147">
        <f t="shared" si="177"/>
        <v>0</v>
      </c>
      <c r="AL1018" s="147">
        <f t="shared" si="177"/>
        <v>0</v>
      </c>
      <c r="AM1018" s="147">
        <f t="shared" si="177"/>
        <v>0</v>
      </c>
      <c r="AN1018" s="147">
        <f t="shared" si="177"/>
        <v>0</v>
      </c>
      <c r="AO1018" s="147">
        <f t="shared" si="177"/>
        <v>0</v>
      </c>
      <c r="AP1018" s="147">
        <f t="shared" si="177"/>
        <v>0</v>
      </c>
      <c r="AQ1018" s="147">
        <f t="shared" si="177"/>
        <v>0</v>
      </c>
      <c r="AR1018" s="147">
        <f t="shared" si="177"/>
        <v>0</v>
      </c>
      <c r="AS1018" s="147">
        <f t="shared" si="177"/>
        <v>0</v>
      </c>
      <c r="AT1018" s="147">
        <f t="shared" si="177"/>
        <v>0</v>
      </c>
      <c r="AU1018" s="147">
        <f t="shared" si="177"/>
        <v>0</v>
      </c>
      <c r="AV1018" s="147">
        <f t="shared" si="177"/>
        <v>0</v>
      </c>
      <c r="AW1018" s="147">
        <f t="shared" si="177"/>
        <v>0</v>
      </c>
      <c r="AX1018" s="147">
        <f t="shared" si="177"/>
        <v>0</v>
      </c>
      <c r="AY1018" s="34" t="s">
        <v>230</v>
      </c>
      <c r="AZ1018" s="34"/>
      <c r="BA1018" s="47"/>
      <c r="BB1018" s="47"/>
      <c r="BC1018" s="163"/>
      <c r="BI1018" s="42"/>
    </row>
    <row r="1019" spans="1:61" s="24" customFormat="1" ht="20.85" customHeight="1">
      <c r="A1019" s="32">
        <f>A1015+1</f>
        <v>706</v>
      </c>
      <c r="B1019" s="158" t="s">
        <v>186</v>
      </c>
      <c r="C1019" s="78" t="s">
        <v>1260</v>
      </c>
      <c r="D1019" s="35">
        <f t="shared" si="162"/>
        <v>0.5</v>
      </c>
      <c r="E1019" s="35"/>
      <c r="F1019" s="35">
        <f t="shared" si="164"/>
        <v>0.5</v>
      </c>
      <c r="G1019" s="109">
        <v>0.5</v>
      </c>
      <c r="H1019" s="109"/>
      <c r="I1019" s="109"/>
      <c r="J1019" s="109"/>
      <c r="K1019" s="109"/>
      <c r="L1019" s="109"/>
      <c r="M1019" s="109"/>
      <c r="N1019" s="109"/>
      <c r="O1019" s="109"/>
      <c r="P1019" s="109"/>
      <c r="Q1019" s="109"/>
      <c r="R1019" s="109"/>
      <c r="S1019" s="109"/>
      <c r="T1019" s="109"/>
      <c r="U1019" s="109"/>
      <c r="V1019" s="109"/>
      <c r="W1019" s="109"/>
      <c r="X1019" s="109"/>
      <c r="Y1019" s="109"/>
      <c r="Z1019" s="109"/>
      <c r="AA1019" s="109"/>
      <c r="AB1019" s="109"/>
      <c r="AC1019" s="109"/>
      <c r="AD1019" s="109"/>
      <c r="AE1019" s="109"/>
      <c r="AF1019" s="109"/>
      <c r="AG1019" s="109"/>
      <c r="AH1019" s="109"/>
      <c r="AI1019" s="109"/>
      <c r="AJ1019" s="109"/>
      <c r="AK1019" s="109"/>
      <c r="AL1019" s="109"/>
      <c r="AM1019" s="109"/>
      <c r="AN1019" s="109"/>
      <c r="AO1019" s="109"/>
      <c r="AP1019" s="109"/>
      <c r="AQ1019" s="109"/>
      <c r="AR1019" s="109"/>
      <c r="AS1019" s="109"/>
      <c r="AT1019" s="109"/>
      <c r="AU1019" s="109"/>
      <c r="AV1019" s="109"/>
      <c r="AW1019" s="109"/>
      <c r="AX1019" s="109"/>
      <c r="AY1019" s="34" t="s">
        <v>230</v>
      </c>
      <c r="AZ1019" s="34" t="s">
        <v>1496</v>
      </c>
      <c r="BA1019" s="63" t="s">
        <v>291</v>
      </c>
      <c r="BB1019" s="63"/>
      <c r="BC1019" s="56" t="s">
        <v>1497</v>
      </c>
      <c r="BI1019" s="42">
        <v>1</v>
      </c>
    </row>
    <row r="1020" spans="1:61" s="24" customFormat="1" ht="20.85" hidden="1" customHeight="1">
      <c r="A1020" s="32"/>
      <c r="B1020" s="158"/>
      <c r="C1020" s="78" t="s">
        <v>59</v>
      </c>
      <c r="D1020" s="35">
        <f t="shared" si="162"/>
        <v>0.2</v>
      </c>
      <c r="E1020" s="35"/>
      <c r="F1020" s="35">
        <f t="shared" si="164"/>
        <v>0.2</v>
      </c>
      <c r="G1020" s="109">
        <v>0.2</v>
      </c>
      <c r="H1020" s="109"/>
      <c r="I1020" s="109"/>
      <c r="J1020" s="109"/>
      <c r="K1020" s="109"/>
      <c r="L1020" s="109"/>
      <c r="M1020" s="109"/>
      <c r="N1020" s="109"/>
      <c r="O1020" s="109"/>
      <c r="P1020" s="109"/>
      <c r="Q1020" s="109"/>
      <c r="R1020" s="109"/>
      <c r="S1020" s="109"/>
      <c r="T1020" s="109"/>
      <c r="U1020" s="109"/>
      <c r="V1020" s="109"/>
      <c r="W1020" s="109"/>
      <c r="X1020" s="109"/>
      <c r="Y1020" s="109"/>
      <c r="Z1020" s="109"/>
      <c r="AA1020" s="109"/>
      <c r="AB1020" s="109"/>
      <c r="AC1020" s="109"/>
      <c r="AD1020" s="109"/>
      <c r="AE1020" s="109"/>
      <c r="AF1020" s="109"/>
      <c r="AG1020" s="109"/>
      <c r="AH1020" s="109"/>
      <c r="AI1020" s="109"/>
      <c r="AJ1020" s="109"/>
      <c r="AK1020" s="109"/>
      <c r="AL1020" s="109"/>
      <c r="AM1020" s="109"/>
      <c r="AN1020" s="109"/>
      <c r="AO1020" s="109"/>
      <c r="AP1020" s="109"/>
      <c r="AQ1020" s="109"/>
      <c r="AR1020" s="109"/>
      <c r="AS1020" s="109"/>
      <c r="AT1020" s="109"/>
      <c r="AU1020" s="109"/>
      <c r="AV1020" s="109"/>
      <c r="AW1020" s="109"/>
      <c r="AX1020" s="109"/>
      <c r="AY1020" s="34" t="s">
        <v>230</v>
      </c>
      <c r="AZ1020" s="34"/>
      <c r="BA1020" s="63"/>
      <c r="BB1020" s="63"/>
      <c r="BC1020" s="56"/>
      <c r="BI1020" s="42"/>
    </row>
    <row r="1021" spans="1:61" s="24" customFormat="1" ht="20.85" hidden="1" customHeight="1">
      <c r="A1021" s="32"/>
      <c r="B1021" s="158"/>
      <c r="C1021" s="78" t="s">
        <v>44</v>
      </c>
      <c r="D1021" s="35">
        <f t="shared" si="162"/>
        <v>0.2</v>
      </c>
      <c r="E1021" s="35"/>
      <c r="F1021" s="35">
        <f t="shared" si="164"/>
        <v>0.2</v>
      </c>
      <c r="G1021" s="109">
        <v>0.2</v>
      </c>
      <c r="H1021" s="109"/>
      <c r="I1021" s="109"/>
      <c r="J1021" s="109"/>
      <c r="K1021" s="109"/>
      <c r="L1021" s="109"/>
      <c r="M1021" s="109"/>
      <c r="N1021" s="109"/>
      <c r="O1021" s="109"/>
      <c r="P1021" s="109"/>
      <c r="Q1021" s="109"/>
      <c r="R1021" s="109"/>
      <c r="S1021" s="109"/>
      <c r="T1021" s="109"/>
      <c r="U1021" s="109"/>
      <c r="V1021" s="109"/>
      <c r="W1021" s="109"/>
      <c r="X1021" s="109"/>
      <c r="Y1021" s="109"/>
      <c r="Z1021" s="109"/>
      <c r="AA1021" s="109"/>
      <c r="AB1021" s="109"/>
      <c r="AC1021" s="109"/>
      <c r="AD1021" s="109"/>
      <c r="AE1021" s="109"/>
      <c r="AF1021" s="109"/>
      <c r="AG1021" s="109"/>
      <c r="AH1021" s="109"/>
      <c r="AI1021" s="109"/>
      <c r="AJ1021" s="109"/>
      <c r="AK1021" s="109"/>
      <c r="AL1021" s="109"/>
      <c r="AM1021" s="109"/>
      <c r="AN1021" s="109"/>
      <c r="AO1021" s="109"/>
      <c r="AP1021" s="109"/>
      <c r="AQ1021" s="109"/>
      <c r="AR1021" s="109"/>
      <c r="AS1021" s="109"/>
      <c r="AT1021" s="109"/>
      <c r="AU1021" s="109"/>
      <c r="AV1021" s="109"/>
      <c r="AW1021" s="109"/>
      <c r="AX1021" s="109"/>
      <c r="AY1021" s="34" t="s">
        <v>230</v>
      </c>
      <c r="AZ1021" s="34"/>
      <c r="BA1021" s="63"/>
      <c r="BB1021" s="63"/>
      <c r="BC1021" s="56"/>
      <c r="BI1021" s="42"/>
    </row>
    <row r="1022" spans="1:61" s="24" customFormat="1" ht="20.85" hidden="1" customHeight="1">
      <c r="A1022" s="32"/>
      <c r="B1022" s="158"/>
      <c r="C1022" s="78" t="s">
        <v>138</v>
      </c>
      <c r="D1022" s="35">
        <f t="shared" si="162"/>
        <v>9.9999999999999978E-2</v>
      </c>
      <c r="E1022" s="35"/>
      <c r="F1022" s="35">
        <f t="shared" si="164"/>
        <v>9.9999999999999978E-2</v>
      </c>
      <c r="G1022" s="147">
        <f>G1019-G1020-G1021</f>
        <v>9.9999999999999978E-2</v>
      </c>
      <c r="H1022" s="147">
        <f t="shared" ref="H1022:AX1022" si="178">H1019-H1020-H1021</f>
        <v>0</v>
      </c>
      <c r="I1022" s="147">
        <f t="shared" si="178"/>
        <v>0</v>
      </c>
      <c r="J1022" s="147">
        <f t="shared" si="178"/>
        <v>0</v>
      </c>
      <c r="K1022" s="147">
        <f t="shared" si="178"/>
        <v>0</v>
      </c>
      <c r="L1022" s="147">
        <f t="shared" si="178"/>
        <v>0</v>
      </c>
      <c r="M1022" s="147">
        <f t="shared" si="178"/>
        <v>0</v>
      </c>
      <c r="N1022" s="147">
        <f t="shared" si="178"/>
        <v>0</v>
      </c>
      <c r="O1022" s="147">
        <f t="shared" si="178"/>
        <v>0</v>
      </c>
      <c r="P1022" s="147">
        <f t="shared" si="178"/>
        <v>0</v>
      </c>
      <c r="Q1022" s="147">
        <f t="shared" si="178"/>
        <v>0</v>
      </c>
      <c r="R1022" s="147">
        <f t="shared" si="178"/>
        <v>0</v>
      </c>
      <c r="S1022" s="147">
        <f t="shared" si="178"/>
        <v>0</v>
      </c>
      <c r="T1022" s="147">
        <f t="shared" si="178"/>
        <v>0</v>
      </c>
      <c r="U1022" s="147">
        <f t="shared" si="178"/>
        <v>0</v>
      </c>
      <c r="V1022" s="147">
        <f t="shared" si="178"/>
        <v>0</v>
      </c>
      <c r="W1022" s="147">
        <f t="shared" si="178"/>
        <v>0</v>
      </c>
      <c r="X1022" s="147">
        <f t="shared" si="178"/>
        <v>0</v>
      </c>
      <c r="Y1022" s="147">
        <f t="shared" si="178"/>
        <v>0</v>
      </c>
      <c r="Z1022" s="147">
        <f t="shared" si="178"/>
        <v>0</v>
      </c>
      <c r="AA1022" s="147">
        <f t="shared" si="178"/>
        <v>0</v>
      </c>
      <c r="AB1022" s="147">
        <f t="shared" si="178"/>
        <v>0</v>
      </c>
      <c r="AC1022" s="147">
        <f t="shared" si="178"/>
        <v>0</v>
      </c>
      <c r="AD1022" s="147">
        <f t="shared" si="178"/>
        <v>0</v>
      </c>
      <c r="AE1022" s="147">
        <f t="shared" si="178"/>
        <v>0</v>
      </c>
      <c r="AF1022" s="147">
        <f t="shared" si="178"/>
        <v>0</v>
      </c>
      <c r="AG1022" s="147">
        <f t="shared" si="178"/>
        <v>0</v>
      </c>
      <c r="AH1022" s="147">
        <f t="shared" si="178"/>
        <v>0</v>
      </c>
      <c r="AI1022" s="147">
        <f t="shared" si="178"/>
        <v>0</v>
      </c>
      <c r="AJ1022" s="147">
        <f t="shared" si="178"/>
        <v>0</v>
      </c>
      <c r="AK1022" s="147">
        <f t="shared" si="178"/>
        <v>0</v>
      </c>
      <c r="AL1022" s="147">
        <f t="shared" si="178"/>
        <v>0</v>
      </c>
      <c r="AM1022" s="147">
        <f t="shared" si="178"/>
        <v>0</v>
      </c>
      <c r="AN1022" s="147">
        <f t="shared" si="178"/>
        <v>0</v>
      </c>
      <c r="AO1022" s="147">
        <f t="shared" si="178"/>
        <v>0</v>
      </c>
      <c r="AP1022" s="147">
        <f t="shared" si="178"/>
        <v>0</v>
      </c>
      <c r="AQ1022" s="147">
        <f t="shared" si="178"/>
        <v>0</v>
      </c>
      <c r="AR1022" s="147">
        <f t="shared" si="178"/>
        <v>0</v>
      </c>
      <c r="AS1022" s="147">
        <f t="shared" si="178"/>
        <v>0</v>
      </c>
      <c r="AT1022" s="147">
        <f t="shared" si="178"/>
        <v>0</v>
      </c>
      <c r="AU1022" s="147">
        <f t="shared" si="178"/>
        <v>0</v>
      </c>
      <c r="AV1022" s="147">
        <f t="shared" si="178"/>
        <v>0</v>
      </c>
      <c r="AW1022" s="147">
        <f t="shared" si="178"/>
        <v>0</v>
      </c>
      <c r="AX1022" s="147">
        <f t="shared" si="178"/>
        <v>0</v>
      </c>
      <c r="AY1022" s="34" t="s">
        <v>230</v>
      </c>
      <c r="AZ1022" s="34"/>
      <c r="BA1022" s="63"/>
      <c r="BB1022" s="63"/>
      <c r="BC1022" s="56"/>
      <c r="BI1022" s="42"/>
    </row>
    <row r="1023" spans="1:61" s="24" customFormat="1" ht="20.85" customHeight="1">
      <c r="A1023" s="32">
        <f>A1019+1</f>
        <v>707</v>
      </c>
      <c r="B1023" s="158" t="s">
        <v>186</v>
      </c>
      <c r="C1023" s="78" t="s">
        <v>1260</v>
      </c>
      <c r="D1023" s="35">
        <f t="shared" si="162"/>
        <v>0.75</v>
      </c>
      <c r="E1023" s="35"/>
      <c r="F1023" s="35">
        <f t="shared" si="164"/>
        <v>0.75</v>
      </c>
      <c r="G1023" s="43">
        <v>0.6</v>
      </c>
      <c r="H1023" s="109"/>
      <c r="I1023" s="109">
        <v>0.15</v>
      </c>
      <c r="J1023" s="109"/>
      <c r="K1023" s="109"/>
      <c r="L1023" s="109"/>
      <c r="M1023" s="109"/>
      <c r="N1023" s="109"/>
      <c r="O1023" s="109"/>
      <c r="P1023" s="109"/>
      <c r="Q1023" s="109"/>
      <c r="R1023" s="109"/>
      <c r="S1023" s="109"/>
      <c r="T1023" s="109"/>
      <c r="U1023" s="109"/>
      <c r="V1023" s="109"/>
      <c r="W1023" s="109"/>
      <c r="X1023" s="109"/>
      <c r="Y1023" s="109"/>
      <c r="Z1023" s="109"/>
      <c r="AA1023" s="109"/>
      <c r="AB1023" s="109"/>
      <c r="AC1023" s="109"/>
      <c r="AD1023" s="109"/>
      <c r="AE1023" s="109"/>
      <c r="AF1023" s="109"/>
      <c r="AG1023" s="109"/>
      <c r="AH1023" s="109"/>
      <c r="AI1023" s="109"/>
      <c r="AJ1023" s="109"/>
      <c r="AK1023" s="109"/>
      <c r="AL1023" s="109"/>
      <c r="AM1023" s="109"/>
      <c r="AN1023" s="109"/>
      <c r="AO1023" s="109"/>
      <c r="AP1023" s="109"/>
      <c r="AQ1023" s="109"/>
      <c r="AR1023" s="109"/>
      <c r="AS1023" s="109"/>
      <c r="AT1023" s="109"/>
      <c r="AU1023" s="109"/>
      <c r="AV1023" s="109"/>
      <c r="AW1023" s="109"/>
      <c r="AX1023" s="109"/>
      <c r="AY1023" s="34" t="s">
        <v>230</v>
      </c>
      <c r="AZ1023" s="34" t="s">
        <v>1498</v>
      </c>
      <c r="BA1023" s="63" t="s">
        <v>291</v>
      </c>
      <c r="BB1023" s="63"/>
      <c r="BC1023" s="163" t="s">
        <v>1499</v>
      </c>
      <c r="BI1023" s="42">
        <v>1</v>
      </c>
    </row>
    <row r="1024" spans="1:61" s="24" customFormat="1" ht="20.85" hidden="1" customHeight="1">
      <c r="A1024" s="32"/>
      <c r="B1024" s="158"/>
      <c r="C1024" s="78" t="s">
        <v>59</v>
      </c>
      <c r="D1024" s="35">
        <f t="shared" si="162"/>
        <v>0.26</v>
      </c>
      <c r="E1024" s="35"/>
      <c r="F1024" s="35">
        <f t="shared" si="164"/>
        <v>0.26</v>
      </c>
      <c r="G1024" s="43">
        <v>0.26</v>
      </c>
      <c r="H1024" s="109"/>
      <c r="I1024" s="109"/>
      <c r="J1024" s="109"/>
      <c r="K1024" s="109"/>
      <c r="L1024" s="109"/>
      <c r="M1024" s="109"/>
      <c r="N1024" s="109"/>
      <c r="O1024" s="109"/>
      <c r="P1024" s="109"/>
      <c r="Q1024" s="109"/>
      <c r="R1024" s="109"/>
      <c r="S1024" s="109"/>
      <c r="T1024" s="109"/>
      <c r="U1024" s="109"/>
      <c r="V1024" s="109"/>
      <c r="W1024" s="109"/>
      <c r="X1024" s="109"/>
      <c r="Y1024" s="109"/>
      <c r="Z1024" s="109"/>
      <c r="AA1024" s="109"/>
      <c r="AB1024" s="109"/>
      <c r="AC1024" s="109"/>
      <c r="AD1024" s="109"/>
      <c r="AE1024" s="109"/>
      <c r="AF1024" s="109"/>
      <c r="AG1024" s="109"/>
      <c r="AH1024" s="109"/>
      <c r="AI1024" s="109"/>
      <c r="AJ1024" s="109"/>
      <c r="AK1024" s="109"/>
      <c r="AL1024" s="109"/>
      <c r="AM1024" s="109"/>
      <c r="AN1024" s="109"/>
      <c r="AO1024" s="109"/>
      <c r="AP1024" s="109"/>
      <c r="AQ1024" s="109"/>
      <c r="AR1024" s="109"/>
      <c r="AS1024" s="109"/>
      <c r="AT1024" s="109"/>
      <c r="AU1024" s="109"/>
      <c r="AV1024" s="109"/>
      <c r="AW1024" s="109"/>
      <c r="AX1024" s="109"/>
      <c r="AY1024" s="34" t="s">
        <v>230</v>
      </c>
      <c r="AZ1024" s="34"/>
      <c r="BA1024" s="63"/>
      <c r="BB1024" s="63"/>
      <c r="BC1024" s="163"/>
      <c r="BI1024" s="42"/>
    </row>
    <row r="1025" spans="1:61" s="24" customFormat="1" ht="20.85" hidden="1" customHeight="1">
      <c r="A1025" s="32"/>
      <c r="B1025" s="158"/>
      <c r="C1025" s="78" t="s">
        <v>44</v>
      </c>
      <c r="D1025" s="35">
        <f t="shared" ref="D1025:D1058" si="179">F1025+E1025</f>
        <v>0.30000000000000004</v>
      </c>
      <c r="E1025" s="35"/>
      <c r="F1025" s="35">
        <f t="shared" si="164"/>
        <v>0.30000000000000004</v>
      </c>
      <c r="G1025" s="43">
        <v>0.2</v>
      </c>
      <c r="H1025" s="109"/>
      <c r="I1025" s="109">
        <v>0.1</v>
      </c>
      <c r="J1025" s="109"/>
      <c r="K1025" s="109"/>
      <c r="L1025" s="109"/>
      <c r="M1025" s="109"/>
      <c r="N1025" s="109"/>
      <c r="O1025" s="109"/>
      <c r="P1025" s="109"/>
      <c r="Q1025" s="109"/>
      <c r="R1025" s="109"/>
      <c r="S1025" s="109"/>
      <c r="T1025" s="109"/>
      <c r="U1025" s="109"/>
      <c r="V1025" s="109"/>
      <c r="W1025" s="109"/>
      <c r="X1025" s="109"/>
      <c r="Y1025" s="109"/>
      <c r="Z1025" s="109"/>
      <c r="AA1025" s="109"/>
      <c r="AB1025" s="109"/>
      <c r="AC1025" s="109"/>
      <c r="AD1025" s="109"/>
      <c r="AE1025" s="109"/>
      <c r="AF1025" s="109"/>
      <c r="AG1025" s="109"/>
      <c r="AH1025" s="109"/>
      <c r="AI1025" s="109"/>
      <c r="AJ1025" s="109"/>
      <c r="AK1025" s="109"/>
      <c r="AL1025" s="109"/>
      <c r="AM1025" s="109"/>
      <c r="AN1025" s="109"/>
      <c r="AO1025" s="109"/>
      <c r="AP1025" s="109"/>
      <c r="AQ1025" s="109"/>
      <c r="AR1025" s="109"/>
      <c r="AS1025" s="109"/>
      <c r="AT1025" s="109"/>
      <c r="AU1025" s="109"/>
      <c r="AV1025" s="109"/>
      <c r="AW1025" s="109"/>
      <c r="AX1025" s="109"/>
      <c r="AY1025" s="34" t="s">
        <v>230</v>
      </c>
      <c r="AZ1025" s="34"/>
      <c r="BA1025" s="63"/>
      <c r="BB1025" s="63"/>
      <c r="BC1025" s="163"/>
      <c r="BI1025" s="42"/>
    </row>
    <row r="1026" spans="1:61" s="24" customFormat="1" ht="20.85" hidden="1" customHeight="1">
      <c r="A1026" s="32"/>
      <c r="B1026" s="158"/>
      <c r="C1026" s="78" t="s">
        <v>138</v>
      </c>
      <c r="D1026" s="35">
        <f t="shared" si="179"/>
        <v>0.18999999999999995</v>
      </c>
      <c r="E1026" s="35"/>
      <c r="F1026" s="35">
        <f t="shared" si="164"/>
        <v>0.18999999999999995</v>
      </c>
      <c r="G1026" s="141">
        <f>G1023-G1024-G1025</f>
        <v>0.13999999999999996</v>
      </c>
      <c r="H1026" s="141">
        <f t="shared" ref="H1026:AX1026" si="180">H1023-H1024-H1025</f>
        <v>0</v>
      </c>
      <c r="I1026" s="141">
        <f t="shared" si="180"/>
        <v>4.9999999999999989E-2</v>
      </c>
      <c r="J1026" s="141">
        <f t="shared" si="180"/>
        <v>0</v>
      </c>
      <c r="K1026" s="141">
        <f t="shared" si="180"/>
        <v>0</v>
      </c>
      <c r="L1026" s="141">
        <f t="shared" si="180"/>
        <v>0</v>
      </c>
      <c r="M1026" s="141">
        <f t="shared" si="180"/>
        <v>0</v>
      </c>
      <c r="N1026" s="141">
        <f t="shared" si="180"/>
        <v>0</v>
      </c>
      <c r="O1026" s="141">
        <f t="shared" si="180"/>
        <v>0</v>
      </c>
      <c r="P1026" s="141">
        <f t="shared" si="180"/>
        <v>0</v>
      </c>
      <c r="Q1026" s="141">
        <f t="shared" si="180"/>
        <v>0</v>
      </c>
      <c r="R1026" s="141">
        <f t="shared" si="180"/>
        <v>0</v>
      </c>
      <c r="S1026" s="141">
        <f t="shared" si="180"/>
        <v>0</v>
      </c>
      <c r="T1026" s="141">
        <f t="shared" si="180"/>
        <v>0</v>
      </c>
      <c r="U1026" s="141">
        <f t="shared" si="180"/>
        <v>0</v>
      </c>
      <c r="V1026" s="141">
        <f t="shared" si="180"/>
        <v>0</v>
      </c>
      <c r="W1026" s="141">
        <f t="shared" si="180"/>
        <v>0</v>
      </c>
      <c r="X1026" s="141">
        <f t="shared" si="180"/>
        <v>0</v>
      </c>
      <c r="Y1026" s="141">
        <f t="shared" si="180"/>
        <v>0</v>
      </c>
      <c r="Z1026" s="141">
        <f t="shared" si="180"/>
        <v>0</v>
      </c>
      <c r="AA1026" s="141">
        <f t="shared" si="180"/>
        <v>0</v>
      </c>
      <c r="AB1026" s="141">
        <f t="shared" si="180"/>
        <v>0</v>
      </c>
      <c r="AC1026" s="141">
        <f t="shared" si="180"/>
        <v>0</v>
      </c>
      <c r="AD1026" s="141">
        <f t="shared" si="180"/>
        <v>0</v>
      </c>
      <c r="AE1026" s="141">
        <f t="shared" si="180"/>
        <v>0</v>
      </c>
      <c r="AF1026" s="141">
        <f t="shared" si="180"/>
        <v>0</v>
      </c>
      <c r="AG1026" s="141">
        <f t="shared" si="180"/>
        <v>0</v>
      </c>
      <c r="AH1026" s="141">
        <f t="shared" si="180"/>
        <v>0</v>
      </c>
      <c r="AI1026" s="141">
        <f t="shared" si="180"/>
        <v>0</v>
      </c>
      <c r="AJ1026" s="141">
        <f t="shared" si="180"/>
        <v>0</v>
      </c>
      <c r="AK1026" s="141">
        <f t="shared" si="180"/>
        <v>0</v>
      </c>
      <c r="AL1026" s="141">
        <f t="shared" si="180"/>
        <v>0</v>
      </c>
      <c r="AM1026" s="141">
        <f t="shared" si="180"/>
        <v>0</v>
      </c>
      <c r="AN1026" s="141">
        <f t="shared" si="180"/>
        <v>0</v>
      </c>
      <c r="AO1026" s="141">
        <f t="shared" si="180"/>
        <v>0</v>
      </c>
      <c r="AP1026" s="141">
        <f t="shared" si="180"/>
        <v>0</v>
      </c>
      <c r="AQ1026" s="141">
        <f t="shared" si="180"/>
        <v>0</v>
      </c>
      <c r="AR1026" s="141">
        <f t="shared" si="180"/>
        <v>0</v>
      </c>
      <c r="AS1026" s="141">
        <f t="shared" si="180"/>
        <v>0</v>
      </c>
      <c r="AT1026" s="141">
        <f t="shared" si="180"/>
        <v>0</v>
      </c>
      <c r="AU1026" s="141">
        <f t="shared" si="180"/>
        <v>0</v>
      </c>
      <c r="AV1026" s="141">
        <f t="shared" si="180"/>
        <v>0</v>
      </c>
      <c r="AW1026" s="141">
        <f t="shared" si="180"/>
        <v>0</v>
      </c>
      <c r="AX1026" s="141">
        <f t="shared" si="180"/>
        <v>0</v>
      </c>
      <c r="AY1026" s="34" t="s">
        <v>230</v>
      </c>
      <c r="AZ1026" s="34"/>
      <c r="BA1026" s="63"/>
      <c r="BB1026" s="63"/>
      <c r="BC1026" s="163"/>
      <c r="BI1026" s="42"/>
    </row>
    <row r="1027" spans="1:61" s="24" customFormat="1" ht="20.85" customHeight="1">
      <c r="A1027" s="32">
        <f>A1023+1</f>
        <v>708</v>
      </c>
      <c r="B1027" s="158" t="s">
        <v>186</v>
      </c>
      <c r="C1027" s="78" t="s">
        <v>1260</v>
      </c>
      <c r="D1027" s="35">
        <f t="shared" si="179"/>
        <v>0.4</v>
      </c>
      <c r="E1027" s="35"/>
      <c r="F1027" s="35">
        <f t="shared" si="164"/>
        <v>0.4</v>
      </c>
      <c r="G1027" s="109"/>
      <c r="H1027" s="109"/>
      <c r="I1027" s="109"/>
      <c r="J1027" s="109"/>
      <c r="K1027" s="109"/>
      <c r="L1027" s="109"/>
      <c r="M1027" s="109">
        <v>0.4</v>
      </c>
      <c r="N1027" s="109"/>
      <c r="O1027" s="109"/>
      <c r="P1027" s="109"/>
      <c r="Q1027" s="109"/>
      <c r="R1027" s="109"/>
      <c r="S1027" s="109"/>
      <c r="T1027" s="109"/>
      <c r="U1027" s="109"/>
      <c r="V1027" s="109"/>
      <c r="W1027" s="109"/>
      <c r="X1027" s="109"/>
      <c r="Y1027" s="109"/>
      <c r="Z1027" s="109"/>
      <c r="AA1027" s="109"/>
      <c r="AB1027" s="109"/>
      <c r="AC1027" s="109"/>
      <c r="AD1027" s="109"/>
      <c r="AE1027" s="109"/>
      <c r="AF1027" s="109"/>
      <c r="AG1027" s="109"/>
      <c r="AH1027" s="109"/>
      <c r="AI1027" s="109"/>
      <c r="AJ1027" s="109"/>
      <c r="AK1027" s="109"/>
      <c r="AL1027" s="109"/>
      <c r="AM1027" s="109"/>
      <c r="AN1027" s="109"/>
      <c r="AO1027" s="109"/>
      <c r="AP1027" s="109"/>
      <c r="AQ1027" s="109"/>
      <c r="AR1027" s="109"/>
      <c r="AS1027" s="109"/>
      <c r="AT1027" s="109"/>
      <c r="AU1027" s="109"/>
      <c r="AV1027" s="109"/>
      <c r="AW1027" s="109"/>
      <c r="AX1027" s="109"/>
      <c r="AY1027" s="34" t="s">
        <v>230</v>
      </c>
      <c r="AZ1027" s="34" t="s">
        <v>1500</v>
      </c>
      <c r="BA1027" s="63" t="s">
        <v>291</v>
      </c>
      <c r="BB1027" s="63"/>
      <c r="BC1027" s="56" t="s">
        <v>1501</v>
      </c>
      <c r="BI1027" s="42">
        <v>1</v>
      </c>
    </row>
    <row r="1028" spans="1:61" s="24" customFormat="1" ht="20.85" hidden="1" customHeight="1">
      <c r="A1028" s="32"/>
      <c r="B1028" s="158"/>
      <c r="C1028" s="78" t="s">
        <v>59</v>
      </c>
      <c r="D1028" s="35">
        <f t="shared" si="179"/>
        <v>0.16</v>
      </c>
      <c r="E1028" s="35"/>
      <c r="F1028" s="35">
        <f t="shared" si="164"/>
        <v>0.16</v>
      </c>
      <c r="G1028" s="109"/>
      <c r="H1028" s="109"/>
      <c r="I1028" s="109"/>
      <c r="J1028" s="109"/>
      <c r="K1028" s="109"/>
      <c r="L1028" s="109"/>
      <c r="M1028" s="109">
        <v>0.16</v>
      </c>
      <c r="N1028" s="109"/>
      <c r="O1028" s="109"/>
      <c r="P1028" s="109"/>
      <c r="Q1028" s="109"/>
      <c r="R1028" s="109"/>
      <c r="S1028" s="109"/>
      <c r="T1028" s="109"/>
      <c r="U1028" s="109"/>
      <c r="V1028" s="109"/>
      <c r="W1028" s="109"/>
      <c r="X1028" s="109"/>
      <c r="Y1028" s="109"/>
      <c r="Z1028" s="109"/>
      <c r="AA1028" s="109"/>
      <c r="AB1028" s="109"/>
      <c r="AC1028" s="109"/>
      <c r="AD1028" s="109"/>
      <c r="AE1028" s="109"/>
      <c r="AF1028" s="109"/>
      <c r="AG1028" s="109"/>
      <c r="AH1028" s="109"/>
      <c r="AI1028" s="109"/>
      <c r="AJ1028" s="109"/>
      <c r="AK1028" s="109"/>
      <c r="AL1028" s="109"/>
      <c r="AM1028" s="109"/>
      <c r="AN1028" s="109"/>
      <c r="AO1028" s="109"/>
      <c r="AP1028" s="109"/>
      <c r="AQ1028" s="109"/>
      <c r="AR1028" s="109"/>
      <c r="AS1028" s="109"/>
      <c r="AT1028" s="109"/>
      <c r="AU1028" s="109"/>
      <c r="AV1028" s="109"/>
      <c r="AW1028" s="109"/>
      <c r="AX1028" s="109"/>
      <c r="AY1028" s="34" t="s">
        <v>230</v>
      </c>
      <c r="AZ1028" s="34"/>
      <c r="BA1028" s="63"/>
      <c r="BB1028" s="63"/>
      <c r="BC1028" s="56"/>
      <c r="BI1028" s="42"/>
    </row>
    <row r="1029" spans="1:61" s="24" customFormat="1" ht="20.85" hidden="1" customHeight="1">
      <c r="A1029" s="32"/>
      <c r="B1029" s="158"/>
      <c r="C1029" s="78" t="s">
        <v>44</v>
      </c>
      <c r="D1029" s="35">
        <f t="shared" si="179"/>
        <v>0.16</v>
      </c>
      <c r="E1029" s="35"/>
      <c r="F1029" s="35">
        <f t="shared" ref="F1029:F1092" si="181">SUM(G1029:AX1029)</f>
        <v>0.16</v>
      </c>
      <c r="G1029" s="109"/>
      <c r="H1029" s="109"/>
      <c r="I1029" s="109"/>
      <c r="J1029" s="109"/>
      <c r="K1029" s="109"/>
      <c r="L1029" s="109"/>
      <c r="M1029" s="109">
        <v>0.16</v>
      </c>
      <c r="N1029" s="109"/>
      <c r="O1029" s="109"/>
      <c r="P1029" s="109"/>
      <c r="Q1029" s="109"/>
      <c r="R1029" s="109"/>
      <c r="S1029" s="109"/>
      <c r="T1029" s="109"/>
      <c r="U1029" s="109"/>
      <c r="V1029" s="109"/>
      <c r="W1029" s="109"/>
      <c r="X1029" s="109"/>
      <c r="Y1029" s="109"/>
      <c r="Z1029" s="109"/>
      <c r="AA1029" s="109"/>
      <c r="AB1029" s="109"/>
      <c r="AC1029" s="109"/>
      <c r="AD1029" s="109"/>
      <c r="AE1029" s="109"/>
      <c r="AF1029" s="109"/>
      <c r="AG1029" s="109"/>
      <c r="AH1029" s="109"/>
      <c r="AI1029" s="109"/>
      <c r="AJ1029" s="109"/>
      <c r="AK1029" s="109"/>
      <c r="AL1029" s="109"/>
      <c r="AM1029" s="109"/>
      <c r="AN1029" s="109"/>
      <c r="AO1029" s="109"/>
      <c r="AP1029" s="109"/>
      <c r="AQ1029" s="109"/>
      <c r="AR1029" s="109"/>
      <c r="AS1029" s="109"/>
      <c r="AT1029" s="109"/>
      <c r="AU1029" s="109"/>
      <c r="AV1029" s="109"/>
      <c r="AW1029" s="109"/>
      <c r="AX1029" s="109"/>
      <c r="AY1029" s="34" t="s">
        <v>230</v>
      </c>
      <c r="AZ1029" s="34"/>
      <c r="BA1029" s="63"/>
      <c r="BB1029" s="63"/>
      <c r="BC1029" s="56"/>
      <c r="BI1029" s="42"/>
    </row>
    <row r="1030" spans="1:61" s="24" customFormat="1" ht="20.85" hidden="1" customHeight="1">
      <c r="A1030" s="32"/>
      <c r="B1030" s="158"/>
      <c r="C1030" s="78" t="s">
        <v>138</v>
      </c>
      <c r="D1030" s="35">
        <f t="shared" si="179"/>
        <v>8.0000000000000016E-2</v>
      </c>
      <c r="E1030" s="35"/>
      <c r="F1030" s="35">
        <f t="shared" si="181"/>
        <v>8.0000000000000016E-2</v>
      </c>
      <c r="G1030" s="147">
        <f t="shared" ref="G1030:AW1030" si="182">G1027-G1028-G1029</f>
        <v>0</v>
      </c>
      <c r="H1030" s="147">
        <f t="shared" si="182"/>
        <v>0</v>
      </c>
      <c r="I1030" s="147">
        <f t="shared" si="182"/>
        <v>0</v>
      </c>
      <c r="J1030" s="147">
        <f t="shared" si="182"/>
        <v>0</v>
      </c>
      <c r="K1030" s="147">
        <f t="shared" si="182"/>
        <v>0</v>
      </c>
      <c r="L1030" s="147">
        <f t="shared" si="182"/>
        <v>0</v>
      </c>
      <c r="M1030" s="147">
        <f t="shared" si="182"/>
        <v>8.0000000000000016E-2</v>
      </c>
      <c r="N1030" s="147">
        <f t="shared" si="182"/>
        <v>0</v>
      </c>
      <c r="O1030" s="147">
        <f t="shared" si="182"/>
        <v>0</v>
      </c>
      <c r="P1030" s="147">
        <f t="shared" si="182"/>
        <v>0</v>
      </c>
      <c r="Q1030" s="147">
        <f t="shared" si="182"/>
        <v>0</v>
      </c>
      <c r="R1030" s="147">
        <f t="shared" si="182"/>
        <v>0</v>
      </c>
      <c r="S1030" s="147">
        <f t="shared" si="182"/>
        <v>0</v>
      </c>
      <c r="T1030" s="147">
        <f t="shared" si="182"/>
        <v>0</v>
      </c>
      <c r="U1030" s="147">
        <f t="shared" si="182"/>
        <v>0</v>
      </c>
      <c r="V1030" s="147">
        <f t="shared" si="182"/>
        <v>0</v>
      </c>
      <c r="W1030" s="147">
        <f t="shared" si="182"/>
        <v>0</v>
      </c>
      <c r="X1030" s="147">
        <f t="shared" si="182"/>
        <v>0</v>
      </c>
      <c r="Y1030" s="147">
        <f t="shared" si="182"/>
        <v>0</v>
      </c>
      <c r="Z1030" s="147">
        <f t="shared" si="182"/>
        <v>0</v>
      </c>
      <c r="AA1030" s="147">
        <f t="shared" si="182"/>
        <v>0</v>
      </c>
      <c r="AB1030" s="147">
        <f t="shared" si="182"/>
        <v>0</v>
      </c>
      <c r="AC1030" s="147">
        <f t="shared" si="182"/>
        <v>0</v>
      </c>
      <c r="AD1030" s="147">
        <f t="shared" si="182"/>
        <v>0</v>
      </c>
      <c r="AE1030" s="147">
        <f t="shared" si="182"/>
        <v>0</v>
      </c>
      <c r="AF1030" s="147">
        <f t="shared" si="182"/>
        <v>0</v>
      </c>
      <c r="AG1030" s="147">
        <f t="shared" si="182"/>
        <v>0</v>
      </c>
      <c r="AH1030" s="147">
        <f t="shared" si="182"/>
        <v>0</v>
      </c>
      <c r="AI1030" s="147">
        <f t="shared" si="182"/>
        <v>0</v>
      </c>
      <c r="AJ1030" s="147">
        <f t="shared" si="182"/>
        <v>0</v>
      </c>
      <c r="AK1030" s="147">
        <f t="shared" si="182"/>
        <v>0</v>
      </c>
      <c r="AL1030" s="147">
        <f t="shared" si="182"/>
        <v>0</v>
      </c>
      <c r="AM1030" s="147">
        <f t="shared" si="182"/>
        <v>0</v>
      </c>
      <c r="AN1030" s="147">
        <f t="shared" si="182"/>
        <v>0</v>
      </c>
      <c r="AO1030" s="147">
        <f t="shared" si="182"/>
        <v>0</v>
      </c>
      <c r="AP1030" s="147">
        <f t="shared" si="182"/>
        <v>0</v>
      </c>
      <c r="AQ1030" s="147">
        <f t="shared" si="182"/>
        <v>0</v>
      </c>
      <c r="AR1030" s="147">
        <f t="shared" si="182"/>
        <v>0</v>
      </c>
      <c r="AS1030" s="147">
        <f t="shared" si="182"/>
        <v>0</v>
      </c>
      <c r="AT1030" s="147">
        <f t="shared" si="182"/>
        <v>0</v>
      </c>
      <c r="AU1030" s="147">
        <f t="shared" si="182"/>
        <v>0</v>
      </c>
      <c r="AV1030" s="147">
        <f t="shared" si="182"/>
        <v>0</v>
      </c>
      <c r="AW1030" s="147">
        <f t="shared" si="182"/>
        <v>0</v>
      </c>
      <c r="AX1030" s="147">
        <f>AX1027-AX1028-AX1029</f>
        <v>0</v>
      </c>
      <c r="AY1030" s="34" t="s">
        <v>230</v>
      </c>
      <c r="AZ1030" s="34"/>
      <c r="BA1030" s="63"/>
      <c r="BB1030" s="63"/>
      <c r="BC1030" s="56"/>
      <c r="BI1030" s="42"/>
    </row>
    <row r="1031" spans="1:61" s="24" customFormat="1" ht="20.85" customHeight="1">
      <c r="A1031" s="32">
        <f>A1027+1</f>
        <v>709</v>
      </c>
      <c r="B1031" s="158" t="s">
        <v>186</v>
      </c>
      <c r="C1031" s="78" t="s">
        <v>59</v>
      </c>
      <c r="D1031" s="35">
        <f t="shared" si="179"/>
        <v>0.32</v>
      </c>
      <c r="E1031" s="35"/>
      <c r="F1031" s="35">
        <f t="shared" si="181"/>
        <v>0.32</v>
      </c>
      <c r="G1031" s="46">
        <v>0.22</v>
      </c>
      <c r="H1031" s="43"/>
      <c r="I1031" s="43">
        <v>0.1</v>
      </c>
      <c r="J1031" s="109"/>
      <c r="K1031" s="109"/>
      <c r="L1031" s="109"/>
      <c r="M1031" s="109"/>
      <c r="N1031" s="109"/>
      <c r="O1031" s="109"/>
      <c r="P1031" s="109"/>
      <c r="Q1031" s="109"/>
      <c r="R1031" s="109"/>
      <c r="S1031" s="109"/>
      <c r="T1031" s="109"/>
      <c r="U1031" s="109"/>
      <c r="V1031" s="109"/>
      <c r="W1031" s="109"/>
      <c r="X1031" s="109"/>
      <c r="Y1031" s="109"/>
      <c r="Z1031" s="109"/>
      <c r="AA1031" s="109"/>
      <c r="AB1031" s="109"/>
      <c r="AC1031" s="109"/>
      <c r="AD1031" s="109"/>
      <c r="AE1031" s="109"/>
      <c r="AF1031" s="109"/>
      <c r="AG1031" s="109"/>
      <c r="AH1031" s="109"/>
      <c r="AI1031" s="109"/>
      <c r="AJ1031" s="109"/>
      <c r="AK1031" s="109"/>
      <c r="AL1031" s="109"/>
      <c r="AM1031" s="109"/>
      <c r="AN1031" s="109"/>
      <c r="AO1031" s="109"/>
      <c r="AP1031" s="109"/>
      <c r="AQ1031" s="109"/>
      <c r="AR1031" s="109"/>
      <c r="AS1031" s="109"/>
      <c r="AT1031" s="109"/>
      <c r="AU1031" s="109"/>
      <c r="AV1031" s="109"/>
      <c r="AW1031" s="109"/>
      <c r="AX1031" s="109"/>
      <c r="AY1031" s="34" t="s">
        <v>230</v>
      </c>
      <c r="AZ1031" s="34" t="s">
        <v>1502</v>
      </c>
      <c r="BA1031" s="63" t="s">
        <v>291</v>
      </c>
      <c r="BB1031" s="63"/>
      <c r="BC1031" s="163" t="s">
        <v>1503</v>
      </c>
      <c r="BI1031" s="42">
        <v>1</v>
      </c>
    </row>
    <row r="1032" spans="1:61" s="24" customFormat="1" ht="20.85" customHeight="1">
      <c r="A1032" s="32">
        <f>A1031+1</f>
        <v>710</v>
      </c>
      <c r="B1032" s="158" t="s">
        <v>186</v>
      </c>
      <c r="C1032" s="78" t="s">
        <v>1260</v>
      </c>
      <c r="D1032" s="35">
        <f t="shared" si="179"/>
        <v>1</v>
      </c>
      <c r="E1032" s="35"/>
      <c r="F1032" s="35">
        <f t="shared" si="181"/>
        <v>1</v>
      </c>
      <c r="G1032" s="43">
        <v>1</v>
      </c>
      <c r="H1032" s="43"/>
      <c r="I1032" s="43"/>
      <c r="J1032" s="109"/>
      <c r="K1032" s="109"/>
      <c r="L1032" s="109"/>
      <c r="M1032" s="109"/>
      <c r="N1032" s="109"/>
      <c r="O1032" s="109"/>
      <c r="P1032" s="109"/>
      <c r="Q1032" s="109"/>
      <c r="R1032" s="109"/>
      <c r="S1032" s="109"/>
      <c r="T1032" s="109"/>
      <c r="U1032" s="109"/>
      <c r="V1032" s="109"/>
      <c r="W1032" s="109"/>
      <c r="X1032" s="109"/>
      <c r="Y1032" s="109"/>
      <c r="Z1032" s="109"/>
      <c r="AA1032" s="109"/>
      <c r="AB1032" s="109"/>
      <c r="AC1032" s="109"/>
      <c r="AD1032" s="109"/>
      <c r="AE1032" s="109"/>
      <c r="AF1032" s="109"/>
      <c r="AG1032" s="109"/>
      <c r="AH1032" s="109"/>
      <c r="AI1032" s="109"/>
      <c r="AJ1032" s="109"/>
      <c r="AK1032" s="109"/>
      <c r="AL1032" s="109"/>
      <c r="AM1032" s="109"/>
      <c r="AN1032" s="109"/>
      <c r="AO1032" s="109"/>
      <c r="AP1032" s="109"/>
      <c r="AQ1032" s="109"/>
      <c r="AR1032" s="109"/>
      <c r="AS1032" s="109"/>
      <c r="AT1032" s="109"/>
      <c r="AU1032" s="109"/>
      <c r="AV1032" s="109"/>
      <c r="AW1032" s="109"/>
      <c r="AX1032" s="109"/>
      <c r="AY1032" s="34" t="s">
        <v>230</v>
      </c>
      <c r="AZ1032" s="34" t="s">
        <v>1504</v>
      </c>
      <c r="BA1032" s="47" t="s">
        <v>298</v>
      </c>
      <c r="BB1032" s="47"/>
      <c r="BC1032" s="163" t="s">
        <v>1505</v>
      </c>
      <c r="BI1032" s="42">
        <v>1</v>
      </c>
    </row>
    <row r="1033" spans="1:61" s="24" customFormat="1" ht="20.85" hidden="1" customHeight="1">
      <c r="A1033" s="32"/>
      <c r="B1033" s="158"/>
      <c r="C1033" s="78" t="s">
        <v>59</v>
      </c>
      <c r="D1033" s="35">
        <f t="shared" si="179"/>
        <v>0.35</v>
      </c>
      <c r="E1033" s="35"/>
      <c r="F1033" s="35">
        <f t="shared" si="181"/>
        <v>0.35</v>
      </c>
      <c r="G1033" s="43">
        <v>0.35</v>
      </c>
      <c r="H1033" s="43"/>
      <c r="I1033" s="43"/>
      <c r="J1033" s="109"/>
      <c r="K1033" s="109"/>
      <c r="L1033" s="109"/>
      <c r="M1033" s="109"/>
      <c r="N1033" s="109"/>
      <c r="O1033" s="109"/>
      <c r="P1033" s="109"/>
      <c r="Q1033" s="109"/>
      <c r="R1033" s="109"/>
      <c r="S1033" s="109"/>
      <c r="T1033" s="109"/>
      <c r="U1033" s="109"/>
      <c r="V1033" s="109"/>
      <c r="W1033" s="109"/>
      <c r="X1033" s="109"/>
      <c r="Y1033" s="109"/>
      <c r="Z1033" s="109"/>
      <c r="AA1033" s="109"/>
      <c r="AB1033" s="109"/>
      <c r="AC1033" s="109"/>
      <c r="AD1033" s="109"/>
      <c r="AE1033" s="109"/>
      <c r="AF1033" s="109"/>
      <c r="AG1033" s="109"/>
      <c r="AH1033" s="109"/>
      <c r="AI1033" s="109"/>
      <c r="AJ1033" s="109"/>
      <c r="AK1033" s="109"/>
      <c r="AL1033" s="109"/>
      <c r="AM1033" s="109"/>
      <c r="AN1033" s="109"/>
      <c r="AO1033" s="109"/>
      <c r="AP1033" s="109"/>
      <c r="AQ1033" s="109"/>
      <c r="AR1033" s="109"/>
      <c r="AS1033" s="109"/>
      <c r="AT1033" s="109"/>
      <c r="AU1033" s="109"/>
      <c r="AV1033" s="109"/>
      <c r="AW1033" s="109"/>
      <c r="AX1033" s="109"/>
      <c r="AY1033" s="34" t="s">
        <v>230</v>
      </c>
      <c r="AZ1033" s="34"/>
      <c r="BA1033" s="47"/>
      <c r="BB1033" s="47"/>
      <c r="BC1033" s="163"/>
      <c r="BI1033" s="42"/>
    </row>
    <row r="1034" spans="1:61" s="24" customFormat="1" ht="20.85" hidden="1" customHeight="1">
      <c r="A1034" s="32"/>
      <c r="B1034" s="158"/>
      <c r="C1034" s="78" t="s">
        <v>44</v>
      </c>
      <c r="D1034" s="35">
        <f t="shared" si="179"/>
        <v>0.4</v>
      </c>
      <c r="E1034" s="35"/>
      <c r="F1034" s="35">
        <f t="shared" si="181"/>
        <v>0.4</v>
      </c>
      <c r="G1034" s="43">
        <v>0.4</v>
      </c>
      <c r="H1034" s="43"/>
      <c r="I1034" s="43"/>
      <c r="J1034" s="109"/>
      <c r="K1034" s="109"/>
      <c r="L1034" s="109"/>
      <c r="M1034" s="109"/>
      <c r="N1034" s="109"/>
      <c r="O1034" s="109"/>
      <c r="P1034" s="109"/>
      <c r="Q1034" s="109"/>
      <c r="R1034" s="109"/>
      <c r="S1034" s="109"/>
      <c r="T1034" s="109"/>
      <c r="U1034" s="109"/>
      <c r="V1034" s="109"/>
      <c r="W1034" s="109"/>
      <c r="X1034" s="109"/>
      <c r="Y1034" s="109"/>
      <c r="Z1034" s="109"/>
      <c r="AA1034" s="109"/>
      <c r="AB1034" s="109"/>
      <c r="AC1034" s="109"/>
      <c r="AD1034" s="109"/>
      <c r="AE1034" s="109"/>
      <c r="AF1034" s="109"/>
      <c r="AG1034" s="109"/>
      <c r="AH1034" s="109"/>
      <c r="AI1034" s="109"/>
      <c r="AJ1034" s="109"/>
      <c r="AK1034" s="109"/>
      <c r="AL1034" s="109"/>
      <c r="AM1034" s="109"/>
      <c r="AN1034" s="109"/>
      <c r="AO1034" s="109"/>
      <c r="AP1034" s="109"/>
      <c r="AQ1034" s="109"/>
      <c r="AR1034" s="109"/>
      <c r="AS1034" s="109"/>
      <c r="AT1034" s="109"/>
      <c r="AU1034" s="109"/>
      <c r="AV1034" s="109"/>
      <c r="AW1034" s="109"/>
      <c r="AX1034" s="109"/>
      <c r="AY1034" s="34" t="s">
        <v>230</v>
      </c>
      <c r="AZ1034" s="34"/>
      <c r="BA1034" s="47"/>
      <c r="BB1034" s="47"/>
      <c r="BC1034" s="163"/>
      <c r="BI1034" s="42"/>
    </row>
    <row r="1035" spans="1:61" s="24" customFormat="1" ht="20.85" hidden="1" customHeight="1">
      <c r="A1035" s="32"/>
      <c r="B1035" s="158"/>
      <c r="C1035" s="78" t="s">
        <v>138</v>
      </c>
      <c r="D1035" s="35">
        <f t="shared" si="179"/>
        <v>0.25</v>
      </c>
      <c r="E1035" s="35"/>
      <c r="F1035" s="35">
        <f t="shared" si="181"/>
        <v>0.25</v>
      </c>
      <c r="G1035" s="141">
        <f>G1032-G1033-G1034</f>
        <v>0.25</v>
      </c>
      <c r="H1035" s="141">
        <f t="shared" ref="H1035:AX1035" si="183">H1032-H1033-H1034</f>
        <v>0</v>
      </c>
      <c r="I1035" s="141">
        <f t="shared" si="183"/>
        <v>0</v>
      </c>
      <c r="J1035" s="141">
        <f t="shared" si="183"/>
        <v>0</v>
      </c>
      <c r="K1035" s="141">
        <f t="shared" si="183"/>
        <v>0</v>
      </c>
      <c r="L1035" s="141">
        <f t="shared" si="183"/>
        <v>0</v>
      </c>
      <c r="M1035" s="141">
        <f t="shared" si="183"/>
        <v>0</v>
      </c>
      <c r="N1035" s="141">
        <f t="shared" si="183"/>
        <v>0</v>
      </c>
      <c r="O1035" s="141">
        <f t="shared" si="183"/>
        <v>0</v>
      </c>
      <c r="P1035" s="141">
        <f t="shared" si="183"/>
        <v>0</v>
      </c>
      <c r="Q1035" s="141">
        <f t="shared" si="183"/>
        <v>0</v>
      </c>
      <c r="R1035" s="141">
        <f t="shared" si="183"/>
        <v>0</v>
      </c>
      <c r="S1035" s="141">
        <f t="shared" si="183"/>
        <v>0</v>
      </c>
      <c r="T1035" s="141">
        <f t="shared" si="183"/>
        <v>0</v>
      </c>
      <c r="U1035" s="141">
        <f t="shared" si="183"/>
        <v>0</v>
      </c>
      <c r="V1035" s="141">
        <f t="shared" si="183"/>
        <v>0</v>
      </c>
      <c r="W1035" s="141">
        <f t="shared" si="183"/>
        <v>0</v>
      </c>
      <c r="X1035" s="141">
        <f t="shared" si="183"/>
        <v>0</v>
      </c>
      <c r="Y1035" s="141">
        <f t="shared" si="183"/>
        <v>0</v>
      </c>
      <c r="Z1035" s="141">
        <f t="shared" si="183"/>
        <v>0</v>
      </c>
      <c r="AA1035" s="141">
        <f t="shared" si="183"/>
        <v>0</v>
      </c>
      <c r="AB1035" s="141">
        <f t="shared" si="183"/>
        <v>0</v>
      </c>
      <c r="AC1035" s="141">
        <f t="shared" si="183"/>
        <v>0</v>
      </c>
      <c r="AD1035" s="141">
        <f t="shared" si="183"/>
        <v>0</v>
      </c>
      <c r="AE1035" s="141">
        <f t="shared" si="183"/>
        <v>0</v>
      </c>
      <c r="AF1035" s="141">
        <f t="shared" si="183"/>
        <v>0</v>
      </c>
      <c r="AG1035" s="141">
        <f t="shared" si="183"/>
        <v>0</v>
      </c>
      <c r="AH1035" s="141">
        <f t="shared" si="183"/>
        <v>0</v>
      </c>
      <c r="AI1035" s="141">
        <f t="shared" si="183"/>
        <v>0</v>
      </c>
      <c r="AJ1035" s="141">
        <f t="shared" si="183"/>
        <v>0</v>
      </c>
      <c r="AK1035" s="141">
        <f t="shared" si="183"/>
        <v>0</v>
      </c>
      <c r="AL1035" s="141">
        <f t="shared" si="183"/>
        <v>0</v>
      </c>
      <c r="AM1035" s="141">
        <f t="shared" si="183"/>
        <v>0</v>
      </c>
      <c r="AN1035" s="141">
        <f t="shared" si="183"/>
        <v>0</v>
      </c>
      <c r="AO1035" s="141">
        <f t="shared" si="183"/>
        <v>0</v>
      </c>
      <c r="AP1035" s="141">
        <f t="shared" si="183"/>
        <v>0</v>
      </c>
      <c r="AQ1035" s="141">
        <f t="shared" si="183"/>
        <v>0</v>
      </c>
      <c r="AR1035" s="141">
        <f t="shared" si="183"/>
        <v>0</v>
      </c>
      <c r="AS1035" s="141">
        <f t="shared" si="183"/>
        <v>0</v>
      </c>
      <c r="AT1035" s="141">
        <f t="shared" si="183"/>
        <v>0</v>
      </c>
      <c r="AU1035" s="141">
        <f t="shared" si="183"/>
        <v>0</v>
      </c>
      <c r="AV1035" s="141">
        <f t="shared" si="183"/>
        <v>0</v>
      </c>
      <c r="AW1035" s="141">
        <f t="shared" si="183"/>
        <v>0</v>
      </c>
      <c r="AX1035" s="141">
        <f t="shared" si="183"/>
        <v>0</v>
      </c>
      <c r="AY1035" s="34" t="s">
        <v>230</v>
      </c>
      <c r="AZ1035" s="34"/>
      <c r="BA1035" s="47"/>
      <c r="BB1035" s="47"/>
      <c r="BC1035" s="163"/>
      <c r="BI1035" s="42"/>
    </row>
    <row r="1036" spans="1:61" s="24" customFormat="1" ht="20.85" customHeight="1">
      <c r="A1036" s="32">
        <f>A1032+1</f>
        <v>711</v>
      </c>
      <c r="B1036" s="158" t="s">
        <v>186</v>
      </c>
      <c r="C1036" s="78" t="s">
        <v>59</v>
      </c>
      <c r="D1036" s="35">
        <f t="shared" si="179"/>
        <v>0.1</v>
      </c>
      <c r="E1036" s="35"/>
      <c r="F1036" s="35">
        <f t="shared" si="181"/>
        <v>0.1</v>
      </c>
      <c r="G1036" s="43">
        <v>0.1</v>
      </c>
      <c r="H1036" s="43"/>
      <c r="I1036" s="43"/>
      <c r="J1036" s="109"/>
      <c r="K1036" s="109"/>
      <c r="L1036" s="109"/>
      <c r="M1036" s="109"/>
      <c r="N1036" s="109"/>
      <c r="O1036" s="109"/>
      <c r="P1036" s="109"/>
      <c r="Q1036" s="109"/>
      <c r="R1036" s="109"/>
      <c r="S1036" s="109"/>
      <c r="T1036" s="109"/>
      <c r="U1036" s="109"/>
      <c r="V1036" s="109"/>
      <c r="W1036" s="109"/>
      <c r="X1036" s="109"/>
      <c r="Y1036" s="109"/>
      <c r="Z1036" s="109"/>
      <c r="AA1036" s="109"/>
      <c r="AB1036" s="109"/>
      <c r="AC1036" s="109"/>
      <c r="AD1036" s="109"/>
      <c r="AE1036" s="109"/>
      <c r="AF1036" s="109"/>
      <c r="AG1036" s="109"/>
      <c r="AH1036" s="109"/>
      <c r="AI1036" s="109"/>
      <c r="AJ1036" s="109"/>
      <c r="AK1036" s="109"/>
      <c r="AL1036" s="109"/>
      <c r="AM1036" s="109"/>
      <c r="AN1036" s="109"/>
      <c r="AO1036" s="109"/>
      <c r="AP1036" s="109"/>
      <c r="AQ1036" s="109"/>
      <c r="AR1036" s="109"/>
      <c r="AS1036" s="109"/>
      <c r="AT1036" s="109"/>
      <c r="AU1036" s="109"/>
      <c r="AV1036" s="109"/>
      <c r="AW1036" s="109"/>
      <c r="AX1036" s="109"/>
      <c r="AY1036" s="34" t="s">
        <v>230</v>
      </c>
      <c r="AZ1036" s="34" t="s">
        <v>1502</v>
      </c>
      <c r="BA1036" s="47" t="s">
        <v>298</v>
      </c>
      <c r="BB1036" s="47"/>
      <c r="BC1036" s="163" t="s">
        <v>1506</v>
      </c>
      <c r="BI1036" s="42">
        <v>1</v>
      </c>
    </row>
    <row r="1037" spans="1:61" s="24" customFormat="1" ht="47.25">
      <c r="A1037" s="32">
        <f>A1036+1</f>
        <v>712</v>
      </c>
      <c r="B1037" s="158" t="s">
        <v>186</v>
      </c>
      <c r="C1037" s="78" t="s">
        <v>1260</v>
      </c>
      <c r="D1037" s="35">
        <f t="shared" si="179"/>
        <v>0.25</v>
      </c>
      <c r="E1037" s="35"/>
      <c r="F1037" s="35">
        <f t="shared" si="181"/>
        <v>0.25</v>
      </c>
      <c r="G1037" s="43">
        <v>0.25</v>
      </c>
      <c r="H1037" s="43"/>
      <c r="I1037" s="43"/>
      <c r="J1037" s="109"/>
      <c r="K1037" s="109"/>
      <c r="L1037" s="109"/>
      <c r="M1037" s="109"/>
      <c r="N1037" s="109"/>
      <c r="O1037" s="109"/>
      <c r="P1037" s="109"/>
      <c r="Q1037" s="109"/>
      <c r="R1037" s="109"/>
      <c r="S1037" s="109"/>
      <c r="T1037" s="109"/>
      <c r="U1037" s="109"/>
      <c r="V1037" s="109"/>
      <c r="W1037" s="109"/>
      <c r="X1037" s="109"/>
      <c r="Y1037" s="109"/>
      <c r="Z1037" s="109"/>
      <c r="AA1037" s="109"/>
      <c r="AB1037" s="109"/>
      <c r="AC1037" s="109"/>
      <c r="AD1037" s="109"/>
      <c r="AE1037" s="109"/>
      <c r="AF1037" s="109"/>
      <c r="AG1037" s="109"/>
      <c r="AH1037" s="109"/>
      <c r="AI1037" s="109"/>
      <c r="AJ1037" s="109"/>
      <c r="AK1037" s="109"/>
      <c r="AL1037" s="109"/>
      <c r="AM1037" s="109"/>
      <c r="AN1037" s="109"/>
      <c r="AO1037" s="109"/>
      <c r="AP1037" s="109"/>
      <c r="AQ1037" s="109"/>
      <c r="AR1037" s="109"/>
      <c r="AS1037" s="109"/>
      <c r="AT1037" s="109"/>
      <c r="AU1037" s="109"/>
      <c r="AV1037" s="109"/>
      <c r="AW1037" s="109"/>
      <c r="AX1037" s="109"/>
      <c r="AY1037" s="34" t="s">
        <v>1507</v>
      </c>
      <c r="AZ1037" s="34" t="s">
        <v>1508</v>
      </c>
      <c r="BA1037" s="47" t="s">
        <v>298</v>
      </c>
      <c r="BB1037" s="47"/>
      <c r="BC1037" s="163" t="s">
        <v>1509</v>
      </c>
      <c r="BI1037" s="42">
        <v>1</v>
      </c>
    </row>
    <row r="1038" spans="1:61" s="24" customFormat="1" hidden="1">
      <c r="A1038" s="32"/>
      <c r="B1038" s="158"/>
      <c r="C1038" s="78" t="s">
        <v>59</v>
      </c>
      <c r="D1038" s="35">
        <f t="shared" si="179"/>
        <v>0.15</v>
      </c>
      <c r="E1038" s="35"/>
      <c r="F1038" s="35">
        <f t="shared" si="181"/>
        <v>0.15</v>
      </c>
      <c r="G1038" s="43">
        <v>0.15</v>
      </c>
      <c r="H1038" s="43"/>
      <c r="I1038" s="43"/>
      <c r="J1038" s="109"/>
      <c r="K1038" s="109"/>
      <c r="L1038" s="109"/>
      <c r="M1038" s="109"/>
      <c r="N1038" s="109"/>
      <c r="O1038" s="109"/>
      <c r="P1038" s="109"/>
      <c r="Q1038" s="109"/>
      <c r="R1038" s="109"/>
      <c r="S1038" s="109"/>
      <c r="T1038" s="109"/>
      <c r="U1038" s="109"/>
      <c r="V1038" s="109"/>
      <c r="W1038" s="109"/>
      <c r="X1038" s="109"/>
      <c r="Y1038" s="109"/>
      <c r="Z1038" s="109"/>
      <c r="AA1038" s="109"/>
      <c r="AB1038" s="109"/>
      <c r="AC1038" s="109"/>
      <c r="AD1038" s="109"/>
      <c r="AE1038" s="109"/>
      <c r="AF1038" s="109"/>
      <c r="AG1038" s="109"/>
      <c r="AH1038" s="109"/>
      <c r="AI1038" s="109"/>
      <c r="AJ1038" s="109"/>
      <c r="AK1038" s="109"/>
      <c r="AL1038" s="109"/>
      <c r="AM1038" s="109"/>
      <c r="AN1038" s="109"/>
      <c r="AO1038" s="109"/>
      <c r="AP1038" s="109"/>
      <c r="AQ1038" s="109"/>
      <c r="AR1038" s="109"/>
      <c r="AS1038" s="109"/>
      <c r="AT1038" s="109"/>
      <c r="AU1038" s="109"/>
      <c r="AV1038" s="109"/>
      <c r="AW1038" s="109"/>
      <c r="AX1038" s="109"/>
      <c r="AY1038" s="34" t="s">
        <v>230</v>
      </c>
      <c r="AZ1038" s="34"/>
      <c r="BA1038" s="47"/>
      <c r="BB1038" s="47"/>
      <c r="BC1038" s="163"/>
      <c r="BI1038" s="42"/>
    </row>
    <row r="1039" spans="1:61" s="24" customFormat="1" hidden="1">
      <c r="A1039" s="32"/>
      <c r="B1039" s="158"/>
      <c r="C1039" s="78" t="s">
        <v>59</v>
      </c>
      <c r="D1039" s="35">
        <f t="shared" si="179"/>
        <v>0.1</v>
      </c>
      <c r="E1039" s="35"/>
      <c r="F1039" s="35">
        <f t="shared" si="181"/>
        <v>0.1</v>
      </c>
      <c r="G1039" s="43">
        <v>0.1</v>
      </c>
      <c r="H1039" s="43"/>
      <c r="I1039" s="43"/>
      <c r="J1039" s="109"/>
      <c r="K1039" s="109"/>
      <c r="L1039" s="109"/>
      <c r="M1039" s="109"/>
      <c r="N1039" s="109"/>
      <c r="O1039" s="109"/>
      <c r="P1039" s="109"/>
      <c r="Q1039" s="109"/>
      <c r="R1039" s="109"/>
      <c r="S1039" s="109"/>
      <c r="T1039" s="109"/>
      <c r="U1039" s="109"/>
      <c r="V1039" s="109"/>
      <c r="W1039" s="109"/>
      <c r="X1039" s="109"/>
      <c r="Y1039" s="109"/>
      <c r="Z1039" s="109"/>
      <c r="AA1039" s="109"/>
      <c r="AB1039" s="109"/>
      <c r="AC1039" s="109"/>
      <c r="AD1039" s="109"/>
      <c r="AE1039" s="109"/>
      <c r="AF1039" s="109"/>
      <c r="AG1039" s="109"/>
      <c r="AH1039" s="109"/>
      <c r="AI1039" s="109"/>
      <c r="AJ1039" s="109"/>
      <c r="AK1039" s="109"/>
      <c r="AL1039" s="109"/>
      <c r="AM1039" s="109"/>
      <c r="AN1039" s="109"/>
      <c r="AO1039" s="109"/>
      <c r="AP1039" s="109"/>
      <c r="AQ1039" s="109"/>
      <c r="AR1039" s="109"/>
      <c r="AS1039" s="109"/>
      <c r="AT1039" s="109"/>
      <c r="AU1039" s="109"/>
      <c r="AV1039" s="109"/>
      <c r="AW1039" s="109"/>
      <c r="AX1039" s="109"/>
      <c r="AY1039" s="34" t="s">
        <v>224</v>
      </c>
      <c r="AZ1039" s="34"/>
      <c r="BA1039" s="47"/>
      <c r="BB1039" s="47"/>
      <c r="BC1039" s="163"/>
      <c r="BI1039" s="42"/>
    </row>
    <row r="1040" spans="1:61" s="24" customFormat="1" ht="32.1" customHeight="1">
      <c r="A1040" s="32">
        <f>A1037+1</f>
        <v>713</v>
      </c>
      <c r="B1040" s="158" t="s">
        <v>186</v>
      </c>
      <c r="C1040" s="78" t="s">
        <v>1260</v>
      </c>
      <c r="D1040" s="35">
        <f t="shared" si="179"/>
        <v>0.9</v>
      </c>
      <c r="E1040" s="35"/>
      <c r="F1040" s="35">
        <f t="shared" si="181"/>
        <v>0.9</v>
      </c>
      <c r="G1040" s="43"/>
      <c r="H1040" s="43">
        <v>0.9</v>
      </c>
      <c r="I1040" s="43"/>
      <c r="J1040" s="109"/>
      <c r="K1040" s="109"/>
      <c r="L1040" s="109"/>
      <c r="M1040" s="109"/>
      <c r="N1040" s="109"/>
      <c r="O1040" s="109"/>
      <c r="P1040" s="109"/>
      <c r="Q1040" s="109"/>
      <c r="R1040" s="109"/>
      <c r="S1040" s="109"/>
      <c r="T1040" s="109"/>
      <c r="U1040" s="109"/>
      <c r="V1040" s="109"/>
      <c r="W1040" s="109"/>
      <c r="X1040" s="109"/>
      <c r="Y1040" s="109"/>
      <c r="Z1040" s="109"/>
      <c r="AA1040" s="109"/>
      <c r="AB1040" s="109"/>
      <c r="AC1040" s="109"/>
      <c r="AD1040" s="109"/>
      <c r="AE1040" s="109"/>
      <c r="AF1040" s="109"/>
      <c r="AG1040" s="109"/>
      <c r="AH1040" s="109"/>
      <c r="AI1040" s="109"/>
      <c r="AJ1040" s="109"/>
      <c r="AK1040" s="109"/>
      <c r="AL1040" s="109"/>
      <c r="AM1040" s="109"/>
      <c r="AN1040" s="109"/>
      <c r="AO1040" s="109"/>
      <c r="AP1040" s="109"/>
      <c r="AQ1040" s="109"/>
      <c r="AR1040" s="109"/>
      <c r="AS1040" s="109"/>
      <c r="AT1040" s="109"/>
      <c r="AU1040" s="109"/>
      <c r="AV1040" s="109"/>
      <c r="AW1040" s="109"/>
      <c r="AX1040" s="109"/>
      <c r="AY1040" s="34" t="s">
        <v>230</v>
      </c>
      <c r="AZ1040" s="34" t="s">
        <v>1510</v>
      </c>
      <c r="BA1040" s="47" t="s">
        <v>298</v>
      </c>
      <c r="BB1040" s="47"/>
      <c r="BC1040" s="163" t="s">
        <v>1511</v>
      </c>
      <c r="BI1040" s="42">
        <v>1</v>
      </c>
    </row>
    <row r="1041" spans="1:61" s="24" customFormat="1" ht="22.35" hidden="1" customHeight="1">
      <c r="A1041" s="32"/>
      <c r="B1041" s="158"/>
      <c r="C1041" s="78" t="s">
        <v>59</v>
      </c>
      <c r="D1041" s="35">
        <f t="shared" si="179"/>
        <v>0.32</v>
      </c>
      <c r="E1041" s="35"/>
      <c r="F1041" s="35">
        <f t="shared" si="181"/>
        <v>0.32</v>
      </c>
      <c r="G1041" s="43"/>
      <c r="H1041" s="43">
        <v>0.32</v>
      </c>
      <c r="I1041" s="43"/>
      <c r="J1041" s="109"/>
      <c r="K1041" s="109"/>
      <c r="L1041" s="109"/>
      <c r="M1041" s="109"/>
      <c r="N1041" s="109"/>
      <c r="O1041" s="109"/>
      <c r="P1041" s="109"/>
      <c r="Q1041" s="109"/>
      <c r="R1041" s="109"/>
      <c r="S1041" s="109"/>
      <c r="T1041" s="109"/>
      <c r="U1041" s="109"/>
      <c r="V1041" s="109"/>
      <c r="W1041" s="109"/>
      <c r="X1041" s="109"/>
      <c r="Y1041" s="109"/>
      <c r="Z1041" s="109"/>
      <c r="AA1041" s="109"/>
      <c r="AB1041" s="109"/>
      <c r="AC1041" s="109"/>
      <c r="AD1041" s="109"/>
      <c r="AE1041" s="109"/>
      <c r="AF1041" s="109"/>
      <c r="AG1041" s="109"/>
      <c r="AH1041" s="109"/>
      <c r="AI1041" s="109"/>
      <c r="AJ1041" s="109"/>
      <c r="AK1041" s="109"/>
      <c r="AL1041" s="109"/>
      <c r="AM1041" s="109"/>
      <c r="AN1041" s="109"/>
      <c r="AO1041" s="109"/>
      <c r="AP1041" s="109"/>
      <c r="AQ1041" s="109"/>
      <c r="AR1041" s="109"/>
      <c r="AS1041" s="109"/>
      <c r="AT1041" s="109"/>
      <c r="AU1041" s="109"/>
      <c r="AV1041" s="109"/>
      <c r="AW1041" s="109"/>
      <c r="AX1041" s="109"/>
      <c r="AY1041" s="34" t="s">
        <v>230</v>
      </c>
      <c r="AZ1041" s="34"/>
      <c r="BA1041" s="47"/>
      <c r="BB1041" s="48"/>
      <c r="BC1041" s="164"/>
      <c r="BI1041" s="42"/>
    </row>
    <row r="1042" spans="1:61" s="24" customFormat="1" ht="22.35" hidden="1" customHeight="1">
      <c r="A1042" s="32"/>
      <c r="B1042" s="158"/>
      <c r="C1042" s="78" t="s">
        <v>44</v>
      </c>
      <c r="D1042" s="35">
        <f t="shared" si="179"/>
        <v>0.36</v>
      </c>
      <c r="E1042" s="35"/>
      <c r="F1042" s="35">
        <f t="shared" si="181"/>
        <v>0.36</v>
      </c>
      <c r="G1042" s="43"/>
      <c r="H1042" s="43">
        <v>0.36</v>
      </c>
      <c r="I1042" s="43"/>
      <c r="J1042" s="109"/>
      <c r="K1042" s="109"/>
      <c r="L1042" s="109"/>
      <c r="M1042" s="109"/>
      <c r="N1042" s="109"/>
      <c r="O1042" s="109"/>
      <c r="P1042" s="109"/>
      <c r="Q1042" s="109"/>
      <c r="R1042" s="109"/>
      <c r="S1042" s="109"/>
      <c r="T1042" s="109"/>
      <c r="U1042" s="109"/>
      <c r="V1042" s="109"/>
      <c r="W1042" s="109"/>
      <c r="X1042" s="109"/>
      <c r="Y1042" s="109"/>
      <c r="Z1042" s="109"/>
      <c r="AA1042" s="109"/>
      <c r="AB1042" s="109"/>
      <c r="AC1042" s="109"/>
      <c r="AD1042" s="109"/>
      <c r="AE1042" s="109"/>
      <c r="AF1042" s="109"/>
      <c r="AG1042" s="109"/>
      <c r="AH1042" s="109"/>
      <c r="AI1042" s="109"/>
      <c r="AJ1042" s="109"/>
      <c r="AK1042" s="109"/>
      <c r="AL1042" s="109"/>
      <c r="AM1042" s="109"/>
      <c r="AN1042" s="109"/>
      <c r="AO1042" s="109"/>
      <c r="AP1042" s="109"/>
      <c r="AQ1042" s="109"/>
      <c r="AR1042" s="109"/>
      <c r="AS1042" s="109"/>
      <c r="AT1042" s="109"/>
      <c r="AU1042" s="109"/>
      <c r="AV1042" s="109"/>
      <c r="AW1042" s="109"/>
      <c r="AX1042" s="109"/>
      <c r="AY1042" s="34" t="s">
        <v>230</v>
      </c>
      <c r="AZ1042" s="34"/>
      <c r="BA1042" s="47"/>
      <c r="BB1042" s="48"/>
      <c r="BC1042" s="164"/>
      <c r="BI1042" s="42"/>
    </row>
    <row r="1043" spans="1:61" s="24" customFormat="1" ht="22.35" hidden="1" customHeight="1">
      <c r="A1043" s="32"/>
      <c r="B1043" s="158"/>
      <c r="C1043" s="78" t="s">
        <v>138</v>
      </c>
      <c r="D1043" s="35">
        <f t="shared" si="179"/>
        <v>0.22000000000000008</v>
      </c>
      <c r="E1043" s="35"/>
      <c r="F1043" s="35">
        <f t="shared" si="181"/>
        <v>0.22000000000000008</v>
      </c>
      <c r="G1043" s="141">
        <f>G1040-G1041-G1042</f>
        <v>0</v>
      </c>
      <c r="H1043" s="141">
        <f t="shared" ref="H1043:AX1043" si="184">H1040-H1041-H1042</f>
        <v>0.22000000000000008</v>
      </c>
      <c r="I1043" s="141">
        <f t="shared" si="184"/>
        <v>0</v>
      </c>
      <c r="J1043" s="141">
        <f t="shared" si="184"/>
        <v>0</v>
      </c>
      <c r="K1043" s="141">
        <f t="shared" si="184"/>
        <v>0</v>
      </c>
      <c r="L1043" s="141">
        <f t="shared" si="184"/>
        <v>0</v>
      </c>
      <c r="M1043" s="141">
        <f t="shared" si="184"/>
        <v>0</v>
      </c>
      <c r="N1043" s="141">
        <f t="shared" si="184"/>
        <v>0</v>
      </c>
      <c r="O1043" s="141">
        <f t="shared" si="184"/>
        <v>0</v>
      </c>
      <c r="P1043" s="141">
        <f t="shared" si="184"/>
        <v>0</v>
      </c>
      <c r="Q1043" s="141">
        <f t="shared" si="184"/>
        <v>0</v>
      </c>
      <c r="R1043" s="141">
        <f t="shared" si="184"/>
        <v>0</v>
      </c>
      <c r="S1043" s="141">
        <f t="shared" si="184"/>
        <v>0</v>
      </c>
      <c r="T1043" s="141">
        <f t="shared" si="184"/>
        <v>0</v>
      </c>
      <c r="U1043" s="141">
        <f t="shared" si="184"/>
        <v>0</v>
      </c>
      <c r="V1043" s="141">
        <f t="shared" si="184"/>
        <v>0</v>
      </c>
      <c r="W1043" s="141">
        <f t="shared" si="184"/>
        <v>0</v>
      </c>
      <c r="X1043" s="141">
        <f t="shared" si="184"/>
        <v>0</v>
      </c>
      <c r="Y1043" s="141">
        <f t="shared" si="184"/>
        <v>0</v>
      </c>
      <c r="Z1043" s="141">
        <f t="shared" si="184"/>
        <v>0</v>
      </c>
      <c r="AA1043" s="141">
        <f t="shared" si="184"/>
        <v>0</v>
      </c>
      <c r="AB1043" s="141">
        <f t="shared" si="184"/>
        <v>0</v>
      </c>
      <c r="AC1043" s="141">
        <f t="shared" si="184"/>
        <v>0</v>
      </c>
      <c r="AD1043" s="141">
        <f t="shared" si="184"/>
        <v>0</v>
      </c>
      <c r="AE1043" s="141">
        <f t="shared" si="184"/>
        <v>0</v>
      </c>
      <c r="AF1043" s="141">
        <f t="shared" si="184"/>
        <v>0</v>
      </c>
      <c r="AG1043" s="141">
        <f t="shared" si="184"/>
        <v>0</v>
      </c>
      <c r="AH1043" s="141">
        <f t="shared" si="184"/>
        <v>0</v>
      </c>
      <c r="AI1043" s="141">
        <f t="shared" si="184"/>
        <v>0</v>
      </c>
      <c r="AJ1043" s="141">
        <f t="shared" si="184"/>
        <v>0</v>
      </c>
      <c r="AK1043" s="141">
        <f t="shared" si="184"/>
        <v>0</v>
      </c>
      <c r="AL1043" s="141">
        <f t="shared" si="184"/>
        <v>0</v>
      </c>
      <c r="AM1043" s="141">
        <f t="shared" si="184"/>
        <v>0</v>
      </c>
      <c r="AN1043" s="141">
        <f t="shared" si="184"/>
        <v>0</v>
      </c>
      <c r="AO1043" s="141">
        <f t="shared" si="184"/>
        <v>0</v>
      </c>
      <c r="AP1043" s="141">
        <f t="shared" si="184"/>
        <v>0</v>
      </c>
      <c r="AQ1043" s="141">
        <f t="shared" si="184"/>
        <v>0</v>
      </c>
      <c r="AR1043" s="141">
        <f t="shared" si="184"/>
        <v>0</v>
      </c>
      <c r="AS1043" s="141">
        <f t="shared" si="184"/>
        <v>0</v>
      </c>
      <c r="AT1043" s="141">
        <f t="shared" si="184"/>
        <v>0</v>
      </c>
      <c r="AU1043" s="141">
        <f t="shared" si="184"/>
        <v>0</v>
      </c>
      <c r="AV1043" s="141">
        <f t="shared" si="184"/>
        <v>0</v>
      </c>
      <c r="AW1043" s="141">
        <f t="shared" si="184"/>
        <v>0</v>
      </c>
      <c r="AX1043" s="141">
        <f t="shared" si="184"/>
        <v>0</v>
      </c>
      <c r="AY1043" s="34" t="s">
        <v>230</v>
      </c>
      <c r="AZ1043" s="34"/>
      <c r="BA1043" s="47"/>
      <c r="BB1043" s="48"/>
      <c r="BC1043" s="164"/>
      <c r="BI1043" s="42"/>
    </row>
    <row r="1044" spans="1:61" s="24" customFormat="1" ht="21.6" customHeight="1">
      <c r="A1044" s="32">
        <f>A1040+1</f>
        <v>714</v>
      </c>
      <c r="B1044" s="158" t="s">
        <v>186</v>
      </c>
      <c r="C1044" s="78" t="s">
        <v>1260</v>
      </c>
      <c r="D1044" s="35">
        <f t="shared" si="179"/>
        <v>0.52</v>
      </c>
      <c r="E1044" s="35"/>
      <c r="F1044" s="35">
        <f t="shared" si="181"/>
        <v>0.52</v>
      </c>
      <c r="G1044" s="43">
        <v>0.12</v>
      </c>
      <c r="H1044" s="43">
        <v>0.28999999999999998</v>
      </c>
      <c r="I1044" s="43">
        <v>0.04</v>
      </c>
      <c r="J1044" s="109"/>
      <c r="K1044" s="109"/>
      <c r="L1044" s="109"/>
      <c r="M1044" s="109"/>
      <c r="N1044" s="109"/>
      <c r="O1044" s="109"/>
      <c r="P1044" s="109"/>
      <c r="Q1044" s="109"/>
      <c r="R1044" s="109"/>
      <c r="S1044" s="109"/>
      <c r="T1044" s="109"/>
      <c r="U1044" s="109"/>
      <c r="V1044" s="109"/>
      <c r="W1044" s="109"/>
      <c r="X1044" s="109"/>
      <c r="Y1044" s="109"/>
      <c r="Z1044" s="109"/>
      <c r="AA1044" s="109"/>
      <c r="AB1044" s="109"/>
      <c r="AC1044" s="109"/>
      <c r="AD1044" s="109"/>
      <c r="AE1044" s="109"/>
      <c r="AF1044" s="109"/>
      <c r="AG1044" s="109"/>
      <c r="AH1044" s="109"/>
      <c r="AI1044" s="109"/>
      <c r="AJ1044" s="109"/>
      <c r="AK1044" s="109"/>
      <c r="AL1044" s="109"/>
      <c r="AM1044" s="109"/>
      <c r="AN1044" s="109"/>
      <c r="AO1044" s="109"/>
      <c r="AP1044" s="109"/>
      <c r="AQ1044" s="109"/>
      <c r="AR1044" s="109"/>
      <c r="AS1044" s="109"/>
      <c r="AT1044" s="109"/>
      <c r="AU1044" s="109"/>
      <c r="AV1044" s="109"/>
      <c r="AW1044" s="109"/>
      <c r="AX1044" s="109">
        <v>7.0000000000000007E-2</v>
      </c>
      <c r="AY1044" s="34" t="s">
        <v>230</v>
      </c>
      <c r="AZ1044" s="34" t="s">
        <v>626</v>
      </c>
      <c r="BA1044" s="63" t="s">
        <v>291</v>
      </c>
      <c r="BB1044" s="64"/>
      <c r="BC1044" s="163" t="s">
        <v>1512</v>
      </c>
      <c r="BI1044" s="42">
        <v>1</v>
      </c>
    </row>
    <row r="1045" spans="1:61" s="24" customFormat="1" ht="21.6" hidden="1" customHeight="1">
      <c r="A1045" s="32"/>
      <c r="B1045" s="163"/>
      <c r="C1045" s="78" t="s">
        <v>59</v>
      </c>
      <c r="D1045" s="35">
        <f t="shared" si="179"/>
        <v>0.2</v>
      </c>
      <c r="E1045" s="35"/>
      <c r="F1045" s="35">
        <f t="shared" si="181"/>
        <v>0.2</v>
      </c>
      <c r="G1045" s="43"/>
      <c r="H1045" s="43">
        <v>0.2</v>
      </c>
      <c r="I1045" s="43"/>
      <c r="J1045" s="109"/>
      <c r="K1045" s="109"/>
      <c r="L1045" s="109"/>
      <c r="M1045" s="109"/>
      <c r="N1045" s="109"/>
      <c r="O1045" s="109"/>
      <c r="P1045" s="109"/>
      <c r="Q1045" s="109"/>
      <c r="R1045" s="109"/>
      <c r="S1045" s="109"/>
      <c r="T1045" s="109"/>
      <c r="U1045" s="109"/>
      <c r="V1045" s="109"/>
      <c r="W1045" s="109"/>
      <c r="X1045" s="109"/>
      <c r="Y1045" s="109"/>
      <c r="Z1045" s="109"/>
      <c r="AA1045" s="109"/>
      <c r="AB1045" s="109"/>
      <c r="AC1045" s="109"/>
      <c r="AD1045" s="109"/>
      <c r="AE1045" s="109"/>
      <c r="AF1045" s="109"/>
      <c r="AG1045" s="109"/>
      <c r="AH1045" s="109"/>
      <c r="AI1045" s="109"/>
      <c r="AJ1045" s="109"/>
      <c r="AK1045" s="109"/>
      <c r="AL1045" s="109"/>
      <c r="AM1045" s="109"/>
      <c r="AN1045" s="109"/>
      <c r="AO1045" s="109"/>
      <c r="AP1045" s="109"/>
      <c r="AQ1045" s="109"/>
      <c r="AR1045" s="109"/>
      <c r="AS1045" s="109"/>
      <c r="AT1045" s="109"/>
      <c r="AU1045" s="109"/>
      <c r="AV1045" s="109"/>
      <c r="AW1045" s="109"/>
      <c r="AX1045" s="109"/>
      <c r="AY1045" s="34" t="s">
        <v>230</v>
      </c>
      <c r="AZ1045" s="34"/>
      <c r="BA1045" s="63"/>
      <c r="BB1045" s="64"/>
      <c r="BI1045" s="42"/>
    </row>
    <row r="1046" spans="1:61" s="24" customFormat="1" ht="21.6" hidden="1" customHeight="1">
      <c r="A1046" s="32"/>
      <c r="B1046" s="163"/>
      <c r="C1046" s="78" t="s">
        <v>44</v>
      </c>
      <c r="D1046" s="35">
        <f t="shared" si="179"/>
        <v>0.19000000000000003</v>
      </c>
      <c r="E1046" s="35"/>
      <c r="F1046" s="35">
        <f t="shared" si="181"/>
        <v>0.19000000000000003</v>
      </c>
      <c r="G1046" s="43">
        <v>0.1</v>
      </c>
      <c r="H1046" s="43">
        <v>0.05</v>
      </c>
      <c r="I1046" s="43">
        <v>0.04</v>
      </c>
      <c r="J1046" s="109"/>
      <c r="K1046" s="109"/>
      <c r="L1046" s="109"/>
      <c r="M1046" s="109"/>
      <c r="N1046" s="109"/>
      <c r="O1046" s="109"/>
      <c r="P1046" s="109"/>
      <c r="Q1046" s="109"/>
      <c r="R1046" s="109"/>
      <c r="S1046" s="109"/>
      <c r="T1046" s="109"/>
      <c r="U1046" s="109"/>
      <c r="V1046" s="109"/>
      <c r="W1046" s="109"/>
      <c r="X1046" s="109"/>
      <c r="Y1046" s="109"/>
      <c r="Z1046" s="109"/>
      <c r="AA1046" s="109"/>
      <c r="AB1046" s="109"/>
      <c r="AC1046" s="109"/>
      <c r="AD1046" s="109"/>
      <c r="AE1046" s="109"/>
      <c r="AF1046" s="109"/>
      <c r="AG1046" s="109"/>
      <c r="AH1046" s="109"/>
      <c r="AI1046" s="109"/>
      <c r="AJ1046" s="109"/>
      <c r="AK1046" s="109"/>
      <c r="AL1046" s="109"/>
      <c r="AM1046" s="109"/>
      <c r="AN1046" s="109"/>
      <c r="AO1046" s="109"/>
      <c r="AP1046" s="109"/>
      <c r="AQ1046" s="109"/>
      <c r="AR1046" s="109"/>
      <c r="AS1046" s="109"/>
      <c r="AT1046" s="109"/>
      <c r="AU1046" s="109"/>
      <c r="AV1046" s="109"/>
      <c r="AW1046" s="109"/>
      <c r="AX1046" s="109"/>
      <c r="AY1046" s="34" t="s">
        <v>230</v>
      </c>
      <c r="AZ1046" s="34"/>
      <c r="BA1046" s="63"/>
      <c r="BB1046" s="64"/>
      <c r="BI1046" s="42"/>
    </row>
    <row r="1047" spans="1:61" s="24" customFormat="1" ht="21.6" hidden="1" customHeight="1">
      <c r="A1047" s="32"/>
      <c r="B1047" s="163"/>
      <c r="C1047" s="78" t="s">
        <v>138</v>
      </c>
      <c r="D1047" s="35">
        <f t="shared" si="179"/>
        <v>0.12999999999999995</v>
      </c>
      <c r="E1047" s="35"/>
      <c r="F1047" s="35">
        <f t="shared" si="181"/>
        <v>0.12999999999999995</v>
      </c>
      <c r="G1047" s="147">
        <f t="shared" ref="G1047:AW1047" si="185">G1044-G1045-G1046</f>
        <v>1.999999999999999E-2</v>
      </c>
      <c r="H1047" s="147">
        <f t="shared" si="185"/>
        <v>3.9999999999999966E-2</v>
      </c>
      <c r="I1047" s="147">
        <f t="shared" si="185"/>
        <v>0</v>
      </c>
      <c r="J1047" s="147">
        <f t="shared" si="185"/>
        <v>0</v>
      </c>
      <c r="K1047" s="147">
        <f t="shared" si="185"/>
        <v>0</v>
      </c>
      <c r="L1047" s="147">
        <f t="shared" si="185"/>
        <v>0</v>
      </c>
      <c r="M1047" s="147">
        <f t="shared" si="185"/>
        <v>0</v>
      </c>
      <c r="N1047" s="147">
        <f t="shared" si="185"/>
        <v>0</v>
      </c>
      <c r="O1047" s="147">
        <f t="shared" si="185"/>
        <v>0</v>
      </c>
      <c r="P1047" s="147">
        <f t="shared" si="185"/>
        <v>0</v>
      </c>
      <c r="Q1047" s="147">
        <f t="shared" si="185"/>
        <v>0</v>
      </c>
      <c r="R1047" s="147">
        <f t="shared" si="185"/>
        <v>0</v>
      </c>
      <c r="S1047" s="147">
        <f t="shared" si="185"/>
        <v>0</v>
      </c>
      <c r="T1047" s="147">
        <f t="shared" si="185"/>
        <v>0</v>
      </c>
      <c r="U1047" s="147">
        <f t="shared" si="185"/>
        <v>0</v>
      </c>
      <c r="V1047" s="147">
        <f t="shared" si="185"/>
        <v>0</v>
      </c>
      <c r="W1047" s="147">
        <f t="shared" si="185"/>
        <v>0</v>
      </c>
      <c r="X1047" s="147">
        <f t="shared" si="185"/>
        <v>0</v>
      </c>
      <c r="Y1047" s="147">
        <f t="shared" si="185"/>
        <v>0</v>
      </c>
      <c r="Z1047" s="147">
        <f t="shared" si="185"/>
        <v>0</v>
      </c>
      <c r="AA1047" s="147">
        <f t="shared" si="185"/>
        <v>0</v>
      </c>
      <c r="AB1047" s="147">
        <f t="shared" si="185"/>
        <v>0</v>
      </c>
      <c r="AC1047" s="147">
        <f t="shared" si="185"/>
        <v>0</v>
      </c>
      <c r="AD1047" s="147">
        <f t="shared" si="185"/>
        <v>0</v>
      </c>
      <c r="AE1047" s="147">
        <f t="shared" si="185"/>
        <v>0</v>
      </c>
      <c r="AF1047" s="147">
        <f t="shared" si="185"/>
        <v>0</v>
      </c>
      <c r="AG1047" s="147">
        <f t="shared" si="185"/>
        <v>0</v>
      </c>
      <c r="AH1047" s="147">
        <f t="shared" si="185"/>
        <v>0</v>
      </c>
      <c r="AI1047" s="147">
        <f t="shared" si="185"/>
        <v>0</v>
      </c>
      <c r="AJ1047" s="147">
        <f t="shared" si="185"/>
        <v>0</v>
      </c>
      <c r="AK1047" s="147">
        <f t="shared" si="185"/>
        <v>0</v>
      </c>
      <c r="AL1047" s="147">
        <f t="shared" si="185"/>
        <v>0</v>
      </c>
      <c r="AM1047" s="147">
        <f t="shared" si="185"/>
        <v>0</v>
      </c>
      <c r="AN1047" s="147">
        <f t="shared" si="185"/>
        <v>0</v>
      </c>
      <c r="AO1047" s="147">
        <f t="shared" si="185"/>
        <v>0</v>
      </c>
      <c r="AP1047" s="147">
        <f t="shared" si="185"/>
        <v>0</v>
      </c>
      <c r="AQ1047" s="147">
        <f t="shared" si="185"/>
        <v>0</v>
      </c>
      <c r="AR1047" s="147">
        <f t="shared" si="185"/>
        <v>0</v>
      </c>
      <c r="AS1047" s="147">
        <f t="shared" si="185"/>
        <v>0</v>
      </c>
      <c r="AT1047" s="147">
        <f t="shared" si="185"/>
        <v>0</v>
      </c>
      <c r="AU1047" s="147">
        <f t="shared" si="185"/>
        <v>0</v>
      </c>
      <c r="AV1047" s="147">
        <f t="shared" si="185"/>
        <v>0</v>
      </c>
      <c r="AW1047" s="147">
        <f t="shared" si="185"/>
        <v>0</v>
      </c>
      <c r="AX1047" s="147">
        <f>AX1044-AX1045-AX1046</f>
        <v>7.0000000000000007E-2</v>
      </c>
      <c r="AY1047" s="34" t="s">
        <v>230</v>
      </c>
      <c r="AZ1047" s="34"/>
      <c r="BA1047" s="63"/>
      <c r="BB1047" s="64"/>
      <c r="BI1047" s="42"/>
    </row>
    <row r="1048" spans="1:61" s="24" customFormat="1" ht="21.6" customHeight="1">
      <c r="A1048" s="32">
        <f>A1044+1</f>
        <v>715</v>
      </c>
      <c r="B1048" s="158" t="s">
        <v>186</v>
      </c>
      <c r="C1048" s="78" t="s">
        <v>1260</v>
      </c>
      <c r="D1048" s="35">
        <f t="shared" si="179"/>
        <v>1.22</v>
      </c>
      <c r="E1048" s="35"/>
      <c r="F1048" s="35">
        <f>SUM(G1048:AX1048)</f>
        <v>1.22</v>
      </c>
      <c r="G1048" s="43">
        <v>1.1399999999999999</v>
      </c>
      <c r="H1048" s="43"/>
      <c r="I1048" s="43"/>
      <c r="J1048" s="109"/>
      <c r="K1048" s="109"/>
      <c r="L1048" s="109"/>
      <c r="M1048" s="109"/>
      <c r="N1048" s="109"/>
      <c r="O1048" s="109"/>
      <c r="P1048" s="109">
        <v>0.08</v>
      </c>
      <c r="Q1048" s="109"/>
      <c r="R1048" s="109"/>
      <c r="S1048" s="109"/>
      <c r="T1048" s="109"/>
      <c r="U1048" s="109"/>
      <c r="V1048" s="109"/>
      <c r="W1048" s="109"/>
      <c r="X1048" s="109"/>
      <c r="Y1048" s="109"/>
      <c r="Z1048" s="109"/>
      <c r="AA1048" s="109"/>
      <c r="AB1048" s="109"/>
      <c r="AC1048" s="109"/>
      <c r="AD1048" s="109"/>
      <c r="AE1048" s="109"/>
      <c r="AF1048" s="109"/>
      <c r="AG1048" s="109"/>
      <c r="AH1048" s="109"/>
      <c r="AI1048" s="109"/>
      <c r="AJ1048" s="109"/>
      <c r="AK1048" s="109"/>
      <c r="AL1048" s="109"/>
      <c r="AM1048" s="109"/>
      <c r="AN1048" s="109"/>
      <c r="AO1048" s="109"/>
      <c r="AP1048" s="109"/>
      <c r="AQ1048" s="109"/>
      <c r="AR1048" s="109"/>
      <c r="AS1048" s="109"/>
      <c r="AT1048" s="109"/>
      <c r="AU1048" s="109"/>
      <c r="AV1048" s="109"/>
      <c r="AW1048" s="109"/>
      <c r="AX1048" s="109"/>
      <c r="AY1048" s="34" t="s">
        <v>230</v>
      </c>
      <c r="AZ1048" s="34" t="s">
        <v>1513</v>
      </c>
      <c r="BA1048" s="63" t="s">
        <v>298</v>
      </c>
      <c r="BB1048" s="64"/>
      <c r="BC1048" s="163" t="s">
        <v>1512</v>
      </c>
      <c r="BG1048" s="24" t="s">
        <v>311</v>
      </c>
      <c r="BI1048" s="42">
        <v>1</v>
      </c>
    </row>
    <row r="1049" spans="1:61" s="24" customFormat="1" ht="21.6" hidden="1" customHeight="1">
      <c r="A1049" s="32"/>
      <c r="B1049" s="163"/>
      <c r="C1049" s="78" t="s">
        <v>59</v>
      </c>
      <c r="D1049" s="35">
        <f t="shared" si="179"/>
        <v>0.42</v>
      </c>
      <c r="E1049" s="35"/>
      <c r="F1049" s="35">
        <f>SUM(G1049:AX1049)</f>
        <v>0.42</v>
      </c>
      <c r="G1049" s="43">
        <v>0.42</v>
      </c>
      <c r="H1049" s="43"/>
      <c r="I1049" s="43"/>
      <c r="J1049" s="109"/>
      <c r="K1049" s="109"/>
      <c r="L1049" s="109"/>
      <c r="M1049" s="109"/>
      <c r="N1049" s="109"/>
      <c r="O1049" s="109"/>
      <c r="P1049" s="109"/>
      <c r="Q1049" s="109"/>
      <c r="R1049" s="109"/>
      <c r="S1049" s="109"/>
      <c r="T1049" s="109"/>
      <c r="U1049" s="109"/>
      <c r="V1049" s="109"/>
      <c r="W1049" s="109"/>
      <c r="X1049" s="109"/>
      <c r="Y1049" s="109"/>
      <c r="Z1049" s="109"/>
      <c r="AA1049" s="109"/>
      <c r="AB1049" s="109"/>
      <c r="AC1049" s="109"/>
      <c r="AD1049" s="109"/>
      <c r="AE1049" s="109"/>
      <c r="AF1049" s="109"/>
      <c r="AG1049" s="109"/>
      <c r="AH1049" s="109"/>
      <c r="AI1049" s="109"/>
      <c r="AJ1049" s="109"/>
      <c r="AK1049" s="109"/>
      <c r="AL1049" s="109"/>
      <c r="AM1049" s="109"/>
      <c r="AN1049" s="109"/>
      <c r="AO1049" s="109"/>
      <c r="AP1049" s="109"/>
      <c r="AQ1049" s="109"/>
      <c r="AR1049" s="109"/>
      <c r="AS1049" s="109"/>
      <c r="AT1049" s="109"/>
      <c r="AU1049" s="109"/>
      <c r="AV1049" s="109"/>
      <c r="AW1049" s="109"/>
      <c r="AX1049" s="109"/>
      <c r="AY1049" s="34" t="s">
        <v>230</v>
      </c>
      <c r="AZ1049" s="34"/>
      <c r="BA1049" s="63"/>
      <c r="BB1049" s="64"/>
      <c r="BI1049" s="42"/>
    </row>
    <row r="1050" spans="1:61" s="24" customFormat="1" ht="21.6" hidden="1" customHeight="1">
      <c r="A1050" s="32"/>
      <c r="B1050" s="163"/>
      <c r="C1050" s="78" t="s">
        <v>44</v>
      </c>
      <c r="D1050" s="35">
        <f t="shared" si="179"/>
        <v>0.42</v>
      </c>
      <c r="E1050" s="35"/>
      <c r="F1050" s="35">
        <f>SUM(G1050:AX1050)</f>
        <v>0.42</v>
      </c>
      <c r="G1050" s="43">
        <v>0.42</v>
      </c>
      <c r="H1050" s="43"/>
      <c r="I1050" s="43"/>
      <c r="J1050" s="109"/>
      <c r="K1050" s="109"/>
      <c r="L1050" s="109"/>
      <c r="M1050" s="109"/>
      <c r="N1050" s="109"/>
      <c r="O1050" s="109"/>
      <c r="P1050" s="109"/>
      <c r="Q1050" s="109"/>
      <c r="R1050" s="109"/>
      <c r="S1050" s="109"/>
      <c r="T1050" s="109"/>
      <c r="U1050" s="109"/>
      <c r="V1050" s="109"/>
      <c r="W1050" s="109"/>
      <c r="X1050" s="109"/>
      <c r="Y1050" s="109"/>
      <c r="Z1050" s="109"/>
      <c r="AA1050" s="109"/>
      <c r="AB1050" s="109"/>
      <c r="AC1050" s="109"/>
      <c r="AD1050" s="109"/>
      <c r="AE1050" s="109"/>
      <c r="AF1050" s="109"/>
      <c r="AG1050" s="109"/>
      <c r="AH1050" s="109"/>
      <c r="AI1050" s="109"/>
      <c r="AJ1050" s="109"/>
      <c r="AK1050" s="109"/>
      <c r="AL1050" s="109"/>
      <c r="AM1050" s="109"/>
      <c r="AN1050" s="109"/>
      <c r="AO1050" s="109"/>
      <c r="AP1050" s="109"/>
      <c r="AQ1050" s="109"/>
      <c r="AR1050" s="109"/>
      <c r="AS1050" s="109"/>
      <c r="AT1050" s="109"/>
      <c r="AU1050" s="109"/>
      <c r="AV1050" s="109"/>
      <c r="AW1050" s="109"/>
      <c r="AX1050" s="109"/>
      <c r="AY1050" s="34" t="s">
        <v>230</v>
      </c>
      <c r="AZ1050" s="34"/>
      <c r="BA1050" s="63"/>
      <c r="BB1050" s="64"/>
      <c r="BI1050" s="42"/>
    </row>
    <row r="1051" spans="1:61" s="24" customFormat="1" ht="21.6" hidden="1" customHeight="1">
      <c r="A1051" s="32"/>
      <c r="B1051" s="163"/>
      <c r="C1051" s="78" t="s">
        <v>45</v>
      </c>
      <c r="D1051" s="35">
        <f t="shared" si="179"/>
        <v>0.12</v>
      </c>
      <c r="E1051" s="35"/>
      <c r="F1051" s="35">
        <f>SUM(G1051:AX1051)</f>
        <v>0.12</v>
      </c>
      <c r="G1051" s="43">
        <v>0.04</v>
      </c>
      <c r="H1051" s="43"/>
      <c r="I1051" s="43"/>
      <c r="J1051" s="109"/>
      <c r="K1051" s="109"/>
      <c r="L1051" s="109"/>
      <c r="M1051" s="109"/>
      <c r="N1051" s="109"/>
      <c r="O1051" s="109"/>
      <c r="P1051" s="109">
        <v>0.08</v>
      </c>
      <c r="Q1051" s="109"/>
      <c r="R1051" s="109"/>
      <c r="S1051" s="109"/>
      <c r="T1051" s="109"/>
      <c r="U1051" s="109"/>
      <c r="V1051" s="109"/>
      <c r="W1051" s="109"/>
      <c r="X1051" s="109"/>
      <c r="Y1051" s="109"/>
      <c r="Z1051" s="109"/>
      <c r="AA1051" s="109"/>
      <c r="AB1051" s="109"/>
      <c r="AC1051" s="109"/>
      <c r="AD1051" s="109"/>
      <c r="AE1051" s="109"/>
      <c r="AF1051" s="109"/>
      <c r="AG1051" s="109"/>
      <c r="AH1051" s="109"/>
      <c r="AI1051" s="109"/>
      <c r="AJ1051" s="109"/>
      <c r="AK1051" s="109"/>
      <c r="AL1051" s="109"/>
      <c r="AM1051" s="109"/>
      <c r="AN1051" s="109"/>
      <c r="AO1051" s="109"/>
      <c r="AP1051" s="109"/>
      <c r="AQ1051" s="109"/>
      <c r="AR1051" s="109"/>
      <c r="AS1051" s="109"/>
      <c r="AT1051" s="109"/>
      <c r="AU1051" s="109"/>
      <c r="AV1051" s="109"/>
      <c r="AW1051" s="109"/>
      <c r="AX1051" s="109"/>
      <c r="AY1051" s="34" t="s">
        <v>230</v>
      </c>
      <c r="AZ1051" s="34"/>
      <c r="BA1051" s="63"/>
      <c r="BB1051" s="64"/>
      <c r="BI1051" s="42"/>
    </row>
    <row r="1052" spans="1:61" s="24" customFormat="1" ht="21.6" hidden="1" customHeight="1">
      <c r="A1052" s="32"/>
      <c r="B1052" s="163"/>
      <c r="C1052" s="78" t="s">
        <v>138</v>
      </c>
      <c r="D1052" s="35">
        <f t="shared" si="179"/>
        <v>0.26</v>
      </c>
      <c r="E1052" s="35"/>
      <c r="F1052" s="35">
        <f>SUM(G1052:AX1052)</f>
        <v>0.26</v>
      </c>
      <c r="G1052" s="147">
        <f>G1048-G1049-G1050-G1051</f>
        <v>0.26</v>
      </c>
      <c r="H1052" s="147">
        <f t="shared" ref="H1052:AX1052" si="186">H1048-H1049-H1050-H1051</f>
        <v>0</v>
      </c>
      <c r="I1052" s="147">
        <f t="shared" si="186"/>
        <v>0</v>
      </c>
      <c r="J1052" s="147">
        <f t="shared" si="186"/>
        <v>0</v>
      </c>
      <c r="K1052" s="147">
        <f t="shared" si="186"/>
        <v>0</v>
      </c>
      <c r="L1052" s="147">
        <f t="shared" si="186"/>
        <v>0</v>
      </c>
      <c r="M1052" s="147">
        <f t="shared" si="186"/>
        <v>0</v>
      </c>
      <c r="N1052" s="147">
        <f t="shared" si="186"/>
        <v>0</v>
      </c>
      <c r="O1052" s="147">
        <f t="shared" si="186"/>
        <v>0</v>
      </c>
      <c r="P1052" s="147">
        <f t="shared" si="186"/>
        <v>0</v>
      </c>
      <c r="Q1052" s="147">
        <f t="shared" si="186"/>
        <v>0</v>
      </c>
      <c r="R1052" s="147">
        <f t="shared" si="186"/>
        <v>0</v>
      </c>
      <c r="S1052" s="147">
        <f t="shared" si="186"/>
        <v>0</v>
      </c>
      <c r="T1052" s="147">
        <f t="shared" si="186"/>
        <v>0</v>
      </c>
      <c r="U1052" s="147">
        <f t="shared" si="186"/>
        <v>0</v>
      </c>
      <c r="V1052" s="147">
        <f t="shared" si="186"/>
        <v>0</v>
      </c>
      <c r="W1052" s="147">
        <f t="shared" si="186"/>
        <v>0</v>
      </c>
      <c r="X1052" s="147">
        <f t="shared" si="186"/>
        <v>0</v>
      </c>
      <c r="Y1052" s="147">
        <f t="shared" si="186"/>
        <v>0</v>
      </c>
      <c r="Z1052" s="147">
        <f t="shared" si="186"/>
        <v>0</v>
      </c>
      <c r="AA1052" s="147">
        <f t="shared" si="186"/>
        <v>0</v>
      </c>
      <c r="AB1052" s="147">
        <f t="shared" si="186"/>
        <v>0</v>
      </c>
      <c r="AC1052" s="147">
        <f t="shared" si="186"/>
        <v>0</v>
      </c>
      <c r="AD1052" s="147">
        <f t="shared" si="186"/>
        <v>0</v>
      </c>
      <c r="AE1052" s="147">
        <f t="shared" si="186"/>
        <v>0</v>
      </c>
      <c r="AF1052" s="147">
        <f t="shared" si="186"/>
        <v>0</v>
      </c>
      <c r="AG1052" s="147">
        <f t="shared" si="186"/>
        <v>0</v>
      </c>
      <c r="AH1052" s="147">
        <f t="shared" si="186"/>
        <v>0</v>
      </c>
      <c r="AI1052" s="147">
        <f t="shared" si="186"/>
        <v>0</v>
      </c>
      <c r="AJ1052" s="147">
        <f t="shared" si="186"/>
        <v>0</v>
      </c>
      <c r="AK1052" s="147">
        <f t="shared" si="186"/>
        <v>0</v>
      </c>
      <c r="AL1052" s="147">
        <f t="shared" si="186"/>
        <v>0</v>
      </c>
      <c r="AM1052" s="147">
        <f t="shared" si="186"/>
        <v>0</v>
      </c>
      <c r="AN1052" s="147">
        <f t="shared" si="186"/>
        <v>0</v>
      </c>
      <c r="AO1052" s="147">
        <f t="shared" si="186"/>
        <v>0</v>
      </c>
      <c r="AP1052" s="147">
        <f t="shared" si="186"/>
        <v>0</v>
      </c>
      <c r="AQ1052" s="147">
        <f t="shared" si="186"/>
        <v>0</v>
      </c>
      <c r="AR1052" s="147">
        <f t="shared" si="186"/>
        <v>0</v>
      </c>
      <c r="AS1052" s="147">
        <f t="shared" si="186"/>
        <v>0</v>
      </c>
      <c r="AT1052" s="147">
        <f t="shared" si="186"/>
        <v>0</v>
      </c>
      <c r="AU1052" s="147">
        <f t="shared" si="186"/>
        <v>0</v>
      </c>
      <c r="AV1052" s="147">
        <f t="shared" si="186"/>
        <v>0</v>
      </c>
      <c r="AW1052" s="147">
        <f t="shared" si="186"/>
        <v>0</v>
      </c>
      <c r="AX1052" s="147">
        <f t="shared" si="186"/>
        <v>0</v>
      </c>
      <c r="AY1052" s="34" t="s">
        <v>230</v>
      </c>
      <c r="AZ1052" s="34"/>
      <c r="BA1052" s="63"/>
      <c r="BB1052" s="64"/>
      <c r="BI1052" s="42"/>
    </row>
    <row r="1053" spans="1:61" s="24" customFormat="1" ht="45.6" customHeight="1">
      <c r="A1053" s="32">
        <f>A1048+1</f>
        <v>716</v>
      </c>
      <c r="B1053" s="163" t="s">
        <v>1514</v>
      </c>
      <c r="C1053" s="78" t="s">
        <v>1260</v>
      </c>
      <c r="D1053" s="35">
        <f t="shared" si="179"/>
        <v>1.1200000000000001</v>
      </c>
      <c r="E1053" s="35"/>
      <c r="F1053" s="35">
        <f t="shared" si="181"/>
        <v>1.1200000000000001</v>
      </c>
      <c r="G1053" s="43">
        <v>1.01</v>
      </c>
      <c r="H1053" s="43"/>
      <c r="I1053" s="43">
        <v>0.02</v>
      </c>
      <c r="J1053" s="109"/>
      <c r="K1053" s="109"/>
      <c r="L1053" s="109"/>
      <c r="M1053" s="109"/>
      <c r="N1053" s="109"/>
      <c r="O1053" s="109"/>
      <c r="P1053" s="109"/>
      <c r="Q1053" s="109"/>
      <c r="R1053" s="109"/>
      <c r="S1053" s="109"/>
      <c r="T1053" s="109"/>
      <c r="U1053" s="109"/>
      <c r="V1053" s="109"/>
      <c r="W1053" s="109"/>
      <c r="X1053" s="109"/>
      <c r="Y1053" s="109"/>
      <c r="Z1053" s="109">
        <v>0.04</v>
      </c>
      <c r="AA1053" s="109">
        <v>0.05</v>
      </c>
      <c r="AB1053" s="109"/>
      <c r="AC1053" s="109"/>
      <c r="AD1053" s="109"/>
      <c r="AE1053" s="109"/>
      <c r="AF1053" s="109"/>
      <c r="AG1053" s="109"/>
      <c r="AH1053" s="109"/>
      <c r="AI1053" s="109"/>
      <c r="AJ1053" s="109"/>
      <c r="AK1053" s="109"/>
      <c r="AL1053" s="109"/>
      <c r="AM1053" s="109"/>
      <c r="AN1053" s="109"/>
      <c r="AO1053" s="109"/>
      <c r="AP1053" s="109"/>
      <c r="AQ1053" s="109"/>
      <c r="AR1053" s="109"/>
      <c r="AS1053" s="109"/>
      <c r="AT1053" s="109"/>
      <c r="AU1053" s="109"/>
      <c r="AV1053" s="109"/>
      <c r="AW1053" s="109"/>
      <c r="AX1053" s="109"/>
      <c r="AY1053" s="34" t="s">
        <v>230</v>
      </c>
      <c r="AZ1053" s="34" t="s">
        <v>1515</v>
      </c>
      <c r="BA1053" s="63" t="s">
        <v>291</v>
      </c>
      <c r="BB1053" s="64"/>
      <c r="BC1053" s="24" t="s">
        <v>1516</v>
      </c>
      <c r="BI1053" s="42">
        <v>1</v>
      </c>
    </row>
    <row r="1054" spans="1:61" s="24" customFormat="1" ht="24" hidden="1" customHeight="1">
      <c r="A1054" s="32"/>
      <c r="B1054" s="163"/>
      <c r="C1054" s="78" t="s">
        <v>59</v>
      </c>
      <c r="D1054" s="35">
        <f t="shared" si="179"/>
        <v>0.39</v>
      </c>
      <c r="E1054" s="35"/>
      <c r="F1054" s="35">
        <f t="shared" si="181"/>
        <v>0.39</v>
      </c>
      <c r="G1054" s="43">
        <v>0.39</v>
      </c>
      <c r="H1054" s="43"/>
      <c r="I1054" s="43"/>
      <c r="J1054" s="109"/>
      <c r="K1054" s="109"/>
      <c r="L1054" s="109"/>
      <c r="M1054" s="109"/>
      <c r="N1054" s="109"/>
      <c r="O1054" s="109"/>
      <c r="P1054" s="109"/>
      <c r="Q1054" s="109"/>
      <c r="R1054" s="109"/>
      <c r="S1054" s="109"/>
      <c r="T1054" s="109"/>
      <c r="U1054" s="109"/>
      <c r="V1054" s="109"/>
      <c r="W1054" s="109"/>
      <c r="X1054" s="109"/>
      <c r="Y1054" s="109"/>
      <c r="Z1054" s="109"/>
      <c r="AA1054" s="109"/>
      <c r="AB1054" s="109"/>
      <c r="AC1054" s="109"/>
      <c r="AD1054" s="109"/>
      <c r="AE1054" s="109"/>
      <c r="AF1054" s="109"/>
      <c r="AG1054" s="109"/>
      <c r="AH1054" s="109"/>
      <c r="AI1054" s="109"/>
      <c r="AJ1054" s="109"/>
      <c r="AK1054" s="109"/>
      <c r="AL1054" s="109"/>
      <c r="AM1054" s="109"/>
      <c r="AN1054" s="109"/>
      <c r="AO1054" s="109"/>
      <c r="AP1054" s="109"/>
      <c r="AQ1054" s="109"/>
      <c r="AR1054" s="109"/>
      <c r="AS1054" s="109"/>
      <c r="AT1054" s="109"/>
      <c r="AU1054" s="109"/>
      <c r="AV1054" s="109"/>
      <c r="AW1054" s="109"/>
      <c r="AX1054" s="109"/>
      <c r="AY1054" s="34" t="s">
        <v>230</v>
      </c>
      <c r="AZ1054" s="34"/>
      <c r="BA1054" s="63"/>
      <c r="BB1054" s="64"/>
      <c r="BI1054" s="42"/>
    </row>
    <row r="1055" spans="1:61" s="24" customFormat="1" ht="24" hidden="1" customHeight="1">
      <c r="A1055" s="32"/>
      <c r="B1055" s="163"/>
      <c r="C1055" s="78" t="s">
        <v>44</v>
      </c>
      <c r="D1055" s="35">
        <f t="shared" si="179"/>
        <v>0.45</v>
      </c>
      <c r="E1055" s="35"/>
      <c r="F1055" s="35">
        <f t="shared" si="181"/>
        <v>0.45</v>
      </c>
      <c r="G1055" s="43">
        <v>0.45</v>
      </c>
      <c r="H1055" s="43"/>
      <c r="I1055" s="43"/>
      <c r="J1055" s="109"/>
      <c r="K1055" s="109"/>
      <c r="L1055" s="109"/>
      <c r="M1055" s="109"/>
      <c r="N1055" s="109"/>
      <c r="O1055" s="109"/>
      <c r="P1055" s="109"/>
      <c r="Q1055" s="109"/>
      <c r="R1055" s="109"/>
      <c r="S1055" s="109"/>
      <c r="T1055" s="109"/>
      <c r="U1055" s="109"/>
      <c r="V1055" s="109"/>
      <c r="W1055" s="109"/>
      <c r="X1055" s="109"/>
      <c r="Y1055" s="109"/>
      <c r="Z1055" s="109"/>
      <c r="AA1055" s="109"/>
      <c r="AB1055" s="109"/>
      <c r="AC1055" s="109"/>
      <c r="AD1055" s="109"/>
      <c r="AE1055" s="109"/>
      <c r="AF1055" s="109"/>
      <c r="AG1055" s="109"/>
      <c r="AH1055" s="109"/>
      <c r="AI1055" s="109"/>
      <c r="AJ1055" s="109"/>
      <c r="AK1055" s="109"/>
      <c r="AL1055" s="109"/>
      <c r="AM1055" s="109"/>
      <c r="AN1055" s="109"/>
      <c r="AO1055" s="109"/>
      <c r="AP1055" s="109"/>
      <c r="AQ1055" s="109"/>
      <c r="AR1055" s="109"/>
      <c r="AS1055" s="109"/>
      <c r="AT1055" s="109"/>
      <c r="AU1055" s="109"/>
      <c r="AV1055" s="109"/>
      <c r="AW1055" s="109"/>
      <c r="AX1055" s="109"/>
      <c r="AY1055" s="34" t="s">
        <v>230</v>
      </c>
      <c r="AZ1055" s="34"/>
      <c r="BA1055" s="63"/>
      <c r="BB1055" s="64"/>
      <c r="BI1055" s="42"/>
    </row>
    <row r="1056" spans="1:61" s="24" customFormat="1" ht="24" hidden="1" customHeight="1">
      <c r="A1056" s="32"/>
      <c r="B1056" s="163"/>
      <c r="C1056" s="78" t="s">
        <v>138</v>
      </c>
      <c r="D1056" s="35">
        <f t="shared" si="179"/>
        <v>0.27999999999999997</v>
      </c>
      <c r="E1056" s="35"/>
      <c r="F1056" s="35">
        <f t="shared" si="181"/>
        <v>0.27999999999999997</v>
      </c>
      <c r="G1056" s="141">
        <f>G1053-G1054-G1055</f>
        <v>0.16999999999999998</v>
      </c>
      <c r="H1056" s="141">
        <f t="shared" ref="H1056:AX1056" si="187">H1053-H1054-H1055</f>
        <v>0</v>
      </c>
      <c r="I1056" s="141">
        <f t="shared" si="187"/>
        <v>0.02</v>
      </c>
      <c r="J1056" s="141">
        <f t="shared" si="187"/>
        <v>0</v>
      </c>
      <c r="K1056" s="141">
        <f t="shared" si="187"/>
        <v>0</v>
      </c>
      <c r="L1056" s="141">
        <f t="shared" si="187"/>
        <v>0</v>
      </c>
      <c r="M1056" s="141">
        <f t="shared" si="187"/>
        <v>0</v>
      </c>
      <c r="N1056" s="141">
        <f t="shared" si="187"/>
        <v>0</v>
      </c>
      <c r="O1056" s="141">
        <f t="shared" si="187"/>
        <v>0</v>
      </c>
      <c r="P1056" s="141">
        <f t="shared" si="187"/>
        <v>0</v>
      </c>
      <c r="Q1056" s="141">
        <f t="shared" si="187"/>
        <v>0</v>
      </c>
      <c r="R1056" s="141">
        <f t="shared" si="187"/>
        <v>0</v>
      </c>
      <c r="S1056" s="141">
        <f t="shared" si="187"/>
        <v>0</v>
      </c>
      <c r="T1056" s="141">
        <f t="shared" si="187"/>
        <v>0</v>
      </c>
      <c r="U1056" s="141">
        <f t="shared" si="187"/>
        <v>0</v>
      </c>
      <c r="V1056" s="141">
        <f t="shared" si="187"/>
        <v>0</v>
      </c>
      <c r="W1056" s="141">
        <f t="shared" si="187"/>
        <v>0</v>
      </c>
      <c r="X1056" s="141">
        <f t="shared" si="187"/>
        <v>0</v>
      </c>
      <c r="Y1056" s="141">
        <f t="shared" si="187"/>
        <v>0</v>
      </c>
      <c r="Z1056" s="141">
        <f t="shared" si="187"/>
        <v>0.04</v>
      </c>
      <c r="AA1056" s="141">
        <f t="shared" si="187"/>
        <v>0.05</v>
      </c>
      <c r="AB1056" s="141">
        <f t="shared" si="187"/>
        <v>0</v>
      </c>
      <c r="AC1056" s="141">
        <f t="shared" si="187"/>
        <v>0</v>
      </c>
      <c r="AD1056" s="141">
        <f t="shared" si="187"/>
        <v>0</v>
      </c>
      <c r="AE1056" s="141">
        <f t="shared" si="187"/>
        <v>0</v>
      </c>
      <c r="AF1056" s="141">
        <f t="shared" si="187"/>
        <v>0</v>
      </c>
      <c r="AG1056" s="141">
        <f t="shared" si="187"/>
        <v>0</v>
      </c>
      <c r="AH1056" s="141">
        <f t="shared" si="187"/>
        <v>0</v>
      </c>
      <c r="AI1056" s="141">
        <f t="shared" si="187"/>
        <v>0</v>
      </c>
      <c r="AJ1056" s="141">
        <f t="shared" si="187"/>
        <v>0</v>
      </c>
      <c r="AK1056" s="141">
        <f t="shared" si="187"/>
        <v>0</v>
      </c>
      <c r="AL1056" s="141">
        <f t="shared" si="187"/>
        <v>0</v>
      </c>
      <c r="AM1056" s="141">
        <f t="shared" si="187"/>
        <v>0</v>
      </c>
      <c r="AN1056" s="141">
        <f t="shared" si="187"/>
        <v>0</v>
      </c>
      <c r="AO1056" s="141">
        <f t="shared" si="187"/>
        <v>0</v>
      </c>
      <c r="AP1056" s="141">
        <f t="shared" si="187"/>
        <v>0</v>
      </c>
      <c r="AQ1056" s="141">
        <f t="shared" si="187"/>
        <v>0</v>
      </c>
      <c r="AR1056" s="141">
        <f t="shared" si="187"/>
        <v>0</v>
      </c>
      <c r="AS1056" s="141">
        <f t="shared" si="187"/>
        <v>0</v>
      </c>
      <c r="AT1056" s="141">
        <f t="shared" si="187"/>
        <v>0</v>
      </c>
      <c r="AU1056" s="141">
        <f t="shared" si="187"/>
        <v>0</v>
      </c>
      <c r="AV1056" s="141">
        <f t="shared" si="187"/>
        <v>0</v>
      </c>
      <c r="AW1056" s="141">
        <f t="shared" si="187"/>
        <v>0</v>
      </c>
      <c r="AX1056" s="141">
        <f t="shared" si="187"/>
        <v>0</v>
      </c>
      <c r="AY1056" s="34" t="s">
        <v>230</v>
      </c>
      <c r="AZ1056" s="34"/>
      <c r="BA1056" s="63"/>
      <c r="BB1056" s="64"/>
      <c r="BI1056" s="42"/>
    </row>
    <row r="1057" spans="1:62" s="24" customFormat="1" ht="24" customHeight="1">
      <c r="A1057" s="32">
        <f>A1053+1</f>
        <v>717</v>
      </c>
      <c r="B1057" s="56" t="s">
        <v>1337</v>
      </c>
      <c r="C1057" s="78" t="s">
        <v>59</v>
      </c>
      <c r="D1057" s="35">
        <f t="shared" si="179"/>
        <v>0.35</v>
      </c>
      <c r="E1057" s="108"/>
      <c r="F1057" s="35">
        <f>SUM(G1057:AX1057)</f>
        <v>0.35</v>
      </c>
      <c r="G1057" s="141"/>
      <c r="H1057" s="141"/>
      <c r="I1057" s="141"/>
      <c r="J1057" s="141"/>
      <c r="K1057" s="141"/>
      <c r="L1057" s="141"/>
      <c r="M1057" s="141">
        <v>0.35</v>
      </c>
      <c r="N1057" s="141"/>
      <c r="O1057" s="141"/>
      <c r="P1057" s="141"/>
      <c r="Q1057" s="141"/>
      <c r="R1057" s="141"/>
      <c r="S1057" s="141"/>
      <c r="T1057" s="141"/>
      <c r="U1057" s="141"/>
      <c r="V1057" s="141"/>
      <c r="W1057" s="141"/>
      <c r="X1057" s="141"/>
      <c r="Y1057" s="141"/>
      <c r="Z1057" s="141"/>
      <c r="AA1057" s="141"/>
      <c r="AB1057" s="141"/>
      <c r="AC1057" s="141"/>
      <c r="AD1057" s="141"/>
      <c r="AE1057" s="141"/>
      <c r="AF1057" s="141"/>
      <c r="AG1057" s="141"/>
      <c r="AH1057" s="141"/>
      <c r="AI1057" s="141"/>
      <c r="AJ1057" s="141"/>
      <c r="AK1057" s="141"/>
      <c r="AL1057" s="141"/>
      <c r="AM1057" s="141"/>
      <c r="AN1057" s="141"/>
      <c r="AO1057" s="141"/>
      <c r="AP1057" s="141"/>
      <c r="AQ1057" s="141"/>
      <c r="AR1057" s="141"/>
      <c r="AS1057" s="141"/>
      <c r="AT1057" s="141"/>
      <c r="AU1057" s="141"/>
      <c r="AV1057" s="141"/>
      <c r="AW1057" s="141"/>
      <c r="AX1057" s="141"/>
      <c r="AY1057" s="34" t="s">
        <v>230</v>
      </c>
      <c r="AZ1057" s="34" t="s">
        <v>1517</v>
      </c>
      <c r="BA1057" s="63" t="s">
        <v>298</v>
      </c>
      <c r="BB1057" s="64"/>
      <c r="BG1057" s="24" t="s">
        <v>311</v>
      </c>
      <c r="BI1057" s="42"/>
    </row>
    <row r="1058" spans="1:62" s="24" customFormat="1" ht="19.350000000000001" customHeight="1">
      <c r="A1058" s="32">
        <f>A1057+1</f>
        <v>718</v>
      </c>
      <c r="B1058" s="60" t="s">
        <v>1299</v>
      </c>
      <c r="C1058" s="78" t="s">
        <v>59</v>
      </c>
      <c r="D1058" s="35">
        <f t="shared" si="179"/>
        <v>1</v>
      </c>
      <c r="E1058" s="108"/>
      <c r="F1058" s="35">
        <f t="shared" si="181"/>
        <v>1</v>
      </c>
      <c r="G1058" s="109"/>
      <c r="H1058" s="109"/>
      <c r="I1058" s="109">
        <v>0.1</v>
      </c>
      <c r="J1058" s="109">
        <v>0.8</v>
      </c>
      <c r="K1058" s="109"/>
      <c r="L1058" s="109"/>
      <c r="M1058" s="109">
        <v>0.1</v>
      </c>
      <c r="N1058" s="109"/>
      <c r="O1058" s="109"/>
      <c r="P1058" s="109"/>
      <c r="Q1058" s="109"/>
      <c r="R1058" s="109"/>
      <c r="S1058" s="109"/>
      <c r="T1058" s="109"/>
      <c r="U1058" s="109"/>
      <c r="V1058" s="109"/>
      <c r="W1058" s="109"/>
      <c r="X1058" s="109"/>
      <c r="Y1058" s="109"/>
      <c r="Z1058" s="109"/>
      <c r="AA1058" s="109"/>
      <c r="AB1058" s="109"/>
      <c r="AC1058" s="109"/>
      <c r="AD1058" s="109"/>
      <c r="AE1058" s="109"/>
      <c r="AF1058" s="109"/>
      <c r="AG1058" s="109"/>
      <c r="AH1058" s="109"/>
      <c r="AI1058" s="109"/>
      <c r="AJ1058" s="109"/>
      <c r="AK1058" s="109"/>
      <c r="AL1058" s="109"/>
      <c r="AM1058" s="109"/>
      <c r="AN1058" s="109"/>
      <c r="AO1058" s="109"/>
      <c r="AP1058" s="109"/>
      <c r="AQ1058" s="109"/>
      <c r="AR1058" s="109"/>
      <c r="AS1058" s="109"/>
      <c r="AT1058" s="109"/>
      <c r="AU1058" s="109"/>
      <c r="AV1058" s="109"/>
      <c r="AW1058" s="109"/>
      <c r="AX1058" s="109"/>
      <c r="AY1058" s="34" t="s">
        <v>230</v>
      </c>
      <c r="AZ1058" s="34" t="s">
        <v>615</v>
      </c>
      <c r="BA1058" s="63" t="s">
        <v>291</v>
      </c>
      <c r="BB1058" s="64"/>
      <c r="BI1058" s="42">
        <v>1</v>
      </c>
    </row>
    <row r="1059" spans="1:62" s="24" customFormat="1" ht="19.350000000000001" customHeight="1">
      <c r="A1059" s="32" t="s">
        <v>1518</v>
      </c>
      <c r="B1059" s="158" t="s">
        <v>186</v>
      </c>
      <c r="C1059" s="78" t="s">
        <v>1260</v>
      </c>
      <c r="D1059" s="35">
        <f>E1059+F1059</f>
        <v>5.8800000000000008</v>
      </c>
      <c r="E1059" s="141">
        <f t="shared" ref="E1059:AX1059" si="188">E1060+E1065+E1069+E1070+E1071+E1075+E1076+E1080+E1082+E1081</f>
        <v>0</v>
      </c>
      <c r="F1059" s="141">
        <f t="shared" si="188"/>
        <v>5.8800000000000008</v>
      </c>
      <c r="G1059" s="141">
        <f t="shared" si="188"/>
        <v>3.2699999999999996</v>
      </c>
      <c r="H1059" s="141">
        <f t="shared" si="188"/>
        <v>0</v>
      </c>
      <c r="I1059" s="141">
        <f t="shared" si="188"/>
        <v>0.53</v>
      </c>
      <c r="J1059" s="141">
        <f t="shared" si="188"/>
        <v>1.7600000000000002</v>
      </c>
      <c r="K1059" s="141">
        <f t="shared" si="188"/>
        <v>0</v>
      </c>
      <c r="L1059" s="141">
        <f t="shared" si="188"/>
        <v>0.03</v>
      </c>
      <c r="M1059" s="141">
        <f t="shared" si="188"/>
        <v>0</v>
      </c>
      <c r="N1059" s="141">
        <f t="shared" si="188"/>
        <v>0</v>
      </c>
      <c r="O1059" s="141">
        <f t="shared" si="188"/>
        <v>0</v>
      </c>
      <c r="P1059" s="141">
        <f t="shared" si="188"/>
        <v>0.28999999999999998</v>
      </c>
      <c r="Q1059" s="141">
        <f t="shared" si="188"/>
        <v>0</v>
      </c>
      <c r="R1059" s="141">
        <f t="shared" si="188"/>
        <v>0</v>
      </c>
      <c r="S1059" s="141">
        <f t="shared" si="188"/>
        <v>0</v>
      </c>
      <c r="T1059" s="141">
        <f t="shared" si="188"/>
        <v>0</v>
      </c>
      <c r="U1059" s="141">
        <f t="shared" si="188"/>
        <v>0</v>
      </c>
      <c r="V1059" s="141">
        <f t="shared" si="188"/>
        <v>0</v>
      </c>
      <c r="W1059" s="141">
        <f t="shared" si="188"/>
        <v>0</v>
      </c>
      <c r="X1059" s="141">
        <f t="shared" si="188"/>
        <v>0</v>
      </c>
      <c r="Y1059" s="141">
        <f t="shared" si="188"/>
        <v>0</v>
      </c>
      <c r="Z1059" s="141">
        <f t="shared" si="188"/>
        <v>0</v>
      </c>
      <c r="AA1059" s="141">
        <f t="shared" si="188"/>
        <v>0</v>
      </c>
      <c r="AB1059" s="141">
        <f t="shared" si="188"/>
        <v>0</v>
      </c>
      <c r="AC1059" s="141">
        <f t="shared" si="188"/>
        <v>0</v>
      </c>
      <c r="AD1059" s="141">
        <f t="shared" si="188"/>
        <v>0</v>
      </c>
      <c r="AE1059" s="141">
        <f t="shared" si="188"/>
        <v>0</v>
      </c>
      <c r="AF1059" s="141">
        <f t="shared" si="188"/>
        <v>0</v>
      </c>
      <c r="AG1059" s="141">
        <f t="shared" si="188"/>
        <v>0</v>
      </c>
      <c r="AH1059" s="141">
        <f t="shared" si="188"/>
        <v>0</v>
      </c>
      <c r="AI1059" s="141">
        <f t="shared" si="188"/>
        <v>0</v>
      </c>
      <c r="AJ1059" s="141">
        <f t="shared" si="188"/>
        <v>0</v>
      </c>
      <c r="AK1059" s="141">
        <f t="shared" si="188"/>
        <v>0</v>
      </c>
      <c r="AL1059" s="141">
        <f t="shared" si="188"/>
        <v>0</v>
      </c>
      <c r="AM1059" s="141">
        <f t="shared" si="188"/>
        <v>0</v>
      </c>
      <c r="AN1059" s="141">
        <f t="shared" si="188"/>
        <v>0</v>
      </c>
      <c r="AO1059" s="141">
        <f t="shared" si="188"/>
        <v>0</v>
      </c>
      <c r="AP1059" s="141">
        <f t="shared" si="188"/>
        <v>0</v>
      </c>
      <c r="AQ1059" s="141">
        <f t="shared" si="188"/>
        <v>0</v>
      </c>
      <c r="AR1059" s="141">
        <f t="shared" si="188"/>
        <v>0</v>
      </c>
      <c r="AS1059" s="141">
        <f t="shared" si="188"/>
        <v>0</v>
      </c>
      <c r="AT1059" s="141">
        <f t="shared" si="188"/>
        <v>0</v>
      </c>
      <c r="AU1059" s="141">
        <f t="shared" si="188"/>
        <v>0</v>
      </c>
      <c r="AV1059" s="141">
        <f t="shared" si="188"/>
        <v>0</v>
      </c>
      <c r="AW1059" s="141">
        <f t="shared" si="188"/>
        <v>0</v>
      </c>
      <c r="AX1059" s="141">
        <f t="shared" si="188"/>
        <v>0</v>
      </c>
      <c r="AY1059" s="34" t="s">
        <v>231</v>
      </c>
      <c r="AZ1059" s="34"/>
      <c r="BA1059" s="63"/>
      <c r="BB1059" s="64"/>
      <c r="BI1059" s="42"/>
    </row>
    <row r="1060" spans="1:62" s="24" customFormat="1" ht="33" customHeight="1">
      <c r="A1060" s="32">
        <f>A1058+1</f>
        <v>719</v>
      </c>
      <c r="B1060" s="158" t="s">
        <v>186</v>
      </c>
      <c r="C1060" s="78" t="s">
        <v>1260</v>
      </c>
      <c r="D1060" s="35">
        <f t="shared" ref="D1060:D1123" si="189">F1060+E1060</f>
        <v>2.14</v>
      </c>
      <c r="E1060" s="35"/>
      <c r="F1060" s="35">
        <f t="shared" si="181"/>
        <v>2.14</v>
      </c>
      <c r="G1060" s="109">
        <v>1.54</v>
      </c>
      <c r="H1060" s="109"/>
      <c r="I1060" s="109">
        <v>0.18</v>
      </c>
      <c r="J1060" s="109">
        <v>0.13</v>
      </c>
      <c r="K1060" s="109"/>
      <c r="L1060" s="109"/>
      <c r="M1060" s="109"/>
      <c r="N1060" s="109"/>
      <c r="O1060" s="109"/>
      <c r="P1060" s="109">
        <v>0.28999999999999998</v>
      </c>
      <c r="Q1060" s="109"/>
      <c r="R1060" s="109"/>
      <c r="S1060" s="109"/>
      <c r="T1060" s="109"/>
      <c r="U1060" s="109"/>
      <c r="V1060" s="109"/>
      <c r="W1060" s="109"/>
      <c r="X1060" s="109"/>
      <c r="Y1060" s="109"/>
      <c r="Z1060" s="109"/>
      <c r="AA1060" s="109"/>
      <c r="AB1060" s="109"/>
      <c r="AC1060" s="109"/>
      <c r="AD1060" s="109"/>
      <c r="AE1060" s="109"/>
      <c r="AF1060" s="109"/>
      <c r="AG1060" s="109"/>
      <c r="AH1060" s="109"/>
      <c r="AI1060" s="109"/>
      <c r="AJ1060" s="109"/>
      <c r="AK1060" s="109"/>
      <c r="AL1060" s="109"/>
      <c r="AM1060" s="109"/>
      <c r="AN1060" s="109"/>
      <c r="AO1060" s="109"/>
      <c r="AP1060" s="109"/>
      <c r="AQ1060" s="109"/>
      <c r="AR1060" s="109"/>
      <c r="AS1060" s="109"/>
      <c r="AT1060" s="109"/>
      <c r="AU1060" s="109"/>
      <c r="AV1060" s="109"/>
      <c r="AW1060" s="109"/>
      <c r="AX1060" s="109"/>
      <c r="AY1060" s="34" t="s">
        <v>231</v>
      </c>
      <c r="AZ1060" s="34" t="s">
        <v>1519</v>
      </c>
      <c r="BA1060" s="39" t="s">
        <v>291</v>
      </c>
      <c r="BB1060" s="39"/>
      <c r="BC1060" s="88" t="s">
        <v>1520</v>
      </c>
      <c r="BI1060" s="42">
        <v>1</v>
      </c>
      <c r="BJ1060" s="24" t="s">
        <v>1521</v>
      </c>
    </row>
    <row r="1061" spans="1:62" s="24" customFormat="1" ht="19.350000000000001" hidden="1" customHeight="1">
      <c r="A1061" s="32"/>
      <c r="B1061" s="158"/>
      <c r="C1061" s="78" t="s">
        <v>59</v>
      </c>
      <c r="D1061" s="35">
        <f t="shared" si="189"/>
        <v>0.75</v>
      </c>
      <c r="E1061" s="35"/>
      <c r="F1061" s="35">
        <f t="shared" si="181"/>
        <v>0.75</v>
      </c>
      <c r="G1061" s="109">
        <v>0.68</v>
      </c>
      <c r="H1061" s="109"/>
      <c r="I1061" s="109">
        <v>7.0000000000000007E-2</v>
      </c>
      <c r="J1061" s="109"/>
      <c r="K1061" s="109"/>
      <c r="L1061" s="109"/>
      <c r="M1061" s="109"/>
      <c r="N1061" s="109"/>
      <c r="O1061" s="109"/>
      <c r="P1061" s="109"/>
      <c r="Q1061" s="109"/>
      <c r="R1061" s="109"/>
      <c r="S1061" s="109"/>
      <c r="T1061" s="109"/>
      <c r="U1061" s="109"/>
      <c r="V1061" s="109"/>
      <c r="W1061" s="109"/>
      <c r="X1061" s="109"/>
      <c r="Y1061" s="109"/>
      <c r="Z1061" s="109"/>
      <c r="AA1061" s="109"/>
      <c r="AB1061" s="109"/>
      <c r="AC1061" s="109"/>
      <c r="AD1061" s="109"/>
      <c r="AE1061" s="109"/>
      <c r="AF1061" s="109"/>
      <c r="AG1061" s="109"/>
      <c r="AH1061" s="109"/>
      <c r="AI1061" s="109"/>
      <c r="AJ1061" s="109"/>
      <c r="AK1061" s="109"/>
      <c r="AL1061" s="109"/>
      <c r="AM1061" s="109"/>
      <c r="AN1061" s="109"/>
      <c r="AO1061" s="109"/>
      <c r="AP1061" s="109"/>
      <c r="AQ1061" s="109"/>
      <c r="AR1061" s="109"/>
      <c r="AS1061" s="109"/>
      <c r="AT1061" s="109"/>
      <c r="AU1061" s="109"/>
      <c r="AV1061" s="109"/>
      <c r="AW1061" s="109"/>
      <c r="AX1061" s="109"/>
      <c r="AY1061" s="34" t="s">
        <v>231</v>
      </c>
      <c r="AZ1061" s="34"/>
      <c r="BA1061" s="39"/>
      <c r="BB1061" s="39"/>
      <c r="BC1061" s="88"/>
      <c r="BI1061" s="42"/>
    </row>
    <row r="1062" spans="1:62" s="24" customFormat="1" ht="19.350000000000001" hidden="1" customHeight="1">
      <c r="A1062" s="32"/>
      <c r="B1062" s="158"/>
      <c r="C1062" s="78" t="s">
        <v>44</v>
      </c>
      <c r="D1062" s="35">
        <f t="shared" si="189"/>
        <v>0.75</v>
      </c>
      <c r="E1062" s="35"/>
      <c r="F1062" s="35">
        <f t="shared" si="181"/>
        <v>0.75</v>
      </c>
      <c r="G1062" s="109">
        <v>0.5</v>
      </c>
      <c r="H1062" s="109"/>
      <c r="I1062" s="109">
        <v>0.1</v>
      </c>
      <c r="J1062" s="109">
        <v>0.1</v>
      </c>
      <c r="K1062" s="109"/>
      <c r="L1062" s="109"/>
      <c r="M1062" s="109"/>
      <c r="N1062" s="109"/>
      <c r="O1062" s="109"/>
      <c r="P1062" s="109">
        <v>0.05</v>
      </c>
      <c r="Q1062" s="109"/>
      <c r="R1062" s="109"/>
      <c r="S1062" s="109"/>
      <c r="T1062" s="109"/>
      <c r="U1062" s="109"/>
      <c r="V1062" s="109"/>
      <c r="W1062" s="109"/>
      <c r="X1062" s="109"/>
      <c r="Y1062" s="109"/>
      <c r="Z1062" s="109"/>
      <c r="AA1062" s="109"/>
      <c r="AB1062" s="109"/>
      <c r="AC1062" s="109"/>
      <c r="AD1062" s="109"/>
      <c r="AE1062" s="109"/>
      <c r="AF1062" s="109"/>
      <c r="AG1062" s="109"/>
      <c r="AH1062" s="109"/>
      <c r="AI1062" s="109"/>
      <c r="AJ1062" s="109"/>
      <c r="AK1062" s="109"/>
      <c r="AL1062" s="109"/>
      <c r="AM1062" s="109"/>
      <c r="AN1062" s="109"/>
      <c r="AO1062" s="109"/>
      <c r="AP1062" s="109"/>
      <c r="AQ1062" s="109"/>
      <c r="AR1062" s="109"/>
      <c r="AS1062" s="109"/>
      <c r="AT1062" s="109"/>
      <c r="AU1062" s="109"/>
      <c r="AV1062" s="109"/>
      <c r="AW1062" s="109"/>
      <c r="AX1062" s="109"/>
      <c r="AY1062" s="34" t="s">
        <v>231</v>
      </c>
      <c r="AZ1062" s="34"/>
      <c r="BA1062" s="39"/>
      <c r="BB1062" s="39"/>
      <c r="BC1062" s="88"/>
      <c r="BI1062" s="42"/>
    </row>
    <row r="1063" spans="1:62" s="24" customFormat="1" ht="19.350000000000001" hidden="1" customHeight="1">
      <c r="A1063" s="32"/>
      <c r="B1063" s="158"/>
      <c r="C1063" s="78" t="s">
        <v>45</v>
      </c>
      <c r="D1063" s="35">
        <f t="shared" si="189"/>
        <v>0.21000000000000002</v>
      </c>
      <c r="E1063" s="35"/>
      <c r="F1063" s="35">
        <f t="shared" si="181"/>
        <v>0.21000000000000002</v>
      </c>
      <c r="G1063" s="109">
        <v>0.1</v>
      </c>
      <c r="H1063" s="109"/>
      <c r="I1063" s="109"/>
      <c r="J1063" s="109">
        <v>0.03</v>
      </c>
      <c r="K1063" s="109"/>
      <c r="L1063" s="109"/>
      <c r="M1063" s="109"/>
      <c r="N1063" s="109"/>
      <c r="O1063" s="109"/>
      <c r="P1063" s="109">
        <v>0.08</v>
      </c>
      <c r="Q1063" s="109"/>
      <c r="R1063" s="109"/>
      <c r="S1063" s="109"/>
      <c r="T1063" s="109"/>
      <c r="U1063" s="109"/>
      <c r="V1063" s="109"/>
      <c r="W1063" s="109"/>
      <c r="X1063" s="109"/>
      <c r="Y1063" s="109"/>
      <c r="Z1063" s="109"/>
      <c r="AA1063" s="109"/>
      <c r="AB1063" s="109"/>
      <c r="AC1063" s="109"/>
      <c r="AD1063" s="109"/>
      <c r="AE1063" s="109"/>
      <c r="AF1063" s="109"/>
      <c r="AG1063" s="109"/>
      <c r="AH1063" s="109"/>
      <c r="AI1063" s="109"/>
      <c r="AJ1063" s="109"/>
      <c r="AK1063" s="109"/>
      <c r="AL1063" s="109"/>
      <c r="AM1063" s="109"/>
      <c r="AN1063" s="109"/>
      <c r="AO1063" s="109"/>
      <c r="AP1063" s="109"/>
      <c r="AQ1063" s="109"/>
      <c r="AR1063" s="109"/>
      <c r="AS1063" s="109"/>
      <c r="AT1063" s="109"/>
      <c r="AU1063" s="109"/>
      <c r="AV1063" s="109"/>
      <c r="AW1063" s="109"/>
      <c r="AX1063" s="109"/>
      <c r="AY1063" s="34" t="s">
        <v>231</v>
      </c>
      <c r="AZ1063" s="34"/>
      <c r="BA1063" s="39"/>
      <c r="BB1063" s="39"/>
      <c r="BC1063" s="88"/>
      <c r="BI1063" s="42"/>
    </row>
    <row r="1064" spans="1:62" s="24" customFormat="1" ht="19.350000000000001" hidden="1" customHeight="1">
      <c r="A1064" s="32"/>
      <c r="B1064" s="158"/>
      <c r="C1064" s="78" t="s">
        <v>138</v>
      </c>
      <c r="D1064" s="35">
        <f t="shared" si="189"/>
        <v>0.43</v>
      </c>
      <c r="E1064" s="35"/>
      <c r="F1064" s="35">
        <f t="shared" si="181"/>
        <v>0.43</v>
      </c>
      <c r="G1064" s="147">
        <f>G1060-G1061-G1062-G1063</f>
        <v>0.26</v>
      </c>
      <c r="H1064" s="147">
        <f t="shared" ref="H1064:AX1064" si="190">H1060-H1061-H1062-H1063</f>
        <v>0</v>
      </c>
      <c r="I1064" s="147">
        <f t="shared" si="190"/>
        <v>9.9999999999999811E-3</v>
      </c>
      <c r="J1064" s="147">
        <f t="shared" si="190"/>
        <v>0</v>
      </c>
      <c r="K1064" s="147">
        <f t="shared" si="190"/>
        <v>0</v>
      </c>
      <c r="L1064" s="147">
        <f t="shared" si="190"/>
        <v>0</v>
      </c>
      <c r="M1064" s="147">
        <f t="shared" si="190"/>
        <v>0</v>
      </c>
      <c r="N1064" s="147">
        <f t="shared" si="190"/>
        <v>0</v>
      </c>
      <c r="O1064" s="147">
        <f t="shared" si="190"/>
        <v>0</v>
      </c>
      <c r="P1064" s="147">
        <f t="shared" si="190"/>
        <v>0.15999999999999998</v>
      </c>
      <c r="Q1064" s="147">
        <f t="shared" si="190"/>
        <v>0</v>
      </c>
      <c r="R1064" s="147">
        <f t="shared" si="190"/>
        <v>0</v>
      </c>
      <c r="S1064" s="147">
        <f t="shared" si="190"/>
        <v>0</v>
      </c>
      <c r="T1064" s="147">
        <f t="shared" si="190"/>
        <v>0</v>
      </c>
      <c r="U1064" s="147">
        <f t="shared" si="190"/>
        <v>0</v>
      </c>
      <c r="V1064" s="147">
        <f t="shared" si="190"/>
        <v>0</v>
      </c>
      <c r="W1064" s="147">
        <f t="shared" si="190"/>
        <v>0</v>
      </c>
      <c r="X1064" s="147">
        <f t="shared" si="190"/>
        <v>0</v>
      </c>
      <c r="Y1064" s="147">
        <f t="shared" si="190"/>
        <v>0</v>
      </c>
      <c r="Z1064" s="147">
        <f t="shared" si="190"/>
        <v>0</v>
      </c>
      <c r="AA1064" s="147">
        <f t="shared" si="190"/>
        <v>0</v>
      </c>
      <c r="AB1064" s="147">
        <f t="shared" si="190"/>
        <v>0</v>
      </c>
      <c r="AC1064" s="147">
        <f t="shared" si="190"/>
        <v>0</v>
      </c>
      <c r="AD1064" s="147">
        <f t="shared" si="190"/>
        <v>0</v>
      </c>
      <c r="AE1064" s="147">
        <f t="shared" si="190"/>
        <v>0</v>
      </c>
      <c r="AF1064" s="147">
        <f t="shared" si="190"/>
        <v>0</v>
      </c>
      <c r="AG1064" s="147">
        <f t="shared" si="190"/>
        <v>0</v>
      </c>
      <c r="AH1064" s="147">
        <f t="shared" si="190"/>
        <v>0</v>
      </c>
      <c r="AI1064" s="147">
        <f t="shared" si="190"/>
        <v>0</v>
      </c>
      <c r="AJ1064" s="147">
        <f t="shared" si="190"/>
        <v>0</v>
      </c>
      <c r="AK1064" s="147">
        <f t="shared" si="190"/>
        <v>0</v>
      </c>
      <c r="AL1064" s="147">
        <f t="shared" si="190"/>
        <v>0</v>
      </c>
      <c r="AM1064" s="147">
        <f t="shared" si="190"/>
        <v>0</v>
      </c>
      <c r="AN1064" s="147">
        <f t="shared" si="190"/>
        <v>0</v>
      </c>
      <c r="AO1064" s="147">
        <f t="shared" si="190"/>
        <v>0</v>
      </c>
      <c r="AP1064" s="147">
        <f t="shared" si="190"/>
        <v>0</v>
      </c>
      <c r="AQ1064" s="147">
        <f t="shared" si="190"/>
        <v>0</v>
      </c>
      <c r="AR1064" s="147">
        <f t="shared" si="190"/>
        <v>0</v>
      </c>
      <c r="AS1064" s="147">
        <f t="shared" si="190"/>
        <v>0</v>
      </c>
      <c r="AT1064" s="147">
        <f t="shared" si="190"/>
        <v>0</v>
      </c>
      <c r="AU1064" s="147">
        <f t="shared" si="190"/>
        <v>0</v>
      </c>
      <c r="AV1064" s="147">
        <f t="shared" si="190"/>
        <v>0</v>
      </c>
      <c r="AW1064" s="147">
        <f t="shared" si="190"/>
        <v>0</v>
      </c>
      <c r="AX1064" s="147">
        <f t="shared" si="190"/>
        <v>0</v>
      </c>
      <c r="AY1064" s="34" t="s">
        <v>231</v>
      </c>
      <c r="AZ1064" s="34"/>
      <c r="BA1064" s="39"/>
      <c r="BB1064" s="39"/>
      <c r="BC1064" s="88"/>
      <c r="BI1064" s="42"/>
    </row>
    <row r="1065" spans="1:62" s="24" customFormat="1" ht="19.350000000000001" customHeight="1">
      <c r="A1065" s="32">
        <f>A1060+1</f>
        <v>720</v>
      </c>
      <c r="B1065" s="158" t="s">
        <v>186</v>
      </c>
      <c r="C1065" s="78" t="s">
        <v>1260</v>
      </c>
      <c r="D1065" s="35">
        <f t="shared" si="189"/>
        <v>0.43</v>
      </c>
      <c r="E1065" s="35"/>
      <c r="F1065" s="35">
        <f t="shared" si="181"/>
        <v>0.43</v>
      </c>
      <c r="G1065" s="109">
        <v>0.43</v>
      </c>
      <c r="H1065" s="109"/>
      <c r="I1065" s="109"/>
      <c r="J1065" s="109"/>
      <c r="K1065" s="109"/>
      <c r="L1065" s="109"/>
      <c r="M1065" s="109"/>
      <c r="N1065" s="109"/>
      <c r="O1065" s="109"/>
      <c r="P1065" s="109"/>
      <c r="Q1065" s="109"/>
      <c r="R1065" s="109"/>
      <c r="S1065" s="109"/>
      <c r="T1065" s="109"/>
      <c r="U1065" s="109"/>
      <c r="V1065" s="109"/>
      <c r="W1065" s="109"/>
      <c r="X1065" s="109"/>
      <c r="Y1065" s="109"/>
      <c r="Z1065" s="109"/>
      <c r="AA1065" s="109"/>
      <c r="AB1065" s="109"/>
      <c r="AC1065" s="109"/>
      <c r="AD1065" s="109"/>
      <c r="AE1065" s="109"/>
      <c r="AF1065" s="109"/>
      <c r="AG1065" s="109"/>
      <c r="AH1065" s="109"/>
      <c r="AI1065" s="109"/>
      <c r="AJ1065" s="109"/>
      <c r="AK1065" s="109"/>
      <c r="AL1065" s="109"/>
      <c r="AM1065" s="109"/>
      <c r="AN1065" s="109"/>
      <c r="AO1065" s="109"/>
      <c r="AP1065" s="109"/>
      <c r="AQ1065" s="109"/>
      <c r="AR1065" s="109"/>
      <c r="AS1065" s="109"/>
      <c r="AT1065" s="109"/>
      <c r="AU1065" s="109"/>
      <c r="AV1065" s="109"/>
      <c r="AW1065" s="109"/>
      <c r="AX1065" s="109"/>
      <c r="AY1065" s="34" t="s">
        <v>231</v>
      </c>
      <c r="AZ1065" s="34" t="s">
        <v>387</v>
      </c>
      <c r="BA1065" s="39" t="s">
        <v>291</v>
      </c>
      <c r="BB1065" s="39"/>
      <c r="BC1065" s="88" t="s">
        <v>1522</v>
      </c>
      <c r="BI1065" s="42">
        <v>1</v>
      </c>
      <c r="BJ1065" s="24" t="s">
        <v>1523</v>
      </c>
    </row>
    <row r="1066" spans="1:62" s="24" customFormat="1" ht="19.350000000000001" hidden="1" customHeight="1">
      <c r="A1066" s="32"/>
      <c r="B1066" s="158"/>
      <c r="C1066" s="78" t="s">
        <v>59</v>
      </c>
      <c r="D1066" s="35">
        <f t="shared" si="189"/>
        <v>0.17</v>
      </c>
      <c r="E1066" s="35"/>
      <c r="F1066" s="35">
        <f t="shared" si="181"/>
        <v>0.17</v>
      </c>
      <c r="G1066" s="109">
        <v>0.17</v>
      </c>
      <c r="H1066" s="109"/>
      <c r="I1066" s="109"/>
      <c r="J1066" s="109"/>
      <c r="K1066" s="109"/>
      <c r="L1066" s="109"/>
      <c r="M1066" s="109"/>
      <c r="N1066" s="109"/>
      <c r="O1066" s="109"/>
      <c r="P1066" s="109"/>
      <c r="Q1066" s="109"/>
      <c r="R1066" s="109"/>
      <c r="S1066" s="109"/>
      <c r="T1066" s="109"/>
      <c r="U1066" s="109"/>
      <c r="V1066" s="109"/>
      <c r="W1066" s="109"/>
      <c r="X1066" s="109"/>
      <c r="Y1066" s="109"/>
      <c r="Z1066" s="109"/>
      <c r="AA1066" s="109"/>
      <c r="AB1066" s="109"/>
      <c r="AC1066" s="109"/>
      <c r="AD1066" s="109"/>
      <c r="AE1066" s="109"/>
      <c r="AF1066" s="109"/>
      <c r="AG1066" s="109"/>
      <c r="AH1066" s="109"/>
      <c r="AI1066" s="109"/>
      <c r="AJ1066" s="109"/>
      <c r="AK1066" s="109"/>
      <c r="AL1066" s="109"/>
      <c r="AM1066" s="109"/>
      <c r="AN1066" s="109"/>
      <c r="AO1066" s="109"/>
      <c r="AP1066" s="109"/>
      <c r="AQ1066" s="109"/>
      <c r="AR1066" s="109"/>
      <c r="AS1066" s="109"/>
      <c r="AT1066" s="109"/>
      <c r="AU1066" s="109"/>
      <c r="AV1066" s="109"/>
      <c r="AW1066" s="109"/>
      <c r="AX1066" s="109"/>
      <c r="AY1066" s="34" t="s">
        <v>231</v>
      </c>
      <c r="AZ1066" s="34"/>
      <c r="BA1066" s="39"/>
      <c r="BB1066" s="39"/>
      <c r="BC1066" s="88"/>
      <c r="BI1066" s="42"/>
    </row>
    <row r="1067" spans="1:62" s="24" customFormat="1" ht="19.350000000000001" hidden="1" customHeight="1">
      <c r="A1067" s="32"/>
      <c r="B1067" s="158"/>
      <c r="C1067" s="78" t="s">
        <v>44</v>
      </c>
      <c r="D1067" s="35">
        <f t="shared" si="189"/>
        <v>0.17</v>
      </c>
      <c r="E1067" s="35"/>
      <c r="F1067" s="35">
        <f t="shared" si="181"/>
        <v>0.17</v>
      </c>
      <c r="G1067" s="109">
        <v>0.17</v>
      </c>
      <c r="H1067" s="109"/>
      <c r="I1067" s="109"/>
      <c r="J1067" s="109"/>
      <c r="K1067" s="109"/>
      <c r="L1067" s="109"/>
      <c r="M1067" s="109"/>
      <c r="N1067" s="109"/>
      <c r="O1067" s="109"/>
      <c r="P1067" s="109"/>
      <c r="Q1067" s="109"/>
      <c r="R1067" s="109"/>
      <c r="S1067" s="109"/>
      <c r="T1067" s="109"/>
      <c r="U1067" s="109"/>
      <c r="V1067" s="109"/>
      <c r="W1067" s="109"/>
      <c r="X1067" s="109"/>
      <c r="Y1067" s="109"/>
      <c r="Z1067" s="109"/>
      <c r="AA1067" s="109"/>
      <c r="AB1067" s="109"/>
      <c r="AC1067" s="109"/>
      <c r="AD1067" s="109"/>
      <c r="AE1067" s="109"/>
      <c r="AF1067" s="109"/>
      <c r="AG1067" s="109"/>
      <c r="AH1067" s="109"/>
      <c r="AI1067" s="109"/>
      <c r="AJ1067" s="109"/>
      <c r="AK1067" s="109"/>
      <c r="AL1067" s="109"/>
      <c r="AM1067" s="109"/>
      <c r="AN1067" s="109"/>
      <c r="AO1067" s="109"/>
      <c r="AP1067" s="109"/>
      <c r="AQ1067" s="109"/>
      <c r="AR1067" s="109"/>
      <c r="AS1067" s="109"/>
      <c r="AT1067" s="109"/>
      <c r="AU1067" s="109"/>
      <c r="AV1067" s="109"/>
      <c r="AW1067" s="109"/>
      <c r="AX1067" s="109"/>
      <c r="AY1067" s="34" t="s">
        <v>231</v>
      </c>
      <c r="AZ1067" s="34"/>
      <c r="BA1067" s="39"/>
      <c r="BB1067" s="39"/>
      <c r="BC1067" s="88"/>
      <c r="BI1067" s="42"/>
    </row>
    <row r="1068" spans="1:62" s="24" customFormat="1" ht="19.350000000000001" hidden="1" customHeight="1">
      <c r="A1068" s="32"/>
      <c r="B1068" s="158"/>
      <c r="C1068" s="78" t="s">
        <v>138</v>
      </c>
      <c r="D1068" s="35">
        <f t="shared" si="189"/>
        <v>0.09</v>
      </c>
      <c r="E1068" s="35"/>
      <c r="F1068" s="35">
        <f t="shared" si="181"/>
        <v>0.09</v>
      </c>
      <c r="G1068" s="147">
        <f>G1065-G1066-G1067</f>
        <v>0.09</v>
      </c>
      <c r="H1068" s="147">
        <f t="shared" ref="H1068:AX1068" si="191">H1065-H1066-H1067</f>
        <v>0</v>
      </c>
      <c r="I1068" s="147">
        <f t="shared" si="191"/>
        <v>0</v>
      </c>
      <c r="J1068" s="147">
        <f t="shared" si="191"/>
        <v>0</v>
      </c>
      <c r="K1068" s="147">
        <f t="shared" si="191"/>
        <v>0</v>
      </c>
      <c r="L1068" s="147">
        <f t="shared" si="191"/>
        <v>0</v>
      </c>
      <c r="M1068" s="147">
        <f t="shared" si="191"/>
        <v>0</v>
      </c>
      <c r="N1068" s="147">
        <f t="shared" si="191"/>
        <v>0</v>
      </c>
      <c r="O1068" s="147">
        <f t="shared" si="191"/>
        <v>0</v>
      </c>
      <c r="P1068" s="147">
        <f t="shared" si="191"/>
        <v>0</v>
      </c>
      <c r="Q1068" s="147">
        <f t="shared" si="191"/>
        <v>0</v>
      </c>
      <c r="R1068" s="147">
        <f t="shared" si="191"/>
        <v>0</v>
      </c>
      <c r="S1068" s="147">
        <f t="shared" si="191"/>
        <v>0</v>
      </c>
      <c r="T1068" s="147">
        <f t="shared" si="191"/>
        <v>0</v>
      </c>
      <c r="U1068" s="147">
        <f t="shared" si="191"/>
        <v>0</v>
      </c>
      <c r="V1068" s="147">
        <f t="shared" si="191"/>
        <v>0</v>
      </c>
      <c r="W1068" s="147">
        <f t="shared" si="191"/>
        <v>0</v>
      </c>
      <c r="X1068" s="147">
        <f t="shared" si="191"/>
        <v>0</v>
      </c>
      <c r="Y1068" s="147">
        <f t="shared" si="191"/>
        <v>0</v>
      </c>
      <c r="Z1068" s="147">
        <f t="shared" si="191"/>
        <v>0</v>
      </c>
      <c r="AA1068" s="147">
        <f t="shared" si="191"/>
        <v>0</v>
      </c>
      <c r="AB1068" s="147">
        <f t="shared" si="191"/>
        <v>0</v>
      </c>
      <c r="AC1068" s="147">
        <f t="shared" si="191"/>
        <v>0</v>
      </c>
      <c r="AD1068" s="147">
        <f t="shared" si="191"/>
        <v>0</v>
      </c>
      <c r="AE1068" s="147">
        <f t="shared" si="191"/>
        <v>0</v>
      </c>
      <c r="AF1068" s="147">
        <f t="shared" si="191"/>
        <v>0</v>
      </c>
      <c r="AG1068" s="147">
        <f t="shared" si="191"/>
        <v>0</v>
      </c>
      <c r="AH1068" s="147">
        <f t="shared" si="191"/>
        <v>0</v>
      </c>
      <c r="AI1068" s="147">
        <f t="shared" si="191"/>
        <v>0</v>
      </c>
      <c r="AJ1068" s="147">
        <f t="shared" si="191"/>
        <v>0</v>
      </c>
      <c r="AK1068" s="147">
        <f t="shared" si="191"/>
        <v>0</v>
      </c>
      <c r="AL1068" s="147">
        <f t="shared" si="191"/>
        <v>0</v>
      </c>
      <c r="AM1068" s="147">
        <f t="shared" si="191"/>
        <v>0</v>
      </c>
      <c r="AN1068" s="147">
        <f t="shared" si="191"/>
        <v>0</v>
      </c>
      <c r="AO1068" s="147">
        <f t="shared" si="191"/>
        <v>0</v>
      </c>
      <c r="AP1068" s="147">
        <f t="shared" si="191"/>
        <v>0</v>
      </c>
      <c r="AQ1068" s="147">
        <f t="shared" si="191"/>
        <v>0</v>
      </c>
      <c r="AR1068" s="147">
        <f t="shared" si="191"/>
        <v>0</v>
      </c>
      <c r="AS1068" s="147">
        <f t="shared" si="191"/>
        <v>0</v>
      </c>
      <c r="AT1068" s="147">
        <f t="shared" si="191"/>
        <v>0</v>
      </c>
      <c r="AU1068" s="147">
        <f t="shared" si="191"/>
        <v>0</v>
      </c>
      <c r="AV1068" s="147">
        <f t="shared" si="191"/>
        <v>0</v>
      </c>
      <c r="AW1068" s="147">
        <f t="shared" si="191"/>
        <v>0</v>
      </c>
      <c r="AX1068" s="147">
        <f t="shared" si="191"/>
        <v>0</v>
      </c>
      <c r="AY1068" s="34" t="s">
        <v>231</v>
      </c>
      <c r="AZ1068" s="34"/>
      <c r="BA1068" s="39"/>
      <c r="BB1068" s="39"/>
      <c r="BC1068" s="88"/>
      <c r="BI1068" s="42"/>
    </row>
    <row r="1069" spans="1:62" s="24" customFormat="1" ht="19.350000000000001" customHeight="1">
      <c r="A1069" s="32">
        <f>A1065+1</f>
        <v>721</v>
      </c>
      <c r="B1069" s="158" t="s">
        <v>186</v>
      </c>
      <c r="C1069" s="78" t="s">
        <v>1260</v>
      </c>
      <c r="D1069" s="35">
        <f t="shared" si="189"/>
        <v>0.28000000000000003</v>
      </c>
      <c r="E1069" s="35"/>
      <c r="F1069" s="35">
        <f t="shared" si="181"/>
        <v>0.28000000000000003</v>
      </c>
      <c r="G1069" s="109">
        <v>0.28000000000000003</v>
      </c>
      <c r="H1069" s="109"/>
      <c r="I1069" s="109"/>
      <c r="J1069" s="109"/>
      <c r="K1069" s="109"/>
      <c r="L1069" s="109"/>
      <c r="M1069" s="109"/>
      <c r="N1069" s="109"/>
      <c r="O1069" s="109"/>
      <c r="P1069" s="109"/>
      <c r="Q1069" s="109"/>
      <c r="R1069" s="109"/>
      <c r="S1069" s="109"/>
      <c r="T1069" s="109"/>
      <c r="U1069" s="109"/>
      <c r="V1069" s="109"/>
      <c r="W1069" s="109"/>
      <c r="X1069" s="109"/>
      <c r="Y1069" s="109"/>
      <c r="Z1069" s="109"/>
      <c r="AA1069" s="109"/>
      <c r="AB1069" s="109"/>
      <c r="AC1069" s="109"/>
      <c r="AD1069" s="109"/>
      <c r="AE1069" s="109"/>
      <c r="AF1069" s="109"/>
      <c r="AG1069" s="109"/>
      <c r="AH1069" s="109"/>
      <c r="AI1069" s="109"/>
      <c r="AJ1069" s="109"/>
      <c r="AK1069" s="109"/>
      <c r="AL1069" s="109"/>
      <c r="AM1069" s="109"/>
      <c r="AN1069" s="109"/>
      <c r="AO1069" s="109"/>
      <c r="AP1069" s="109"/>
      <c r="AQ1069" s="109"/>
      <c r="AR1069" s="109"/>
      <c r="AS1069" s="109"/>
      <c r="AT1069" s="109"/>
      <c r="AU1069" s="109"/>
      <c r="AV1069" s="109"/>
      <c r="AW1069" s="109"/>
      <c r="AX1069" s="109"/>
      <c r="AY1069" s="34" t="s">
        <v>231</v>
      </c>
      <c r="AZ1069" s="34" t="s">
        <v>1524</v>
      </c>
      <c r="BA1069" s="39" t="s">
        <v>291</v>
      </c>
      <c r="BB1069" s="39"/>
      <c r="BC1069" s="88" t="s">
        <v>1525</v>
      </c>
      <c r="BI1069" s="42">
        <v>1</v>
      </c>
      <c r="BJ1069" s="24" t="s">
        <v>1526</v>
      </c>
    </row>
    <row r="1070" spans="1:62" s="24" customFormat="1" ht="19.350000000000001" customHeight="1">
      <c r="A1070" s="32">
        <f>A1069+1</f>
        <v>722</v>
      </c>
      <c r="B1070" s="158" t="s">
        <v>186</v>
      </c>
      <c r="C1070" s="78" t="s">
        <v>59</v>
      </c>
      <c r="D1070" s="35">
        <f t="shared" si="189"/>
        <v>0.3</v>
      </c>
      <c r="E1070" s="35"/>
      <c r="F1070" s="35">
        <f t="shared" si="181"/>
        <v>0.3</v>
      </c>
      <c r="G1070" s="109">
        <v>0.3</v>
      </c>
      <c r="H1070" s="109"/>
      <c r="I1070" s="109"/>
      <c r="J1070" s="109"/>
      <c r="K1070" s="109"/>
      <c r="L1070" s="109"/>
      <c r="M1070" s="109"/>
      <c r="N1070" s="109"/>
      <c r="O1070" s="109"/>
      <c r="P1070" s="109"/>
      <c r="Q1070" s="109"/>
      <c r="R1070" s="109"/>
      <c r="S1070" s="109"/>
      <c r="T1070" s="109"/>
      <c r="U1070" s="109"/>
      <c r="V1070" s="109"/>
      <c r="W1070" s="109"/>
      <c r="X1070" s="109"/>
      <c r="Y1070" s="109"/>
      <c r="Z1070" s="109"/>
      <c r="AA1070" s="109"/>
      <c r="AB1070" s="109"/>
      <c r="AC1070" s="109"/>
      <c r="AD1070" s="109"/>
      <c r="AE1070" s="109"/>
      <c r="AF1070" s="109"/>
      <c r="AG1070" s="109"/>
      <c r="AH1070" s="109"/>
      <c r="AI1070" s="109"/>
      <c r="AJ1070" s="109"/>
      <c r="AK1070" s="109"/>
      <c r="AL1070" s="109"/>
      <c r="AM1070" s="109"/>
      <c r="AN1070" s="109"/>
      <c r="AO1070" s="109"/>
      <c r="AP1070" s="109"/>
      <c r="AQ1070" s="109"/>
      <c r="AR1070" s="109"/>
      <c r="AS1070" s="109"/>
      <c r="AT1070" s="109"/>
      <c r="AU1070" s="109"/>
      <c r="AV1070" s="109"/>
      <c r="AW1070" s="109"/>
      <c r="AX1070" s="109"/>
      <c r="AY1070" s="34" t="s">
        <v>231</v>
      </c>
      <c r="AZ1070" s="34" t="s">
        <v>1480</v>
      </c>
      <c r="BA1070" s="39" t="s">
        <v>291</v>
      </c>
      <c r="BB1070" s="39"/>
      <c r="BC1070" s="88" t="s">
        <v>1527</v>
      </c>
      <c r="BI1070" s="42">
        <v>1</v>
      </c>
    </row>
    <row r="1071" spans="1:62" s="24" customFormat="1" ht="19.350000000000001" customHeight="1">
      <c r="A1071" s="32">
        <f>A1070+1</f>
        <v>723</v>
      </c>
      <c r="B1071" s="158" t="s">
        <v>186</v>
      </c>
      <c r="C1071" s="78" t="s">
        <v>1260</v>
      </c>
      <c r="D1071" s="35">
        <f t="shared" si="189"/>
        <v>0.4</v>
      </c>
      <c r="E1071" s="35"/>
      <c r="F1071" s="35">
        <f t="shared" si="181"/>
        <v>0.4</v>
      </c>
      <c r="G1071" s="109">
        <v>0.4</v>
      </c>
      <c r="H1071" s="109"/>
      <c r="I1071" s="109"/>
      <c r="J1071" s="109"/>
      <c r="K1071" s="109"/>
      <c r="L1071" s="109"/>
      <c r="M1071" s="109"/>
      <c r="N1071" s="109"/>
      <c r="O1071" s="109"/>
      <c r="P1071" s="109"/>
      <c r="Q1071" s="109"/>
      <c r="R1071" s="109"/>
      <c r="S1071" s="109"/>
      <c r="T1071" s="109"/>
      <c r="U1071" s="109"/>
      <c r="V1071" s="109"/>
      <c r="W1071" s="109"/>
      <c r="X1071" s="109"/>
      <c r="Y1071" s="109"/>
      <c r="Z1071" s="109"/>
      <c r="AA1071" s="109"/>
      <c r="AB1071" s="109"/>
      <c r="AC1071" s="109"/>
      <c r="AD1071" s="109"/>
      <c r="AE1071" s="109"/>
      <c r="AF1071" s="109"/>
      <c r="AG1071" s="109"/>
      <c r="AH1071" s="109"/>
      <c r="AI1071" s="109"/>
      <c r="AJ1071" s="109"/>
      <c r="AK1071" s="109"/>
      <c r="AL1071" s="109"/>
      <c r="AM1071" s="109"/>
      <c r="AN1071" s="109"/>
      <c r="AO1071" s="109"/>
      <c r="AP1071" s="109"/>
      <c r="AQ1071" s="109"/>
      <c r="AR1071" s="109"/>
      <c r="AS1071" s="109"/>
      <c r="AT1071" s="109"/>
      <c r="AU1071" s="109"/>
      <c r="AV1071" s="109"/>
      <c r="AW1071" s="109"/>
      <c r="AX1071" s="109"/>
      <c r="AY1071" s="34" t="s">
        <v>231</v>
      </c>
      <c r="AZ1071" s="34" t="s">
        <v>1528</v>
      </c>
      <c r="BA1071" s="39" t="s">
        <v>291</v>
      </c>
      <c r="BB1071" s="39"/>
      <c r="BC1071" s="88" t="s">
        <v>1529</v>
      </c>
      <c r="BI1071" s="42">
        <v>1</v>
      </c>
    </row>
    <row r="1072" spans="1:62" s="24" customFormat="1" ht="19.350000000000001" hidden="1" customHeight="1">
      <c r="A1072" s="32"/>
      <c r="B1072" s="158"/>
      <c r="C1072" s="78" t="s">
        <v>59</v>
      </c>
      <c r="D1072" s="35">
        <f t="shared" si="189"/>
        <v>0.16</v>
      </c>
      <c r="E1072" s="35"/>
      <c r="F1072" s="35">
        <f t="shared" si="181"/>
        <v>0.16</v>
      </c>
      <c r="G1072" s="109">
        <v>0.16</v>
      </c>
      <c r="H1072" s="109"/>
      <c r="I1072" s="109"/>
      <c r="J1072" s="109"/>
      <c r="K1072" s="109"/>
      <c r="L1072" s="109"/>
      <c r="M1072" s="109"/>
      <c r="N1072" s="109"/>
      <c r="O1072" s="109"/>
      <c r="P1072" s="109"/>
      <c r="Q1072" s="109"/>
      <c r="R1072" s="109"/>
      <c r="S1072" s="109"/>
      <c r="T1072" s="109"/>
      <c r="U1072" s="109"/>
      <c r="V1072" s="109"/>
      <c r="W1072" s="109"/>
      <c r="X1072" s="109"/>
      <c r="Y1072" s="109"/>
      <c r="Z1072" s="109"/>
      <c r="AA1072" s="109"/>
      <c r="AB1072" s="109"/>
      <c r="AC1072" s="109"/>
      <c r="AD1072" s="109"/>
      <c r="AE1072" s="109"/>
      <c r="AF1072" s="109"/>
      <c r="AG1072" s="109"/>
      <c r="AH1072" s="109"/>
      <c r="AI1072" s="109"/>
      <c r="AJ1072" s="109"/>
      <c r="AK1072" s="109"/>
      <c r="AL1072" s="109"/>
      <c r="AM1072" s="109"/>
      <c r="AN1072" s="109"/>
      <c r="AO1072" s="109"/>
      <c r="AP1072" s="109"/>
      <c r="AQ1072" s="109"/>
      <c r="AR1072" s="109"/>
      <c r="AS1072" s="109"/>
      <c r="AT1072" s="109"/>
      <c r="AU1072" s="109"/>
      <c r="AV1072" s="109"/>
      <c r="AW1072" s="109"/>
      <c r="AX1072" s="109"/>
      <c r="AY1072" s="34" t="s">
        <v>231</v>
      </c>
      <c r="AZ1072" s="34"/>
      <c r="BA1072" s="39"/>
      <c r="BB1072" s="39"/>
      <c r="BC1072" s="88"/>
      <c r="BI1072" s="42"/>
    </row>
    <row r="1073" spans="1:61" s="24" customFormat="1" ht="19.350000000000001" hidden="1" customHeight="1">
      <c r="A1073" s="32"/>
      <c r="B1073" s="158"/>
      <c r="C1073" s="78" t="s">
        <v>44</v>
      </c>
      <c r="D1073" s="35">
        <f t="shared" si="189"/>
        <v>0.16</v>
      </c>
      <c r="E1073" s="35"/>
      <c r="F1073" s="35">
        <f t="shared" si="181"/>
        <v>0.16</v>
      </c>
      <c r="G1073" s="109">
        <v>0.16</v>
      </c>
      <c r="H1073" s="109"/>
      <c r="I1073" s="109"/>
      <c r="J1073" s="109"/>
      <c r="K1073" s="109"/>
      <c r="L1073" s="109"/>
      <c r="M1073" s="109"/>
      <c r="N1073" s="109"/>
      <c r="O1073" s="109"/>
      <c r="P1073" s="109"/>
      <c r="Q1073" s="109"/>
      <c r="R1073" s="109"/>
      <c r="S1073" s="109"/>
      <c r="T1073" s="109"/>
      <c r="U1073" s="109"/>
      <c r="V1073" s="109"/>
      <c r="W1073" s="109"/>
      <c r="X1073" s="109"/>
      <c r="Y1073" s="109"/>
      <c r="Z1073" s="109"/>
      <c r="AA1073" s="109"/>
      <c r="AB1073" s="109"/>
      <c r="AC1073" s="109"/>
      <c r="AD1073" s="109"/>
      <c r="AE1073" s="109"/>
      <c r="AF1073" s="109"/>
      <c r="AG1073" s="109"/>
      <c r="AH1073" s="109"/>
      <c r="AI1073" s="109"/>
      <c r="AJ1073" s="109"/>
      <c r="AK1073" s="109"/>
      <c r="AL1073" s="109"/>
      <c r="AM1073" s="109"/>
      <c r="AN1073" s="109"/>
      <c r="AO1073" s="109"/>
      <c r="AP1073" s="109"/>
      <c r="AQ1073" s="109"/>
      <c r="AR1073" s="109"/>
      <c r="AS1073" s="109"/>
      <c r="AT1073" s="109"/>
      <c r="AU1073" s="109"/>
      <c r="AV1073" s="109"/>
      <c r="AW1073" s="109"/>
      <c r="AX1073" s="109"/>
      <c r="AY1073" s="34" t="s">
        <v>231</v>
      </c>
      <c r="AZ1073" s="34"/>
      <c r="BA1073" s="39"/>
      <c r="BB1073" s="39"/>
      <c r="BC1073" s="88"/>
      <c r="BI1073" s="42"/>
    </row>
    <row r="1074" spans="1:61" s="24" customFormat="1" ht="19.350000000000001" hidden="1" customHeight="1">
      <c r="A1074" s="32"/>
      <c r="B1074" s="158"/>
      <c r="C1074" s="78" t="s">
        <v>138</v>
      </c>
      <c r="D1074" s="35">
        <f t="shared" si="189"/>
        <v>8.0000000000000016E-2</v>
      </c>
      <c r="E1074" s="35"/>
      <c r="F1074" s="35">
        <f t="shared" si="181"/>
        <v>8.0000000000000016E-2</v>
      </c>
      <c r="G1074" s="147">
        <f>G1071-G1072-G1073</f>
        <v>8.0000000000000016E-2</v>
      </c>
      <c r="H1074" s="147">
        <f t="shared" ref="H1074:AX1074" si="192">H1071-H1072-H1073</f>
        <v>0</v>
      </c>
      <c r="I1074" s="147">
        <f t="shared" si="192"/>
        <v>0</v>
      </c>
      <c r="J1074" s="147">
        <f t="shared" si="192"/>
        <v>0</v>
      </c>
      <c r="K1074" s="147">
        <f t="shared" si="192"/>
        <v>0</v>
      </c>
      <c r="L1074" s="147">
        <f t="shared" si="192"/>
        <v>0</v>
      </c>
      <c r="M1074" s="147">
        <f t="shared" si="192"/>
        <v>0</v>
      </c>
      <c r="N1074" s="147">
        <f t="shared" si="192"/>
        <v>0</v>
      </c>
      <c r="O1074" s="147">
        <f t="shared" si="192"/>
        <v>0</v>
      </c>
      <c r="P1074" s="147">
        <f t="shared" si="192"/>
        <v>0</v>
      </c>
      <c r="Q1074" s="147">
        <f t="shared" si="192"/>
        <v>0</v>
      </c>
      <c r="R1074" s="147">
        <f t="shared" si="192"/>
        <v>0</v>
      </c>
      <c r="S1074" s="147">
        <f t="shared" si="192"/>
        <v>0</v>
      </c>
      <c r="T1074" s="147">
        <f t="shared" si="192"/>
        <v>0</v>
      </c>
      <c r="U1074" s="147">
        <f t="shared" si="192"/>
        <v>0</v>
      </c>
      <c r="V1074" s="147">
        <f t="shared" si="192"/>
        <v>0</v>
      </c>
      <c r="W1074" s="147">
        <f t="shared" si="192"/>
        <v>0</v>
      </c>
      <c r="X1074" s="147">
        <f t="shared" si="192"/>
        <v>0</v>
      </c>
      <c r="Y1074" s="147">
        <f t="shared" si="192"/>
        <v>0</v>
      </c>
      <c r="Z1074" s="147">
        <f t="shared" si="192"/>
        <v>0</v>
      </c>
      <c r="AA1074" s="147">
        <f t="shared" si="192"/>
        <v>0</v>
      </c>
      <c r="AB1074" s="147">
        <f t="shared" si="192"/>
        <v>0</v>
      </c>
      <c r="AC1074" s="147">
        <f t="shared" si="192"/>
        <v>0</v>
      </c>
      <c r="AD1074" s="147">
        <f t="shared" si="192"/>
        <v>0</v>
      </c>
      <c r="AE1074" s="147">
        <f t="shared" si="192"/>
        <v>0</v>
      </c>
      <c r="AF1074" s="147">
        <f t="shared" si="192"/>
        <v>0</v>
      </c>
      <c r="AG1074" s="147">
        <f t="shared" si="192"/>
        <v>0</v>
      </c>
      <c r="AH1074" s="147">
        <f t="shared" si="192"/>
        <v>0</v>
      </c>
      <c r="AI1074" s="147">
        <f t="shared" si="192"/>
        <v>0</v>
      </c>
      <c r="AJ1074" s="147">
        <f t="shared" si="192"/>
        <v>0</v>
      </c>
      <c r="AK1074" s="147">
        <f t="shared" si="192"/>
        <v>0</v>
      </c>
      <c r="AL1074" s="147">
        <f t="shared" si="192"/>
        <v>0</v>
      </c>
      <c r="AM1074" s="147">
        <f t="shared" si="192"/>
        <v>0</v>
      </c>
      <c r="AN1074" s="147">
        <f t="shared" si="192"/>
        <v>0</v>
      </c>
      <c r="AO1074" s="147">
        <f t="shared" si="192"/>
        <v>0</v>
      </c>
      <c r="AP1074" s="147">
        <f t="shared" si="192"/>
        <v>0</v>
      </c>
      <c r="AQ1074" s="147">
        <f t="shared" si="192"/>
        <v>0</v>
      </c>
      <c r="AR1074" s="147">
        <f t="shared" si="192"/>
        <v>0</v>
      </c>
      <c r="AS1074" s="147">
        <f t="shared" si="192"/>
        <v>0</v>
      </c>
      <c r="AT1074" s="147">
        <f t="shared" si="192"/>
        <v>0</v>
      </c>
      <c r="AU1074" s="147">
        <f t="shared" si="192"/>
        <v>0</v>
      </c>
      <c r="AV1074" s="147">
        <f t="shared" si="192"/>
        <v>0</v>
      </c>
      <c r="AW1074" s="147">
        <f t="shared" si="192"/>
        <v>0</v>
      </c>
      <c r="AX1074" s="147">
        <f t="shared" si="192"/>
        <v>0</v>
      </c>
      <c r="AY1074" s="34" t="s">
        <v>231</v>
      </c>
      <c r="AZ1074" s="34"/>
      <c r="BA1074" s="39"/>
      <c r="BB1074" s="39"/>
      <c r="BC1074" s="88"/>
      <c r="BI1074" s="42"/>
    </row>
    <row r="1075" spans="1:61" s="24" customFormat="1" ht="31.5">
      <c r="A1075" s="32">
        <f>A1071+1</f>
        <v>724</v>
      </c>
      <c r="B1075" s="158" t="s">
        <v>186</v>
      </c>
      <c r="C1075" s="78" t="s">
        <v>59</v>
      </c>
      <c r="D1075" s="35">
        <f t="shared" si="189"/>
        <v>0.32</v>
      </c>
      <c r="E1075" s="35"/>
      <c r="F1075" s="35">
        <f t="shared" si="181"/>
        <v>0.32</v>
      </c>
      <c r="G1075" s="109">
        <v>0.32</v>
      </c>
      <c r="H1075" s="109"/>
      <c r="I1075" s="109"/>
      <c r="J1075" s="109"/>
      <c r="K1075" s="109"/>
      <c r="L1075" s="109"/>
      <c r="M1075" s="109"/>
      <c r="N1075" s="109"/>
      <c r="O1075" s="109"/>
      <c r="P1075" s="109"/>
      <c r="Q1075" s="109"/>
      <c r="R1075" s="109"/>
      <c r="S1075" s="109"/>
      <c r="T1075" s="109"/>
      <c r="U1075" s="109"/>
      <c r="V1075" s="109"/>
      <c r="W1075" s="109"/>
      <c r="X1075" s="109"/>
      <c r="Y1075" s="109"/>
      <c r="Z1075" s="109"/>
      <c r="AA1075" s="109"/>
      <c r="AB1075" s="109"/>
      <c r="AC1075" s="109"/>
      <c r="AD1075" s="109"/>
      <c r="AE1075" s="109"/>
      <c r="AF1075" s="109"/>
      <c r="AG1075" s="109"/>
      <c r="AH1075" s="109"/>
      <c r="AI1075" s="109"/>
      <c r="AJ1075" s="109"/>
      <c r="AK1075" s="109"/>
      <c r="AL1075" s="109"/>
      <c r="AM1075" s="109"/>
      <c r="AN1075" s="109"/>
      <c r="AO1075" s="109"/>
      <c r="AP1075" s="109"/>
      <c r="AQ1075" s="109"/>
      <c r="AR1075" s="109"/>
      <c r="AS1075" s="109"/>
      <c r="AT1075" s="109"/>
      <c r="AU1075" s="109"/>
      <c r="AV1075" s="109"/>
      <c r="AW1075" s="109"/>
      <c r="AX1075" s="109"/>
      <c r="AY1075" s="34" t="s">
        <v>231</v>
      </c>
      <c r="AZ1075" s="34" t="s">
        <v>1530</v>
      </c>
      <c r="BA1075" s="39" t="s">
        <v>291</v>
      </c>
      <c r="BB1075" s="39"/>
      <c r="BC1075" s="88" t="s">
        <v>1531</v>
      </c>
      <c r="BI1075" s="42">
        <v>1</v>
      </c>
    </row>
    <row r="1076" spans="1:61" s="24" customFormat="1" ht="63">
      <c r="A1076" s="32">
        <f>A1075+1</f>
        <v>725</v>
      </c>
      <c r="B1076" s="56" t="s">
        <v>1532</v>
      </c>
      <c r="C1076" s="78" t="s">
        <v>1260</v>
      </c>
      <c r="D1076" s="35">
        <f t="shared" si="189"/>
        <v>0.55000000000000004</v>
      </c>
      <c r="E1076" s="35"/>
      <c r="F1076" s="35">
        <f t="shared" si="181"/>
        <v>0.55000000000000004</v>
      </c>
      <c r="G1076" s="109"/>
      <c r="H1076" s="109"/>
      <c r="I1076" s="109">
        <v>0.35</v>
      </c>
      <c r="J1076" s="109">
        <v>0.2</v>
      </c>
      <c r="K1076" s="109"/>
      <c r="L1076" s="109"/>
      <c r="M1076" s="109"/>
      <c r="N1076" s="109"/>
      <c r="O1076" s="109"/>
      <c r="P1076" s="109"/>
      <c r="Q1076" s="109"/>
      <c r="R1076" s="109"/>
      <c r="S1076" s="109"/>
      <c r="T1076" s="109"/>
      <c r="U1076" s="109"/>
      <c r="V1076" s="109"/>
      <c r="W1076" s="109"/>
      <c r="X1076" s="109"/>
      <c r="Y1076" s="109"/>
      <c r="Z1076" s="109"/>
      <c r="AA1076" s="109"/>
      <c r="AB1076" s="109"/>
      <c r="AC1076" s="109"/>
      <c r="AD1076" s="109"/>
      <c r="AE1076" s="109"/>
      <c r="AF1076" s="109"/>
      <c r="AG1076" s="109"/>
      <c r="AH1076" s="109"/>
      <c r="AI1076" s="109"/>
      <c r="AJ1076" s="109"/>
      <c r="AK1076" s="109"/>
      <c r="AL1076" s="109"/>
      <c r="AM1076" s="109"/>
      <c r="AN1076" s="109"/>
      <c r="AO1076" s="109"/>
      <c r="AP1076" s="109"/>
      <c r="AQ1076" s="109"/>
      <c r="AR1076" s="109"/>
      <c r="AS1076" s="109"/>
      <c r="AT1076" s="109"/>
      <c r="AU1076" s="109"/>
      <c r="AV1076" s="109"/>
      <c r="AW1076" s="109"/>
      <c r="AX1076" s="109"/>
      <c r="AY1076" s="34" t="s">
        <v>231</v>
      </c>
      <c r="AZ1076" s="34" t="s">
        <v>1533</v>
      </c>
      <c r="BA1076" s="39" t="s">
        <v>291</v>
      </c>
      <c r="BB1076" s="40"/>
      <c r="BI1076" s="42">
        <v>1</v>
      </c>
    </row>
    <row r="1077" spans="1:61" s="24" customFormat="1" ht="25.35" hidden="1" customHeight="1">
      <c r="A1077" s="32"/>
      <c r="B1077" s="56"/>
      <c r="C1077" s="78" t="s">
        <v>59</v>
      </c>
      <c r="D1077" s="35">
        <f t="shared" si="189"/>
        <v>0.27</v>
      </c>
      <c r="E1077" s="35"/>
      <c r="F1077" s="35">
        <f t="shared" si="181"/>
        <v>0.27</v>
      </c>
      <c r="G1077" s="109"/>
      <c r="H1077" s="109"/>
      <c r="I1077" s="109">
        <v>0.17</v>
      </c>
      <c r="J1077" s="109">
        <v>0.1</v>
      </c>
      <c r="K1077" s="109"/>
      <c r="L1077" s="109"/>
      <c r="M1077" s="109"/>
      <c r="N1077" s="109"/>
      <c r="O1077" s="109"/>
      <c r="P1077" s="109"/>
      <c r="Q1077" s="109"/>
      <c r="R1077" s="109"/>
      <c r="S1077" s="109"/>
      <c r="T1077" s="109"/>
      <c r="U1077" s="109"/>
      <c r="V1077" s="109"/>
      <c r="W1077" s="109"/>
      <c r="X1077" s="109"/>
      <c r="Y1077" s="109"/>
      <c r="Z1077" s="109"/>
      <c r="AA1077" s="109"/>
      <c r="AB1077" s="109"/>
      <c r="AC1077" s="109"/>
      <c r="AD1077" s="109"/>
      <c r="AE1077" s="109"/>
      <c r="AF1077" s="109"/>
      <c r="AG1077" s="109"/>
      <c r="AH1077" s="109"/>
      <c r="AI1077" s="109"/>
      <c r="AJ1077" s="109"/>
      <c r="AK1077" s="109"/>
      <c r="AL1077" s="109"/>
      <c r="AM1077" s="109"/>
      <c r="AN1077" s="109"/>
      <c r="AO1077" s="109"/>
      <c r="AP1077" s="109"/>
      <c r="AQ1077" s="109"/>
      <c r="AR1077" s="109"/>
      <c r="AS1077" s="109"/>
      <c r="AT1077" s="109"/>
      <c r="AU1077" s="109"/>
      <c r="AV1077" s="109"/>
      <c r="AW1077" s="109"/>
      <c r="AX1077" s="109"/>
      <c r="AY1077" s="34" t="s">
        <v>231</v>
      </c>
      <c r="AZ1077" s="34"/>
      <c r="BA1077" s="39"/>
      <c r="BB1077" s="40"/>
      <c r="BI1077" s="42"/>
    </row>
    <row r="1078" spans="1:61" s="24" customFormat="1" ht="25.35" hidden="1" customHeight="1">
      <c r="A1078" s="32"/>
      <c r="B1078" s="56"/>
      <c r="C1078" s="78" t="s">
        <v>44</v>
      </c>
      <c r="D1078" s="35">
        <f t="shared" si="189"/>
        <v>0.22999999999999998</v>
      </c>
      <c r="E1078" s="35"/>
      <c r="F1078" s="35">
        <f t="shared" si="181"/>
        <v>0.22999999999999998</v>
      </c>
      <c r="G1078" s="109"/>
      <c r="H1078" s="109"/>
      <c r="I1078" s="109">
        <v>0.18</v>
      </c>
      <c r="J1078" s="109">
        <v>0.05</v>
      </c>
      <c r="K1078" s="109"/>
      <c r="L1078" s="109"/>
      <c r="M1078" s="109"/>
      <c r="N1078" s="109"/>
      <c r="O1078" s="109"/>
      <c r="P1078" s="109"/>
      <c r="Q1078" s="109"/>
      <c r="R1078" s="109"/>
      <c r="S1078" s="109"/>
      <c r="T1078" s="109"/>
      <c r="U1078" s="109"/>
      <c r="V1078" s="109"/>
      <c r="W1078" s="109"/>
      <c r="X1078" s="109"/>
      <c r="Y1078" s="109"/>
      <c r="Z1078" s="109"/>
      <c r="AA1078" s="109"/>
      <c r="AB1078" s="109"/>
      <c r="AC1078" s="109"/>
      <c r="AD1078" s="109"/>
      <c r="AE1078" s="109"/>
      <c r="AF1078" s="109"/>
      <c r="AG1078" s="109"/>
      <c r="AH1078" s="109"/>
      <c r="AI1078" s="109"/>
      <c r="AJ1078" s="109"/>
      <c r="AK1078" s="109"/>
      <c r="AL1078" s="109"/>
      <c r="AM1078" s="109"/>
      <c r="AN1078" s="109"/>
      <c r="AO1078" s="109"/>
      <c r="AP1078" s="109"/>
      <c r="AQ1078" s="109"/>
      <c r="AR1078" s="109"/>
      <c r="AS1078" s="109"/>
      <c r="AT1078" s="109"/>
      <c r="AU1078" s="109"/>
      <c r="AV1078" s="109"/>
      <c r="AW1078" s="109"/>
      <c r="AX1078" s="109"/>
      <c r="AY1078" s="34" t="s">
        <v>231</v>
      </c>
      <c r="AZ1078" s="34"/>
      <c r="BA1078" s="39"/>
      <c r="BB1078" s="40"/>
      <c r="BI1078" s="42"/>
    </row>
    <row r="1079" spans="1:61" s="24" customFormat="1" ht="25.35" hidden="1" customHeight="1">
      <c r="A1079" s="32"/>
      <c r="B1079" s="56"/>
      <c r="C1079" s="78" t="s">
        <v>138</v>
      </c>
      <c r="D1079" s="35">
        <f t="shared" si="189"/>
        <v>0.05</v>
      </c>
      <c r="E1079" s="35"/>
      <c r="F1079" s="35">
        <f t="shared" si="181"/>
        <v>0.05</v>
      </c>
      <c r="G1079" s="147">
        <f>G1076-G1077-G1078</f>
        <v>0</v>
      </c>
      <c r="H1079" s="147">
        <f t="shared" ref="H1079:AX1079" si="193">H1076-H1077-H1078</f>
        <v>0</v>
      </c>
      <c r="I1079" s="147">
        <f t="shared" si="193"/>
        <v>0</v>
      </c>
      <c r="J1079" s="147">
        <f t="shared" si="193"/>
        <v>0.05</v>
      </c>
      <c r="K1079" s="147">
        <f t="shared" si="193"/>
        <v>0</v>
      </c>
      <c r="L1079" s="147">
        <f t="shared" si="193"/>
        <v>0</v>
      </c>
      <c r="M1079" s="147">
        <f t="shared" si="193"/>
        <v>0</v>
      </c>
      <c r="N1079" s="147">
        <f t="shared" si="193"/>
        <v>0</v>
      </c>
      <c r="O1079" s="147">
        <f t="shared" si="193"/>
        <v>0</v>
      </c>
      <c r="P1079" s="147">
        <f t="shared" si="193"/>
        <v>0</v>
      </c>
      <c r="Q1079" s="147">
        <f t="shared" si="193"/>
        <v>0</v>
      </c>
      <c r="R1079" s="147">
        <f t="shared" si="193"/>
        <v>0</v>
      </c>
      <c r="S1079" s="147">
        <f t="shared" si="193"/>
        <v>0</v>
      </c>
      <c r="T1079" s="147">
        <f t="shared" si="193"/>
        <v>0</v>
      </c>
      <c r="U1079" s="147">
        <f t="shared" si="193"/>
        <v>0</v>
      </c>
      <c r="V1079" s="147">
        <f t="shared" si="193"/>
        <v>0</v>
      </c>
      <c r="W1079" s="147">
        <f t="shared" si="193"/>
        <v>0</v>
      </c>
      <c r="X1079" s="147">
        <f t="shared" si="193"/>
        <v>0</v>
      </c>
      <c r="Y1079" s="147">
        <f t="shared" si="193"/>
        <v>0</v>
      </c>
      <c r="Z1079" s="147">
        <f t="shared" si="193"/>
        <v>0</v>
      </c>
      <c r="AA1079" s="147">
        <f t="shared" si="193"/>
        <v>0</v>
      </c>
      <c r="AB1079" s="147">
        <f t="shared" si="193"/>
        <v>0</v>
      </c>
      <c r="AC1079" s="147">
        <f t="shared" si="193"/>
        <v>0</v>
      </c>
      <c r="AD1079" s="147">
        <f t="shared" si="193"/>
        <v>0</v>
      </c>
      <c r="AE1079" s="147">
        <f t="shared" si="193"/>
        <v>0</v>
      </c>
      <c r="AF1079" s="147">
        <f t="shared" si="193"/>
        <v>0</v>
      </c>
      <c r="AG1079" s="147">
        <f t="shared" si="193"/>
        <v>0</v>
      </c>
      <c r="AH1079" s="147">
        <f t="shared" si="193"/>
        <v>0</v>
      </c>
      <c r="AI1079" s="147">
        <f t="shared" si="193"/>
        <v>0</v>
      </c>
      <c r="AJ1079" s="147">
        <f t="shared" si="193"/>
        <v>0</v>
      </c>
      <c r="AK1079" s="147">
        <f t="shared" si="193"/>
        <v>0</v>
      </c>
      <c r="AL1079" s="147">
        <f t="shared" si="193"/>
        <v>0</v>
      </c>
      <c r="AM1079" s="147">
        <f t="shared" si="193"/>
        <v>0</v>
      </c>
      <c r="AN1079" s="147">
        <f t="shared" si="193"/>
        <v>0</v>
      </c>
      <c r="AO1079" s="147">
        <f t="shared" si="193"/>
        <v>0</v>
      </c>
      <c r="AP1079" s="147">
        <f t="shared" si="193"/>
        <v>0</v>
      </c>
      <c r="AQ1079" s="147">
        <f t="shared" si="193"/>
        <v>0</v>
      </c>
      <c r="AR1079" s="147">
        <f t="shared" si="193"/>
        <v>0</v>
      </c>
      <c r="AS1079" s="147">
        <f t="shared" si="193"/>
        <v>0</v>
      </c>
      <c r="AT1079" s="147">
        <f t="shared" si="193"/>
        <v>0</v>
      </c>
      <c r="AU1079" s="147">
        <f t="shared" si="193"/>
        <v>0</v>
      </c>
      <c r="AV1079" s="147">
        <f t="shared" si="193"/>
        <v>0</v>
      </c>
      <c r="AW1079" s="147">
        <f t="shared" si="193"/>
        <v>0</v>
      </c>
      <c r="AX1079" s="147">
        <f t="shared" si="193"/>
        <v>0</v>
      </c>
      <c r="AY1079" s="34" t="s">
        <v>231</v>
      </c>
      <c r="AZ1079" s="34"/>
      <c r="BA1079" s="39"/>
      <c r="BB1079" s="40"/>
      <c r="BI1079" s="42"/>
    </row>
    <row r="1080" spans="1:61" s="24" customFormat="1" ht="63" customHeight="1">
      <c r="A1080" s="32">
        <f>A1076+1</f>
        <v>726</v>
      </c>
      <c r="B1080" s="56" t="s">
        <v>1534</v>
      </c>
      <c r="C1080" s="78" t="s">
        <v>59</v>
      </c>
      <c r="D1080" s="35">
        <f t="shared" si="189"/>
        <v>7.0000000000000007E-2</v>
      </c>
      <c r="E1080" s="35"/>
      <c r="F1080" s="35">
        <f t="shared" si="181"/>
        <v>7.0000000000000007E-2</v>
      </c>
      <c r="G1080" s="109"/>
      <c r="H1080" s="109"/>
      <c r="I1080" s="109"/>
      <c r="J1080" s="109">
        <v>7.0000000000000007E-2</v>
      </c>
      <c r="K1080" s="109"/>
      <c r="L1080" s="109"/>
      <c r="M1080" s="109"/>
      <c r="N1080" s="109"/>
      <c r="O1080" s="109"/>
      <c r="P1080" s="109"/>
      <c r="Q1080" s="109"/>
      <c r="R1080" s="109"/>
      <c r="S1080" s="109"/>
      <c r="T1080" s="109"/>
      <c r="U1080" s="109"/>
      <c r="V1080" s="109"/>
      <c r="W1080" s="109"/>
      <c r="X1080" s="109"/>
      <c r="Y1080" s="109"/>
      <c r="Z1080" s="109"/>
      <c r="AA1080" s="109"/>
      <c r="AB1080" s="109"/>
      <c r="AC1080" s="109"/>
      <c r="AD1080" s="109"/>
      <c r="AE1080" s="109"/>
      <c r="AF1080" s="109"/>
      <c r="AG1080" s="109"/>
      <c r="AH1080" s="109"/>
      <c r="AI1080" s="109"/>
      <c r="AJ1080" s="109"/>
      <c r="AK1080" s="109"/>
      <c r="AL1080" s="109"/>
      <c r="AM1080" s="109"/>
      <c r="AN1080" s="109"/>
      <c r="AO1080" s="109"/>
      <c r="AP1080" s="109"/>
      <c r="AQ1080" s="109"/>
      <c r="AR1080" s="109"/>
      <c r="AS1080" s="109"/>
      <c r="AT1080" s="109"/>
      <c r="AU1080" s="109"/>
      <c r="AV1080" s="109"/>
      <c r="AW1080" s="109"/>
      <c r="AX1080" s="109"/>
      <c r="AY1080" s="34" t="s">
        <v>231</v>
      </c>
      <c r="AZ1080" s="34" t="s">
        <v>387</v>
      </c>
      <c r="BA1080" s="39" t="s">
        <v>291</v>
      </c>
      <c r="BB1080" s="40"/>
      <c r="BI1080" s="42">
        <v>1</v>
      </c>
    </row>
    <row r="1081" spans="1:61" s="24" customFormat="1" ht="25.35" customHeight="1">
      <c r="A1081" s="32">
        <f>A1080+1</f>
        <v>727</v>
      </c>
      <c r="B1081" s="56" t="s">
        <v>1337</v>
      </c>
      <c r="C1081" s="78" t="s">
        <v>59</v>
      </c>
      <c r="D1081" s="35">
        <f>F1081+E1081</f>
        <v>0.03</v>
      </c>
      <c r="E1081" s="108"/>
      <c r="F1081" s="35">
        <f>SUM(G1081:AX1081)</f>
        <v>0.03</v>
      </c>
      <c r="G1081" s="109"/>
      <c r="H1081" s="109"/>
      <c r="I1081" s="109"/>
      <c r="J1081" s="109"/>
      <c r="K1081" s="109"/>
      <c r="L1081" s="109">
        <v>0.03</v>
      </c>
      <c r="M1081" s="109"/>
      <c r="N1081" s="109"/>
      <c r="O1081" s="109"/>
      <c r="P1081" s="109"/>
      <c r="Q1081" s="109"/>
      <c r="R1081" s="109"/>
      <c r="S1081" s="109"/>
      <c r="T1081" s="109"/>
      <c r="U1081" s="109"/>
      <c r="V1081" s="109"/>
      <c r="W1081" s="109"/>
      <c r="X1081" s="109"/>
      <c r="Y1081" s="109"/>
      <c r="Z1081" s="109"/>
      <c r="AA1081" s="109"/>
      <c r="AB1081" s="109"/>
      <c r="AC1081" s="109"/>
      <c r="AD1081" s="109"/>
      <c r="AE1081" s="109"/>
      <c r="AF1081" s="109"/>
      <c r="AG1081" s="109"/>
      <c r="AH1081" s="109"/>
      <c r="AI1081" s="109"/>
      <c r="AJ1081" s="109"/>
      <c r="AK1081" s="109"/>
      <c r="AL1081" s="109"/>
      <c r="AM1081" s="109"/>
      <c r="AN1081" s="109"/>
      <c r="AO1081" s="109"/>
      <c r="AP1081" s="109"/>
      <c r="AQ1081" s="109"/>
      <c r="AR1081" s="109"/>
      <c r="AS1081" s="109"/>
      <c r="AT1081" s="109"/>
      <c r="AU1081" s="109"/>
      <c r="AV1081" s="109"/>
      <c r="AW1081" s="109"/>
      <c r="AX1081" s="109"/>
      <c r="AY1081" s="34" t="s">
        <v>231</v>
      </c>
      <c r="AZ1081" s="34" t="s">
        <v>305</v>
      </c>
      <c r="BA1081" s="39" t="s">
        <v>298</v>
      </c>
      <c r="BB1081" s="40"/>
      <c r="BG1081" s="24" t="s">
        <v>311</v>
      </c>
      <c r="BI1081" s="42"/>
    </row>
    <row r="1082" spans="1:61" s="24" customFormat="1" ht="20.85" customHeight="1">
      <c r="A1082" s="32">
        <f>A1081+1</f>
        <v>728</v>
      </c>
      <c r="B1082" s="60" t="s">
        <v>1299</v>
      </c>
      <c r="C1082" s="78" t="s">
        <v>59</v>
      </c>
      <c r="D1082" s="35">
        <f t="shared" si="189"/>
        <v>1.36</v>
      </c>
      <c r="E1082" s="108"/>
      <c r="F1082" s="35">
        <f t="shared" si="181"/>
        <v>1.36</v>
      </c>
      <c r="G1082" s="109"/>
      <c r="H1082" s="109"/>
      <c r="I1082" s="109"/>
      <c r="J1082" s="109">
        <v>1.36</v>
      </c>
      <c r="K1082" s="109"/>
      <c r="L1082" s="109"/>
      <c r="M1082" s="109"/>
      <c r="N1082" s="109"/>
      <c r="O1082" s="109"/>
      <c r="P1082" s="109"/>
      <c r="Q1082" s="109"/>
      <c r="R1082" s="109"/>
      <c r="S1082" s="109"/>
      <c r="T1082" s="109"/>
      <c r="U1082" s="109"/>
      <c r="V1082" s="109"/>
      <c r="W1082" s="109"/>
      <c r="X1082" s="109"/>
      <c r="Y1082" s="109"/>
      <c r="Z1082" s="109"/>
      <c r="AA1082" s="109"/>
      <c r="AB1082" s="109"/>
      <c r="AC1082" s="109"/>
      <c r="AD1082" s="109"/>
      <c r="AE1082" s="109"/>
      <c r="AF1082" s="109"/>
      <c r="AG1082" s="109"/>
      <c r="AH1082" s="109"/>
      <c r="AI1082" s="109"/>
      <c r="AJ1082" s="109"/>
      <c r="AK1082" s="109"/>
      <c r="AL1082" s="109"/>
      <c r="AM1082" s="109"/>
      <c r="AN1082" s="109"/>
      <c r="AO1082" s="109"/>
      <c r="AP1082" s="109"/>
      <c r="AQ1082" s="109"/>
      <c r="AR1082" s="109"/>
      <c r="AS1082" s="109"/>
      <c r="AT1082" s="109"/>
      <c r="AU1082" s="109"/>
      <c r="AV1082" s="109"/>
      <c r="AW1082" s="109"/>
      <c r="AX1082" s="109"/>
      <c r="AY1082" s="34" t="s">
        <v>231</v>
      </c>
      <c r="AZ1082" s="34" t="s">
        <v>615</v>
      </c>
      <c r="BA1082" s="39" t="s">
        <v>291</v>
      </c>
      <c r="BB1082" s="40"/>
      <c r="BI1082" s="42">
        <v>1</v>
      </c>
    </row>
    <row r="1083" spans="1:61" s="24" customFormat="1" ht="20.85" customHeight="1">
      <c r="A1083" s="32" t="s">
        <v>1535</v>
      </c>
      <c r="B1083" s="158" t="s">
        <v>186</v>
      </c>
      <c r="C1083" s="78" t="s">
        <v>1260</v>
      </c>
      <c r="D1083" s="35">
        <f>E1083+F1083</f>
        <v>16.38</v>
      </c>
      <c r="E1083" s="89">
        <f>E1084+E1089+E1094+E1098+E1102+E1103+E1107+E1108+E1109+E1115+E1116+E1120</f>
        <v>0</v>
      </c>
      <c r="F1083" s="141">
        <f>F1084+F1089+F1094+F1098+F1102+F1103+F1107+F1108+F1109+F1115+F1116+F1120</f>
        <v>16.38</v>
      </c>
      <c r="G1083" s="141">
        <f t="shared" ref="G1083:AX1083" si="194">G1084+G1089+G1094+G1098+G1102+G1103+G1107+G1108+G1109+G1115+G1116+G1120</f>
        <v>8.4499999999999993</v>
      </c>
      <c r="H1083" s="141">
        <f t="shared" si="194"/>
        <v>0.97</v>
      </c>
      <c r="I1083" s="141">
        <f t="shared" si="194"/>
        <v>0.63</v>
      </c>
      <c r="J1083" s="141">
        <f t="shared" si="194"/>
        <v>0.73</v>
      </c>
      <c r="K1083" s="141">
        <f t="shared" si="194"/>
        <v>0</v>
      </c>
      <c r="L1083" s="141">
        <f t="shared" si="194"/>
        <v>0</v>
      </c>
      <c r="M1083" s="141">
        <f t="shared" si="194"/>
        <v>3.91</v>
      </c>
      <c r="N1083" s="141">
        <f t="shared" si="194"/>
        <v>0</v>
      </c>
      <c r="O1083" s="141">
        <f t="shared" si="194"/>
        <v>0</v>
      </c>
      <c r="P1083" s="141">
        <f t="shared" si="194"/>
        <v>0</v>
      </c>
      <c r="Q1083" s="141">
        <f t="shared" si="194"/>
        <v>0.13</v>
      </c>
      <c r="R1083" s="141">
        <f t="shared" si="194"/>
        <v>0.95</v>
      </c>
      <c r="S1083" s="141">
        <f t="shared" si="194"/>
        <v>0</v>
      </c>
      <c r="T1083" s="141">
        <f t="shared" si="194"/>
        <v>0</v>
      </c>
      <c r="U1083" s="141">
        <f t="shared" si="194"/>
        <v>0</v>
      </c>
      <c r="V1083" s="141">
        <f t="shared" si="194"/>
        <v>0</v>
      </c>
      <c r="W1083" s="141">
        <f t="shared" si="194"/>
        <v>0</v>
      </c>
      <c r="X1083" s="141">
        <f t="shared" si="194"/>
        <v>0</v>
      </c>
      <c r="Y1083" s="141">
        <f t="shared" si="194"/>
        <v>0</v>
      </c>
      <c r="Z1083" s="141">
        <f t="shared" si="194"/>
        <v>0.27</v>
      </c>
      <c r="AA1083" s="141">
        <f t="shared" si="194"/>
        <v>0.18</v>
      </c>
      <c r="AB1083" s="141">
        <f t="shared" si="194"/>
        <v>0</v>
      </c>
      <c r="AC1083" s="141">
        <f t="shared" si="194"/>
        <v>7.0000000000000007E-2</v>
      </c>
      <c r="AD1083" s="141">
        <f t="shared" si="194"/>
        <v>0</v>
      </c>
      <c r="AE1083" s="141">
        <f t="shared" si="194"/>
        <v>0</v>
      </c>
      <c r="AF1083" s="141">
        <f t="shared" si="194"/>
        <v>0</v>
      </c>
      <c r="AG1083" s="141">
        <f t="shared" si="194"/>
        <v>0</v>
      </c>
      <c r="AH1083" s="141">
        <f t="shared" si="194"/>
        <v>0</v>
      </c>
      <c r="AI1083" s="141">
        <f t="shared" si="194"/>
        <v>0</v>
      </c>
      <c r="AJ1083" s="141">
        <f t="shared" si="194"/>
        <v>0</v>
      </c>
      <c r="AK1083" s="141">
        <f t="shared" si="194"/>
        <v>0</v>
      </c>
      <c r="AL1083" s="141">
        <f t="shared" si="194"/>
        <v>0</v>
      </c>
      <c r="AM1083" s="141">
        <f t="shared" si="194"/>
        <v>0</v>
      </c>
      <c r="AN1083" s="141">
        <f t="shared" si="194"/>
        <v>0.06</v>
      </c>
      <c r="AO1083" s="141">
        <f t="shared" si="194"/>
        <v>0</v>
      </c>
      <c r="AP1083" s="141">
        <f t="shared" si="194"/>
        <v>0.03</v>
      </c>
      <c r="AQ1083" s="141">
        <f t="shared" si="194"/>
        <v>0</v>
      </c>
      <c r="AR1083" s="141">
        <f t="shared" si="194"/>
        <v>0</v>
      </c>
      <c r="AS1083" s="141">
        <f t="shared" si="194"/>
        <v>0</v>
      </c>
      <c r="AT1083" s="141">
        <f t="shared" si="194"/>
        <v>0</v>
      </c>
      <c r="AU1083" s="141">
        <f t="shared" si="194"/>
        <v>0</v>
      </c>
      <c r="AV1083" s="141">
        <f t="shared" si="194"/>
        <v>0</v>
      </c>
      <c r="AW1083" s="141">
        <f t="shared" si="194"/>
        <v>0</v>
      </c>
      <c r="AX1083" s="141">
        <f t="shared" si="194"/>
        <v>0</v>
      </c>
      <c r="AY1083" s="34" t="s">
        <v>232</v>
      </c>
      <c r="AZ1083" s="34"/>
      <c r="BA1083" s="39"/>
      <c r="BB1083" s="40"/>
      <c r="BI1083" s="42"/>
    </row>
    <row r="1084" spans="1:61" s="24" customFormat="1" ht="20.85" customHeight="1">
      <c r="A1084" s="32">
        <f>A1082+1</f>
        <v>729</v>
      </c>
      <c r="B1084" s="158" t="s">
        <v>186</v>
      </c>
      <c r="C1084" s="78" t="s">
        <v>1260</v>
      </c>
      <c r="D1084" s="35">
        <f t="shared" si="189"/>
        <v>4</v>
      </c>
      <c r="E1084" s="35"/>
      <c r="F1084" s="35">
        <f t="shared" si="181"/>
        <v>4</v>
      </c>
      <c r="G1084" s="109"/>
      <c r="H1084" s="109"/>
      <c r="I1084" s="109">
        <v>0.09</v>
      </c>
      <c r="J1084" s="109"/>
      <c r="K1084" s="109"/>
      <c r="L1084" s="109"/>
      <c r="M1084" s="109">
        <v>3.91</v>
      </c>
      <c r="N1084" s="109"/>
      <c r="O1084" s="109"/>
      <c r="P1084" s="109"/>
      <c r="Q1084" s="109"/>
      <c r="R1084" s="109"/>
      <c r="S1084" s="109"/>
      <c r="T1084" s="109"/>
      <c r="U1084" s="109"/>
      <c r="V1084" s="109"/>
      <c r="W1084" s="109"/>
      <c r="X1084" s="109"/>
      <c r="Y1084" s="109"/>
      <c r="Z1084" s="109"/>
      <c r="AA1084" s="109"/>
      <c r="AB1084" s="109"/>
      <c r="AC1084" s="109"/>
      <c r="AD1084" s="109"/>
      <c r="AE1084" s="109"/>
      <c r="AF1084" s="109"/>
      <c r="AG1084" s="109"/>
      <c r="AH1084" s="109"/>
      <c r="AI1084" s="109"/>
      <c r="AJ1084" s="109"/>
      <c r="AK1084" s="109"/>
      <c r="AL1084" s="109"/>
      <c r="AM1084" s="109"/>
      <c r="AN1084" s="109"/>
      <c r="AO1084" s="109"/>
      <c r="AP1084" s="109"/>
      <c r="AQ1084" s="109"/>
      <c r="AR1084" s="109"/>
      <c r="AS1084" s="109"/>
      <c r="AT1084" s="109"/>
      <c r="AU1084" s="109"/>
      <c r="AV1084" s="109"/>
      <c r="AW1084" s="109"/>
      <c r="AX1084" s="109"/>
      <c r="AY1084" s="34" t="s">
        <v>232</v>
      </c>
      <c r="AZ1084" s="34" t="s">
        <v>1536</v>
      </c>
      <c r="BA1084" s="47" t="s">
        <v>298</v>
      </c>
      <c r="BB1084" s="48"/>
      <c r="BI1084" s="42">
        <v>1</v>
      </c>
    </row>
    <row r="1085" spans="1:61" s="24" customFormat="1" ht="20.85" hidden="1" customHeight="1">
      <c r="A1085" s="32"/>
      <c r="B1085" s="158"/>
      <c r="C1085" s="78" t="s">
        <v>59</v>
      </c>
      <c r="D1085" s="35">
        <f t="shared" si="189"/>
        <v>1.4</v>
      </c>
      <c r="E1085" s="35"/>
      <c r="F1085" s="35">
        <f t="shared" si="181"/>
        <v>1.4</v>
      </c>
      <c r="G1085" s="109"/>
      <c r="H1085" s="109"/>
      <c r="I1085" s="109"/>
      <c r="J1085" s="109"/>
      <c r="K1085" s="109"/>
      <c r="L1085" s="109"/>
      <c r="M1085" s="109">
        <v>1.4</v>
      </c>
      <c r="N1085" s="109"/>
      <c r="O1085" s="109"/>
      <c r="P1085" s="109"/>
      <c r="Q1085" s="109"/>
      <c r="R1085" s="109"/>
      <c r="S1085" s="109"/>
      <c r="T1085" s="109"/>
      <c r="U1085" s="109"/>
      <c r="V1085" s="109"/>
      <c r="W1085" s="109"/>
      <c r="X1085" s="109"/>
      <c r="Y1085" s="109"/>
      <c r="Z1085" s="109"/>
      <c r="AA1085" s="109"/>
      <c r="AB1085" s="109"/>
      <c r="AC1085" s="109"/>
      <c r="AD1085" s="109"/>
      <c r="AE1085" s="109"/>
      <c r="AF1085" s="109"/>
      <c r="AG1085" s="109"/>
      <c r="AH1085" s="109"/>
      <c r="AI1085" s="109"/>
      <c r="AJ1085" s="109"/>
      <c r="AK1085" s="109"/>
      <c r="AL1085" s="109"/>
      <c r="AM1085" s="109"/>
      <c r="AN1085" s="109"/>
      <c r="AO1085" s="109"/>
      <c r="AP1085" s="109"/>
      <c r="AQ1085" s="109"/>
      <c r="AR1085" s="109"/>
      <c r="AS1085" s="109"/>
      <c r="AT1085" s="109"/>
      <c r="AU1085" s="109"/>
      <c r="AV1085" s="109"/>
      <c r="AW1085" s="109"/>
      <c r="AX1085" s="109"/>
      <c r="AY1085" s="34" t="s">
        <v>232</v>
      </c>
      <c r="AZ1085" s="34"/>
      <c r="BA1085" s="47"/>
      <c r="BB1085" s="48"/>
      <c r="BI1085" s="42"/>
    </row>
    <row r="1086" spans="1:61" s="24" customFormat="1" ht="20.85" hidden="1" customHeight="1">
      <c r="A1086" s="32"/>
      <c r="B1086" s="158"/>
      <c r="C1086" s="78" t="s">
        <v>44</v>
      </c>
      <c r="D1086" s="35">
        <f t="shared" si="189"/>
        <v>1.4</v>
      </c>
      <c r="E1086" s="35"/>
      <c r="F1086" s="35">
        <f t="shared" si="181"/>
        <v>1.4</v>
      </c>
      <c r="G1086" s="109"/>
      <c r="H1086" s="109"/>
      <c r="I1086" s="109"/>
      <c r="J1086" s="109"/>
      <c r="K1086" s="109"/>
      <c r="L1086" s="109"/>
      <c r="M1086" s="109">
        <v>1.4</v>
      </c>
      <c r="N1086" s="109"/>
      <c r="O1086" s="109"/>
      <c r="P1086" s="109"/>
      <c r="Q1086" s="109"/>
      <c r="R1086" s="109"/>
      <c r="S1086" s="109"/>
      <c r="T1086" s="109"/>
      <c r="U1086" s="109"/>
      <c r="V1086" s="109"/>
      <c r="W1086" s="109"/>
      <c r="X1086" s="109"/>
      <c r="Y1086" s="109"/>
      <c r="Z1086" s="109"/>
      <c r="AA1086" s="109"/>
      <c r="AB1086" s="109"/>
      <c r="AC1086" s="109"/>
      <c r="AD1086" s="109"/>
      <c r="AE1086" s="109"/>
      <c r="AF1086" s="109"/>
      <c r="AG1086" s="109"/>
      <c r="AH1086" s="109"/>
      <c r="AI1086" s="109"/>
      <c r="AJ1086" s="109"/>
      <c r="AK1086" s="109"/>
      <c r="AL1086" s="109"/>
      <c r="AM1086" s="109"/>
      <c r="AN1086" s="109"/>
      <c r="AO1086" s="109"/>
      <c r="AP1086" s="109"/>
      <c r="AQ1086" s="109"/>
      <c r="AR1086" s="109"/>
      <c r="AS1086" s="109"/>
      <c r="AT1086" s="109"/>
      <c r="AU1086" s="109"/>
      <c r="AV1086" s="109"/>
      <c r="AW1086" s="109"/>
      <c r="AX1086" s="109"/>
      <c r="AY1086" s="34" t="s">
        <v>232</v>
      </c>
      <c r="AZ1086" s="34"/>
      <c r="BA1086" s="47"/>
      <c r="BB1086" s="48"/>
      <c r="BI1086" s="42"/>
    </row>
    <row r="1087" spans="1:61" s="24" customFormat="1" ht="20.85" hidden="1" customHeight="1">
      <c r="A1087" s="32"/>
      <c r="B1087" s="158"/>
      <c r="C1087" s="78" t="s">
        <v>45</v>
      </c>
      <c r="D1087" s="35">
        <f t="shared" si="189"/>
        <v>0.4</v>
      </c>
      <c r="E1087" s="35"/>
      <c r="F1087" s="35">
        <f t="shared" si="181"/>
        <v>0.4</v>
      </c>
      <c r="G1087" s="109"/>
      <c r="H1087" s="109"/>
      <c r="I1087" s="109"/>
      <c r="J1087" s="109"/>
      <c r="K1087" s="109"/>
      <c r="L1087" s="109"/>
      <c r="M1087" s="109">
        <v>0.4</v>
      </c>
      <c r="N1087" s="109"/>
      <c r="O1087" s="109"/>
      <c r="P1087" s="109"/>
      <c r="Q1087" s="109"/>
      <c r="R1087" s="109"/>
      <c r="S1087" s="109"/>
      <c r="T1087" s="109"/>
      <c r="U1087" s="109"/>
      <c r="V1087" s="109"/>
      <c r="W1087" s="109"/>
      <c r="X1087" s="109"/>
      <c r="Y1087" s="109"/>
      <c r="Z1087" s="109"/>
      <c r="AA1087" s="109"/>
      <c r="AB1087" s="109"/>
      <c r="AC1087" s="109"/>
      <c r="AD1087" s="109"/>
      <c r="AE1087" s="109"/>
      <c r="AF1087" s="109"/>
      <c r="AG1087" s="109"/>
      <c r="AH1087" s="109"/>
      <c r="AI1087" s="109"/>
      <c r="AJ1087" s="109"/>
      <c r="AK1087" s="109"/>
      <c r="AL1087" s="109"/>
      <c r="AM1087" s="109"/>
      <c r="AN1087" s="109"/>
      <c r="AO1087" s="109"/>
      <c r="AP1087" s="109"/>
      <c r="AQ1087" s="109"/>
      <c r="AR1087" s="109"/>
      <c r="AS1087" s="109"/>
      <c r="AT1087" s="109"/>
      <c r="AU1087" s="109"/>
      <c r="AV1087" s="109"/>
      <c r="AW1087" s="109"/>
      <c r="AX1087" s="109"/>
      <c r="AY1087" s="34" t="s">
        <v>232</v>
      </c>
      <c r="AZ1087" s="34"/>
      <c r="BA1087" s="47"/>
      <c r="BB1087" s="48"/>
      <c r="BI1087" s="42"/>
    </row>
    <row r="1088" spans="1:61" s="24" customFormat="1" ht="20.85" hidden="1" customHeight="1">
      <c r="A1088" s="32"/>
      <c r="B1088" s="158"/>
      <c r="C1088" s="78" t="s">
        <v>138</v>
      </c>
      <c r="D1088" s="35">
        <f t="shared" si="189"/>
        <v>0.80000000000000027</v>
      </c>
      <c r="E1088" s="35"/>
      <c r="F1088" s="35">
        <f t="shared" si="181"/>
        <v>0.80000000000000027</v>
      </c>
      <c r="G1088" s="147">
        <f>G1084-G1085-G1086-G1087</f>
        <v>0</v>
      </c>
      <c r="H1088" s="147">
        <f t="shared" ref="H1088:AX1088" si="195">H1084-H1085-H1086-H1087</f>
        <v>0</v>
      </c>
      <c r="I1088" s="147">
        <f t="shared" si="195"/>
        <v>0.09</v>
      </c>
      <c r="J1088" s="147">
        <f t="shared" si="195"/>
        <v>0</v>
      </c>
      <c r="K1088" s="147">
        <f t="shared" si="195"/>
        <v>0</v>
      </c>
      <c r="L1088" s="147">
        <f t="shared" si="195"/>
        <v>0</v>
      </c>
      <c r="M1088" s="147">
        <f t="shared" si="195"/>
        <v>0.7100000000000003</v>
      </c>
      <c r="N1088" s="147">
        <f t="shared" si="195"/>
        <v>0</v>
      </c>
      <c r="O1088" s="147">
        <f t="shared" si="195"/>
        <v>0</v>
      </c>
      <c r="P1088" s="147">
        <f t="shared" si="195"/>
        <v>0</v>
      </c>
      <c r="Q1088" s="147">
        <f t="shared" si="195"/>
        <v>0</v>
      </c>
      <c r="R1088" s="147">
        <f t="shared" si="195"/>
        <v>0</v>
      </c>
      <c r="S1088" s="147">
        <f t="shared" si="195"/>
        <v>0</v>
      </c>
      <c r="T1088" s="147">
        <f t="shared" si="195"/>
        <v>0</v>
      </c>
      <c r="U1088" s="147">
        <f t="shared" si="195"/>
        <v>0</v>
      </c>
      <c r="V1088" s="147">
        <f t="shared" si="195"/>
        <v>0</v>
      </c>
      <c r="W1088" s="147">
        <f t="shared" si="195"/>
        <v>0</v>
      </c>
      <c r="X1088" s="147">
        <f t="shared" si="195"/>
        <v>0</v>
      </c>
      <c r="Y1088" s="147">
        <f t="shared" si="195"/>
        <v>0</v>
      </c>
      <c r="Z1088" s="147">
        <f t="shared" si="195"/>
        <v>0</v>
      </c>
      <c r="AA1088" s="147">
        <f t="shared" si="195"/>
        <v>0</v>
      </c>
      <c r="AB1088" s="147">
        <f t="shared" si="195"/>
        <v>0</v>
      </c>
      <c r="AC1088" s="147">
        <f t="shared" si="195"/>
        <v>0</v>
      </c>
      <c r="AD1088" s="147">
        <f t="shared" si="195"/>
        <v>0</v>
      </c>
      <c r="AE1088" s="147">
        <f t="shared" si="195"/>
        <v>0</v>
      </c>
      <c r="AF1088" s="147">
        <f t="shared" si="195"/>
        <v>0</v>
      </c>
      <c r="AG1088" s="147">
        <f t="shared" si="195"/>
        <v>0</v>
      </c>
      <c r="AH1088" s="147">
        <f t="shared" si="195"/>
        <v>0</v>
      </c>
      <c r="AI1088" s="147">
        <f t="shared" si="195"/>
        <v>0</v>
      </c>
      <c r="AJ1088" s="147">
        <f t="shared" si="195"/>
        <v>0</v>
      </c>
      <c r="AK1088" s="147">
        <f t="shared" si="195"/>
        <v>0</v>
      </c>
      <c r="AL1088" s="147">
        <f t="shared" si="195"/>
        <v>0</v>
      </c>
      <c r="AM1088" s="147">
        <f t="shared" si="195"/>
        <v>0</v>
      </c>
      <c r="AN1088" s="147">
        <f t="shared" si="195"/>
        <v>0</v>
      </c>
      <c r="AO1088" s="147">
        <f t="shared" si="195"/>
        <v>0</v>
      </c>
      <c r="AP1088" s="147">
        <f t="shared" si="195"/>
        <v>0</v>
      </c>
      <c r="AQ1088" s="147">
        <f t="shared" si="195"/>
        <v>0</v>
      </c>
      <c r="AR1088" s="147">
        <f t="shared" si="195"/>
        <v>0</v>
      </c>
      <c r="AS1088" s="147">
        <f t="shared" si="195"/>
        <v>0</v>
      </c>
      <c r="AT1088" s="147">
        <f t="shared" si="195"/>
        <v>0</v>
      </c>
      <c r="AU1088" s="147">
        <f t="shared" si="195"/>
        <v>0</v>
      </c>
      <c r="AV1088" s="147">
        <f t="shared" si="195"/>
        <v>0</v>
      </c>
      <c r="AW1088" s="147">
        <f t="shared" si="195"/>
        <v>0</v>
      </c>
      <c r="AX1088" s="147">
        <f t="shared" si="195"/>
        <v>0</v>
      </c>
      <c r="AY1088" s="34" t="s">
        <v>232</v>
      </c>
      <c r="AZ1088" s="34"/>
      <c r="BA1088" s="47"/>
      <c r="BB1088" s="48"/>
      <c r="BI1088" s="42"/>
    </row>
    <row r="1089" spans="1:61" s="24" customFormat="1" ht="22.35" customHeight="1">
      <c r="A1089" s="32">
        <f>A1084+1</f>
        <v>730</v>
      </c>
      <c r="B1089" s="158" t="s">
        <v>186</v>
      </c>
      <c r="C1089" s="78" t="s">
        <v>1260</v>
      </c>
      <c r="D1089" s="35">
        <f t="shared" si="189"/>
        <v>2.68</v>
      </c>
      <c r="E1089" s="35"/>
      <c r="F1089" s="35">
        <f t="shared" si="181"/>
        <v>2.68</v>
      </c>
      <c r="G1089" s="109">
        <f>1.85-0.94+0.74+0.72</f>
        <v>2.37</v>
      </c>
      <c r="H1089" s="109"/>
      <c r="I1089" s="109">
        <v>0.21</v>
      </c>
      <c r="J1089" s="109"/>
      <c r="K1089" s="109"/>
      <c r="L1089" s="109"/>
      <c r="M1089" s="109"/>
      <c r="N1089" s="109"/>
      <c r="O1089" s="109"/>
      <c r="P1089" s="109"/>
      <c r="Q1089" s="109"/>
      <c r="R1089" s="109"/>
      <c r="S1089" s="109"/>
      <c r="T1089" s="109"/>
      <c r="U1089" s="109"/>
      <c r="V1089" s="109"/>
      <c r="W1089" s="109"/>
      <c r="X1089" s="109"/>
      <c r="Y1089" s="109"/>
      <c r="Z1089" s="109"/>
      <c r="AA1089" s="109">
        <v>0.1</v>
      </c>
      <c r="AB1089" s="109"/>
      <c r="AC1089" s="109"/>
      <c r="AD1089" s="109"/>
      <c r="AE1089" s="109"/>
      <c r="AF1089" s="109"/>
      <c r="AG1089" s="109"/>
      <c r="AH1089" s="109"/>
      <c r="AI1089" s="109"/>
      <c r="AJ1089" s="109"/>
      <c r="AK1089" s="109"/>
      <c r="AL1089" s="109"/>
      <c r="AM1089" s="109"/>
      <c r="AN1089" s="109"/>
      <c r="AO1089" s="109"/>
      <c r="AP1089" s="109"/>
      <c r="AQ1089" s="109"/>
      <c r="AR1089" s="109"/>
      <c r="AS1089" s="109"/>
      <c r="AT1089" s="109"/>
      <c r="AU1089" s="109"/>
      <c r="AV1089" s="109"/>
      <c r="AW1089" s="109"/>
      <c r="AX1089" s="109"/>
      <c r="AY1089" s="34" t="s">
        <v>232</v>
      </c>
      <c r="AZ1089" s="34" t="s">
        <v>342</v>
      </c>
      <c r="BA1089" s="63" t="s">
        <v>291</v>
      </c>
      <c r="BB1089" s="64"/>
      <c r="BG1089" s="24" t="s">
        <v>1537</v>
      </c>
      <c r="BI1089" s="42">
        <v>1</v>
      </c>
    </row>
    <row r="1090" spans="1:61" s="24" customFormat="1" ht="22.35" hidden="1" customHeight="1">
      <c r="A1090" s="32"/>
      <c r="B1090" s="158"/>
      <c r="C1090" s="78" t="s">
        <v>59</v>
      </c>
      <c r="D1090" s="35">
        <f t="shared" si="189"/>
        <v>0.83</v>
      </c>
      <c r="E1090" s="35"/>
      <c r="F1090" s="35">
        <f t="shared" si="181"/>
        <v>0.83</v>
      </c>
      <c r="G1090" s="109">
        <v>0.83</v>
      </c>
      <c r="H1090" s="109"/>
      <c r="I1090" s="109"/>
      <c r="J1090" s="109"/>
      <c r="K1090" s="109"/>
      <c r="L1090" s="109"/>
      <c r="M1090" s="109"/>
      <c r="N1090" s="109"/>
      <c r="O1090" s="109"/>
      <c r="P1090" s="109"/>
      <c r="Q1090" s="109"/>
      <c r="R1090" s="109"/>
      <c r="S1090" s="109"/>
      <c r="T1090" s="109"/>
      <c r="U1090" s="109"/>
      <c r="V1090" s="109"/>
      <c r="W1090" s="109"/>
      <c r="X1090" s="109"/>
      <c r="Y1090" s="109"/>
      <c r="Z1090" s="109"/>
      <c r="AA1090" s="109"/>
      <c r="AB1090" s="109"/>
      <c r="AC1090" s="109"/>
      <c r="AD1090" s="109"/>
      <c r="AE1090" s="109"/>
      <c r="AF1090" s="109"/>
      <c r="AG1090" s="109"/>
      <c r="AH1090" s="109"/>
      <c r="AI1090" s="109"/>
      <c r="AJ1090" s="109"/>
      <c r="AK1090" s="109"/>
      <c r="AL1090" s="109"/>
      <c r="AM1090" s="109"/>
      <c r="AN1090" s="109"/>
      <c r="AO1090" s="109"/>
      <c r="AP1090" s="109"/>
      <c r="AQ1090" s="109"/>
      <c r="AR1090" s="109"/>
      <c r="AS1090" s="109"/>
      <c r="AT1090" s="109"/>
      <c r="AU1090" s="109"/>
      <c r="AV1090" s="109"/>
      <c r="AW1090" s="109"/>
      <c r="AX1090" s="109"/>
      <c r="AY1090" s="34" t="s">
        <v>232</v>
      </c>
      <c r="AZ1090" s="34"/>
      <c r="BA1090" s="63"/>
      <c r="BB1090" s="64"/>
      <c r="BI1090" s="42"/>
    </row>
    <row r="1091" spans="1:61" s="24" customFormat="1" ht="22.35" hidden="1" customHeight="1">
      <c r="A1091" s="32"/>
      <c r="B1091" s="158"/>
      <c r="C1091" s="78" t="s">
        <v>44</v>
      </c>
      <c r="D1091" s="35">
        <f t="shared" si="189"/>
        <v>0.83</v>
      </c>
      <c r="E1091" s="35"/>
      <c r="F1091" s="35">
        <f t="shared" si="181"/>
        <v>0.83</v>
      </c>
      <c r="G1091" s="109">
        <v>0.83</v>
      </c>
      <c r="H1091" s="109"/>
      <c r="I1091" s="109"/>
      <c r="J1091" s="109"/>
      <c r="K1091" s="109"/>
      <c r="L1091" s="109"/>
      <c r="M1091" s="109"/>
      <c r="N1091" s="109"/>
      <c r="O1091" s="109"/>
      <c r="P1091" s="109"/>
      <c r="Q1091" s="109"/>
      <c r="R1091" s="109"/>
      <c r="S1091" s="109"/>
      <c r="T1091" s="109"/>
      <c r="U1091" s="109"/>
      <c r="V1091" s="109"/>
      <c r="W1091" s="109"/>
      <c r="X1091" s="109"/>
      <c r="Y1091" s="109"/>
      <c r="Z1091" s="109"/>
      <c r="AA1091" s="109"/>
      <c r="AB1091" s="109"/>
      <c r="AC1091" s="109"/>
      <c r="AD1091" s="109"/>
      <c r="AE1091" s="109"/>
      <c r="AF1091" s="109"/>
      <c r="AG1091" s="109"/>
      <c r="AH1091" s="109"/>
      <c r="AI1091" s="109"/>
      <c r="AJ1091" s="109"/>
      <c r="AK1091" s="109"/>
      <c r="AL1091" s="109"/>
      <c r="AM1091" s="109"/>
      <c r="AN1091" s="109"/>
      <c r="AO1091" s="109"/>
      <c r="AP1091" s="109"/>
      <c r="AQ1091" s="109"/>
      <c r="AR1091" s="109"/>
      <c r="AS1091" s="109"/>
      <c r="AT1091" s="109"/>
      <c r="AU1091" s="109"/>
      <c r="AV1091" s="109"/>
      <c r="AW1091" s="109"/>
      <c r="AX1091" s="109"/>
      <c r="AY1091" s="34" t="s">
        <v>232</v>
      </c>
      <c r="AZ1091" s="34"/>
      <c r="BA1091" s="63"/>
      <c r="BB1091" s="64"/>
      <c r="BI1091" s="42"/>
    </row>
    <row r="1092" spans="1:61" s="24" customFormat="1" ht="22.35" hidden="1" customHeight="1">
      <c r="A1092" s="32"/>
      <c r="B1092" s="158"/>
      <c r="C1092" s="78" t="s">
        <v>45</v>
      </c>
      <c r="D1092" s="35">
        <f t="shared" si="189"/>
        <v>0.7</v>
      </c>
      <c r="E1092" s="35"/>
      <c r="F1092" s="35">
        <f t="shared" si="181"/>
        <v>0.7</v>
      </c>
      <c r="G1092" s="109">
        <v>0.6</v>
      </c>
      <c r="H1092" s="109"/>
      <c r="I1092" s="109">
        <v>0.1</v>
      </c>
      <c r="J1092" s="109"/>
      <c r="K1092" s="109"/>
      <c r="L1092" s="109"/>
      <c r="M1092" s="109"/>
      <c r="N1092" s="109"/>
      <c r="O1092" s="109"/>
      <c r="P1092" s="109"/>
      <c r="Q1092" s="109"/>
      <c r="R1092" s="109"/>
      <c r="S1092" s="109"/>
      <c r="T1092" s="109"/>
      <c r="U1092" s="109"/>
      <c r="V1092" s="109"/>
      <c r="W1092" s="109"/>
      <c r="X1092" s="109"/>
      <c r="Y1092" s="109"/>
      <c r="Z1092" s="109"/>
      <c r="AA1092" s="109"/>
      <c r="AB1092" s="109"/>
      <c r="AC1092" s="109"/>
      <c r="AD1092" s="109"/>
      <c r="AE1092" s="109"/>
      <c r="AF1092" s="109"/>
      <c r="AG1092" s="109"/>
      <c r="AH1092" s="109"/>
      <c r="AI1092" s="109"/>
      <c r="AJ1092" s="109"/>
      <c r="AK1092" s="109"/>
      <c r="AL1092" s="109"/>
      <c r="AM1092" s="109"/>
      <c r="AN1092" s="109"/>
      <c r="AO1092" s="109"/>
      <c r="AP1092" s="109"/>
      <c r="AQ1092" s="109"/>
      <c r="AR1092" s="109"/>
      <c r="AS1092" s="109"/>
      <c r="AT1092" s="109"/>
      <c r="AU1092" s="109"/>
      <c r="AV1092" s="109"/>
      <c r="AW1092" s="109"/>
      <c r="AX1092" s="109"/>
      <c r="AY1092" s="34" t="s">
        <v>232</v>
      </c>
      <c r="AZ1092" s="34"/>
      <c r="BA1092" s="63"/>
      <c r="BB1092" s="64"/>
      <c r="BI1092" s="42"/>
    </row>
    <row r="1093" spans="1:61" s="24" customFormat="1" ht="22.35" hidden="1" customHeight="1">
      <c r="A1093" s="32"/>
      <c r="B1093" s="158"/>
      <c r="C1093" s="78" t="s">
        <v>138</v>
      </c>
      <c r="D1093" s="35">
        <f t="shared" si="189"/>
        <v>0.32000000000000006</v>
      </c>
      <c r="E1093" s="35"/>
      <c r="F1093" s="35">
        <f t="shared" ref="F1093:F1156" si="196">SUM(G1093:AX1093)</f>
        <v>0.32000000000000006</v>
      </c>
      <c r="G1093" s="147">
        <f>G1089-G1090-G1091-G1092</f>
        <v>0.1100000000000001</v>
      </c>
      <c r="H1093" s="147">
        <f t="shared" ref="H1093:AX1093" si="197">H1089-H1090-H1091-H1092</f>
        <v>0</v>
      </c>
      <c r="I1093" s="147">
        <f t="shared" si="197"/>
        <v>0.10999999999999999</v>
      </c>
      <c r="J1093" s="147">
        <f t="shared" si="197"/>
        <v>0</v>
      </c>
      <c r="K1093" s="147">
        <f t="shared" si="197"/>
        <v>0</v>
      </c>
      <c r="L1093" s="147">
        <f t="shared" si="197"/>
        <v>0</v>
      </c>
      <c r="M1093" s="147">
        <f t="shared" si="197"/>
        <v>0</v>
      </c>
      <c r="N1093" s="147">
        <f t="shared" si="197"/>
        <v>0</v>
      </c>
      <c r="O1093" s="147">
        <f t="shared" si="197"/>
        <v>0</v>
      </c>
      <c r="P1093" s="147">
        <f t="shared" si="197"/>
        <v>0</v>
      </c>
      <c r="Q1093" s="147">
        <f t="shared" si="197"/>
        <v>0</v>
      </c>
      <c r="R1093" s="147">
        <f t="shared" si="197"/>
        <v>0</v>
      </c>
      <c r="S1093" s="147">
        <f t="shared" si="197"/>
        <v>0</v>
      </c>
      <c r="T1093" s="147">
        <f t="shared" si="197"/>
        <v>0</v>
      </c>
      <c r="U1093" s="147">
        <f t="shared" si="197"/>
        <v>0</v>
      </c>
      <c r="V1093" s="147">
        <f t="shared" si="197"/>
        <v>0</v>
      </c>
      <c r="W1093" s="147">
        <f t="shared" si="197"/>
        <v>0</v>
      </c>
      <c r="X1093" s="147">
        <f t="shared" si="197"/>
        <v>0</v>
      </c>
      <c r="Y1093" s="147">
        <f t="shared" si="197"/>
        <v>0</v>
      </c>
      <c r="Z1093" s="147">
        <f t="shared" si="197"/>
        <v>0</v>
      </c>
      <c r="AA1093" s="147">
        <f t="shared" si="197"/>
        <v>0.1</v>
      </c>
      <c r="AB1093" s="147">
        <f t="shared" si="197"/>
        <v>0</v>
      </c>
      <c r="AC1093" s="147">
        <f t="shared" si="197"/>
        <v>0</v>
      </c>
      <c r="AD1093" s="147">
        <f t="shared" si="197"/>
        <v>0</v>
      </c>
      <c r="AE1093" s="147">
        <f t="shared" si="197"/>
        <v>0</v>
      </c>
      <c r="AF1093" s="147">
        <f t="shared" si="197"/>
        <v>0</v>
      </c>
      <c r="AG1093" s="147">
        <f t="shared" si="197"/>
        <v>0</v>
      </c>
      <c r="AH1093" s="147">
        <f t="shared" si="197"/>
        <v>0</v>
      </c>
      <c r="AI1093" s="147">
        <f t="shared" si="197"/>
        <v>0</v>
      </c>
      <c r="AJ1093" s="147">
        <f t="shared" si="197"/>
        <v>0</v>
      </c>
      <c r="AK1093" s="147">
        <f t="shared" si="197"/>
        <v>0</v>
      </c>
      <c r="AL1093" s="147">
        <f t="shared" si="197"/>
        <v>0</v>
      </c>
      <c r="AM1093" s="147">
        <f t="shared" si="197"/>
        <v>0</v>
      </c>
      <c r="AN1093" s="147">
        <f t="shared" si="197"/>
        <v>0</v>
      </c>
      <c r="AO1093" s="147">
        <f t="shared" si="197"/>
        <v>0</v>
      </c>
      <c r="AP1093" s="147">
        <f t="shared" si="197"/>
        <v>0</v>
      </c>
      <c r="AQ1093" s="147">
        <f t="shared" si="197"/>
        <v>0</v>
      </c>
      <c r="AR1093" s="147">
        <f t="shared" si="197"/>
        <v>0</v>
      </c>
      <c r="AS1093" s="147">
        <f t="shared" si="197"/>
        <v>0</v>
      </c>
      <c r="AT1093" s="147">
        <f t="shared" si="197"/>
        <v>0</v>
      </c>
      <c r="AU1093" s="147">
        <f t="shared" si="197"/>
        <v>0</v>
      </c>
      <c r="AV1093" s="147">
        <f t="shared" si="197"/>
        <v>0</v>
      </c>
      <c r="AW1093" s="147">
        <f t="shared" si="197"/>
        <v>0</v>
      </c>
      <c r="AX1093" s="147">
        <f t="shared" si="197"/>
        <v>0</v>
      </c>
      <c r="AY1093" s="34" t="s">
        <v>232</v>
      </c>
      <c r="AZ1093" s="34"/>
      <c r="BA1093" s="63"/>
      <c r="BB1093" s="64"/>
      <c r="BI1093" s="42"/>
    </row>
    <row r="1094" spans="1:61" s="24" customFormat="1" ht="22.35" customHeight="1">
      <c r="A1094" s="32">
        <f>A1089+1</f>
        <v>731</v>
      </c>
      <c r="B1094" s="158" t="s">
        <v>186</v>
      </c>
      <c r="C1094" s="78" t="s">
        <v>1260</v>
      </c>
      <c r="D1094" s="35">
        <f t="shared" si="189"/>
        <v>1.1599999999999999</v>
      </c>
      <c r="E1094" s="35"/>
      <c r="F1094" s="35">
        <f t="shared" si="196"/>
        <v>1.1599999999999999</v>
      </c>
      <c r="G1094" s="109">
        <v>1.1599999999999999</v>
      </c>
      <c r="H1094" s="109"/>
      <c r="I1094" s="109"/>
      <c r="J1094" s="109"/>
      <c r="K1094" s="109"/>
      <c r="L1094" s="109"/>
      <c r="M1094" s="109"/>
      <c r="N1094" s="109"/>
      <c r="O1094" s="109"/>
      <c r="P1094" s="109"/>
      <c r="Q1094" s="109"/>
      <c r="R1094" s="109"/>
      <c r="S1094" s="109"/>
      <c r="T1094" s="109"/>
      <c r="U1094" s="109"/>
      <c r="V1094" s="109"/>
      <c r="W1094" s="109"/>
      <c r="X1094" s="109"/>
      <c r="Y1094" s="109"/>
      <c r="Z1094" s="109"/>
      <c r="AA1094" s="109"/>
      <c r="AB1094" s="109"/>
      <c r="AC1094" s="109"/>
      <c r="AD1094" s="109"/>
      <c r="AE1094" s="109"/>
      <c r="AF1094" s="109"/>
      <c r="AG1094" s="109"/>
      <c r="AH1094" s="109"/>
      <c r="AI1094" s="109"/>
      <c r="AJ1094" s="109"/>
      <c r="AK1094" s="109"/>
      <c r="AL1094" s="109"/>
      <c r="AM1094" s="109"/>
      <c r="AN1094" s="109"/>
      <c r="AO1094" s="109"/>
      <c r="AP1094" s="109"/>
      <c r="AQ1094" s="109"/>
      <c r="AR1094" s="109"/>
      <c r="AS1094" s="109"/>
      <c r="AT1094" s="109"/>
      <c r="AU1094" s="109"/>
      <c r="AV1094" s="109"/>
      <c r="AW1094" s="109"/>
      <c r="AX1094" s="109"/>
      <c r="AY1094" s="34" t="s">
        <v>232</v>
      </c>
      <c r="AZ1094" s="34" t="s">
        <v>343</v>
      </c>
      <c r="BA1094" s="63" t="s">
        <v>291</v>
      </c>
      <c r="BB1094" s="64"/>
      <c r="BI1094" s="42">
        <v>1</v>
      </c>
    </row>
    <row r="1095" spans="1:61" s="24" customFormat="1" ht="22.35" hidden="1" customHeight="1">
      <c r="A1095" s="32"/>
      <c r="B1095" s="158"/>
      <c r="C1095" s="78" t="s">
        <v>59</v>
      </c>
      <c r="D1095" s="35">
        <f t="shared" si="189"/>
        <v>0.41</v>
      </c>
      <c r="E1095" s="35"/>
      <c r="F1095" s="35">
        <f t="shared" si="196"/>
        <v>0.41</v>
      </c>
      <c r="G1095" s="109">
        <v>0.41</v>
      </c>
      <c r="H1095" s="109"/>
      <c r="I1095" s="109"/>
      <c r="J1095" s="109"/>
      <c r="K1095" s="109"/>
      <c r="L1095" s="109"/>
      <c r="M1095" s="109"/>
      <c r="N1095" s="109"/>
      <c r="O1095" s="109"/>
      <c r="P1095" s="109"/>
      <c r="Q1095" s="109"/>
      <c r="R1095" s="109"/>
      <c r="S1095" s="109"/>
      <c r="T1095" s="109"/>
      <c r="U1095" s="109"/>
      <c r="V1095" s="109"/>
      <c r="W1095" s="109"/>
      <c r="X1095" s="109"/>
      <c r="Y1095" s="109"/>
      <c r="Z1095" s="109"/>
      <c r="AA1095" s="109"/>
      <c r="AB1095" s="109"/>
      <c r="AC1095" s="109"/>
      <c r="AD1095" s="109"/>
      <c r="AE1095" s="109"/>
      <c r="AF1095" s="109"/>
      <c r="AG1095" s="109"/>
      <c r="AH1095" s="109"/>
      <c r="AI1095" s="109"/>
      <c r="AJ1095" s="109"/>
      <c r="AK1095" s="109"/>
      <c r="AL1095" s="109"/>
      <c r="AM1095" s="109"/>
      <c r="AN1095" s="109"/>
      <c r="AO1095" s="109"/>
      <c r="AP1095" s="109"/>
      <c r="AQ1095" s="109"/>
      <c r="AR1095" s="109"/>
      <c r="AS1095" s="109"/>
      <c r="AT1095" s="109"/>
      <c r="AU1095" s="109"/>
      <c r="AV1095" s="109"/>
      <c r="AW1095" s="109"/>
      <c r="AX1095" s="109"/>
      <c r="AY1095" s="34" t="s">
        <v>232</v>
      </c>
      <c r="AZ1095" s="34"/>
      <c r="BA1095" s="63"/>
      <c r="BB1095" s="64"/>
      <c r="BI1095" s="42"/>
    </row>
    <row r="1096" spans="1:61" s="24" customFormat="1" ht="22.35" hidden="1" customHeight="1">
      <c r="A1096" s="32"/>
      <c r="B1096" s="158"/>
      <c r="C1096" s="78" t="s">
        <v>44</v>
      </c>
      <c r="D1096" s="35">
        <f t="shared" si="189"/>
        <v>0.46</v>
      </c>
      <c r="E1096" s="35"/>
      <c r="F1096" s="35">
        <f t="shared" si="196"/>
        <v>0.46</v>
      </c>
      <c r="G1096" s="109">
        <v>0.46</v>
      </c>
      <c r="H1096" s="109"/>
      <c r="I1096" s="109"/>
      <c r="J1096" s="109"/>
      <c r="K1096" s="109"/>
      <c r="L1096" s="109"/>
      <c r="M1096" s="109"/>
      <c r="N1096" s="109"/>
      <c r="O1096" s="109"/>
      <c r="P1096" s="109"/>
      <c r="Q1096" s="109"/>
      <c r="R1096" s="109"/>
      <c r="S1096" s="109"/>
      <c r="T1096" s="109"/>
      <c r="U1096" s="109"/>
      <c r="V1096" s="109"/>
      <c r="W1096" s="109"/>
      <c r="X1096" s="109"/>
      <c r="Y1096" s="109"/>
      <c r="Z1096" s="109"/>
      <c r="AA1096" s="109"/>
      <c r="AB1096" s="109"/>
      <c r="AC1096" s="109"/>
      <c r="AD1096" s="109"/>
      <c r="AE1096" s="109"/>
      <c r="AF1096" s="109"/>
      <c r="AG1096" s="109"/>
      <c r="AH1096" s="109"/>
      <c r="AI1096" s="109"/>
      <c r="AJ1096" s="109"/>
      <c r="AK1096" s="109"/>
      <c r="AL1096" s="109"/>
      <c r="AM1096" s="109"/>
      <c r="AN1096" s="109"/>
      <c r="AO1096" s="109"/>
      <c r="AP1096" s="109"/>
      <c r="AQ1096" s="109"/>
      <c r="AR1096" s="109"/>
      <c r="AS1096" s="109"/>
      <c r="AT1096" s="109"/>
      <c r="AU1096" s="109"/>
      <c r="AV1096" s="109"/>
      <c r="AW1096" s="109"/>
      <c r="AX1096" s="109"/>
      <c r="AY1096" s="34" t="s">
        <v>232</v>
      </c>
      <c r="AZ1096" s="34"/>
      <c r="BA1096" s="63"/>
      <c r="BB1096" s="64"/>
      <c r="BI1096" s="42"/>
    </row>
    <row r="1097" spans="1:61" s="24" customFormat="1" ht="22.35" hidden="1" customHeight="1">
      <c r="A1097" s="32"/>
      <c r="B1097" s="158"/>
      <c r="C1097" s="78" t="s">
        <v>138</v>
      </c>
      <c r="D1097" s="35">
        <f t="shared" si="189"/>
        <v>0.28999999999999998</v>
      </c>
      <c r="E1097" s="35"/>
      <c r="F1097" s="35">
        <f t="shared" si="196"/>
        <v>0.28999999999999998</v>
      </c>
      <c r="G1097" s="147">
        <f>G1094-G1095-G1096</f>
        <v>0.28999999999999998</v>
      </c>
      <c r="H1097" s="147">
        <f t="shared" ref="H1097:AX1097" si="198">H1094-H1095-H1096</f>
        <v>0</v>
      </c>
      <c r="I1097" s="147">
        <f t="shared" si="198"/>
        <v>0</v>
      </c>
      <c r="J1097" s="147">
        <f t="shared" si="198"/>
        <v>0</v>
      </c>
      <c r="K1097" s="147">
        <f t="shared" si="198"/>
        <v>0</v>
      </c>
      <c r="L1097" s="147">
        <f t="shared" si="198"/>
        <v>0</v>
      </c>
      <c r="M1097" s="147">
        <f t="shared" si="198"/>
        <v>0</v>
      </c>
      <c r="N1097" s="147">
        <f t="shared" si="198"/>
        <v>0</v>
      </c>
      <c r="O1097" s="147">
        <f t="shared" si="198"/>
        <v>0</v>
      </c>
      <c r="P1097" s="147">
        <f t="shared" si="198"/>
        <v>0</v>
      </c>
      <c r="Q1097" s="147">
        <f t="shared" si="198"/>
        <v>0</v>
      </c>
      <c r="R1097" s="147">
        <f t="shared" si="198"/>
        <v>0</v>
      </c>
      <c r="S1097" s="147">
        <f t="shared" si="198"/>
        <v>0</v>
      </c>
      <c r="T1097" s="147">
        <f t="shared" si="198"/>
        <v>0</v>
      </c>
      <c r="U1097" s="147">
        <f t="shared" si="198"/>
        <v>0</v>
      </c>
      <c r="V1097" s="147">
        <f t="shared" si="198"/>
        <v>0</v>
      </c>
      <c r="W1097" s="147">
        <f t="shared" si="198"/>
        <v>0</v>
      </c>
      <c r="X1097" s="147">
        <f t="shared" si="198"/>
        <v>0</v>
      </c>
      <c r="Y1097" s="147">
        <f t="shared" si="198"/>
        <v>0</v>
      </c>
      <c r="Z1097" s="147">
        <f t="shared" si="198"/>
        <v>0</v>
      </c>
      <c r="AA1097" s="147">
        <f t="shared" si="198"/>
        <v>0</v>
      </c>
      <c r="AB1097" s="147">
        <f t="shared" si="198"/>
        <v>0</v>
      </c>
      <c r="AC1097" s="147">
        <f t="shared" si="198"/>
        <v>0</v>
      </c>
      <c r="AD1097" s="147">
        <f t="shared" si="198"/>
        <v>0</v>
      </c>
      <c r="AE1097" s="147">
        <f t="shared" si="198"/>
        <v>0</v>
      </c>
      <c r="AF1097" s="147">
        <f t="shared" si="198"/>
        <v>0</v>
      </c>
      <c r="AG1097" s="147">
        <f t="shared" si="198"/>
        <v>0</v>
      </c>
      <c r="AH1097" s="147">
        <f t="shared" si="198"/>
        <v>0</v>
      </c>
      <c r="AI1097" s="147">
        <f t="shared" si="198"/>
        <v>0</v>
      </c>
      <c r="AJ1097" s="147">
        <f t="shared" si="198"/>
        <v>0</v>
      </c>
      <c r="AK1097" s="147">
        <f t="shared" si="198"/>
        <v>0</v>
      </c>
      <c r="AL1097" s="147">
        <f t="shared" si="198"/>
        <v>0</v>
      </c>
      <c r="AM1097" s="147">
        <f t="shared" si="198"/>
        <v>0</v>
      </c>
      <c r="AN1097" s="147">
        <f t="shared" si="198"/>
        <v>0</v>
      </c>
      <c r="AO1097" s="147">
        <f t="shared" si="198"/>
        <v>0</v>
      </c>
      <c r="AP1097" s="147">
        <f t="shared" si="198"/>
        <v>0</v>
      </c>
      <c r="AQ1097" s="147">
        <f t="shared" si="198"/>
        <v>0</v>
      </c>
      <c r="AR1097" s="147">
        <f t="shared" si="198"/>
        <v>0</v>
      </c>
      <c r="AS1097" s="147">
        <f t="shared" si="198"/>
        <v>0</v>
      </c>
      <c r="AT1097" s="147">
        <f t="shared" si="198"/>
        <v>0</v>
      </c>
      <c r="AU1097" s="147">
        <f t="shared" si="198"/>
        <v>0</v>
      </c>
      <c r="AV1097" s="147">
        <f t="shared" si="198"/>
        <v>0</v>
      </c>
      <c r="AW1097" s="147">
        <f t="shared" si="198"/>
        <v>0</v>
      </c>
      <c r="AX1097" s="147">
        <f t="shared" si="198"/>
        <v>0</v>
      </c>
      <c r="AY1097" s="34" t="s">
        <v>232</v>
      </c>
      <c r="AZ1097" s="34"/>
      <c r="BA1097" s="63"/>
      <c r="BB1097" s="64"/>
      <c r="BI1097" s="42"/>
    </row>
    <row r="1098" spans="1:61" s="24" customFormat="1" ht="22.35" customHeight="1">
      <c r="A1098" s="32">
        <f>A1094+1</f>
        <v>732</v>
      </c>
      <c r="B1098" s="158" t="s">
        <v>186</v>
      </c>
      <c r="C1098" s="78" t="s">
        <v>1260</v>
      </c>
      <c r="D1098" s="35">
        <f t="shared" si="189"/>
        <v>0.45</v>
      </c>
      <c r="E1098" s="35"/>
      <c r="F1098" s="35">
        <f t="shared" si="196"/>
        <v>0.45</v>
      </c>
      <c r="G1098" s="109">
        <v>0.45</v>
      </c>
      <c r="H1098" s="109"/>
      <c r="I1098" s="109"/>
      <c r="J1098" s="109"/>
      <c r="K1098" s="109"/>
      <c r="L1098" s="109"/>
      <c r="M1098" s="109"/>
      <c r="N1098" s="109"/>
      <c r="O1098" s="109"/>
      <c r="P1098" s="109"/>
      <c r="Q1098" s="109"/>
      <c r="R1098" s="109"/>
      <c r="S1098" s="109"/>
      <c r="T1098" s="109"/>
      <c r="U1098" s="109"/>
      <c r="V1098" s="109"/>
      <c r="W1098" s="109"/>
      <c r="X1098" s="109"/>
      <c r="Y1098" s="109"/>
      <c r="Z1098" s="109"/>
      <c r="AA1098" s="109"/>
      <c r="AB1098" s="109"/>
      <c r="AC1098" s="109"/>
      <c r="AD1098" s="109"/>
      <c r="AE1098" s="109"/>
      <c r="AF1098" s="109"/>
      <c r="AG1098" s="109"/>
      <c r="AH1098" s="109"/>
      <c r="AI1098" s="109"/>
      <c r="AJ1098" s="109"/>
      <c r="AK1098" s="109"/>
      <c r="AL1098" s="109"/>
      <c r="AM1098" s="109"/>
      <c r="AN1098" s="109"/>
      <c r="AO1098" s="109"/>
      <c r="AP1098" s="109"/>
      <c r="AQ1098" s="109"/>
      <c r="AR1098" s="109"/>
      <c r="AS1098" s="109"/>
      <c r="AT1098" s="109"/>
      <c r="AU1098" s="109"/>
      <c r="AV1098" s="109"/>
      <c r="AW1098" s="109"/>
      <c r="AX1098" s="109"/>
      <c r="AY1098" s="34" t="s">
        <v>232</v>
      </c>
      <c r="AZ1098" s="34" t="s">
        <v>1538</v>
      </c>
      <c r="BA1098" s="63" t="s">
        <v>291</v>
      </c>
      <c r="BB1098" s="64"/>
      <c r="BI1098" s="42">
        <v>1</v>
      </c>
    </row>
    <row r="1099" spans="1:61" s="24" customFormat="1" ht="22.35" hidden="1" customHeight="1">
      <c r="A1099" s="32"/>
      <c r="B1099" s="158"/>
      <c r="C1099" s="78" t="s">
        <v>59</v>
      </c>
      <c r="D1099" s="35">
        <f t="shared" si="189"/>
        <v>0.18</v>
      </c>
      <c r="E1099" s="35"/>
      <c r="F1099" s="35">
        <f t="shared" si="196"/>
        <v>0.18</v>
      </c>
      <c r="G1099" s="109">
        <v>0.18</v>
      </c>
      <c r="H1099" s="109"/>
      <c r="I1099" s="109"/>
      <c r="J1099" s="109"/>
      <c r="K1099" s="109"/>
      <c r="L1099" s="109"/>
      <c r="M1099" s="109"/>
      <c r="N1099" s="109"/>
      <c r="O1099" s="109"/>
      <c r="P1099" s="109"/>
      <c r="Q1099" s="109"/>
      <c r="R1099" s="109"/>
      <c r="S1099" s="109"/>
      <c r="T1099" s="109"/>
      <c r="U1099" s="109"/>
      <c r="V1099" s="109"/>
      <c r="W1099" s="109"/>
      <c r="X1099" s="109"/>
      <c r="Y1099" s="109"/>
      <c r="Z1099" s="109"/>
      <c r="AA1099" s="109"/>
      <c r="AB1099" s="109"/>
      <c r="AC1099" s="109"/>
      <c r="AD1099" s="109"/>
      <c r="AE1099" s="109"/>
      <c r="AF1099" s="109"/>
      <c r="AG1099" s="109"/>
      <c r="AH1099" s="109"/>
      <c r="AI1099" s="109"/>
      <c r="AJ1099" s="109"/>
      <c r="AK1099" s="109"/>
      <c r="AL1099" s="109"/>
      <c r="AM1099" s="109"/>
      <c r="AN1099" s="109"/>
      <c r="AO1099" s="109"/>
      <c r="AP1099" s="109"/>
      <c r="AQ1099" s="109"/>
      <c r="AR1099" s="109"/>
      <c r="AS1099" s="109"/>
      <c r="AT1099" s="109"/>
      <c r="AU1099" s="109"/>
      <c r="AV1099" s="109"/>
      <c r="AW1099" s="109"/>
      <c r="AX1099" s="109"/>
      <c r="AY1099" s="34" t="s">
        <v>232</v>
      </c>
      <c r="AZ1099" s="34"/>
      <c r="BA1099" s="63"/>
      <c r="BB1099" s="64"/>
      <c r="BI1099" s="42"/>
    </row>
    <row r="1100" spans="1:61" s="24" customFormat="1" ht="22.35" hidden="1" customHeight="1">
      <c r="A1100" s="32"/>
      <c r="B1100" s="158"/>
      <c r="C1100" s="78" t="s">
        <v>44</v>
      </c>
      <c r="D1100" s="35">
        <f t="shared" si="189"/>
        <v>0.18</v>
      </c>
      <c r="E1100" s="35"/>
      <c r="F1100" s="35">
        <f t="shared" si="196"/>
        <v>0.18</v>
      </c>
      <c r="G1100" s="109">
        <v>0.18</v>
      </c>
      <c r="H1100" s="109"/>
      <c r="I1100" s="109"/>
      <c r="J1100" s="109"/>
      <c r="K1100" s="109"/>
      <c r="L1100" s="109"/>
      <c r="M1100" s="109"/>
      <c r="N1100" s="109"/>
      <c r="O1100" s="109"/>
      <c r="P1100" s="109"/>
      <c r="Q1100" s="109"/>
      <c r="R1100" s="109"/>
      <c r="S1100" s="109"/>
      <c r="T1100" s="109"/>
      <c r="U1100" s="109"/>
      <c r="V1100" s="109"/>
      <c r="W1100" s="109"/>
      <c r="X1100" s="109"/>
      <c r="Y1100" s="109"/>
      <c r="Z1100" s="109"/>
      <c r="AA1100" s="109"/>
      <c r="AB1100" s="109"/>
      <c r="AC1100" s="109"/>
      <c r="AD1100" s="109"/>
      <c r="AE1100" s="109"/>
      <c r="AF1100" s="109"/>
      <c r="AG1100" s="109"/>
      <c r="AH1100" s="109"/>
      <c r="AI1100" s="109"/>
      <c r="AJ1100" s="109"/>
      <c r="AK1100" s="109"/>
      <c r="AL1100" s="109"/>
      <c r="AM1100" s="109"/>
      <c r="AN1100" s="109"/>
      <c r="AO1100" s="109"/>
      <c r="AP1100" s="109"/>
      <c r="AQ1100" s="109"/>
      <c r="AR1100" s="109"/>
      <c r="AS1100" s="109"/>
      <c r="AT1100" s="109"/>
      <c r="AU1100" s="109"/>
      <c r="AV1100" s="109"/>
      <c r="AW1100" s="109"/>
      <c r="AX1100" s="109"/>
      <c r="AY1100" s="34" t="s">
        <v>232</v>
      </c>
      <c r="AZ1100" s="34"/>
      <c r="BA1100" s="63"/>
      <c r="BB1100" s="64"/>
      <c r="BI1100" s="42"/>
    </row>
    <row r="1101" spans="1:61" s="24" customFormat="1" ht="22.35" hidden="1" customHeight="1">
      <c r="A1101" s="32"/>
      <c r="B1101" s="158"/>
      <c r="C1101" s="78" t="s">
        <v>138</v>
      </c>
      <c r="D1101" s="35">
        <f t="shared" si="189"/>
        <v>9.0000000000000024E-2</v>
      </c>
      <c r="E1101" s="35"/>
      <c r="F1101" s="35">
        <f t="shared" si="196"/>
        <v>9.0000000000000024E-2</v>
      </c>
      <c r="G1101" s="147">
        <f>G1098-G1099-G1100</f>
        <v>9.0000000000000024E-2</v>
      </c>
      <c r="H1101" s="147">
        <f t="shared" ref="H1101:AX1101" si="199">H1098-H1099-H1100</f>
        <v>0</v>
      </c>
      <c r="I1101" s="147">
        <f t="shared" si="199"/>
        <v>0</v>
      </c>
      <c r="J1101" s="147">
        <f t="shared" si="199"/>
        <v>0</v>
      </c>
      <c r="K1101" s="147">
        <f t="shared" si="199"/>
        <v>0</v>
      </c>
      <c r="L1101" s="147">
        <f t="shared" si="199"/>
        <v>0</v>
      </c>
      <c r="M1101" s="147">
        <f t="shared" si="199"/>
        <v>0</v>
      </c>
      <c r="N1101" s="147">
        <f t="shared" si="199"/>
        <v>0</v>
      </c>
      <c r="O1101" s="147">
        <f t="shared" si="199"/>
        <v>0</v>
      </c>
      <c r="P1101" s="147">
        <f t="shared" si="199"/>
        <v>0</v>
      </c>
      <c r="Q1101" s="147">
        <f t="shared" si="199"/>
        <v>0</v>
      </c>
      <c r="R1101" s="147">
        <f t="shared" si="199"/>
        <v>0</v>
      </c>
      <c r="S1101" s="147">
        <f t="shared" si="199"/>
        <v>0</v>
      </c>
      <c r="T1101" s="147">
        <f t="shared" si="199"/>
        <v>0</v>
      </c>
      <c r="U1101" s="147">
        <f t="shared" si="199"/>
        <v>0</v>
      </c>
      <c r="V1101" s="147">
        <f t="shared" si="199"/>
        <v>0</v>
      </c>
      <c r="W1101" s="147">
        <f t="shared" si="199"/>
        <v>0</v>
      </c>
      <c r="X1101" s="147">
        <f t="shared" si="199"/>
        <v>0</v>
      </c>
      <c r="Y1101" s="147">
        <f t="shared" si="199"/>
        <v>0</v>
      </c>
      <c r="Z1101" s="147">
        <f t="shared" si="199"/>
        <v>0</v>
      </c>
      <c r="AA1101" s="147">
        <f t="shared" si="199"/>
        <v>0</v>
      </c>
      <c r="AB1101" s="147">
        <f t="shared" si="199"/>
        <v>0</v>
      </c>
      <c r="AC1101" s="147">
        <f t="shared" si="199"/>
        <v>0</v>
      </c>
      <c r="AD1101" s="147">
        <f t="shared" si="199"/>
        <v>0</v>
      </c>
      <c r="AE1101" s="147">
        <f t="shared" si="199"/>
        <v>0</v>
      </c>
      <c r="AF1101" s="147">
        <f t="shared" si="199"/>
        <v>0</v>
      </c>
      <c r="AG1101" s="147">
        <f t="shared" si="199"/>
        <v>0</v>
      </c>
      <c r="AH1101" s="147">
        <f t="shared" si="199"/>
        <v>0</v>
      </c>
      <c r="AI1101" s="147">
        <f t="shared" si="199"/>
        <v>0</v>
      </c>
      <c r="AJ1101" s="147">
        <f t="shared" si="199"/>
        <v>0</v>
      </c>
      <c r="AK1101" s="147">
        <f t="shared" si="199"/>
        <v>0</v>
      </c>
      <c r="AL1101" s="147">
        <f t="shared" si="199"/>
        <v>0</v>
      </c>
      <c r="AM1101" s="147">
        <f t="shared" si="199"/>
        <v>0</v>
      </c>
      <c r="AN1101" s="147">
        <f t="shared" si="199"/>
        <v>0</v>
      </c>
      <c r="AO1101" s="147">
        <f t="shared" si="199"/>
        <v>0</v>
      </c>
      <c r="AP1101" s="147">
        <f t="shared" si="199"/>
        <v>0</v>
      </c>
      <c r="AQ1101" s="147">
        <f t="shared" si="199"/>
        <v>0</v>
      </c>
      <c r="AR1101" s="147">
        <f t="shared" si="199"/>
        <v>0</v>
      </c>
      <c r="AS1101" s="147">
        <f t="shared" si="199"/>
        <v>0</v>
      </c>
      <c r="AT1101" s="147">
        <f t="shared" si="199"/>
        <v>0</v>
      </c>
      <c r="AU1101" s="147">
        <f t="shared" si="199"/>
        <v>0</v>
      </c>
      <c r="AV1101" s="147">
        <f t="shared" si="199"/>
        <v>0</v>
      </c>
      <c r="AW1101" s="147">
        <f t="shared" si="199"/>
        <v>0</v>
      </c>
      <c r="AX1101" s="147">
        <f t="shared" si="199"/>
        <v>0</v>
      </c>
      <c r="AY1101" s="34" t="s">
        <v>232</v>
      </c>
      <c r="AZ1101" s="34"/>
      <c r="BA1101" s="63"/>
      <c r="BB1101" s="64"/>
      <c r="BI1101" s="42"/>
    </row>
    <row r="1102" spans="1:61" s="24" customFormat="1" ht="24" customHeight="1">
      <c r="A1102" s="32">
        <f>A1098+1</f>
        <v>733</v>
      </c>
      <c r="B1102" s="158" t="s">
        <v>186</v>
      </c>
      <c r="C1102" s="78" t="s">
        <v>59</v>
      </c>
      <c r="D1102" s="35">
        <f t="shared" si="189"/>
        <v>0.32</v>
      </c>
      <c r="E1102" s="35"/>
      <c r="F1102" s="35">
        <f t="shared" si="196"/>
        <v>0.32</v>
      </c>
      <c r="G1102" s="109"/>
      <c r="H1102" s="109">
        <v>0.32</v>
      </c>
      <c r="I1102" s="109"/>
      <c r="J1102" s="109"/>
      <c r="K1102" s="109"/>
      <c r="L1102" s="109"/>
      <c r="M1102" s="109"/>
      <c r="N1102" s="109"/>
      <c r="O1102" s="109"/>
      <c r="P1102" s="109"/>
      <c r="Q1102" s="109"/>
      <c r="R1102" s="109"/>
      <c r="S1102" s="109"/>
      <c r="T1102" s="109"/>
      <c r="U1102" s="109"/>
      <c r="V1102" s="109"/>
      <c r="W1102" s="109"/>
      <c r="X1102" s="109"/>
      <c r="Y1102" s="109"/>
      <c r="Z1102" s="109"/>
      <c r="AA1102" s="109"/>
      <c r="AB1102" s="109"/>
      <c r="AC1102" s="109"/>
      <c r="AD1102" s="109"/>
      <c r="AE1102" s="109"/>
      <c r="AF1102" s="109"/>
      <c r="AG1102" s="109"/>
      <c r="AH1102" s="109"/>
      <c r="AI1102" s="109"/>
      <c r="AJ1102" s="109"/>
      <c r="AK1102" s="109"/>
      <c r="AL1102" s="109"/>
      <c r="AM1102" s="109"/>
      <c r="AN1102" s="109"/>
      <c r="AO1102" s="109"/>
      <c r="AP1102" s="109"/>
      <c r="AQ1102" s="109"/>
      <c r="AR1102" s="109"/>
      <c r="AS1102" s="109"/>
      <c r="AT1102" s="109"/>
      <c r="AU1102" s="109"/>
      <c r="AV1102" s="109"/>
      <c r="AW1102" s="109"/>
      <c r="AX1102" s="109"/>
      <c r="AY1102" s="34" t="s">
        <v>232</v>
      </c>
      <c r="AZ1102" s="34" t="s">
        <v>1539</v>
      </c>
      <c r="BA1102" s="63" t="s">
        <v>291</v>
      </c>
      <c r="BB1102" s="64"/>
      <c r="BI1102" s="42">
        <v>1</v>
      </c>
    </row>
    <row r="1103" spans="1:61" s="24" customFormat="1" ht="23.85" customHeight="1">
      <c r="A1103" s="32">
        <f>A1102+1</f>
        <v>734</v>
      </c>
      <c r="B1103" s="158" t="s">
        <v>186</v>
      </c>
      <c r="C1103" s="78" t="s">
        <v>1260</v>
      </c>
      <c r="D1103" s="35">
        <f t="shared" si="189"/>
        <v>0.69</v>
      </c>
      <c r="E1103" s="35"/>
      <c r="F1103" s="35">
        <f t="shared" si="196"/>
        <v>0.69</v>
      </c>
      <c r="G1103" s="109">
        <v>0.69</v>
      </c>
      <c r="H1103" s="109"/>
      <c r="I1103" s="109"/>
      <c r="J1103" s="109"/>
      <c r="K1103" s="109"/>
      <c r="L1103" s="109"/>
      <c r="M1103" s="109"/>
      <c r="N1103" s="109"/>
      <c r="O1103" s="109"/>
      <c r="P1103" s="109"/>
      <c r="Q1103" s="109"/>
      <c r="R1103" s="109"/>
      <c r="S1103" s="109"/>
      <c r="T1103" s="109"/>
      <c r="U1103" s="109"/>
      <c r="V1103" s="109"/>
      <c r="W1103" s="109"/>
      <c r="X1103" s="109"/>
      <c r="Y1103" s="109"/>
      <c r="Z1103" s="109"/>
      <c r="AA1103" s="109"/>
      <c r="AB1103" s="109"/>
      <c r="AC1103" s="109"/>
      <c r="AD1103" s="109"/>
      <c r="AE1103" s="109"/>
      <c r="AF1103" s="109"/>
      <c r="AG1103" s="109"/>
      <c r="AH1103" s="109"/>
      <c r="AI1103" s="109"/>
      <c r="AJ1103" s="109"/>
      <c r="AK1103" s="109"/>
      <c r="AL1103" s="109"/>
      <c r="AM1103" s="109"/>
      <c r="AN1103" s="109"/>
      <c r="AO1103" s="109"/>
      <c r="AP1103" s="109"/>
      <c r="AQ1103" s="109"/>
      <c r="AR1103" s="109"/>
      <c r="AS1103" s="109"/>
      <c r="AT1103" s="109"/>
      <c r="AU1103" s="109"/>
      <c r="AV1103" s="109"/>
      <c r="AW1103" s="109"/>
      <c r="AX1103" s="109"/>
      <c r="AY1103" s="34" t="s">
        <v>232</v>
      </c>
      <c r="AZ1103" s="34" t="s">
        <v>1540</v>
      </c>
      <c r="BA1103" s="47" t="s">
        <v>298</v>
      </c>
      <c r="BB1103" s="48"/>
      <c r="BI1103" s="42">
        <v>1</v>
      </c>
    </row>
    <row r="1104" spans="1:61" s="24" customFormat="1" ht="23.85" hidden="1" customHeight="1">
      <c r="A1104" s="32"/>
      <c r="B1104" s="158"/>
      <c r="C1104" s="78" t="s">
        <v>59</v>
      </c>
      <c r="D1104" s="35">
        <f t="shared" si="189"/>
        <v>0.25</v>
      </c>
      <c r="E1104" s="35"/>
      <c r="F1104" s="35">
        <f t="shared" si="196"/>
        <v>0.25</v>
      </c>
      <c r="G1104" s="109">
        <v>0.25</v>
      </c>
      <c r="H1104" s="109"/>
      <c r="I1104" s="109"/>
      <c r="J1104" s="109"/>
      <c r="K1104" s="109"/>
      <c r="L1104" s="109"/>
      <c r="M1104" s="109"/>
      <c r="N1104" s="109"/>
      <c r="O1104" s="109"/>
      <c r="P1104" s="109"/>
      <c r="Q1104" s="109"/>
      <c r="R1104" s="109"/>
      <c r="S1104" s="109"/>
      <c r="T1104" s="109"/>
      <c r="U1104" s="109"/>
      <c r="V1104" s="109"/>
      <c r="W1104" s="109"/>
      <c r="X1104" s="109"/>
      <c r="Y1104" s="109"/>
      <c r="Z1104" s="109"/>
      <c r="AA1104" s="109"/>
      <c r="AB1104" s="109"/>
      <c r="AC1104" s="109"/>
      <c r="AD1104" s="109"/>
      <c r="AE1104" s="109"/>
      <c r="AF1104" s="109"/>
      <c r="AG1104" s="109"/>
      <c r="AH1104" s="109"/>
      <c r="AI1104" s="109"/>
      <c r="AJ1104" s="109"/>
      <c r="AK1104" s="109"/>
      <c r="AL1104" s="109"/>
      <c r="AM1104" s="109"/>
      <c r="AN1104" s="109"/>
      <c r="AO1104" s="109"/>
      <c r="AP1104" s="109"/>
      <c r="AQ1104" s="109"/>
      <c r="AR1104" s="109"/>
      <c r="AS1104" s="109"/>
      <c r="AT1104" s="109"/>
      <c r="AU1104" s="109"/>
      <c r="AV1104" s="109"/>
      <c r="AW1104" s="109"/>
      <c r="AX1104" s="109"/>
      <c r="AY1104" s="34" t="s">
        <v>232</v>
      </c>
      <c r="AZ1104" s="34"/>
      <c r="BA1104" s="47"/>
      <c r="BB1104" s="48"/>
      <c r="BI1104" s="42"/>
    </row>
    <row r="1105" spans="1:64" s="24" customFormat="1" ht="23.85" hidden="1" customHeight="1">
      <c r="A1105" s="32"/>
      <c r="B1105" s="158"/>
      <c r="C1105" s="78" t="s">
        <v>44</v>
      </c>
      <c r="D1105" s="35">
        <f t="shared" si="189"/>
        <v>0.28000000000000003</v>
      </c>
      <c r="E1105" s="35"/>
      <c r="F1105" s="35">
        <f t="shared" si="196"/>
        <v>0.28000000000000003</v>
      </c>
      <c r="G1105" s="109">
        <v>0.28000000000000003</v>
      </c>
      <c r="H1105" s="109"/>
      <c r="I1105" s="109"/>
      <c r="J1105" s="109"/>
      <c r="K1105" s="109"/>
      <c r="L1105" s="109"/>
      <c r="M1105" s="109"/>
      <c r="N1105" s="109"/>
      <c r="O1105" s="109"/>
      <c r="P1105" s="109"/>
      <c r="Q1105" s="109"/>
      <c r="R1105" s="109"/>
      <c r="S1105" s="109"/>
      <c r="T1105" s="109"/>
      <c r="U1105" s="109"/>
      <c r="V1105" s="109"/>
      <c r="W1105" s="109"/>
      <c r="X1105" s="109"/>
      <c r="Y1105" s="109"/>
      <c r="Z1105" s="109"/>
      <c r="AA1105" s="109"/>
      <c r="AB1105" s="109"/>
      <c r="AC1105" s="109"/>
      <c r="AD1105" s="109"/>
      <c r="AE1105" s="109"/>
      <c r="AF1105" s="109"/>
      <c r="AG1105" s="109"/>
      <c r="AH1105" s="109"/>
      <c r="AI1105" s="109"/>
      <c r="AJ1105" s="109"/>
      <c r="AK1105" s="109"/>
      <c r="AL1105" s="109"/>
      <c r="AM1105" s="109"/>
      <c r="AN1105" s="109"/>
      <c r="AO1105" s="109"/>
      <c r="AP1105" s="109"/>
      <c r="AQ1105" s="109"/>
      <c r="AR1105" s="109"/>
      <c r="AS1105" s="109"/>
      <c r="AT1105" s="109"/>
      <c r="AU1105" s="109"/>
      <c r="AV1105" s="109"/>
      <c r="AW1105" s="109"/>
      <c r="AX1105" s="109"/>
      <c r="AY1105" s="34" t="s">
        <v>232</v>
      </c>
      <c r="AZ1105" s="34"/>
      <c r="BA1105" s="47"/>
      <c r="BB1105" s="48"/>
      <c r="BI1105" s="42"/>
    </row>
    <row r="1106" spans="1:64" s="24" customFormat="1" ht="23.85" hidden="1" customHeight="1">
      <c r="A1106" s="32"/>
      <c r="B1106" s="158"/>
      <c r="C1106" s="78" t="s">
        <v>138</v>
      </c>
      <c r="D1106" s="35">
        <f t="shared" si="189"/>
        <v>0.15999999999999992</v>
      </c>
      <c r="E1106" s="35"/>
      <c r="F1106" s="35">
        <f t="shared" si="196"/>
        <v>0.15999999999999992</v>
      </c>
      <c r="G1106" s="147">
        <f>G1103-G1104-G1105</f>
        <v>0.15999999999999992</v>
      </c>
      <c r="H1106" s="147">
        <f t="shared" ref="H1106:AX1106" si="200">H1103-H1104-H1105</f>
        <v>0</v>
      </c>
      <c r="I1106" s="147">
        <f t="shared" si="200"/>
        <v>0</v>
      </c>
      <c r="J1106" s="147">
        <f t="shared" si="200"/>
        <v>0</v>
      </c>
      <c r="K1106" s="147">
        <f t="shared" si="200"/>
        <v>0</v>
      </c>
      <c r="L1106" s="147">
        <f t="shared" si="200"/>
        <v>0</v>
      </c>
      <c r="M1106" s="147">
        <f t="shared" si="200"/>
        <v>0</v>
      </c>
      <c r="N1106" s="147">
        <f t="shared" si="200"/>
        <v>0</v>
      </c>
      <c r="O1106" s="147">
        <f t="shared" si="200"/>
        <v>0</v>
      </c>
      <c r="P1106" s="147">
        <f t="shared" si="200"/>
        <v>0</v>
      </c>
      <c r="Q1106" s="147">
        <f t="shared" si="200"/>
        <v>0</v>
      </c>
      <c r="R1106" s="147">
        <f t="shared" si="200"/>
        <v>0</v>
      </c>
      <c r="S1106" s="147">
        <f t="shared" si="200"/>
        <v>0</v>
      </c>
      <c r="T1106" s="147">
        <f t="shared" si="200"/>
        <v>0</v>
      </c>
      <c r="U1106" s="147">
        <f t="shared" si="200"/>
        <v>0</v>
      </c>
      <c r="V1106" s="147">
        <f t="shared" si="200"/>
        <v>0</v>
      </c>
      <c r="W1106" s="147">
        <f t="shared" si="200"/>
        <v>0</v>
      </c>
      <c r="X1106" s="147">
        <f t="shared" si="200"/>
        <v>0</v>
      </c>
      <c r="Y1106" s="147">
        <f t="shared" si="200"/>
        <v>0</v>
      </c>
      <c r="Z1106" s="147">
        <f t="shared" si="200"/>
        <v>0</v>
      </c>
      <c r="AA1106" s="147">
        <f t="shared" si="200"/>
        <v>0</v>
      </c>
      <c r="AB1106" s="147">
        <f t="shared" si="200"/>
        <v>0</v>
      </c>
      <c r="AC1106" s="147">
        <f t="shared" si="200"/>
        <v>0</v>
      </c>
      <c r="AD1106" s="147">
        <f t="shared" si="200"/>
        <v>0</v>
      </c>
      <c r="AE1106" s="147">
        <f t="shared" si="200"/>
        <v>0</v>
      </c>
      <c r="AF1106" s="147">
        <f t="shared" si="200"/>
        <v>0</v>
      </c>
      <c r="AG1106" s="147">
        <f t="shared" si="200"/>
        <v>0</v>
      </c>
      <c r="AH1106" s="147">
        <f t="shared" si="200"/>
        <v>0</v>
      </c>
      <c r="AI1106" s="147">
        <f t="shared" si="200"/>
        <v>0</v>
      </c>
      <c r="AJ1106" s="147">
        <f t="shared" si="200"/>
        <v>0</v>
      </c>
      <c r="AK1106" s="147">
        <f t="shared" si="200"/>
        <v>0</v>
      </c>
      <c r="AL1106" s="147">
        <f t="shared" si="200"/>
        <v>0</v>
      </c>
      <c r="AM1106" s="147">
        <f t="shared" si="200"/>
        <v>0</v>
      </c>
      <c r="AN1106" s="147">
        <f t="shared" si="200"/>
        <v>0</v>
      </c>
      <c r="AO1106" s="147">
        <f t="shared" si="200"/>
        <v>0</v>
      </c>
      <c r="AP1106" s="147">
        <f t="shared" si="200"/>
        <v>0</v>
      </c>
      <c r="AQ1106" s="147">
        <f t="shared" si="200"/>
        <v>0</v>
      </c>
      <c r="AR1106" s="147">
        <f t="shared" si="200"/>
        <v>0</v>
      </c>
      <c r="AS1106" s="147">
        <f t="shared" si="200"/>
        <v>0</v>
      </c>
      <c r="AT1106" s="147">
        <f t="shared" si="200"/>
        <v>0</v>
      </c>
      <c r="AU1106" s="147">
        <f t="shared" si="200"/>
        <v>0</v>
      </c>
      <c r="AV1106" s="147">
        <f t="shared" si="200"/>
        <v>0</v>
      </c>
      <c r="AW1106" s="147">
        <f t="shared" si="200"/>
        <v>0</v>
      </c>
      <c r="AX1106" s="147">
        <f t="shared" si="200"/>
        <v>0</v>
      </c>
      <c r="AY1106" s="34" t="s">
        <v>232</v>
      </c>
      <c r="AZ1106" s="34"/>
      <c r="BA1106" s="47"/>
      <c r="BB1106" s="48"/>
      <c r="BI1106" s="42"/>
    </row>
    <row r="1107" spans="1:64" s="24" customFormat="1" ht="31.5">
      <c r="A1107" s="32">
        <f>A1103+1</f>
        <v>735</v>
      </c>
      <c r="B1107" s="158" t="s">
        <v>186</v>
      </c>
      <c r="C1107" s="78" t="s">
        <v>59</v>
      </c>
      <c r="D1107" s="35">
        <f t="shared" si="189"/>
        <v>0.25</v>
      </c>
      <c r="E1107" s="35"/>
      <c r="F1107" s="35">
        <f t="shared" si="196"/>
        <v>0.25</v>
      </c>
      <c r="G1107" s="109">
        <v>0.25</v>
      </c>
      <c r="H1107" s="109"/>
      <c r="I1107" s="109"/>
      <c r="J1107" s="109"/>
      <c r="K1107" s="109"/>
      <c r="L1107" s="109"/>
      <c r="M1107" s="109"/>
      <c r="N1107" s="109"/>
      <c r="O1107" s="109"/>
      <c r="P1107" s="109"/>
      <c r="Q1107" s="109"/>
      <c r="R1107" s="109"/>
      <c r="S1107" s="109"/>
      <c r="T1107" s="109"/>
      <c r="U1107" s="109"/>
      <c r="V1107" s="109"/>
      <c r="W1107" s="109"/>
      <c r="X1107" s="109"/>
      <c r="Y1107" s="109"/>
      <c r="Z1107" s="109"/>
      <c r="AA1107" s="109"/>
      <c r="AB1107" s="109"/>
      <c r="AC1107" s="109"/>
      <c r="AD1107" s="109"/>
      <c r="AE1107" s="109"/>
      <c r="AF1107" s="109"/>
      <c r="AG1107" s="109"/>
      <c r="AH1107" s="109"/>
      <c r="AI1107" s="109"/>
      <c r="AJ1107" s="109"/>
      <c r="AK1107" s="109"/>
      <c r="AL1107" s="109"/>
      <c r="AM1107" s="109"/>
      <c r="AN1107" s="109"/>
      <c r="AO1107" s="109"/>
      <c r="AP1107" s="109"/>
      <c r="AQ1107" s="109"/>
      <c r="AR1107" s="109"/>
      <c r="AS1107" s="109"/>
      <c r="AT1107" s="109"/>
      <c r="AU1107" s="109"/>
      <c r="AV1107" s="109"/>
      <c r="AW1107" s="109"/>
      <c r="AX1107" s="109"/>
      <c r="AY1107" s="34" t="s">
        <v>232</v>
      </c>
      <c r="AZ1107" s="34" t="s">
        <v>1541</v>
      </c>
      <c r="BA1107" s="63" t="s">
        <v>291</v>
      </c>
      <c r="BB1107" s="64"/>
      <c r="BI1107" s="42">
        <v>1</v>
      </c>
    </row>
    <row r="1108" spans="1:64" s="24" customFormat="1" ht="18" customHeight="1">
      <c r="A1108" s="32">
        <f>A1107+1</f>
        <v>736</v>
      </c>
      <c r="B1108" s="158" t="s">
        <v>186</v>
      </c>
      <c r="C1108" s="78" t="s">
        <v>59</v>
      </c>
      <c r="D1108" s="35">
        <f t="shared" si="189"/>
        <v>0.13</v>
      </c>
      <c r="E1108" s="35"/>
      <c r="F1108" s="35">
        <f t="shared" si="196"/>
        <v>0.13</v>
      </c>
      <c r="G1108" s="109"/>
      <c r="H1108" s="109"/>
      <c r="I1108" s="109"/>
      <c r="J1108" s="109"/>
      <c r="K1108" s="109"/>
      <c r="L1108" s="109"/>
      <c r="M1108" s="109"/>
      <c r="N1108" s="109"/>
      <c r="O1108" s="109"/>
      <c r="P1108" s="109"/>
      <c r="Q1108" s="109">
        <v>0.13</v>
      </c>
      <c r="R1108" s="109"/>
      <c r="S1108" s="109"/>
      <c r="T1108" s="109"/>
      <c r="U1108" s="109"/>
      <c r="V1108" s="109"/>
      <c r="W1108" s="109"/>
      <c r="X1108" s="109"/>
      <c r="Y1108" s="109"/>
      <c r="Z1108" s="109"/>
      <c r="AA1108" s="109"/>
      <c r="AB1108" s="109"/>
      <c r="AC1108" s="109"/>
      <c r="AD1108" s="109"/>
      <c r="AE1108" s="109"/>
      <c r="AF1108" s="109"/>
      <c r="AG1108" s="109"/>
      <c r="AH1108" s="109"/>
      <c r="AI1108" s="109"/>
      <c r="AJ1108" s="109"/>
      <c r="AK1108" s="109"/>
      <c r="AL1108" s="109"/>
      <c r="AM1108" s="109"/>
      <c r="AN1108" s="109"/>
      <c r="AO1108" s="109"/>
      <c r="AP1108" s="109"/>
      <c r="AQ1108" s="109"/>
      <c r="AR1108" s="109"/>
      <c r="AS1108" s="109"/>
      <c r="AT1108" s="109"/>
      <c r="AU1108" s="109"/>
      <c r="AV1108" s="109"/>
      <c r="AW1108" s="109"/>
      <c r="AX1108" s="109"/>
      <c r="AY1108" s="34" t="s">
        <v>232</v>
      </c>
      <c r="AZ1108" s="34" t="s">
        <v>410</v>
      </c>
      <c r="BA1108" s="47" t="s">
        <v>298</v>
      </c>
      <c r="BB1108" s="64"/>
      <c r="BC1108" s="24" t="s">
        <v>381</v>
      </c>
      <c r="BI1108" s="42">
        <v>1</v>
      </c>
    </row>
    <row r="1109" spans="1:64" s="24" customFormat="1" ht="23.1" customHeight="1">
      <c r="A1109" s="32">
        <f>A1108+1</f>
        <v>737</v>
      </c>
      <c r="B1109" s="60" t="s">
        <v>1542</v>
      </c>
      <c r="C1109" s="78" t="s">
        <v>1260</v>
      </c>
      <c r="D1109" s="35">
        <f t="shared" si="189"/>
        <v>4.8600000000000012</v>
      </c>
      <c r="E1109" s="35"/>
      <c r="F1109" s="35">
        <f t="shared" si="196"/>
        <v>4.8600000000000012</v>
      </c>
      <c r="G1109" s="109">
        <v>3.43</v>
      </c>
      <c r="H1109" s="109">
        <v>0.65</v>
      </c>
      <c r="I1109" s="109">
        <v>0.08</v>
      </c>
      <c r="J1109" s="109">
        <v>0.19</v>
      </c>
      <c r="K1109" s="109"/>
      <c r="L1109" s="109"/>
      <c r="M1109" s="109"/>
      <c r="N1109" s="109"/>
      <c r="O1109" s="109"/>
      <c r="P1109" s="109"/>
      <c r="Q1109" s="109"/>
      <c r="R1109" s="109"/>
      <c r="S1109" s="109"/>
      <c r="T1109" s="109"/>
      <c r="U1109" s="109"/>
      <c r="V1109" s="109"/>
      <c r="W1109" s="109"/>
      <c r="X1109" s="109"/>
      <c r="Y1109" s="109"/>
      <c r="Z1109" s="109">
        <v>0.27</v>
      </c>
      <c r="AA1109" s="109">
        <v>0.08</v>
      </c>
      <c r="AB1109" s="109"/>
      <c r="AC1109" s="109">
        <v>7.0000000000000007E-2</v>
      </c>
      <c r="AD1109" s="109"/>
      <c r="AE1109" s="109"/>
      <c r="AF1109" s="109"/>
      <c r="AG1109" s="109"/>
      <c r="AH1109" s="109"/>
      <c r="AI1109" s="109"/>
      <c r="AJ1109" s="109"/>
      <c r="AK1109" s="109"/>
      <c r="AL1109" s="109"/>
      <c r="AM1109" s="109"/>
      <c r="AN1109" s="109">
        <v>0.06</v>
      </c>
      <c r="AO1109" s="109"/>
      <c r="AP1109" s="109">
        <v>0.03</v>
      </c>
      <c r="AQ1109" s="109"/>
      <c r="AR1109" s="109"/>
      <c r="AS1109" s="109"/>
      <c r="AT1109" s="109"/>
      <c r="AU1109" s="109"/>
      <c r="AV1109" s="109"/>
      <c r="AW1109" s="109"/>
      <c r="AX1109" s="109"/>
      <c r="AY1109" s="34" t="s">
        <v>232</v>
      </c>
      <c r="AZ1109" s="34" t="s">
        <v>1543</v>
      </c>
      <c r="BA1109" s="63" t="s">
        <v>291</v>
      </c>
      <c r="BB1109" s="64"/>
      <c r="BI1109" s="42">
        <v>1</v>
      </c>
    </row>
    <row r="1110" spans="1:64" s="24" customFormat="1" ht="23.1" hidden="1" customHeight="1">
      <c r="A1110" s="32"/>
      <c r="B1110" s="60"/>
      <c r="C1110" s="78" t="s">
        <v>59</v>
      </c>
      <c r="D1110" s="35">
        <f t="shared" si="189"/>
        <v>2.35</v>
      </c>
      <c r="E1110" s="35"/>
      <c r="F1110" s="35">
        <f t="shared" si="196"/>
        <v>2.35</v>
      </c>
      <c r="G1110" s="109">
        <v>1.78</v>
      </c>
      <c r="H1110" s="109">
        <v>0.2</v>
      </c>
      <c r="I1110" s="109">
        <v>0.08</v>
      </c>
      <c r="J1110" s="109">
        <v>0.19</v>
      </c>
      <c r="K1110" s="109"/>
      <c r="L1110" s="109"/>
      <c r="M1110" s="109"/>
      <c r="N1110" s="109"/>
      <c r="O1110" s="109"/>
      <c r="P1110" s="109"/>
      <c r="Q1110" s="109"/>
      <c r="R1110" s="109"/>
      <c r="S1110" s="109"/>
      <c r="T1110" s="109"/>
      <c r="U1110" s="109"/>
      <c r="V1110" s="109"/>
      <c r="W1110" s="109"/>
      <c r="X1110" s="109"/>
      <c r="Y1110" s="109"/>
      <c r="Z1110" s="109">
        <v>0.1</v>
      </c>
      <c r="AA1110" s="109"/>
      <c r="AB1110" s="109"/>
      <c r="AC1110" s="109"/>
      <c r="AD1110" s="109"/>
      <c r="AE1110" s="109"/>
      <c r="AF1110" s="109"/>
      <c r="AG1110" s="109"/>
      <c r="AH1110" s="109"/>
      <c r="AI1110" s="109"/>
      <c r="AJ1110" s="109"/>
      <c r="AK1110" s="109"/>
      <c r="AL1110" s="109"/>
      <c r="AM1110" s="109"/>
      <c r="AN1110" s="109"/>
      <c r="AO1110" s="109"/>
      <c r="AP1110" s="109"/>
      <c r="AQ1110" s="109"/>
      <c r="AR1110" s="109"/>
      <c r="AS1110" s="109"/>
      <c r="AT1110" s="109"/>
      <c r="AU1110" s="109"/>
      <c r="AV1110" s="109"/>
      <c r="AW1110" s="109"/>
      <c r="AX1110" s="109"/>
      <c r="AY1110" s="34" t="s">
        <v>232</v>
      </c>
      <c r="AZ1110" s="34"/>
      <c r="BA1110" s="63"/>
      <c r="BB1110" s="64"/>
      <c r="BI1110" s="42"/>
    </row>
    <row r="1111" spans="1:64" s="24" customFormat="1" ht="23.1" hidden="1" customHeight="1">
      <c r="A1111" s="32"/>
      <c r="B1111" s="60"/>
      <c r="C1111" s="78" t="s">
        <v>49</v>
      </c>
      <c r="D1111" s="35">
        <f t="shared" si="189"/>
        <v>7.0000000000000007E-2</v>
      </c>
      <c r="E1111" s="35"/>
      <c r="F1111" s="35">
        <f t="shared" si="196"/>
        <v>7.0000000000000007E-2</v>
      </c>
      <c r="G1111" s="109"/>
      <c r="H1111" s="109"/>
      <c r="I1111" s="109"/>
      <c r="J1111" s="109"/>
      <c r="K1111" s="109"/>
      <c r="L1111" s="109"/>
      <c r="M1111" s="109"/>
      <c r="N1111" s="109"/>
      <c r="O1111" s="109"/>
      <c r="P1111" s="109"/>
      <c r="Q1111" s="109"/>
      <c r="R1111" s="109"/>
      <c r="S1111" s="109"/>
      <c r="T1111" s="109"/>
      <c r="U1111" s="109"/>
      <c r="V1111" s="109"/>
      <c r="W1111" s="109"/>
      <c r="X1111" s="109"/>
      <c r="Y1111" s="109"/>
      <c r="Z1111" s="109"/>
      <c r="AA1111" s="109"/>
      <c r="AB1111" s="109"/>
      <c r="AC1111" s="109">
        <v>7.0000000000000007E-2</v>
      </c>
      <c r="AD1111" s="109"/>
      <c r="AE1111" s="109"/>
      <c r="AF1111" s="109"/>
      <c r="AG1111" s="109"/>
      <c r="AH1111" s="109"/>
      <c r="AI1111" s="109"/>
      <c r="AJ1111" s="109"/>
      <c r="AK1111" s="109"/>
      <c r="AL1111" s="109"/>
      <c r="AM1111" s="109"/>
      <c r="AN1111" s="109"/>
      <c r="AO1111" s="109"/>
      <c r="AP1111" s="109"/>
      <c r="AQ1111" s="109"/>
      <c r="AR1111" s="109"/>
      <c r="AS1111" s="109"/>
      <c r="AT1111" s="109"/>
      <c r="AU1111" s="109"/>
      <c r="AV1111" s="109"/>
      <c r="AW1111" s="109"/>
      <c r="AX1111" s="109"/>
      <c r="AY1111" s="34" t="s">
        <v>232</v>
      </c>
      <c r="AZ1111" s="34"/>
      <c r="BA1111" s="63"/>
      <c r="BB1111" s="64"/>
      <c r="BI1111" s="42"/>
    </row>
    <row r="1112" spans="1:64" s="24" customFormat="1" ht="23.1" hidden="1" customHeight="1">
      <c r="A1112" s="32"/>
      <c r="B1112" s="60"/>
      <c r="C1112" s="78" t="s">
        <v>112</v>
      </c>
      <c r="D1112" s="35">
        <f t="shared" si="189"/>
        <v>0.14000000000000001</v>
      </c>
      <c r="E1112" s="35"/>
      <c r="F1112" s="35">
        <f t="shared" si="196"/>
        <v>0.14000000000000001</v>
      </c>
      <c r="G1112" s="109">
        <v>0.05</v>
      </c>
      <c r="H1112" s="109">
        <v>0.03</v>
      </c>
      <c r="I1112" s="109"/>
      <c r="J1112" s="109"/>
      <c r="K1112" s="109"/>
      <c r="L1112" s="109"/>
      <c r="M1112" s="109"/>
      <c r="N1112" s="109"/>
      <c r="O1112" s="109"/>
      <c r="P1112" s="109"/>
      <c r="Q1112" s="109"/>
      <c r="R1112" s="109"/>
      <c r="S1112" s="109"/>
      <c r="T1112" s="109"/>
      <c r="U1112" s="109"/>
      <c r="V1112" s="109"/>
      <c r="W1112" s="109"/>
      <c r="X1112" s="109"/>
      <c r="Y1112" s="109"/>
      <c r="Z1112" s="109"/>
      <c r="AA1112" s="109"/>
      <c r="AB1112" s="109"/>
      <c r="AC1112" s="109"/>
      <c r="AD1112" s="109"/>
      <c r="AE1112" s="109"/>
      <c r="AF1112" s="109"/>
      <c r="AG1112" s="109"/>
      <c r="AH1112" s="109"/>
      <c r="AI1112" s="109"/>
      <c r="AJ1112" s="109"/>
      <c r="AK1112" s="109"/>
      <c r="AL1112" s="109"/>
      <c r="AM1112" s="109"/>
      <c r="AN1112" s="109">
        <v>0.06</v>
      </c>
      <c r="AO1112" s="109"/>
      <c r="AP1112" s="109"/>
      <c r="AQ1112" s="109"/>
      <c r="AR1112" s="109"/>
      <c r="AS1112" s="109"/>
      <c r="AT1112" s="109"/>
      <c r="AU1112" s="109"/>
      <c r="AV1112" s="109"/>
      <c r="AW1112" s="109"/>
      <c r="AX1112" s="109"/>
      <c r="AY1112" s="34" t="s">
        <v>232</v>
      </c>
      <c r="AZ1112" s="34"/>
      <c r="BA1112" s="63"/>
      <c r="BB1112" s="64"/>
      <c r="BG1112" s="24" t="s">
        <v>1544</v>
      </c>
      <c r="BI1112" s="42"/>
      <c r="BL1112" s="24" t="s">
        <v>1545</v>
      </c>
    </row>
    <row r="1113" spans="1:64" s="24" customFormat="1" ht="23.1" hidden="1" customHeight="1">
      <c r="A1113" s="32"/>
      <c r="B1113" s="60"/>
      <c r="C1113" s="78" t="s">
        <v>44</v>
      </c>
      <c r="D1113" s="35">
        <f t="shared" si="189"/>
        <v>1.96</v>
      </c>
      <c r="E1113" s="35"/>
      <c r="F1113" s="35">
        <f t="shared" si="196"/>
        <v>1.96</v>
      </c>
      <c r="G1113" s="109">
        <v>1.46</v>
      </c>
      <c r="H1113" s="109">
        <v>0.3</v>
      </c>
      <c r="I1113" s="109"/>
      <c r="J1113" s="109"/>
      <c r="K1113" s="109"/>
      <c r="L1113" s="109"/>
      <c r="M1113" s="109"/>
      <c r="N1113" s="109"/>
      <c r="O1113" s="109"/>
      <c r="P1113" s="109"/>
      <c r="Q1113" s="109"/>
      <c r="R1113" s="109"/>
      <c r="S1113" s="109"/>
      <c r="T1113" s="109"/>
      <c r="U1113" s="109"/>
      <c r="V1113" s="109"/>
      <c r="W1113" s="109"/>
      <c r="X1113" s="109"/>
      <c r="Y1113" s="109"/>
      <c r="Z1113" s="109">
        <v>0.17</v>
      </c>
      <c r="AA1113" s="109"/>
      <c r="AB1113" s="109"/>
      <c r="AC1113" s="109"/>
      <c r="AD1113" s="109"/>
      <c r="AE1113" s="109"/>
      <c r="AF1113" s="109"/>
      <c r="AG1113" s="109"/>
      <c r="AH1113" s="109"/>
      <c r="AI1113" s="109"/>
      <c r="AJ1113" s="109"/>
      <c r="AK1113" s="109"/>
      <c r="AL1113" s="109"/>
      <c r="AM1113" s="109"/>
      <c r="AN1113" s="109"/>
      <c r="AO1113" s="109"/>
      <c r="AP1113" s="109">
        <v>0.03</v>
      </c>
      <c r="AQ1113" s="109"/>
      <c r="AR1113" s="109"/>
      <c r="AS1113" s="109"/>
      <c r="AT1113" s="109"/>
      <c r="AU1113" s="109"/>
      <c r="AV1113" s="109"/>
      <c r="AW1113" s="109"/>
      <c r="AX1113" s="109"/>
      <c r="AY1113" s="34" t="s">
        <v>232</v>
      </c>
      <c r="AZ1113" s="34"/>
      <c r="BA1113" s="63"/>
      <c r="BB1113" s="64"/>
      <c r="BI1113" s="42"/>
    </row>
    <row r="1114" spans="1:64" s="24" customFormat="1" ht="23.1" hidden="1" customHeight="1">
      <c r="A1114" s="32"/>
      <c r="B1114" s="60"/>
      <c r="C1114" s="78" t="s">
        <v>138</v>
      </c>
      <c r="D1114" s="35">
        <f t="shared" si="189"/>
        <v>0.34000000000000019</v>
      </c>
      <c r="E1114" s="35"/>
      <c r="F1114" s="35">
        <f t="shared" si="196"/>
        <v>0.34000000000000019</v>
      </c>
      <c r="G1114" s="147">
        <f>G1109-G1110-G1111-G1112-G1113</f>
        <v>0.14000000000000012</v>
      </c>
      <c r="H1114" s="147">
        <f t="shared" ref="H1114:AX1114" si="201">H1109-H1110-H1111-H1112-H1113</f>
        <v>0.12000000000000005</v>
      </c>
      <c r="I1114" s="147">
        <f t="shared" si="201"/>
        <v>0</v>
      </c>
      <c r="J1114" s="147">
        <f t="shared" si="201"/>
        <v>0</v>
      </c>
      <c r="K1114" s="147">
        <f t="shared" si="201"/>
        <v>0</v>
      </c>
      <c r="L1114" s="147">
        <f t="shared" si="201"/>
        <v>0</v>
      </c>
      <c r="M1114" s="147">
        <f t="shared" si="201"/>
        <v>0</v>
      </c>
      <c r="N1114" s="147">
        <f t="shared" si="201"/>
        <v>0</v>
      </c>
      <c r="O1114" s="147">
        <f t="shared" si="201"/>
        <v>0</v>
      </c>
      <c r="P1114" s="147">
        <f t="shared" si="201"/>
        <v>0</v>
      </c>
      <c r="Q1114" s="147">
        <f t="shared" si="201"/>
        <v>0</v>
      </c>
      <c r="R1114" s="147">
        <f t="shared" si="201"/>
        <v>0</v>
      </c>
      <c r="S1114" s="147">
        <f t="shared" si="201"/>
        <v>0</v>
      </c>
      <c r="T1114" s="147">
        <f t="shared" si="201"/>
        <v>0</v>
      </c>
      <c r="U1114" s="147">
        <f t="shared" si="201"/>
        <v>0</v>
      </c>
      <c r="V1114" s="147">
        <f t="shared" si="201"/>
        <v>0</v>
      </c>
      <c r="W1114" s="147">
        <f t="shared" si="201"/>
        <v>0</v>
      </c>
      <c r="X1114" s="147">
        <f t="shared" si="201"/>
        <v>0</v>
      </c>
      <c r="Y1114" s="147">
        <f t="shared" si="201"/>
        <v>0</v>
      </c>
      <c r="Z1114" s="147">
        <f t="shared" si="201"/>
        <v>0</v>
      </c>
      <c r="AA1114" s="147">
        <f t="shared" si="201"/>
        <v>0.08</v>
      </c>
      <c r="AB1114" s="147">
        <f t="shared" si="201"/>
        <v>0</v>
      </c>
      <c r="AC1114" s="147">
        <f t="shared" si="201"/>
        <v>0</v>
      </c>
      <c r="AD1114" s="147">
        <f t="shared" si="201"/>
        <v>0</v>
      </c>
      <c r="AE1114" s="147">
        <f t="shared" si="201"/>
        <v>0</v>
      </c>
      <c r="AF1114" s="147">
        <f t="shared" si="201"/>
        <v>0</v>
      </c>
      <c r="AG1114" s="147">
        <f t="shared" si="201"/>
        <v>0</v>
      </c>
      <c r="AH1114" s="147">
        <f t="shared" si="201"/>
        <v>0</v>
      </c>
      <c r="AI1114" s="147">
        <f t="shared" si="201"/>
        <v>0</v>
      </c>
      <c r="AJ1114" s="147">
        <f t="shared" si="201"/>
        <v>0</v>
      </c>
      <c r="AK1114" s="147">
        <f t="shared" si="201"/>
        <v>0</v>
      </c>
      <c r="AL1114" s="147">
        <f t="shared" si="201"/>
        <v>0</v>
      </c>
      <c r="AM1114" s="147">
        <f t="shared" si="201"/>
        <v>0</v>
      </c>
      <c r="AN1114" s="147">
        <f t="shared" si="201"/>
        <v>0</v>
      </c>
      <c r="AO1114" s="147">
        <f t="shared" si="201"/>
        <v>0</v>
      </c>
      <c r="AP1114" s="147">
        <f t="shared" si="201"/>
        <v>0</v>
      </c>
      <c r="AQ1114" s="147">
        <f t="shared" si="201"/>
        <v>0</v>
      </c>
      <c r="AR1114" s="147">
        <f t="shared" si="201"/>
        <v>0</v>
      </c>
      <c r="AS1114" s="147">
        <f t="shared" si="201"/>
        <v>0</v>
      </c>
      <c r="AT1114" s="147">
        <f t="shared" si="201"/>
        <v>0</v>
      </c>
      <c r="AU1114" s="147">
        <f t="shared" si="201"/>
        <v>0</v>
      </c>
      <c r="AV1114" s="147">
        <f t="shared" si="201"/>
        <v>0</v>
      </c>
      <c r="AW1114" s="147">
        <f t="shared" si="201"/>
        <v>0</v>
      </c>
      <c r="AX1114" s="147">
        <f t="shared" si="201"/>
        <v>0</v>
      </c>
      <c r="AY1114" s="34" t="s">
        <v>232</v>
      </c>
      <c r="AZ1114" s="34"/>
      <c r="BA1114" s="63"/>
      <c r="BB1114" s="64"/>
      <c r="BI1114" s="42"/>
    </row>
    <row r="1115" spans="1:64" s="24" customFormat="1" ht="76.349999999999994" customHeight="1">
      <c r="A1115" s="32">
        <f>A1109+1</f>
        <v>738</v>
      </c>
      <c r="B1115" s="60" t="s">
        <v>1332</v>
      </c>
      <c r="C1115" s="78" t="s">
        <v>59</v>
      </c>
      <c r="D1115" s="35">
        <f t="shared" si="189"/>
        <v>0.35</v>
      </c>
      <c r="E1115" s="35"/>
      <c r="F1115" s="35">
        <f t="shared" si="196"/>
        <v>0.35</v>
      </c>
      <c r="G1115" s="109">
        <v>0.1</v>
      </c>
      <c r="H1115" s="109"/>
      <c r="I1115" s="109">
        <v>0.25</v>
      </c>
      <c r="J1115" s="109"/>
      <c r="K1115" s="109"/>
      <c r="L1115" s="109"/>
      <c r="M1115" s="109"/>
      <c r="N1115" s="109"/>
      <c r="O1115" s="109"/>
      <c r="P1115" s="109"/>
      <c r="Q1115" s="109"/>
      <c r="R1115" s="109"/>
      <c r="S1115" s="109"/>
      <c r="T1115" s="109"/>
      <c r="U1115" s="109"/>
      <c r="V1115" s="109"/>
      <c r="W1115" s="109"/>
      <c r="X1115" s="109"/>
      <c r="Y1115" s="109"/>
      <c r="Z1115" s="109"/>
      <c r="AA1115" s="109"/>
      <c r="AB1115" s="109"/>
      <c r="AC1115" s="109"/>
      <c r="AD1115" s="109"/>
      <c r="AE1115" s="109"/>
      <c r="AF1115" s="109"/>
      <c r="AG1115" s="109"/>
      <c r="AH1115" s="109"/>
      <c r="AI1115" s="109"/>
      <c r="AJ1115" s="109"/>
      <c r="AK1115" s="109"/>
      <c r="AL1115" s="109"/>
      <c r="AM1115" s="109"/>
      <c r="AN1115" s="109"/>
      <c r="AO1115" s="109"/>
      <c r="AP1115" s="109"/>
      <c r="AQ1115" s="109"/>
      <c r="AR1115" s="109"/>
      <c r="AS1115" s="109"/>
      <c r="AT1115" s="109"/>
      <c r="AU1115" s="109"/>
      <c r="AV1115" s="109"/>
      <c r="AW1115" s="109"/>
      <c r="AX1115" s="109"/>
      <c r="AY1115" s="34" t="s">
        <v>232</v>
      </c>
      <c r="AZ1115" s="34" t="s">
        <v>1546</v>
      </c>
      <c r="BA1115" s="63" t="s">
        <v>291</v>
      </c>
      <c r="BB1115" s="64"/>
      <c r="BI1115" s="42">
        <v>1</v>
      </c>
    </row>
    <row r="1116" spans="1:64" s="24" customFormat="1" ht="20.85" customHeight="1">
      <c r="A1116" s="32">
        <f>A1115+1</f>
        <v>739</v>
      </c>
      <c r="B1116" s="33" t="s">
        <v>1547</v>
      </c>
      <c r="C1116" s="78" t="s">
        <v>1260</v>
      </c>
      <c r="D1116" s="35">
        <f t="shared" si="189"/>
        <v>0.95</v>
      </c>
      <c r="E1116" s="108"/>
      <c r="F1116" s="35">
        <f t="shared" si="196"/>
        <v>0.95</v>
      </c>
      <c r="G1116" s="109"/>
      <c r="H1116" s="109"/>
      <c r="I1116" s="109"/>
      <c r="J1116" s="109"/>
      <c r="K1116" s="109"/>
      <c r="L1116" s="109"/>
      <c r="M1116" s="109"/>
      <c r="N1116" s="109"/>
      <c r="O1116" s="109"/>
      <c r="P1116" s="109"/>
      <c r="Q1116" s="109"/>
      <c r="R1116" s="109">
        <v>0.95</v>
      </c>
      <c r="S1116" s="109"/>
      <c r="T1116" s="109"/>
      <c r="U1116" s="109"/>
      <c r="V1116" s="109"/>
      <c r="W1116" s="109"/>
      <c r="X1116" s="109"/>
      <c r="Y1116" s="109"/>
      <c r="Z1116" s="109"/>
      <c r="AA1116" s="109"/>
      <c r="AB1116" s="109"/>
      <c r="AC1116" s="109"/>
      <c r="AD1116" s="109"/>
      <c r="AE1116" s="109"/>
      <c r="AF1116" s="109"/>
      <c r="AG1116" s="109"/>
      <c r="AH1116" s="109"/>
      <c r="AI1116" s="109"/>
      <c r="AJ1116" s="109"/>
      <c r="AK1116" s="109"/>
      <c r="AL1116" s="109"/>
      <c r="AM1116" s="109"/>
      <c r="AN1116" s="109"/>
      <c r="AO1116" s="109"/>
      <c r="AP1116" s="109"/>
      <c r="AQ1116" s="109"/>
      <c r="AR1116" s="109"/>
      <c r="AS1116" s="109"/>
      <c r="AT1116" s="109"/>
      <c r="AU1116" s="109"/>
      <c r="AV1116" s="109"/>
      <c r="AW1116" s="109"/>
      <c r="AX1116" s="109"/>
      <c r="AY1116" s="34" t="s">
        <v>232</v>
      </c>
      <c r="AZ1116" s="34" t="s">
        <v>425</v>
      </c>
      <c r="BA1116" s="39" t="s">
        <v>291</v>
      </c>
      <c r="BB1116" s="40"/>
      <c r="BI1116" s="42">
        <v>1</v>
      </c>
    </row>
    <row r="1117" spans="1:64" s="24" customFormat="1" ht="20.85" hidden="1" customHeight="1">
      <c r="A1117" s="32"/>
      <c r="B1117" s="33"/>
      <c r="C1117" s="78" t="s">
        <v>59</v>
      </c>
      <c r="D1117" s="35">
        <f t="shared" si="189"/>
        <v>0.33</v>
      </c>
      <c r="E1117" s="108"/>
      <c r="F1117" s="35">
        <f t="shared" si="196"/>
        <v>0.33</v>
      </c>
      <c r="G1117" s="109"/>
      <c r="H1117" s="109"/>
      <c r="I1117" s="109"/>
      <c r="J1117" s="109"/>
      <c r="K1117" s="109"/>
      <c r="L1117" s="109"/>
      <c r="M1117" s="109"/>
      <c r="N1117" s="109"/>
      <c r="O1117" s="109"/>
      <c r="P1117" s="109"/>
      <c r="Q1117" s="109"/>
      <c r="R1117" s="109">
        <v>0.33</v>
      </c>
      <c r="S1117" s="109"/>
      <c r="T1117" s="109"/>
      <c r="U1117" s="109"/>
      <c r="V1117" s="109"/>
      <c r="W1117" s="109"/>
      <c r="X1117" s="109"/>
      <c r="Y1117" s="109"/>
      <c r="Z1117" s="109"/>
      <c r="AA1117" s="109"/>
      <c r="AB1117" s="109"/>
      <c r="AC1117" s="109"/>
      <c r="AD1117" s="109"/>
      <c r="AE1117" s="109"/>
      <c r="AF1117" s="109"/>
      <c r="AG1117" s="109"/>
      <c r="AH1117" s="109"/>
      <c r="AI1117" s="109"/>
      <c r="AJ1117" s="109"/>
      <c r="AK1117" s="109"/>
      <c r="AL1117" s="109"/>
      <c r="AM1117" s="109"/>
      <c r="AN1117" s="109"/>
      <c r="AO1117" s="109"/>
      <c r="AP1117" s="109"/>
      <c r="AQ1117" s="109"/>
      <c r="AR1117" s="109"/>
      <c r="AS1117" s="109"/>
      <c r="AT1117" s="109"/>
      <c r="AU1117" s="109"/>
      <c r="AV1117" s="109"/>
      <c r="AW1117" s="109"/>
      <c r="AX1117" s="109"/>
      <c r="AY1117" s="34" t="s">
        <v>232</v>
      </c>
      <c r="AZ1117" s="34"/>
      <c r="BA1117" s="39"/>
      <c r="BB1117" s="40"/>
      <c r="BI1117" s="42"/>
    </row>
    <row r="1118" spans="1:64" s="24" customFormat="1" ht="20.85" hidden="1" customHeight="1">
      <c r="A1118" s="32"/>
      <c r="B1118" s="33"/>
      <c r="C1118" s="78" t="s">
        <v>44</v>
      </c>
      <c r="D1118" s="35">
        <f t="shared" si="189"/>
        <v>0.38</v>
      </c>
      <c r="E1118" s="108"/>
      <c r="F1118" s="35">
        <f t="shared" si="196"/>
        <v>0.38</v>
      </c>
      <c r="G1118" s="109"/>
      <c r="H1118" s="109"/>
      <c r="I1118" s="109"/>
      <c r="J1118" s="109"/>
      <c r="K1118" s="109"/>
      <c r="L1118" s="109"/>
      <c r="M1118" s="109"/>
      <c r="N1118" s="109"/>
      <c r="O1118" s="109"/>
      <c r="P1118" s="109"/>
      <c r="Q1118" s="109"/>
      <c r="R1118" s="109">
        <v>0.38</v>
      </c>
      <c r="S1118" s="109"/>
      <c r="T1118" s="109"/>
      <c r="U1118" s="109"/>
      <c r="V1118" s="109"/>
      <c r="W1118" s="109"/>
      <c r="X1118" s="109"/>
      <c r="Y1118" s="109"/>
      <c r="Z1118" s="109"/>
      <c r="AA1118" s="109"/>
      <c r="AB1118" s="109"/>
      <c r="AC1118" s="109"/>
      <c r="AD1118" s="109"/>
      <c r="AE1118" s="109"/>
      <c r="AF1118" s="109"/>
      <c r="AG1118" s="109"/>
      <c r="AH1118" s="109"/>
      <c r="AI1118" s="109"/>
      <c r="AJ1118" s="109"/>
      <c r="AK1118" s="109"/>
      <c r="AL1118" s="109"/>
      <c r="AM1118" s="109"/>
      <c r="AN1118" s="109"/>
      <c r="AO1118" s="109"/>
      <c r="AP1118" s="109"/>
      <c r="AQ1118" s="109"/>
      <c r="AR1118" s="109"/>
      <c r="AS1118" s="109"/>
      <c r="AT1118" s="109"/>
      <c r="AU1118" s="109"/>
      <c r="AV1118" s="109"/>
      <c r="AW1118" s="109"/>
      <c r="AX1118" s="109"/>
      <c r="AY1118" s="34" t="s">
        <v>232</v>
      </c>
      <c r="AZ1118" s="34"/>
      <c r="BA1118" s="39"/>
      <c r="BB1118" s="40"/>
      <c r="BI1118" s="42"/>
    </row>
    <row r="1119" spans="1:64" s="24" customFormat="1" ht="20.85" hidden="1" customHeight="1">
      <c r="A1119" s="32"/>
      <c r="B1119" s="33"/>
      <c r="C1119" s="78" t="s">
        <v>138</v>
      </c>
      <c r="D1119" s="35">
        <f t="shared" si="189"/>
        <v>0.23999999999999988</v>
      </c>
      <c r="E1119" s="108"/>
      <c r="F1119" s="35">
        <f t="shared" si="196"/>
        <v>0.23999999999999988</v>
      </c>
      <c r="G1119" s="147">
        <f t="shared" ref="G1119:AW1119" si="202">G1116-G1117-G1118</f>
        <v>0</v>
      </c>
      <c r="H1119" s="147">
        <f t="shared" si="202"/>
        <v>0</v>
      </c>
      <c r="I1119" s="147">
        <f t="shared" si="202"/>
        <v>0</v>
      </c>
      <c r="J1119" s="147">
        <f t="shared" si="202"/>
        <v>0</v>
      </c>
      <c r="K1119" s="147">
        <f t="shared" si="202"/>
        <v>0</v>
      </c>
      <c r="L1119" s="147">
        <f t="shared" si="202"/>
        <v>0</v>
      </c>
      <c r="M1119" s="147">
        <f t="shared" si="202"/>
        <v>0</v>
      </c>
      <c r="N1119" s="147">
        <f t="shared" si="202"/>
        <v>0</v>
      </c>
      <c r="O1119" s="147">
        <f t="shared" si="202"/>
        <v>0</v>
      </c>
      <c r="P1119" s="147">
        <f t="shared" si="202"/>
        <v>0</v>
      </c>
      <c r="Q1119" s="147">
        <f t="shared" si="202"/>
        <v>0</v>
      </c>
      <c r="R1119" s="147">
        <f t="shared" si="202"/>
        <v>0.23999999999999988</v>
      </c>
      <c r="S1119" s="147">
        <f t="shared" si="202"/>
        <v>0</v>
      </c>
      <c r="T1119" s="147">
        <f t="shared" si="202"/>
        <v>0</v>
      </c>
      <c r="U1119" s="147">
        <f t="shared" si="202"/>
        <v>0</v>
      </c>
      <c r="V1119" s="147">
        <f t="shared" si="202"/>
        <v>0</v>
      </c>
      <c r="W1119" s="147">
        <f t="shared" si="202"/>
        <v>0</v>
      </c>
      <c r="X1119" s="147">
        <f t="shared" si="202"/>
        <v>0</v>
      </c>
      <c r="Y1119" s="147">
        <f t="shared" si="202"/>
        <v>0</v>
      </c>
      <c r="Z1119" s="147">
        <f t="shared" si="202"/>
        <v>0</v>
      </c>
      <c r="AA1119" s="147">
        <f t="shared" si="202"/>
        <v>0</v>
      </c>
      <c r="AB1119" s="147">
        <f t="shared" si="202"/>
        <v>0</v>
      </c>
      <c r="AC1119" s="147">
        <f t="shared" si="202"/>
        <v>0</v>
      </c>
      <c r="AD1119" s="147">
        <f t="shared" si="202"/>
        <v>0</v>
      </c>
      <c r="AE1119" s="147">
        <f t="shared" si="202"/>
        <v>0</v>
      </c>
      <c r="AF1119" s="147">
        <f t="shared" si="202"/>
        <v>0</v>
      </c>
      <c r="AG1119" s="147">
        <f t="shared" si="202"/>
        <v>0</v>
      </c>
      <c r="AH1119" s="147">
        <f t="shared" si="202"/>
        <v>0</v>
      </c>
      <c r="AI1119" s="147">
        <f t="shared" si="202"/>
        <v>0</v>
      </c>
      <c r="AJ1119" s="147">
        <f t="shared" si="202"/>
        <v>0</v>
      </c>
      <c r="AK1119" s="147">
        <f t="shared" si="202"/>
        <v>0</v>
      </c>
      <c r="AL1119" s="147">
        <f t="shared" si="202"/>
        <v>0</v>
      </c>
      <c r="AM1119" s="147">
        <f t="shared" si="202"/>
        <v>0</v>
      </c>
      <c r="AN1119" s="147">
        <f t="shared" si="202"/>
        <v>0</v>
      </c>
      <c r="AO1119" s="147">
        <f t="shared" si="202"/>
        <v>0</v>
      </c>
      <c r="AP1119" s="147">
        <f t="shared" si="202"/>
        <v>0</v>
      </c>
      <c r="AQ1119" s="147">
        <f t="shared" si="202"/>
        <v>0</v>
      </c>
      <c r="AR1119" s="147">
        <f t="shared" si="202"/>
        <v>0</v>
      </c>
      <c r="AS1119" s="147">
        <f t="shared" si="202"/>
        <v>0</v>
      </c>
      <c r="AT1119" s="147">
        <f t="shared" si="202"/>
        <v>0</v>
      </c>
      <c r="AU1119" s="147">
        <f t="shared" si="202"/>
        <v>0</v>
      </c>
      <c r="AV1119" s="147">
        <f t="shared" si="202"/>
        <v>0</v>
      </c>
      <c r="AW1119" s="147">
        <f t="shared" si="202"/>
        <v>0</v>
      </c>
      <c r="AX1119" s="147">
        <f>AX1116-AX1117-AX1118</f>
        <v>0</v>
      </c>
      <c r="AY1119" s="34" t="s">
        <v>232</v>
      </c>
      <c r="AZ1119" s="34"/>
      <c r="BA1119" s="39"/>
      <c r="BB1119" s="40"/>
      <c r="BI1119" s="42"/>
    </row>
    <row r="1120" spans="1:64" s="24" customFormat="1" ht="20.85" customHeight="1">
      <c r="A1120" s="32">
        <f>A1116+1</f>
        <v>740</v>
      </c>
      <c r="B1120" s="60" t="s">
        <v>1299</v>
      </c>
      <c r="C1120" s="78" t="s">
        <v>59</v>
      </c>
      <c r="D1120" s="35">
        <f t="shared" si="189"/>
        <v>0.54</v>
      </c>
      <c r="E1120" s="35"/>
      <c r="F1120" s="35">
        <f t="shared" si="196"/>
        <v>0.54</v>
      </c>
      <c r="G1120" s="109"/>
      <c r="H1120" s="109"/>
      <c r="I1120" s="109"/>
      <c r="J1120" s="109">
        <v>0.54</v>
      </c>
      <c r="K1120" s="109"/>
      <c r="L1120" s="109"/>
      <c r="M1120" s="109"/>
      <c r="N1120" s="109"/>
      <c r="O1120" s="109"/>
      <c r="P1120" s="109"/>
      <c r="Q1120" s="109"/>
      <c r="R1120" s="109"/>
      <c r="S1120" s="109"/>
      <c r="T1120" s="109"/>
      <c r="U1120" s="109"/>
      <c r="V1120" s="109"/>
      <c r="W1120" s="109"/>
      <c r="X1120" s="109"/>
      <c r="Y1120" s="109"/>
      <c r="Z1120" s="109"/>
      <c r="AA1120" s="109"/>
      <c r="AB1120" s="109"/>
      <c r="AC1120" s="109"/>
      <c r="AD1120" s="109"/>
      <c r="AE1120" s="109"/>
      <c r="AF1120" s="109"/>
      <c r="AG1120" s="109"/>
      <c r="AH1120" s="109"/>
      <c r="AI1120" s="109"/>
      <c r="AJ1120" s="109"/>
      <c r="AK1120" s="109"/>
      <c r="AL1120" s="109"/>
      <c r="AM1120" s="109"/>
      <c r="AN1120" s="109"/>
      <c r="AO1120" s="109"/>
      <c r="AP1120" s="109"/>
      <c r="AQ1120" s="109"/>
      <c r="AR1120" s="109"/>
      <c r="AS1120" s="109"/>
      <c r="AT1120" s="109"/>
      <c r="AU1120" s="109"/>
      <c r="AV1120" s="109"/>
      <c r="AW1120" s="109"/>
      <c r="AX1120" s="109"/>
      <c r="AY1120" s="34" t="s">
        <v>232</v>
      </c>
      <c r="AZ1120" s="34" t="s">
        <v>615</v>
      </c>
      <c r="BA1120" s="39" t="s">
        <v>291</v>
      </c>
      <c r="BB1120" s="40"/>
      <c r="BI1120" s="42">
        <v>1</v>
      </c>
    </row>
    <row r="1121" spans="1:61" s="24" customFormat="1" ht="20.85" customHeight="1">
      <c r="A1121" s="32" t="s">
        <v>1548</v>
      </c>
      <c r="B1121" s="158" t="s">
        <v>186</v>
      </c>
      <c r="C1121" s="78" t="s">
        <v>1260</v>
      </c>
      <c r="D1121" s="35">
        <f>E1121+F1121</f>
        <v>15.730000000000002</v>
      </c>
      <c r="E1121" s="89">
        <f>E1122+E1126+E1131+E1132+E1137+E1141+E1149+E1154+E1158+E1166+E1162+E1170+E1171+E1172+E1177+E1181</f>
        <v>0</v>
      </c>
      <c r="F1121" s="141">
        <f>F1122+F1126+F1131+F1132+F1137+F1141+F1149+F1154+F1158+F1166+F1162+F1170+F1171+F1172+F1177+F1181+F1145</f>
        <v>15.730000000000002</v>
      </c>
      <c r="G1121" s="141">
        <f t="shared" ref="G1121:AX1121" si="203">G1122+G1126+G1131+G1132+G1137+G1141+G1149+G1154+G1158+G1166+G1162+G1170+G1171+G1172+G1177+G1181+G1145</f>
        <v>9.59</v>
      </c>
      <c r="H1121" s="141">
        <f t="shared" si="203"/>
        <v>0</v>
      </c>
      <c r="I1121" s="141">
        <f t="shared" si="203"/>
        <v>0.31999999999999995</v>
      </c>
      <c r="J1121" s="141">
        <f t="shared" si="203"/>
        <v>4.42</v>
      </c>
      <c r="K1121" s="141">
        <f t="shared" si="203"/>
        <v>0</v>
      </c>
      <c r="L1121" s="141">
        <f t="shared" si="203"/>
        <v>0</v>
      </c>
      <c r="M1121" s="141">
        <f t="shared" si="203"/>
        <v>0.83</v>
      </c>
      <c r="N1121" s="141">
        <f t="shared" si="203"/>
        <v>0</v>
      </c>
      <c r="O1121" s="141">
        <f t="shared" si="203"/>
        <v>0</v>
      </c>
      <c r="P1121" s="141">
        <f t="shared" si="203"/>
        <v>0</v>
      </c>
      <c r="Q1121" s="141">
        <f t="shared" si="203"/>
        <v>0</v>
      </c>
      <c r="R1121" s="141">
        <f t="shared" si="203"/>
        <v>0</v>
      </c>
      <c r="S1121" s="141">
        <f t="shared" si="203"/>
        <v>0</v>
      </c>
      <c r="T1121" s="141">
        <f t="shared" si="203"/>
        <v>0</v>
      </c>
      <c r="U1121" s="141">
        <f t="shared" si="203"/>
        <v>0</v>
      </c>
      <c r="V1121" s="141">
        <f t="shared" si="203"/>
        <v>0</v>
      </c>
      <c r="W1121" s="141">
        <f t="shared" si="203"/>
        <v>0.04</v>
      </c>
      <c r="X1121" s="141">
        <f t="shared" si="203"/>
        <v>0</v>
      </c>
      <c r="Y1121" s="141">
        <f t="shared" si="203"/>
        <v>0</v>
      </c>
      <c r="Z1121" s="141">
        <f t="shared" si="203"/>
        <v>0.12</v>
      </c>
      <c r="AA1121" s="141">
        <f t="shared" si="203"/>
        <v>0</v>
      </c>
      <c r="AB1121" s="141">
        <f t="shared" si="203"/>
        <v>0</v>
      </c>
      <c r="AC1121" s="141">
        <f t="shared" si="203"/>
        <v>0</v>
      </c>
      <c r="AD1121" s="141">
        <f t="shared" si="203"/>
        <v>0</v>
      </c>
      <c r="AE1121" s="141">
        <f t="shared" si="203"/>
        <v>0</v>
      </c>
      <c r="AF1121" s="141">
        <f t="shared" si="203"/>
        <v>0</v>
      </c>
      <c r="AG1121" s="141">
        <f t="shared" si="203"/>
        <v>0</v>
      </c>
      <c r="AH1121" s="141">
        <f t="shared" si="203"/>
        <v>0</v>
      </c>
      <c r="AI1121" s="141">
        <f t="shared" si="203"/>
        <v>0</v>
      </c>
      <c r="AJ1121" s="141">
        <f t="shared" si="203"/>
        <v>0</v>
      </c>
      <c r="AK1121" s="141">
        <f t="shared" si="203"/>
        <v>0</v>
      </c>
      <c r="AL1121" s="141">
        <f t="shared" si="203"/>
        <v>0</v>
      </c>
      <c r="AM1121" s="141">
        <f t="shared" si="203"/>
        <v>0</v>
      </c>
      <c r="AN1121" s="141">
        <f t="shared" si="203"/>
        <v>0</v>
      </c>
      <c r="AO1121" s="141">
        <f t="shared" si="203"/>
        <v>0</v>
      </c>
      <c r="AP1121" s="141">
        <f t="shared" si="203"/>
        <v>0.41</v>
      </c>
      <c r="AQ1121" s="141">
        <f t="shared" si="203"/>
        <v>0</v>
      </c>
      <c r="AR1121" s="141">
        <f t="shared" si="203"/>
        <v>0</v>
      </c>
      <c r="AS1121" s="141">
        <f t="shared" si="203"/>
        <v>0</v>
      </c>
      <c r="AT1121" s="141">
        <f t="shared" si="203"/>
        <v>0</v>
      </c>
      <c r="AU1121" s="141">
        <f t="shared" si="203"/>
        <v>0</v>
      </c>
      <c r="AV1121" s="141">
        <f t="shared" si="203"/>
        <v>0</v>
      </c>
      <c r="AW1121" s="141">
        <f t="shared" si="203"/>
        <v>0</v>
      </c>
      <c r="AX1121" s="141">
        <f t="shared" si="203"/>
        <v>0</v>
      </c>
      <c r="AY1121" s="34" t="s">
        <v>233</v>
      </c>
      <c r="AZ1121" s="34"/>
      <c r="BA1121" s="39"/>
      <c r="BB1121" s="40"/>
      <c r="BI1121" s="42"/>
    </row>
    <row r="1122" spans="1:61" s="24" customFormat="1" ht="20.85" customHeight="1">
      <c r="A1122" s="32">
        <f>A1120+1</f>
        <v>741</v>
      </c>
      <c r="B1122" s="158" t="s">
        <v>186</v>
      </c>
      <c r="C1122" s="78" t="s">
        <v>1260</v>
      </c>
      <c r="D1122" s="35">
        <f t="shared" si="189"/>
        <v>0.65</v>
      </c>
      <c r="E1122" s="35"/>
      <c r="F1122" s="35">
        <f t="shared" si="196"/>
        <v>0.65</v>
      </c>
      <c r="G1122" s="109">
        <v>0.65</v>
      </c>
      <c r="H1122" s="109"/>
      <c r="I1122" s="109"/>
      <c r="J1122" s="109"/>
      <c r="K1122" s="46"/>
      <c r="L1122" s="46"/>
      <c r="M1122" s="109"/>
      <c r="N1122" s="46"/>
      <c r="O1122" s="46"/>
      <c r="P1122" s="109"/>
      <c r="Q1122" s="46"/>
      <c r="R1122" s="46"/>
      <c r="S1122" s="46"/>
      <c r="T1122" s="46"/>
      <c r="U1122" s="46"/>
      <c r="V1122" s="46"/>
      <c r="W1122" s="46"/>
      <c r="X1122" s="46"/>
      <c r="Y1122" s="46"/>
      <c r="Z1122" s="46"/>
      <c r="AA1122" s="46"/>
      <c r="AB1122" s="46"/>
      <c r="AC1122" s="46"/>
      <c r="AD1122" s="46"/>
      <c r="AE1122" s="46"/>
      <c r="AF1122" s="46"/>
      <c r="AG1122" s="46"/>
      <c r="AH1122" s="46"/>
      <c r="AI1122" s="46"/>
      <c r="AJ1122" s="46"/>
      <c r="AK1122" s="46"/>
      <c r="AL1122" s="46"/>
      <c r="AM1122" s="46"/>
      <c r="AN1122" s="46"/>
      <c r="AO1122" s="46"/>
      <c r="AP1122" s="46"/>
      <c r="AQ1122" s="46"/>
      <c r="AR1122" s="46"/>
      <c r="AS1122" s="46"/>
      <c r="AT1122" s="46"/>
      <c r="AU1122" s="46"/>
      <c r="AV1122" s="46"/>
      <c r="AW1122" s="46"/>
      <c r="AX1122" s="109"/>
      <c r="AY1122" s="34" t="s">
        <v>233</v>
      </c>
      <c r="AZ1122" s="34" t="s">
        <v>1549</v>
      </c>
      <c r="BA1122" s="93" t="s">
        <v>291</v>
      </c>
      <c r="BB1122" s="50"/>
      <c r="BC1122" s="24" t="s">
        <v>1550</v>
      </c>
      <c r="BI1122" s="42">
        <v>1</v>
      </c>
    </row>
    <row r="1123" spans="1:61" s="24" customFormat="1" ht="20.85" hidden="1" customHeight="1">
      <c r="A1123" s="32"/>
      <c r="B1123" s="158"/>
      <c r="C1123" s="78" t="s">
        <v>59</v>
      </c>
      <c r="D1123" s="35">
        <f t="shared" si="189"/>
        <v>0.23</v>
      </c>
      <c r="E1123" s="35"/>
      <c r="F1123" s="35">
        <f t="shared" si="196"/>
        <v>0.23</v>
      </c>
      <c r="G1123" s="109">
        <v>0.23</v>
      </c>
      <c r="H1123" s="109"/>
      <c r="I1123" s="109"/>
      <c r="J1123" s="109"/>
      <c r="K1123" s="46"/>
      <c r="L1123" s="46"/>
      <c r="M1123" s="109"/>
      <c r="N1123" s="46"/>
      <c r="O1123" s="46"/>
      <c r="P1123" s="109"/>
      <c r="Q1123" s="46"/>
      <c r="R1123" s="46"/>
      <c r="S1123" s="46"/>
      <c r="T1123" s="46"/>
      <c r="U1123" s="46"/>
      <c r="V1123" s="46"/>
      <c r="W1123" s="46"/>
      <c r="X1123" s="46"/>
      <c r="Y1123" s="46"/>
      <c r="Z1123" s="46"/>
      <c r="AA1123" s="46"/>
      <c r="AB1123" s="46"/>
      <c r="AC1123" s="46"/>
      <c r="AD1123" s="46"/>
      <c r="AE1123" s="46"/>
      <c r="AF1123" s="46"/>
      <c r="AG1123" s="46"/>
      <c r="AH1123" s="46"/>
      <c r="AI1123" s="46"/>
      <c r="AJ1123" s="46"/>
      <c r="AK1123" s="46"/>
      <c r="AL1123" s="46"/>
      <c r="AM1123" s="46"/>
      <c r="AN1123" s="46"/>
      <c r="AO1123" s="46"/>
      <c r="AP1123" s="46"/>
      <c r="AQ1123" s="46"/>
      <c r="AR1123" s="46"/>
      <c r="AS1123" s="46"/>
      <c r="AT1123" s="46"/>
      <c r="AU1123" s="46"/>
      <c r="AV1123" s="46"/>
      <c r="AW1123" s="46"/>
      <c r="AX1123" s="109"/>
      <c r="AY1123" s="34" t="s">
        <v>233</v>
      </c>
      <c r="AZ1123" s="34"/>
      <c r="BA1123" s="93"/>
      <c r="BB1123" s="50"/>
      <c r="BI1123" s="42"/>
    </row>
    <row r="1124" spans="1:61" s="24" customFormat="1" ht="20.85" hidden="1" customHeight="1">
      <c r="A1124" s="32"/>
      <c r="B1124" s="158"/>
      <c r="C1124" s="78" t="s">
        <v>44</v>
      </c>
      <c r="D1124" s="35">
        <f t="shared" ref="D1124:D1192" si="204">F1124+E1124</f>
        <v>0.26</v>
      </c>
      <c r="E1124" s="35"/>
      <c r="F1124" s="35">
        <f t="shared" si="196"/>
        <v>0.26</v>
      </c>
      <c r="G1124" s="109">
        <v>0.26</v>
      </c>
      <c r="H1124" s="109"/>
      <c r="I1124" s="109"/>
      <c r="J1124" s="109"/>
      <c r="K1124" s="46"/>
      <c r="L1124" s="46"/>
      <c r="M1124" s="109"/>
      <c r="N1124" s="46"/>
      <c r="O1124" s="46"/>
      <c r="P1124" s="109"/>
      <c r="Q1124" s="46"/>
      <c r="R1124" s="46"/>
      <c r="S1124" s="46"/>
      <c r="T1124" s="46"/>
      <c r="U1124" s="46"/>
      <c r="V1124" s="46"/>
      <c r="W1124" s="46"/>
      <c r="X1124" s="46"/>
      <c r="Y1124" s="46"/>
      <c r="Z1124" s="46"/>
      <c r="AA1124" s="46"/>
      <c r="AB1124" s="46"/>
      <c r="AC1124" s="46"/>
      <c r="AD1124" s="46"/>
      <c r="AE1124" s="46"/>
      <c r="AF1124" s="46"/>
      <c r="AG1124" s="46"/>
      <c r="AH1124" s="46"/>
      <c r="AI1124" s="46"/>
      <c r="AJ1124" s="46"/>
      <c r="AK1124" s="46"/>
      <c r="AL1124" s="46"/>
      <c r="AM1124" s="46"/>
      <c r="AN1124" s="46"/>
      <c r="AO1124" s="46"/>
      <c r="AP1124" s="46"/>
      <c r="AQ1124" s="46"/>
      <c r="AR1124" s="46"/>
      <c r="AS1124" s="46"/>
      <c r="AT1124" s="46"/>
      <c r="AU1124" s="46"/>
      <c r="AV1124" s="46"/>
      <c r="AW1124" s="46"/>
      <c r="AX1124" s="109"/>
      <c r="AY1124" s="34" t="s">
        <v>233</v>
      </c>
      <c r="AZ1124" s="34"/>
      <c r="BA1124" s="93"/>
      <c r="BB1124" s="50"/>
      <c r="BI1124" s="42"/>
    </row>
    <row r="1125" spans="1:61" s="24" customFormat="1" ht="20.85" hidden="1" customHeight="1">
      <c r="A1125" s="32"/>
      <c r="B1125" s="158"/>
      <c r="C1125" s="78" t="s">
        <v>138</v>
      </c>
      <c r="D1125" s="35">
        <f t="shared" si="204"/>
        <v>0.16000000000000003</v>
      </c>
      <c r="E1125" s="35"/>
      <c r="F1125" s="35">
        <f t="shared" si="196"/>
        <v>0.16000000000000003</v>
      </c>
      <c r="G1125" s="147">
        <f>G1122-G1123-G1124</f>
        <v>0.16000000000000003</v>
      </c>
      <c r="H1125" s="147">
        <f t="shared" ref="H1125:AX1125" si="205">H1122-H1123-H1124</f>
        <v>0</v>
      </c>
      <c r="I1125" s="147">
        <f t="shared" si="205"/>
        <v>0</v>
      </c>
      <c r="J1125" s="147">
        <f t="shared" si="205"/>
        <v>0</v>
      </c>
      <c r="K1125" s="147">
        <f t="shared" si="205"/>
        <v>0</v>
      </c>
      <c r="L1125" s="147">
        <f t="shared" si="205"/>
        <v>0</v>
      </c>
      <c r="M1125" s="147">
        <f t="shared" si="205"/>
        <v>0</v>
      </c>
      <c r="N1125" s="147">
        <f t="shared" si="205"/>
        <v>0</v>
      </c>
      <c r="O1125" s="147">
        <f t="shared" si="205"/>
        <v>0</v>
      </c>
      <c r="P1125" s="147">
        <f t="shared" si="205"/>
        <v>0</v>
      </c>
      <c r="Q1125" s="147">
        <f t="shared" si="205"/>
        <v>0</v>
      </c>
      <c r="R1125" s="147">
        <f t="shared" si="205"/>
        <v>0</v>
      </c>
      <c r="S1125" s="147">
        <f t="shared" si="205"/>
        <v>0</v>
      </c>
      <c r="T1125" s="147">
        <f t="shared" si="205"/>
        <v>0</v>
      </c>
      <c r="U1125" s="147">
        <f t="shared" si="205"/>
        <v>0</v>
      </c>
      <c r="V1125" s="147">
        <f t="shared" si="205"/>
        <v>0</v>
      </c>
      <c r="W1125" s="147">
        <f t="shared" si="205"/>
        <v>0</v>
      </c>
      <c r="X1125" s="147">
        <f t="shared" si="205"/>
        <v>0</v>
      </c>
      <c r="Y1125" s="147">
        <f t="shared" si="205"/>
        <v>0</v>
      </c>
      <c r="Z1125" s="147">
        <f t="shared" si="205"/>
        <v>0</v>
      </c>
      <c r="AA1125" s="147">
        <f t="shared" si="205"/>
        <v>0</v>
      </c>
      <c r="AB1125" s="147">
        <f t="shared" si="205"/>
        <v>0</v>
      </c>
      <c r="AC1125" s="147">
        <f t="shared" si="205"/>
        <v>0</v>
      </c>
      <c r="AD1125" s="147">
        <f t="shared" si="205"/>
        <v>0</v>
      </c>
      <c r="AE1125" s="147">
        <f t="shared" si="205"/>
        <v>0</v>
      </c>
      <c r="AF1125" s="147">
        <f t="shared" si="205"/>
        <v>0</v>
      </c>
      <c r="AG1125" s="147">
        <f t="shared" si="205"/>
        <v>0</v>
      </c>
      <c r="AH1125" s="147">
        <f t="shared" si="205"/>
        <v>0</v>
      </c>
      <c r="AI1125" s="147">
        <f t="shared" si="205"/>
        <v>0</v>
      </c>
      <c r="AJ1125" s="147">
        <f t="shared" si="205"/>
        <v>0</v>
      </c>
      <c r="AK1125" s="147">
        <f t="shared" si="205"/>
        <v>0</v>
      </c>
      <c r="AL1125" s="147">
        <f t="shared" si="205"/>
        <v>0</v>
      </c>
      <c r="AM1125" s="147">
        <f t="shared" si="205"/>
        <v>0</v>
      </c>
      <c r="AN1125" s="147">
        <f t="shared" si="205"/>
        <v>0</v>
      </c>
      <c r="AO1125" s="147">
        <f t="shared" si="205"/>
        <v>0</v>
      </c>
      <c r="AP1125" s="147">
        <f t="shared" si="205"/>
        <v>0</v>
      </c>
      <c r="AQ1125" s="147">
        <f t="shared" si="205"/>
        <v>0</v>
      </c>
      <c r="AR1125" s="147">
        <f t="shared" si="205"/>
        <v>0</v>
      </c>
      <c r="AS1125" s="147">
        <f t="shared" si="205"/>
        <v>0</v>
      </c>
      <c r="AT1125" s="147">
        <f t="shared" si="205"/>
        <v>0</v>
      </c>
      <c r="AU1125" s="147">
        <f t="shared" si="205"/>
        <v>0</v>
      </c>
      <c r="AV1125" s="147">
        <f t="shared" si="205"/>
        <v>0</v>
      </c>
      <c r="AW1125" s="147">
        <f t="shared" si="205"/>
        <v>0</v>
      </c>
      <c r="AX1125" s="147">
        <f t="shared" si="205"/>
        <v>0</v>
      </c>
      <c r="AY1125" s="34" t="s">
        <v>233</v>
      </c>
      <c r="AZ1125" s="34"/>
      <c r="BA1125" s="93"/>
      <c r="BB1125" s="50"/>
      <c r="BI1125" s="42"/>
    </row>
    <row r="1126" spans="1:61" s="24" customFormat="1" ht="20.85" customHeight="1">
      <c r="A1126" s="32">
        <f>A1122+1</f>
        <v>742</v>
      </c>
      <c r="B1126" s="158" t="s">
        <v>186</v>
      </c>
      <c r="C1126" s="78" t="s">
        <v>1260</v>
      </c>
      <c r="D1126" s="35">
        <f t="shared" si="204"/>
        <v>1.32</v>
      </c>
      <c r="E1126" s="35"/>
      <c r="F1126" s="35">
        <f t="shared" si="196"/>
        <v>1.32</v>
      </c>
      <c r="G1126" s="109">
        <f>1.32-0.83</f>
        <v>0.4900000000000001</v>
      </c>
      <c r="H1126" s="109"/>
      <c r="I1126" s="109"/>
      <c r="J1126" s="109"/>
      <c r="K1126" s="46"/>
      <c r="L1126" s="46"/>
      <c r="M1126" s="109">
        <v>0.83</v>
      </c>
      <c r="N1126" s="46"/>
      <c r="O1126" s="46"/>
      <c r="P1126" s="109"/>
      <c r="Q1126" s="46"/>
      <c r="R1126" s="46"/>
      <c r="S1126" s="46"/>
      <c r="T1126" s="46"/>
      <c r="U1126" s="46"/>
      <c r="V1126" s="46"/>
      <c r="W1126" s="46"/>
      <c r="X1126" s="46"/>
      <c r="Y1126" s="46"/>
      <c r="Z1126" s="46"/>
      <c r="AA1126" s="46"/>
      <c r="AB1126" s="46"/>
      <c r="AC1126" s="46"/>
      <c r="AD1126" s="46"/>
      <c r="AE1126" s="46"/>
      <c r="AF1126" s="46"/>
      <c r="AG1126" s="46"/>
      <c r="AH1126" s="46"/>
      <c r="AI1126" s="46"/>
      <c r="AJ1126" s="46"/>
      <c r="AK1126" s="46"/>
      <c r="AL1126" s="46"/>
      <c r="AM1126" s="46"/>
      <c r="AN1126" s="46"/>
      <c r="AO1126" s="46"/>
      <c r="AP1126" s="46"/>
      <c r="AQ1126" s="46"/>
      <c r="AR1126" s="46"/>
      <c r="AS1126" s="46"/>
      <c r="AT1126" s="46"/>
      <c r="AU1126" s="46"/>
      <c r="AV1126" s="46"/>
      <c r="AW1126" s="46"/>
      <c r="AX1126" s="109"/>
      <c r="AY1126" s="34" t="s">
        <v>233</v>
      </c>
      <c r="AZ1126" s="34" t="s">
        <v>502</v>
      </c>
      <c r="BA1126" s="93" t="s">
        <v>291</v>
      </c>
      <c r="BB1126" s="50"/>
      <c r="BC1126" s="24" t="s">
        <v>1551</v>
      </c>
      <c r="BI1126" s="42">
        <v>1</v>
      </c>
    </row>
    <row r="1127" spans="1:61" s="24" customFormat="1" ht="20.85" hidden="1" customHeight="1">
      <c r="A1127" s="32"/>
      <c r="B1127" s="158"/>
      <c r="C1127" s="78" t="s">
        <v>59</v>
      </c>
      <c r="D1127" s="35">
        <f t="shared" si="204"/>
        <v>0.46</v>
      </c>
      <c r="E1127" s="35"/>
      <c r="F1127" s="35">
        <f t="shared" si="196"/>
        <v>0.46</v>
      </c>
      <c r="G1127" s="109">
        <v>0.2</v>
      </c>
      <c r="H1127" s="109"/>
      <c r="I1127" s="109"/>
      <c r="J1127" s="109"/>
      <c r="K1127" s="46"/>
      <c r="L1127" s="46"/>
      <c r="M1127" s="109">
        <v>0.26</v>
      </c>
      <c r="N1127" s="46"/>
      <c r="O1127" s="46"/>
      <c r="P1127" s="109"/>
      <c r="Q1127" s="46"/>
      <c r="R1127" s="46"/>
      <c r="S1127" s="46"/>
      <c r="T1127" s="46"/>
      <c r="U1127" s="46"/>
      <c r="V1127" s="46"/>
      <c r="W1127" s="46"/>
      <c r="X1127" s="46"/>
      <c r="Y1127" s="46"/>
      <c r="Z1127" s="46"/>
      <c r="AA1127" s="46"/>
      <c r="AB1127" s="46"/>
      <c r="AC1127" s="46"/>
      <c r="AD1127" s="46"/>
      <c r="AE1127" s="46"/>
      <c r="AF1127" s="46"/>
      <c r="AG1127" s="46"/>
      <c r="AH1127" s="46"/>
      <c r="AI1127" s="46"/>
      <c r="AJ1127" s="46"/>
      <c r="AK1127" s="46"/>
      <c r="AL1127" s="46"/>
      <c r="AM1127" s="46"/>
      <c r="AN1127" s="46"/>
      <c r="AO1127" s="46"/>
      <c r="AP1127" s="46"/>
      <c r="AQ1127" s="46"/>
      <c r="AR1127" s="46"/>
      <c r="AS1127" s="46"/>
      <c r="AT1127" s="46"/>
      <c r="AU1127" s="46"/>
      <c r="AV1127" s="46"/>
      <c r="AW1127" s="46"/>
      <c r="AX1127" s="109"/>
      <c r="AY1127" s="34" t="s">
        <v>233</v>
      </c>
      <c r="AZ1127" s="34"/>
      <c r="BA1127" s="93"/>
      <c r="BB1127" s="50"/>
      <c r="BI1127" s="42"/>
    </row>
    <row r="1128" spans="1:61" s="24" customFormat="1" ht="20.85" hidden="1" customHeight="1">
      <c r="A1128" s="32"/>
      <c r="B1128" s="158"/>
      <c r="C1128" s="78" t="s">
        <v>44</v>
      </c>
      <c r="D1128" s="35">
        <f t="shared" si="204"/>
        <v>0.46</v>
      </c>
      <c r="E1128" s="35"/>
      <c r="F1128" s="35">
        <f t="shared" si="196"/>
        <v>0.46</v>
      </c>
      <c r="G1128" s="109">
        <v>0.2</v>
      </c>
      <c r="H1128" s="109"/>
      <c r="I1128" s="109"/>
      <c r="J1128" s="109"/>
      <c r="K1128" s="46"/>
      <c r="L1128" s="46"/>
      <c r="M1128" s="109">
        <v>0.26</v>
      </c>
      <c r="N1128" s="46"/>
      <c r="O1128" s="46"/>
      <c r="P1128" s="109"/>
      <c r="Q1128" s="46"/>
      <c r="R1128" s="46"/>
      <c r="S1128" s="46"/>
      <c r="T1128" s="46"/>
      <c r="U1128" s="46"/>
      <c r="V1128" s="46"/>
      <c r="W1128" s="46"/>
      <c r="X1128" s="46"/>
      <c r="Y1128" s="46"/>
      <c r="Z1128" s="46"/>
      <c r="AA1128" s="46"/>
      <c r="AB1128" s="46"/>
      <c r="AC1128" s="46"/>
      <c r="AD1128" s="46"/>
      <c r="AE1128" s="46"/>
      <c r="AF1128" s="46"/>
      <c r="AG1128" s="46"/>
      <c r="AH1128" s="46"/>
      <c r="AI1128" s="46"/>
      <c r="AJ1128" s="46"/>
      <c r="AK1128" s="46"/>
      <c r="AL1128" s="46"/>
      <c r="AM1128" s="46"/>
      <c r="AN1128" s="46"/>
      <c r="AO1128" s="46"/>
      <c r="AP1128" s="46"/>
      <c r="AQ1128" s="46"/>
      <c r="AR1128" s="46"/>
      <c r="AS1128" s="46"/>
      <c r="AT1128" s="46"/>
      <c r="AU1128" s="46"/>
      <c r="AV1128" s="46"/>
      <c r="AW1128" s="46"/>
      <c r="AX1128" s="109"/>
      <c r="AY1128" s="34" t="s">
        <v>233</v>
      </c>
      <c r="AZ1128" s="34"/>
      <c r="BA1128" s="93"/>
      <c r="BB1128" s="50"/>
      <c r="BI1128" s="42"/>
    </row>
    <row r="1129" spans="1:61" s="24" customFormat="1" ht="20.85" hidden="1" customHeight="1">
      <c r="A1129" s="32"/>
      <c r="B1129" s="158"/>
      <c r="C1129" s="78" t="s">
        <v>45</v>
      </c>
      <c r="D1129" s="35">
        <f t="shared" si="204"/>
        <v>0.13</v>
      </c>
      <c r="E1129" s="35"/>
      <c r="F1129" s="35">
        <f t="shared" si="196"/>
        <v>0.13</v>
      </c>
      <c r="G1129" s="109"/>
      <c r="H1129" s="109"/>
      <c r="I1129" s="109"/>
      <c r="J1129" s="109"/>
      <c r="K1129" s="46"/>
      <c r="L1129" s="46"/>
      <c r="M1129" s="109">
        <v>0.13</v>
      </c>
      <c r="N1129" s="46"/>
      <c r="O1129" s="46"/>
      <c r="P1129" s="109"/>
      <c r="Q1129" s="46"/>
      <c r="R1129" s="46"/>
      <c r="S1129" s="46"/>
      <c r="T1129" s="46"/>
      <c r="U1129" s="46"/>
      <c r="V1129" s="46"/>
      <c r="W1129" s="46"/>
      <c r="X1129" s="46"/>
      <c r="Y1129" s="46"/>
      <c r="Z1129" s="46"/>
      <c r="AA1129" s="46"/>
      <c r="AB1129" s="46"/>
      <c r="AC1129" s="46"/>
      <c r="AD1129" s="46"/>
      <c r="AE1129" s="46"/>
      <c r="AF1129" s="46"/>
      <c r="AG1129" s="46"/>
      <c r="AH1129" s="46"/>
      <c r="AI1129" s="46"/>
      <c r="AJ1129" s="46"/>
      <c r="AK1129" s="46"/>
      <c r="AL1129" s="46"/>
      <c r="AM1129" s="46"/>
      <c r="AN1129" s="46"/>
      <c r="AO1129" s="46"/>
      <c r="AP1129" s="46"/>
      <c r="AQ1129" s="46"/>
      <c r="AR1129" s="46"/>
      <c r="AS1129" s="46"/>
      <c r="AT1129" s="46"/>
      <c r="AU1129" s="46"/>
      <c r="AV1129" s="46"/>
      <c r="AW1129" s="46"/>
      <c r="AX1129" s="109"/>
      <c r="AY1129" s="34" t="s">
        <v>233</v>
      </c>
      <c r="AZ1129" s="34"/>
      <c r="BA1129" s="93"/>
      <c r="BB1129" s="50"/>
      <c r="BI1129" s="42"/>
    </row>
    <row r="1130" spans="1:61" s="24" customFormat="1" ht="20.85" hidden="1" customHeight="1">
      <c r="A1130" s="32"/>
      <c r="B1130" s="158"/>
      <c r="C1130" s="78" t="s">
        <v>138</v>
      </c>
      <c r="D1130" s="35">
        <f t="shared" si="204"/>
        <v>0.27</v>
      </c>
      <c r="E1130" s="35"/>
      <c r="F1130" s="35">
        <f t="shared" si="196"/>
        <v>0.27</v>
      </c>
      <c r="G1130" s="147">
        <f t="shared" ref="G1130:AW1130" si="206">G1126-G1127-G1128-G1129</f>
        <v>9.000000000000008E-2</v>
      </c>
      <c r="H1130" s="147">
        <f t="shared" si="206"/>
        <v>0</v>
      </c>
      <c r="I1130" s="147">
        <f t="shared" si="206"/>
        <v>0</v>
      </c>
      <c r="J1130" s="147">
        <f t="shared" si="206"/>
        <v>0</v>
      </c>
      <c r="K1130" s="147">
        <f t="shared" si="206"/>
        <v>0</v>
      </c>
      <c r="L1130" s="147">
        <f t="shared" si="206"/>
        <v>0</v>
      </c>
      <c r="M1130" s="147">
        <f t="shared" si="206"/>
        <v>0.17999999999999994</v>
      </c>
      <c r="N1130" s="147">
        <f t="shared" si="206"/>
        <v>0</v>
      </c>
      <c r="O1130" s="147">
        <f t="shared" si="206"/>
        <v>0</v>
      </c>
      <c r="P1130" s="147">
        <f t="shared" si="206"/>
        <v>0</v>
      </c>
      <c r="Q1130" s="147">
        <f t="shared" si="206"/>
        <v>0</v>
      </c>
      <c r="R1130" s="147">
        <f t="shared" si="206"/>
        <v>0</v>
      </c>
      <c r="S1130" s="147">
        <f t="shared" si="206"/>
        <v>0</v>
      </c>
      <c r="T1130" s="147">
        <f t="shared" si="206"/>
        <v>0</v>
      </c>
      <c r="U1130" s="147">
        <f t="shared" si="206"/>
        <v>0</v>
      </c>
      <c r="V1130" s="147">
        <f t="shared" si="206"/>
        <v>0</v>
      </c>
      <c r="W1130" s="147">
        <f t="shared" si="206"/>
        <v>0</v>
      </c>
      <c r="X1130" s="147">
        <f t="shared" si="206"/>
        <v>0</v>
      </c>
      <c r="Y1130" s="147">
        <f t="shared" si="206"/>
        <v>0</v>
      </c>
      <c r="Z1130" s="147">
        <f t="shared" si="206"/>
        <v>0</v>
      </c>
      <c r="AA1130" s="147">
        <f t="shared" si="206"/>
        <v>0</v>
      </c>
      <c r="AB1130" s="147">
        <f t="shared" si="206"/>
        <v>0</v>
      </c>
      <c r="AC1130" s="147">
        <f t="shared" si="206"/>
        <v>0</v>
      </c>
      <c r="AD1130" s="147">
        <f t="shared" si="206"/>
        <v>0</v>
      </c>
      <c r="AE1130" s="147">
        <f t="shared" si="206"/>
        <v>0</v>
      </c>
      <c r="AF1130" s="147">
        <f t="shared" si="206"/>
        <v>0</v>
      </c>
      <c r="AG1130" s="147">
        <f t="shared" si="206"/>
        <v>0</v>
      </c>
      <c r="AH1130" s="147">
        <f t="shared" si="206"/>
        <v>0</v>
      </c>
      <c r="AI1130" s="147">
        <f t="shared" si="206"/>
        <v>0</v>
      </c>
      <c r="AJ1130" s="147">
        <f t="shared" si="206"/>
        <v>0</v>
      </c>
      <c r="AK1130" s="147">
        <f t="shared" si="206"/>
        <v>0</v>
      </c>
      <c r="AL1130" s="147">
        <f t="shared" si="206"/>
        <v>0</v>
      </c>
      <c r="AM1130" s="147">
        <f t="shared" si="206"/>
        <v>0</v>
      </c>
      <c r="AN1130" s="147">
        <f t="shared" si="206"/>
        <v>0</v>
      </c>
      <c r="AO1130" s="147">
        <f t="shared" si="206"/>
        <v>0</v>
      </c>
      <c r="AP1130" s="147">
        <f t="shared" si="206"/>
        <v>0</v>
      </c>
      <c r="AQ1130" s="147">
        <f t="shared" si="206"/>
        <v>0</v>
      </c>
      <c r="AR1130" s="147">
        <f t="shared" si="206"/>
        <v>0</v>
      </c>
      <c r="AS1130" s="147">
        <f t="shared" si="206"/>
        <v>0</v>
      </c>
      <c r="AT1130" s="147">
        <f t="shared" si="206"/>
        <v>0</v>
      </c>
      <c r="AU1130" s="147">
        <f t="shared" si="206"/>
        <v>0</v>
      </c>
      <c r="AV1130" s="147">
        <f t="shared" si="206"/>
        <v>0</v>
      </c>
      <c r="AW1130" s="147">
        <f t="shared" si="206"/>
        <v>0</v>
      </c>
      <c r="AX1130" s="147">
        <f>AX1126-AX1127-AX1128-AX1129</f>
        <v>0</v>
      </c>
      <c r="AY1130" s="34" t="s">
        <v>233</v>
      </c>
      <c r="AZ1130" s="34"/>
      <c r="BA1130" s="93"/>
      <c r="BB1130" s="50"/>
      <c r="BI1130" s="42"/>
    </row>
    <row r="1131" spans="1:61" s="24" customFormat="1" ht="20.85" customHeight="1">
      <c r="A1131" s="32">
        <f>A1126+1</f>
        <v>743</v>
      </c>
      <c r="B1131" s="158" t="s">
        <v>186</v>
      </c>
      <c r="C1131" s="78" t="s">
        <v>59</v>
      </c>
      <c r="D1131" s="35">
        <f t="shared" si="204"/>
        <v>0.35</v>
      </c>
      <c r="E1131" s="35"/>
      <c r="F1131" s="35">
        <f t="shared" si="196"/>
        <v>0.35</v>
      </c>
      <c r="G1131" s="109">
        <v>0.35</v>
      </c>
      <c r="H1131" s="109"/>
      <c r="I1131" s="109"/>
      <c r="J1131" s="109"/>
      <c r="K1131" s="46"/>
      <c r="L1131" s="46"/>
      <c r="M1131" s="109"/>
      <c r="N1131" s="46"/>
      <c r="O1131" s="46"/>
      <c r="P1131" s="109"/>
      <c r="Q1131" s="46"/>
      <c r="R1131" s="46"/>
      <c r="S1131" s="46"/>
      <c r="T1131" s="46"/>
      <c r="U1131" s="46"/>
      <c r="V1131" s="46"/>
      <c r="W1131" s="46"/>
      <c r="X1131" s="46"/>
      <c r="Y1131" s="46"/>
      <c r="Z1131" s="46"/>
      <c r="AA1131" s="46"/>
      <c r="AB1131" s="46"/>
      <c r="AC1131" s="46"/>
      <c r="AD1131" s="46"/>
      <c r="AE1131" s="46"/>
      <c r="AF1131" s="46"/>
      <c r="AG1131" s="46"/>
      <c r="AH1131" s="46"/>
      <c r="AI1131" s="46"/>
      <c r="AJ1131" s="46"/>
      <c r="AK1131" s="46"/>
      <c r="AL1131" s="46"/>
      <c r="AM1131" s="46"/>
      <c r="AN1131" s="46"/>
      <c r="AO1131" s="46"/>
      <c r="AP1131" s="46"/>
      <c r="AQ1131" s="46"/>
      <c r="AR1131" s="46"/>
      <c r="AS1131" s="46"/>
      <c r="AT1131" s="46"/>
      <c r="AU1131" s="46"/>
      <c r="AV1131" s="46"/>
      <c r="AW1131" s="46"/>
      <c r="AX1131" s="109"/>
      <c r="AY1131" s="34" t="s">
        <v>233</v>
      </c>
      <c r="AZ1131" s="34" t="s">
        <v>1177</v>
      </c>
      <c r="BA1131" s="93" t="s">
        <v>291</v>
      </c>
      <c r="BB1131" s="50"/>
      <c r="BC1131" s="24" t="s">
        <v>1552</v>
      </c>
      <c r="BI1131" s="42">
        <v>1</v>
      </c>
    </row>
    <row r="1132" spans="1:61" s="24" customFormat="1" ht="20.85" customHeight="1">
      <c r="A1132" s="32">
        <f>A1131+1</f>
        <v>744</v>
      </c>
      <c r="B1132" s="158" t="s">
        <v>186</v>
      </c>
      <c r="C1132" s="78" t="s">
        <v>1260</v>
      </c>
      <c r="D1132" s="35">
        <f t="shared" si="204"/>
        <v>1.85</v>
      </c>
      <c r="E1132" s="35"/>
      <c r="F1132" s="35">
        <f t="shared" si="196"/>
        <v>1.85</v>
      </c>
      <c r="G1132" s="109">
        <v>1.62</v>
      </c>
      <c r="H1132" s="109"/>
      <c r="I1132" s="109">
        <f>1.85-1.62</f>
        <v>0.22999999999999998</v>
      </c>
      <c r="J1132" s="109"/>
      <c r="K1132" s="46"/>
      <c r="L1132" s="46"/>
      <c r="M1132" s="109"/>
      <c r="N1132" s="46"/>
      <c r="O1132" s="46"/>
      <c r="P1132" s="109"/>
      <c r="Q1132" s="46"/>
      <c r="R1132" s="46"/>
      <c r="S1132" s="46"/>
      <c r="T1132" s="46"/>
      <c r="U1132" s="46"/>
      <c r="V1132" s="46"/>
      <c r="W1132" s="46"/>
      <c r="X1132" s="46"/>
      <c r="Y1132" s="46"/>
      <c r="Z1132" s="46"/>
      <c r="AA1132" s="46"/>
      <c r="AB1132" s="46"/>
      <c r="AC1132" s="46"/>
      <c r="AD1132" s="46"/>
      <c r="AE1132" s="46"/>
      <c r="AF1132" s="46"/>
      <c r="AG1132" s="46"/>
      <c r="AH1132" s="46"/>
      <c r="AI1132" s="46"/>
      <c r="AJ1132" s="46"/>
      <c r="AK1132" s="46"/>
      <c r="AL1132" s="46"/>
      <c r="AM1132" s="46"/>
      <c r="AN1132" s="46"/>
      <c r="AO1132" s="46"/>
      <c r="AP1132" s="46"/>
      <c r="AQ1132" s="46"/>
      <c r="AR1132" s="46"/>
      <c r="AS1132" s="46"/>
      <c r="AT1132" s="46"/>
      <c r="AU1132" s="46"/>
      <c r="AV1132" s="46"/>
      <c r="AW1132" s="46"/>
      <c r="AX1132" s="109"/>
      <c r="AY1132" s="34" t="s">
        <v>233</v>
      </c>
      <c r="AZ1132" s="34" t="s">
        <v>1174</v>
      </c>
      <c r="BA1132" s="93" t="s">
        <v>291</v>
      </c>
      <c r="BB1132" s="50"/>
      <c r="BC1132" s="24" t="s">
        <v>1553</v>
      </c>
      <c r="BI1132" s="42">
        <v>1</v>
      </c>
    </row>
    <row r="1133" spans="1:61" s="24" customFormat="1" ht="20.85" hidden="1" customHeight="1">
      <c r="A1133" s="32"/>
      <c r="B1133" s="158"/>
      <c r="C1133" s="78" t="s">
        <v>59</v>
      </c>
      <c r="D1133" s="35">
        <f t="shared" si="204"/>
        <v>0.65</v>
      </c>
      <c r="E1133" s="35"/>
      <c r="F1133" s="35">
        <f t="shared" si="196"/>
        <v>0.65</v>
      </c>
      <c r="G1133" s="109">
        <v>0.65</v>
      </c>
      <c r="H1133" s="109"/>
      <c r="I1133" s="109"/>
      <c r="J1133" s="109"/>
      <c r="K1133" s="46"/>
      <c r="L1133" s="46"/>
      <c r="M1133" s="109"/>
      <c r="N1133" s="46"/>
      <c r="O1133" s="46"/>
      <c r="P1133" s="109"/>
      <c r="Q1133" s="46"/>
      <c r="R1133" s="46"/>
      <c r="S1133" s="46"/>
      <c r="T1133" s="46"/>
      <c r="U1133" s="46"/>
      <c r="V1133" s="46"/>
      <c r="W1133" s="46"/>
      <c r="X1133" s="46"/>
      <c r="Y1133" s="46"/>
      <c r="Z1133" s="46"/>
      <c r="AA1133" s="46"/>
      <c r="AB1133" s="46"/>
      <c r="AC1133" s="46"/>
      <c r="AD1133" s="46"/>
      <c r="AE1133" s="46"/>
      <c r="AF1133" s="46"/>
      <c r="AG1133" s="46"/>
      <c r="AH1133" s="46"/>
      <c r="AI1133" s="46"/>
      <c r="AJ1133" s="46"/>
      <c r="AK1133" s="46"/>
      <c r="AL1133" s="46"/>
      <c r="AM1133" s="46"/>
      <c r="AN1133" s="46"/>
      <c r="AO1133" s="46"/>
      <c r="AP1133" s="46"/>
      <c r="AQ1133" s="46"/>
      <c r="AR1133" s="46"/>
      <c r="AS1133" s="46"/>
      <c r="AT1133" s="46"/>
      <c r="AU1133" s="46"/>
      <c r="AV1133" s="46"/>
      <c r="AW1133" s="46"/>
      <c r="AX1133" s="109"/>
      <c r="AY1133" s="34" t="s">
        <v>233</v>
      </c>
      <c r="AZ1133" s="34"/>
      <c r="BA1133" s="93"/>
      <c r="BB1133" s="50"/>
      <c r="BI1133" s="42"/>
    </row>
    <row r="1134" spans="1:61" s="24" customFormat="1" ht="20.85" hidden="1" customHeight="1">
      <c r="A1134" s="32"/>
      <c r="B1134" s="158"/>
      <c r="C1134" s="78" t="s">
        <v>44</v>
      </c>
      <c r="D1134" s="35">
        <f t="shared" si="204"/>
        <v>0.65</v>
      </c>
      <c r="E1134" s="35"/>
      <c r="F1134" s="35">
        <f t="shared" si="196"/>
        <v>0.65</v>
      </c>
      <c r="G1134" s="109">
        <v>0.5</v>
      </c>
      <c r="H1134" s="109"/>
      <c r="I1134" s="109">
        <v>0.15</v>
      </c>
      <c r="J1134" s="109"/>
      <c r="K1134" s="46"/>
      <c r="L1134" s="46"/>
      <c r="M1134" s="109"/>
      <c r="N1134" s="46"/>
      <c r="O1134" s="46"/>
      <c r="P1134" s="109"/>
      <c r="Q1134" s="46"/>
      <c r="R1134" s="46"/>
      <c r="S1134" s="46"/>
      <c r="T1134" s="46"/>
      <c r="U1134" s="46"/>
      <c r="V1134" s="46"/>
      <c r="W1134" s="46"/>
      <c r="X1134" s="46"/>
      <c r="Y1134" s="46"/>
      <c r="Z1134" s="46"/>
      <c r="AA1134" s="46"/>
      <c r="AB1134" s="46"/>
      <c r="AC1134" s="46"/>
      <c r="AD1134" s="46"/>
      <c r="AE1134" s="46"/>
      <c r="AF1134" s="46"/>
      <c r="AG1134" s="46"/>
      <c r="AH1134" s="46"/>
      <c r="AI1134" s="46"/>
      <c r="AJ1134" s="46"/>
      <c r="AK1134" s="46"/>
      <c r="AL1134" s="46"/>
      <c r="AM1134" s="46"/>
      <c r="AN1134" s="46"/>
      <c r="AO1134" s="46"/>
      <c r="AP1134" s="46"/>
      <c r="AQ1134" s="46"/>
      <c r="AR1134" s="46"/>
      <c r="AS1134" s="46"/>
      <c r="AT1134" s="46"/>
      <c r="AU1134" s="46"/>
      <c r="AV1134" s="46"/>
      <c r="AW1134" s="46"/>
      <c r="AX1134" s="109"/>
      <c r="AY1134" s="34" t="s">
        <v>233</v>
      </c>
      <c r="AZ1134" s="34"/>
      <c r="BA1134" s="93"/>
      <c r="BB1134" s="50"/>
      <c r="BI1134" s="42"/>
    </row>
    <row r="1135" spans="1:61" s="24" customFormat="1" ht="20.85" hidden="1" customHeight="1">
      <c r="A1135" s="32"/>
      <c r="B1135" s="158"/>
      <c r="C1135" s="78" t="s">
        <v>45</v>
      </c>
      <c r="D1135" s="35">
        <f t="shared" si="204"/>
        <v>0.18</v>
      </c>
      <c r="E1135" s="35"/>
      <c r="F1135" s="35">
        <f t="shared" si="196"/>
        <v>0.18</v>
      </c>
      <c r="G1135" s="109">
        <v>0.18</v>
      </c>
      <c r="H1135" s="109"/>
      <c r="I1135" s="109"/>
      <c r="J1135" s="109"/>
      <c r="K1135" s="46"/>
      <c r="L1135" s="46"/>
      <c r="M1135" s="109"/>
      <c r="N1135" s="46"/>
      <c r="O1135" s="46"/>
      <c r="P1135" s="109"/>
      <c r="Q1135" s="46"/>
      <c r="R1135" s="46"/>
      <c r="S1135" s="46"/>
      <c r="T1135" s="46"/>
      <c r="U1135" s="46"/>
      <c r="V1135" s="46"/>
      <c r="W1135" s="46"/>
      <c r="X1135" s="46"/>
      <c r="Y1135" s="46"/>
      <c r="Z1135" s="46"/>
      <c r="AA1135" s="46"/>
      <c r="AB1135" s="46"/>
      <c r="AC1135" s="46"/>
      <c r="AD1135" s="46"/>
      <c r="AE1135" s="46"/>
      <c r="AF1135" s="46"/>
      <c r="AG1135" s="46"/>
      <c r="AH1135" s="46"/>
      <c r="AI1135" s="46"/>
      <c r="AJ1135" s="46"/>
      <c r="AK1135" s="46"/>
      <c r="AL1135" s="46"/>
      <c r="AM1135" s="46"/>
      <c r="AN1135" s="46"/>
      <c r="AO1135" s="46"/>
      <c r="AP1135" s="46"/>
      <c r="AQ1135" s="46"/>
      <c r="AR1135" s="46"/>
      <c r="AS1135" s="46"/>
      <c r="AT1135" s="46"/>
      <c r="AU1135" s="46"/>
      <c r="AV1135" s="46"/>
      <c r="AW1135" s="46"/>
      <c r="AX1135" s="109"/>
      <c r="AY1135" s="34" t="s">
        <v>233</v>
      </c>
      <c r="AZ1135" s="34"/>
      <c r="BA1135" s="93"/>
      <c r="BB1135" s="50"/>
      <c r="BI1135" s="42"/>
    </row>
    <row r="1136" spans="1:61" s="24" customFormat="1" ht="20.85" hidden="1" customHeight="1">
      <c r="A1136" s="32"/>
      <c r="B1136" s="158"/>
      <c r="C1136" s="78" t="s">
        <v>138</v>
      </c>
      <c r="D1136" s="35">
        <f t="shared" si="204"/>
        <v>0.37000000000000011</v>
      </c>
      <c r="E1136" s="35"/>
      <c r="F1136" s="35">
        <f t="shared" si="196"/>
        <v>0.37000000000000011</v>
      </c>
      <c r="G1136" s="147">
        <f>G1132-G1133-G1134-G1135</f>
        <v>0.29000000000000009</v>
      </c>
      <c r="H1136" s="147">
        <f t="shared" ref="H1136:AX1136" si="207">H1132-H1133-H1134-H1135</f>
        <v>0</v>
      </c>
      <c r="I1136" s="147">
        <f t="shared" si="207"/>
        <v>7.9999999999999988E-2</v>
      </c>
      <c r="J1136" s="147">
        <f t="shared" si="207"/>
        <v>0</v>
      </c>
      <c r="K1136" s="147">
        <f t="shared" si="207"/>
        <v>0</v>
      </c>
      <c r="L1136" s="147">
        <f t="shared" si="207"/>
        <v>0</v>
      </c>
      <c r="M1136" s="147">
        <f t="shared" si="207"/>
        <v>0</v>
      </c>
      <c r="N1136" s="147">
        <f t="shared" si="207"/>
        <v>0</v>
      </c>
      <c r="O1136" s="147">
        <f t="shared" si="207"/>
        <v>0</v>
      </c>
      <c r="P1136" s="147">
        <f t="shared" si="207"/>
        <v>0</v>
      </c>
      <c r="Q1136" s="147">
        <f t="shared" si="207"/>
        <v>0</v>
      </c>
      <c r="R1136" s="147">
        <f t="shared" si="207"/>
        <v>0</v>
      </c>
      <c r="S1136" s="147">
        <f t="shared" si="207"/>
        <v>0</v>
      </c>
      <c r="T1136" s="147">
        <f t="shared" si="207"/>
        <v>0</v>
      </c>
      <c r="U1136" s="147">
        <f t="shared" si="207"/>
        <v>0</v>
      </c>
      <c r="V1136" s="147">
        <f t="shared" si="207"/>
        <v>0</v>
      </c>
      <c r="W1136" s="147">
        <f t="shared" si="207"/>
        <v>0</v>
      </c>
      <c r="X1136" s="147">
        <f t="shared" si="207"/>
        <v>0</v>
      </c>
      <c r="Y1136" s="147">
        <f t="shared" si="207"/>
        <v>0</v>
      </c>
      <c r="Z1136" s="147">
        <f t="shared" si="207"/>
        <v>0</v>
      </c>
      <c r="AA1136" s="147">
        <f t="shared" si="207"/>
        <v>0</v>
      </c>
      <c r="AB1136" s="147">
        <f t="shared" si="207"/>
        <v>0</v>
      </c>
      <c r="AC1136" s="147">
        <f t="shared" si="207"/>
        <v>0</v>
      </c>
      <c r="AD1136" s="147">
        <f t="shared" si="207"/>
        <v>0</v>
      </c>
      <c r="AE1136" s="147">
        <f t="shared" si="207"/>
        <v>0</v>
      </c>
      <c r="AF1136" s="147">
        <f t="shared" si="207"/>
        <v>0</v>
      </c>
      <c r="AG1136" s="147">
        <f t="shared" si="207"/>
        <v>0</v>
      </c>
      <c r="AH1136" s="147">
        <f t="shared" si="207"/>
        <v>0</v>
      </c>
      <c r="AI1136" s="147">
        <f t="shared" si="207"/>
        <v>0</v>
      </c>
      <c r="AJ1136" s="147">
        <f t="shared" si="207"/>
        <v>0</v>
      </c>
      <c r="AK1136" s="147">
        <f t="shared" si="207"/>
        <v>0</v>
      </c>
      <c r="AL1136" s="147">
        <f t="shared" si="207"/>
        <v>0</v>
      </c>
      <c r="AM1136" s="147">
        <f t="shared" si="207"/>
        <v>0</v>
      </c>
      <c r="AN1136" s="147">
        <f t="shared" si="207"/>
        <v>0</v>
      </c>
      <c r="AO1136" s="147">
        <f t="shared" si="207"/>
        <v>0</v>
      </c>
      <c r="AP1136" s="147">
        <f t="shared" si="207"/>
        <v>0</v>
      </c>
      <c r="AQ1136" s="147">
        <f t="shared" si="207"/>
        <v>0</v>
      </c>
      <c r="AR1136" s="147">
        <f t="shared" si="207"/>
        <v>0</v>
      </c>
      <c r="AS1136" s="147">
        <f t="shared" si="207"/>
        <v>0</v>
      </c>
      <c r="AT1136" s="147">
        <f t="shared" si="207"/>
        <v>0</v>
      </c>
      <c r="AU1136" s="147">
        <f t="shared" si="207"/>
        <v>0</v>
      </c>
      <c r="AV1136" s="147">
        <f t="shared" si="207"/>
        <v>0</v>
      </c>
      <c r="AW1136" s="147">
        <f t="shared" si="207"/>
        <v>0</v>
      </c>
      <c r="AX1136" s="147">
        <f t="shared" si="207"/>
        <v>0</v>
      </c>
      <c r="AY1136" s="34" t="s">
        <v>233</v>
      </c>
      <c r="AZ1136" s="34"/>
      <c r="BA1136" s="93"/>
      <c r="BB1136" s="50"/>
      <c r="BI1136" s="42"/>
    </row>
    <row r="1137" spans="1:61" s="24" customFormat="1" ht="20.85" customHeight="1">
      <c r="A1137" s="32">
        <f>A1132+1</f>
        <v>745</v>
      </c>
      <c r="B1137" s="158" t="s">
        <v>186</v>
      </c>
      <c r="C1137" s="78" t="s">
        <v>1260</v>
      </c>
      <c r="D1137" s="35">
        <f t="shared" si="204"/>
        <v>0.55000000000000004</v>
      </c>
      <c r="E1137" s="35"/>
      <c r="F1137" s="35">
        <f t="shared" si="196"/>
        <v>0.55000000000000004</v>
      </c>
      <c r="G1137" s="109">
        <v>0.55000000000000004</v>
      </c>
      <c r="H1137" s="109"/>
      <c r="I1137" s="109"/>
      <c r="J1137" s="109"/>
      <c r="K1137" s="46"/>
      <c r="L1137" s="46"/>
      <c r="M1137" s="109"/>
      <c r="N1137" s="46"/>
      <c r="O1137" s="46"/>
      <c r="P1137" s="109"/>
      <c r="Q1137" s="46"/>
      <c r="R1137" s="46"/>
      <c r="S1137" s="46"/>
      <c r="T1137" s="46"/>
      <c r="U1137" s="46"/>
      <c r="V1137" s="46"/>
      <c r="W1137" s="46"/>
      <c r="X1137" s="46"/>
      <c r="Y1137" s="46"/>
      <c r="Z1137" s="46"/>
      <c r="AA1137" s="46"/>
      <c r="AB1137" s="46"/>
      <c r="AC1137" s="46"/>
      <c r="AD1137" s="46"/>
      <c r="AE1137" s="46"/>
      <c r="AF1137" s="46"/>
      <c r="AG1137" s="46"/>
      <c r="AH1137" s="46"/>
      <c r="AI1137" s="46"/>
      <c r="AJ1137" s="46"/>
      <c r="AK1137" s="46"/>
      <c r="AL1137" s="46"/>
      <c r="AM1137" s="46"/>
      <c r="AN1137" s="46"/>
      <c r="AO1137" s="46"/>
      <c r="AP1137" s="46"/>
      <c r="AQ1137" s="46"/>
      <c r="AR1137" s="46"/>
      <c r="AS1137" s="46"/>
      <c r="AT1137" s="46"/>
      <c r="AU1137" s="46"/>
      <c r="AV1137" s="46"/>
      <c r="AW1137" s="46"/>
      <c r="AX1137" s="109"/>
      <c r="AY1137" s="34" t="s">
        <v>233</v>
      </c>
      <c r="AZ1137" s="34" t="s">
        <v>414</v>
      </c>
      <c r="BA1137" s="93" t="s">
        <v>291</v>
      </c>
      <c r="BB1137" s="50"/>
      <c r="BC1137" s="24" t="s">
        <v>1554</v>
      </c>
      <c r="BI1137" s="42">
        <v>1</v>
      </c>
    </row>
    <row r="1138" spans="1:61" s="24" customFormat="1" ht="20.85" hidden="1" customHeight="1">
      <c r="A1138" s="32"/>
      <c r="B1138" s="158"/>
      <c r="C1138" s="78" t="s">
        <v>59</v>
      </c>
      <c r="D1138" s="35">
        <f t="shared" si="204"/>
        <v>0.22</v>
      </c>
      <c r="E1138" s="35"/>
      <c r="F1138" s="35">
        <f t="shared" si="196"/>
        <v>0.22</v>
      </c>
      <c r="G1138" s="109">
        <v>0.22</v>
      </c>
      <c r="H1138" s="109"/>
      <c r="I1138" s="109"/>
      <c r="J1138" s="109"/>
      <c r="K1138" s="46"/>
      <c r="L1138" s="46"/>
      <c r="M1138" s="109"/>
      <c r="N1138" s="46"/>
      <c r="O1138" s="46"/>
      <c r="P1138" s="109"/>
      <c r="Q1138" s="46"/>
      <c r="R1138" s="46"/>
      <c r="S1138" s="46"/>
      <c r="T1138" s="46"/>
      <c r="U1138" s="46"/>
      <c r="V1138" s="46"/>
      <c r="W1138" s="46"/>
      <c r="X1138" s="46"/>
      <c r="Y1138" s="46"/>
      <c r="Z1138" s="46"/>
      <c r="AA1138" s="46"/>
      <c r="AB1138" s="46"/>
      <c r="AC1138" s="46"/>
      <c r="AD1138" s="46"/>
      <c r="AE1138" s="46"/>
      <c r="AF1138" s="46"/>
      <c r="AG1138" s="46"/>
      <c r="AH1138" s="46"/>
      <c r="AI1138" s="46"/>
      <c r="AJ1138" s="46"/>
      <c r="AK1138" s="46"/>
      <c r="AL1138" s="46"/>
      <c r="AM1138" s="46"/>
      <c r="AN1138" s="46"/>
      <c r="AO1138" s="46"/>
      <c r="AP1138" s="46"/>
      <c r="AQ1138" s="46"/>
      <c r="AR1138" s="46"/>
      <c r="AS1138" s="46"/>
      <c r="AT1138" s="46"/>
      <c r="AU1138" s="46"/>
      <c r="AV1138" s="46"/>
      <c r="AW1138" s="46"/>
      <c r="AX1138" s="109"/>
      <c r="AY1138" s="34" t="s">
        <v>233</v>
      </c>
      <c r="AZ1138" s="34"/>
      <c r="BA1138" s="93"/>
      <c r="BB1138" s="50"/>
      <c r="BI1138" s="42"/>
    </row>
    <row r="1139" spans="1:61" s="24" customFormat="1" ht="20.85" hidden="1" customHeight="1">
      <c r="A1139" s="32"/>
      <c r="B1139" s="158"/>
      <c r="C1139" s="78" t="s">
        <v>44</v>
      </c>
      <c r="D1139" s="35">
        <f t="shared" si="204"/>
        <v>0.22</v>
      </c>
      <c r="E1139" s="35"/>
      <c r="F1139" s="35">
        <f t="shared" si="196"/>
        <v>0.22</v>
      </c>
      <c r="G1139" s="109">
        <v>0.22</v>
      </c>
      <c r="H1139" s="109"/>
      <c r="I1139" s="109"/>
      <c r="J1139" s="109"/>
      <c r="K1139" s="46"/>
      <c r="L1139" s="46"/>
      <c r="M1139" s="109"/>
      <c r="N1139" s="46"/>
      <c r="O1139" s="46"/>
      <c r="P1139" s="109"/>
      <c r="Q1139" s="46"/>
      <c r="R1139" s="46"/>
      <c r="S1139" s="46"/>
      <c r="T1139" s="46"/>
      <c r="U1139" s="46"/>
      <c r="V1139" s="46"/>
      <c r="W1139" s="46"/>
      <c r="X1139" s="46"/>
      <c r="Y1139" s="46"/>
      <c r="Z1139" s="46"/>
      <c r="AA1139" s="46"/>
      <c r="AB1139" s="46"/>
      <c r="AC1139" s="46"/>
      <c r="AD1139" s="46"/>
      <c r="AE1139" s="46"/>
      <c r="AF1139" s="46"/>
      <c r="AG1139" s="46"/>
      <c r="AH1139" s="46"/>
      <c r="AI1139" s="46"/>
      <c r="AJ1139" s="46"/>
      <c r="AK1139" s="46"/>
      <c r="AL1139" s="46"/>
      <c r="AM1139" s="46"/>
      <c r="AN1139" s="46"/>
      <c r="AO1139" s="46"/>
      <c r="AP1139" s="46"/>
      <c r="AQ1139" s="46"/>
      <c r="AR1139" s="46"/>
      <c r="AS1139" s="46"/>
      <c r="AT1139" s="46"/>
      <c r="AU1139" s="46"/>
      <c r="AV1139" s="46"/>
      <c r="AW1139" s="46"/>
      <c r="AX1139" s="109"/>
      <c r="AY1139" s="34" t="s">
        <v>233</v>
      </c>
      <c r="AZ1139" s="34"/>
      <c r="BA1139" s="93"/>
      <c r="BB1139" s="50"/>
      <c r="BI1139" s="42"/>
    </row>
    <row r="1140" spans="1:61" s="24" customFormat="1" ht="20.85" hidden="1" customHeight="1">
      <c r="A1140" s="32"/>
      <c r="B1140" s="158"/>
      <c r="C1140" s="78" t="s">
        <v>138</v>
      </c>
      <c r="D1140" s="35">
        <f t="shared" si="204"/>
        <v>0.11000000000000007</v>
      </c>
      <c r="E1140" s="35"/>
      <c r="F1140" s="35">
        <f t="shared" si="196"/>
        <v>0.11000000000000007</v>
      </c>
      <c r="G1140" s="147">
        <f t="shared" ref="G1140:AW1140" si="208">G1137-G1138-G1139</f>
        <v>0.11000000000000007</v>
      </c>
      <c r="H1140" s="147">
        <f t="shared" si="208"/>
        <v>0</v>
      </c>
      <c r="I1140" s="147">
        <f t="shared" si="208"/>
        <v>0</v>
      </c>
      <c r="J1140" s="147">
        <f t="shared" si="208"/>
        <v>0</v>
      </c>
      <c r="K1140" s="147">
        <f t="shared" si="208"/>
        <v>0</v>
      </c>
      <c r="L1140" s="147">
        <f t="shared" si="208"/>
        <v>0</v>
      </c>
      <c r="M1140" s="147">
        <f t="shared" si="208"/>
        <v>0</v>
      </c>
      <c r="N1140" s="147">
        <f t="shared" si="208"/>
        <v>0</v>
      </c>
      <c r="O1140" s="147">
        <f t="shared" si="208"/>
        <v>0</v>
      </c>
      <c r="P1140" s="147">
        <f t="shared" si="208"/>
        <v>0</v>
      </c>
      <c r="Q1140" s="147">
        <f t="shared" si="208"/>
        <v>0</v>
      </c>
      <c r="R1140" s="147">
        <f t="shared" si="208"/>
        <v>0</v>
      </c>
      <c r="S1140" s="147">
        <f t="shared" si="208"/>
        <v>0</v>
      </c>
      <c r="T1140" s="147">
        <f t="shared" si="208"/>
        <v>0</v>
      </c>
      <c r="U1140" s="147">
        <f t="shared" si="208"/>
        <v>0</v>
      </c>
      <c r="V1140" s="147">
        <f t="shared" si="208"/>
        <v>0</v>
      </c>
      <c r="W1140" s="147">
        <f t="shared" si="208"/>
        <v>0</v>
      </c>
      <c r="X1140" s="147">
        <f t="shared" si="208"/>
        <v>0</v>
      </c>
      <c r="Y1140" s="147">
        <f t="shared" si="208"/>
        <v>0</v>
      </c>
      <c r="Z1140" s="147">
        <f t="shared" si="208"/>
        <v>0</v>
      </c>
      <c r="AA1140" s="147">
        <f t="shared" si="208"/>
        <v>0</v>
      </c>
      <c r="AB1140" s="147">
        <f t="shared" si="208"/>
        <v>0</v>
      </c>
      <c r="AC1140" s="147">
        <f t="shared" si="208"/>
        <v>0</v>
      </c>
      <c r="AD1140" s="147">
        <f t="shared" si="208"/>
        <v>0</v>
      </c>
      <c r="AE1140" s="147">
        <f t="shared" si="208"/>
        <v>0</v>
      </c>
      <c r="AF1140" s="147">
        <f t="shared" si="208"/>
        <v>0</v>
      </c>
      <c r="AG1140" s="147">
        <f t="shared" si="208"/>
        <v>0</v>
      </c>
      <c r="AH1140" s="147">
        <f t="shared" si="208"/>
        <v>0</v>
      </c>
      <c r="AI1140" s="147">
        <f t="shared" si="208"/>
        <v>0</v>
      </c>
      <c r="AJ1140" s="147">
        <f t="shared" si="208"/>
        <v>0</v>
      </c>
      <c r="AK1140" s="147">
        <f t="shared" si="208"/>
        <v>0</v>
      </c>
      <c r="AL1140" s="147">
        <f t="shared" si="208"/>
        <v>0</v>
      </c>
      <c r="AM1140" s="147">
        <f t="shared" si="208"/>
        <v>0</v>
      </c>
      <c r="AN1140" s="147">
        <f t="shared" si="208"/>
        <v>0</v>
      </c>
      <c r="AO1140" s="147">
        <f t="shared" si="208"/>
        <v>0</v>
      </c>
      <c r="AP1140" s="147">
        <f t="shared" si="208"/>
        <v>0</v>
      </c>
      <c r="AQ1140" s="147">
        <f t="shared" si="208"/>
        <v>0</v>
      </c>
      <c r="AR1140" s="147">
        <f t="shared" si="208"/>
        <v>0</v>
      </c>
      <c r="AS1140" s="147">
        <f t="shared" si="208"/>
        <v>0</v>
      </c>
      <c r="AT1140" s="147">
        <f t="shared" si="208"/>
        <v>0</v>
      </c>
      <c r="AU1140" s="147">
        <f t="shared" si="208"/>
        <v>0</v>
      </c>
      <c r="AV1140" s="147">
        <f t="shared" si="208"/>
        <v>0</v>
      </c>
      <c r="AW1140" s="147">
        <f t="shared" si="208"/>
        <v>0</v>
      </c>
      <c r="AX1140" s="147">
        <f>AX1137-AX1138-AX1139</f>
        <v>0</v>
      </c>
      <c r="AY1140" s="34" t="s">
        <v>233</v>
      </c>
      <c r="AZ1140" s="34"/>
      <c r="BA1140" s="93"/>
      <c r="BB1140" s="50"/>
      <c r="BI1140" s="42"/>
    </row>
    <row r="1141" spans="1:61" s="24" customFormat="1" ht="20.85" customHeight="1">
      <c r="A1141" s="32">
        <f>A1137+1</f>
        <v>746</v>
      </c>
      <c r="B1141" s="158" t="s">
        <v>186</v>
      </c>
      <c r="C1141" s="78" t="s">
        <v>1260</v>
      </c>
      <c r="D1141" s="35">
        <f t="shared" si="204"/>
        <v>0.8</v>
      </c>
      <c r="E1141" s="35"/>
      <c r="F1141" s="35">
        <f t="shared" si="196"/>
        <v>0.8</v>
      </c>
      <c r="G1141" s="109">
        <v>0.8</v>
      </c>
      <c r="H1141" s="109"/>
      <c r="I1141" s="109"/>
      <c r="J1141" s="109"/>
      <c r="K1141" s="46"/>
      <c r="L1141" s="46"/>
      <c r="M1141" s="109"/>
      <c r="N1141" s="46"/>
      <c r="O1141" s="46"/>
      <c r="P1141" s="109"/>
      <c r="Q1141" s="46"/>
      <c r="R1141" s="46"/>
      <c r="S1141" s="46"/>
      <c r="T1141" s="46"/>
      <c r="U1141" s="46"/>
      <c r="V1141" s="46"/>
      <c r="W1141" s="46"/>
      <c r="X1141" s="46"/>
      <c r="Y1141" s="46"/>
      <c r="Z1141" s="46"/>
      <c r="AA1141" s="46"/>
      <c r="AB1141" s="46"/>
      <c r="AC1141" s="46"/>
      <c r="AD1141" s="46"/>
      <c r="AE1141" s="46"/>
      <c r="AF1141" s="46"/>
      <c r="AG1141" s="46"/>
      <c r="AH1141" s="46"/>
      <c r="AI1141" s="46"/>
      <c r="AJ1141" s="46"/>
      <c r="AK1141" s="46"/>
      <c r="AL1141" s="46"/>
      <c r="AM1141" s="46"/>
      <c r="AN1141" s="46"/>
      <c r="AO1141" s="46"/>
      <c r="AP1141" s="46"/>
      <c r="AQ1141" s="46"/>
      <c r="AR1141" s="46"/>
      <c r="AS1141" s="46"/>
      <c r="AT1141" s="46"/>
      <c r="AU1141" s="46"/>
      <c r="AV1141" s="46"/>
      <c r="AW1141" s="46"/>
      <c r="AX1141" s="109"/>
      <c r="AY1141" s="34" t="s">
        <v>233</v>
      </c>
      <c r="AZ1141" s="34" t="s">
        <v>784</v>
      </c>
      <c r="BA1141" s="93" t="s">
        <v>291</v>
      </c>
      <c r="BB1141" s="50"/>
      <c r="BC1141" s="24" t="s">
        <v>1555</v>
      </c>
      <c r="BI1141" s="42">
        <v>1</v>
      </c>
    </row>
    <row r="1142" spans="1:61" s="24" customFormat="1" ht="20.85" hidden="1" customHeight="1">
      <c r="A1142" s="32"/>
      <c r="B1142" s="158"/>
      <c r="C1142" s="78" t="s">
        <v>59</v>
      </c>
      <c r="D1142" s="35">
        <f t="shared" si="204"/>
        <v>0.28000000000000003</v>
      </c>
      <c r="E1142" s="35"/>
      <c r="F1142" s="35">
        <f t="shared" si="196"/>
        <v>0.28000000000000003</v>
      </c>
      <c r="G1142" s="109">
        <v>0.28000000000000003</v>
      </c>
      <c r="H1142" s="109"/>
      <c r="I1142" s="109"/>
      <c r="J1142" s="109"/>
      <c r="K1142" s="46"/>
      <c r="L1142" s="46"/>
      <c r="M1142" s="109"/>
      <c r="N1142" s="46"/>
      <c r="O1142" s="46"/>
      <c r="P1142" s="109"/>
      <c r="Q1142" s="46"/>
      <c r="R1142" s="46"/>
      <c r="S1142" s="46"/>
      <c r="T1142" s="46"/>
      <c r="U1142" s="46"/>
      <c r="V1142" s="46"/>
      <c r="W1142" s="46"/>
      <c r="X1142" s="46"/>
      <c r="Y1142" s="46"/>
      <c r="Z1142" s="46"/>
      <c r="AA1142" s="46"/>
      <c r="AB1142" s="46"/>
      <c r="AC1142" s="46"/>
      <c r="AD1142" s="46"/>
      <c r="AE1142" s="46"/>
      <c r="AF1142" s="46"/>
      <c r="AG1142" s="46"/>
      <c r="AH1142" s="46"/>
      <c r="AI1142" s="46"/>
      <c r="AJ1142" s="46"/>
      <c r="AK1142" s="46"/>
      <c r="AL1142" s="46"/>
      <c r="AM1142" s="46"/>
      <c r="AN1142" s="46"/>
      <c r="AO1142" s="46"/>
      <c r="AP1142" s="46"/>
      <c r="AQ1142" s="46"/>
      <c r="AR1142" s="46"/>
      <c r="AS1142" s="46"/>
      <c r="AT1142" s="46"/>
      <c r="AU1142" s="46"/>
      <c r="AV1142" s="46"/>
      <c r="AW1142" s="46"/>
      <c r="AX1142" s="109"/>
      <c r="AY1142" s="34" t="s">
        <v>233</v>
      </c>
      <c r="AZ1142" s="34"/>
      <c r="BA1142" s="93"/>
      <c r="BB1142" s="50"/>
      <c r="BI1142" s="42"/>
    </row>
    <row r="1143" spans="1:61" s="24" customFormat="1" ht="20.85" hidden="1" customHeight="1">
      <c r="A1143" s="32"/>
      <c r="B1143" s="158"/>
      <c r="C1143" s="78" t="s">
        <v>44</v>
      </c>
      <c r="D1143" s="35">
        <f t="shared" si="204"/>
        <v>0.32</v>
      </c>
      <c r="E1143" s="35"/>
      <c r="F1143" s="35">
        <f t="shared" si="196"/>
        <v>0.32</v>
      </c>
      <c r="G1143" s="109">
        <v>0.32</v>
      </c>
      <c r="H1143" s="109"/>
      <c r="I1143" s="109"/>
      <c r="J1143" s="109"/>
      <c r="K1143" s="46"/>
      <c r="L1143" s="46"/>
      <c r="M1143" s="109"/>
      <c r="N1143" s="46"/>
      <c r="O1143" s="46"/>
      <c r="P1143" s="109"/>
      <c r="Q1143" s="46"/>
      <c r="R1143" s="46"/>
      <c r="S1143" s="46"/>
      <c r="T1143" s="46"/>
      <c r="U1143" s="46"/>
      <c r="V1143" s="46"/>
      <c r="W1143" s="46"/>
      <c r="X1143" s="46"/>
      <c r="Y1143" s="46"/>
      <c r="Z1143" s="46"/>
      <c r="AA1143" s="46"/>
      <c r="AB1143" s="46"/>
      <c r="AC1143" s="46"/>
      <c r="AD1143" s="46"/>
      <c r="AE1143" s="46"/>
      <c r="AF1143" s="46"/>
      <c r="AG1143" s="46"/>
      <c r="AH1143" s="46"/>
      <c r="AI1143" s="46"/>
      <c r="AJ1143" s="46"/>
      <c r="AK1143" s="46"/>
      <c r="AL1143" s="46"/>
      <c r="AM1143" s="46"/>
      <c r="AN1143" s="46"/>
      <c r="AO1143" s="46"/>
      <c r="AP1143" s="46"/>
      <c r="AQ1143" s="46"/>
      <c r="AR1143" s="46"/>
      <c r="AS1143" s="46"/>
      <c r="AT1143" s="46"/>
      <c r="AU1143" s="46"/>
      <c r="AV1143" s="46"/>
      <c r="AW1143" s="46"/>
      <c r="AX1143" s="109"/>
      <c r="AY1143" s="34" t="s">
        <v>233</v>
      </c>
      <c r="AZ1143" s="34"/>
      <c r="BA1143" s="93"/>
      <c r="BB1143" s="50"/>
      <c r="BI1143" s="42"/>
    </row>
    <row r="1144" spans="1:61" s="24" customFormat="1" ht="20.85" hidden="1" customHeight="1">
      <c r="A1144" s="32"/>
      <c r="B1144" s="158"/>
      <c r="C1144" s="78" t="s">
        <v>138</v>
      </c>
      <c r="D1144" s="35">
        <f t="shared" si="204"/>
        <v>0.2</v>
      </c>
      <c r="E1144" s="35"/>
      <c r="F1144" s="35">
        <f t="shared" si="196"/>
        <v>0.2</v>
      </c>
      <c r="G1144" s="147">
        <f>G1141-G1142-G1143</f>
        <v>0.2</v>
      </c>
      <c r="H1144" s="147">
        <f t="shared" ref="H1144:AX1144" si="209">H1141-H1142-H1143</f>
        <v>0</v>
      </c>
      <c r="I1144" s="147">
        <f t="shared" si="209"/>
        <v>0</v>
      </c>
      <c r="J1144" s="147">
        <f t="shared" si="209"/>
        <v>0</v>
      </c>
      <c r="K1144" s="147">
        <f t="shared" si="209"/>
        <v>0</v>
      </c>
      <c r="L1144" s="147">
        <f t="shared" si="209"/>
        <v>0</v>
      </c>
      <c r="M1144" s="147">
        <f t="shared" si="209"/>
        <v>0</v>
      </c>
      <c r="N1144" s="147">
        <f t="shared" si="209"/>
        <v>0</v>
      </c>
      <c r="O1144" s="147">
        <f t="shared" si="209"/>
        <v>0</v>
      </c>
      <c r="P1144" s="147">
        <f t="shared" si="209"/>
        <v>0</v>
      </c>
      <c r="Q1144" s="147">
        <f t="shared" si="209"/>
        <v>0</v>
      </c>
      <c r="R1144" s="147">
        <f t="shared" si="209"/>
        <v>0</v>
      </c>
      <c r="S1144" s="147">
        <f t="shared" si="209"/>
        <v>0</v>
      </c>
      <c r="T1144" s="147">
        <f t="shared" si="209"/>
        <v>0</v>
      </c>
      <c r="U1144" s="147">
        <f t="shared" si="209"/>
        <v>0</v>
      </c>
      <c r="V1144" s="147">
        <f t="shared" si="209"/>
        <v>0</v>
      </c>
      <c r="W1144" s="147">
        <f t="shared" si="209"/>
        <v>0</v>
      </c>
      <c r="X1144" s="147">
        <f t="shared" si="209"/>
        <v>0</v>
      </c>
      <c r="Y1144" s="147">
        <f t="shared" si="209"/>
        <v>0</v>
      </c>
      <c r="Z1144" s="147">
        <f t="shared" si="209"/>
        <v>0</v>
      </c>
      <c r="AA1144" s="147">
        <f t="shared" si="209"/>
        <v>0</v>
      </c>
      <c r="AB1144" s="147">
        <f t="shared" si="209"/>
        <v>0</v>
      </c>
      <c r="AC1144" s="147">
        <f t="shared" si="209"/>
        <v>0</v>
      </c>
      <c r="AD1144" s="147">
        <f t="shared" si="209"/>
        <v>0</v>
      </c>
      <c r="AE1144" s="147">
        <f t="shared" si="209"/>
        <v>0</v>
      </c>
      <c r="AF1144" s="147">
        <f t="shared" si="209"/>
        <v>0</v>
      </c>
      <c r="AG1144" s="147">
        <f t="shared" si="209"/>
        <v>0</v>
      </c>
      <c r="AH1144" s="147">
        <f t="shared" si="209"/>
        <v>0</v>
      </c>
      <c r="AI1144" s="147">
        <f t="shared" si="209"/>
        <v>0</v>
      </c>
      <c r="AJ1144" s="147">
        <f t="shared" si="209"/>
        <v>0</v>
      </c>
      <c r="AK1144" s="147">
        <f t="shared" si="209"/>
        <v>0</v>
      </c>
      <c r="AL1144" s="147">
        <f t="shared" si="209"/>
        <v>0</v>
      </c>
      <c r="AM1144" s="147">
        <f t="shared" si="209"/>
        <v>0</v>
      </c>
      <c r="AN1144" s="147">
        <f t="shared" si="209"/>
        <v>0</v>
      </c>
      <c r="AO1144" s="147">
        <f t="shared" si="209"/>
        <v>0</v>
      </c>
      <c r="AP1144" s="147">
        <f t="shared" si="209"/>
        <v>0</v>
      </c>
      <c r="AQ1144" s="147">
        <f t="shared" si="209"/>
        <v>0</v>
      </c>
      <c r="AR1144" s="147">
        <f t="shared" si="209"/>
        <v>0</v>
      </c>
      <c r="AS1144" s="147">
        <f t="shared" si="209"/>
        <v>0</v>
      </c>
      <c r="AT1144" s="147">
        <f t="shared" si="209"/>
        <v>0</v>
      </c>
      <c r="AU1144" s="147">
        <f t="shared" si="209"/>
        <v>0</v>
      </c>
      <c r="AV1144" s="147">
        <f t="shared" si="209"/>
        <v>0</v>
      </c>
      <c r="AW1144" s="147">
        <f t="shared" si="209"/>
        <v>0</v>
      </c>
      <c r="AX1144" s="147">
        <f t="shared" si="209"/>
        <v>0</v>
      </c>
      <c r="AY1144" s="34" t="s">
        <v>233</v>
      </c>
      <c r="AZ1144" s="34"/>
      <c r="BA1144" s="93"/>
      <c r="BB1144" s="50"/>
      <c r="BI1144" s="42"/>
    </row>
    <row r="1145" spans="1:61" s="24" customFormat="1" ht="32.450000000000003" customHeight="1">
      <c r="A1145" s="32">
        <f>A1141+1</f>
        <v>747</v>
      </c>
      <c r="B1145" s="158" t="s">
        <v>186</v>
      </c>
      <c r="C1145" s="78" t="s">
        <v>1260</v>
      </c>
      <c r="D1145" s="35">
        <f>F1145+E1145</f>
        <v>0.9</v>
      </c>
      <c r="E1145" s="35"/>
      <c r="F1145" s="35">
        <f>SUM(G1145:AX1145)</f>
        <v>0.9</v>
      </c>
      <c r="G1145" s="109">
        <v>0.76</v>
      </c>
      <c r="H1145" s="109"/>
      <c r="I1145" s="109">
        <v>0.09</v>
      </c>
      <c r="J1145" s="109">
        <v>0.05</v>
      </c>
      <c r="K1145" s="46"/>
      <c r="L1145" s="46"/>
      <c r="M1145" s="109"/>
      <c r="N1145" s="46"/>
      <c r="O1145" s="46"/>
      <c r="P1145" s="109"/>
      <c r="Q1145" s="46"/>
      <c r="R1145" s="46"/>
      <c r="S1145" s="46"/>
      <c r="T1145" s="46"/>
      <c r="U1145" s="46"/>
      <c r="V1145" s="46"/>
      <c r="W1145" s="46"/>
      <c r="X1145" s="46"/>
      <c r="Y1145" s="46"/>
      <c r="Z1145" s="46"/>
      <c r="AA1145" s="46"/>
      <c r="AB1145" s="46"/>
      <c r="AC1145" s="46"/>
      <c r="AD1145" s="46"/>
      <c r="AE1145" s="46"/>
      <c r="AF1145" s="46"/>
      <c r="AG1145" s="46"/>
      <c r="AH1145" s="46"/>
      <c r="AI1145" s="46"/>
      <c r="AJ1145" s="46"/>
      <c r="AK1145" s="46"/>
      <c r="AL1145" s="46"/>
      <c r="AM1145" s="46"/>
      <c r="AN1145" s="46"/>
      <c r="AO1145" s="46"/>
      <c r="AP1145" s="46"/>
      <c r="AQ1145" s="46"/>
      <c r="AR1145" s="46"/>
      <c r="AS1145" s="46"/>
      <c r="AT1145" s="46"/>
      <c r="AU1145" s="46"/>
      <c r="AV1145" s="46"/>
      <c r="AW1145" s="46"/>
      <c r="AX1145" s="109"/>
      <c r="AY1145" s="34" t="s">
        <v>233</v>
      </c>
      <c r="AZ1145" s="34" t="s">
        <v>1556</v>
      </c>
      <c r="BA1145" s="47" t="s">
        <v>298</v>
      </c>
      <c r="BB1145" s="50"/>
      <c r="BC1145" s="24" t="s">
        <v>1555</v>
      </c>
      <c r="BG1145" s="24" t="s">
        <v>311</v>
      </c>
      <c r="BI1145" s="42">
        <v>1</v>
      </c>
    </row>
    <row r="1146" spans="1:61" s="24" customFormat="1" ht="20.85" hidden="1" customHeight="1">
      <c r="A1146" s="32"/>
      <c r="B1146" s="158"/>
      <c r="C1146" s="78" t="s">
        <v>59</v>
      </c>
      <c r="D1146" s="35">
        <f>F1146+E1146</f>
        <v>0.32</v>
      </c>
      <c r="E1146" s="35"/>
      <c r="F1146" s="35">
        <f>SUM(G1146:AX1146)</f>
        <v>0.32</v>
      </c>
      <c r="G1146" s="109">
        <v>0.32</v>
      </c>
      <c r="H1146" s="109"/>
      <c r="I1146" s="109"/>
      <c r="J1146" s="109"/>
      <c r="K1146" s="46"/>
      <c r="L1146" s="46"/>
      <c r="M1146" s="109"/>
      <c r="N1146" s="46"/>
      <c r="O1146" s="46"/>
      <c r="P1146" s="109"/>
      <c r="Q1146" s="46"/>
      <c r="R1146" s="46"/>
      <c r="S1146" s="46"/>
      <c r="T1146" s="46"/>
      <c r="U1146" s="46"/>
      <c r="V1146" s="46"/>
      <c r="W1146" s="46"/>
      <c r="X1146" s="46"/>
      <c r="Y1146" s="46"/>
      <c r="Z1146" s="46"/>
      <c r="AA1146" s="46"/>
      <c r="AB1146" s="46"/>
      <c r="AC1146" s="46"/>
      <c r="AD1146" s="46"/>
      <c r="AE1146" s="46"/>
      <c r="AF1146" s="46"/>
      <c r="AG1146" s="46"/>
      <c r="AH1146" s="46"/>
      <c r="AI1146" s="46"/>
      <c r="AJ1146" s="46"/>
      <c r="AK1146" s="46"/>
      <c r="AL1146" s="46"/>
      <c r="AM1146" s="46"/>
      <c r="AN1146" s="46"/>
      <c r="AO1146" s="46"/>
      <c r="AP1146" s="46"/>
      <c r="AQ1146" s="46"/>
      <c r="AR1146" s="46"/>
      <c r="AS1146" s="46"/>
      <c r="AT1146" s="46"/>
      <c r="AU1146" s="46"/>
      <c r="AV1146" s="46"/>
      <c r="AW1146" s="46"/>
      <c r="AX1146" s="109"/>
      <c r="AY1146" s="34" t="s">
        <v>233</v>
      </c>
      <c r="AZ1146" s="34"/>
      <c r="BA1146" s="93"/>
      <c r="BB1146" s="50"/>
      <c r="BI1146" s="42"/>
    </row>
    <row r="1147" spans="1:61" s="24" customFormat="1" ht="20.85" hidden="1" customHeight="1">
      <c r="A1147" s="32"/>
      <c r="B1147" s="158"/>
      <c r="C1147" s="78" t="s">
        <v>44</v>
      </c>
      <c r="D1147" s="35">
        <f>F1147+E1147</f>
        <v>0.36</v>
      </c>
      <c r="E1147" s="35"/>
      <c r="F1147" s="35">
        <f>SUM(G1147:AX1147)</f>
        <v>0.36</v>
      </c>
      <c r="G1147" s="109">
        <v>0.27</v>
      </c>
      <c r="H1147" s="109"/>
      <c r="I1147" s="109">
        <v>0.09</v>
      </c>
      <c r="J1147" s="109"/>
      <c r="K1147" s="46"/>
      <c r="L1147" s="46"/>
      <c r="M1147" s="109"/>
      <c r="N1147" s="46"/>
      <c r="O1147" s="46"/>
      <c r="P1147" s="109"/>
      <c r="Q1147" s="46"/>
      <c r="R1147" s="46"/>
      <c r="S1147" s="46"/>
      <c r="T1147" s="46"/>
      <c r="U1147" s="46"/>
      <c r="V1147" s="46"/>
      <c r="W1147" s="46"/>
      <c r="X1147" s="46"/>
      <c r="Y1147" s="46"/>
      <c r="Z1147" s="46"/>
      <c r="AA1147" s="46"/>
      <c r="AB1147" s="46"/>
      <c r="AC1147" s="46"/>
      <c r="AD1147" s="46"/>
      <c r="AE1147" s="46"/>
      <c r="AF1147" s="46"/>
      <c r="AG1147" s="46"/>
      <c r="AH1147" s="46"/>
      <c r="AI1147" s="46"/>
      <c r="AJ1147" s="46"/>
      <c r="AK1147" s="46"/>
      <c r="AL1147" s="46"/>
      <c r="AM1147" s="46"/>
      <c r="AN1147" s="46"/>
      <c r="AO1147" s="46"/>
      <c r="AP1147" s="46"/>
      <c r="AQ1147" s="46"/>
      <c r="AR1147" s="46"/>
      <c r="AS1147" s="46"/>
      <c r="AT1147" s="46"/>
      <c r="AU1147" s="46"/>
      <c r="AV1147" s="46"/>
      <c r="AW1147" s="46"/>
      <c r="AX1147" s="109"/>
      <c r="AY1147" s="34" t="s">
        <v>233</v>
      </c>
      <c r="AZ1147" s="34"/>
      <c r="BA1147" s="93"/>
      <c r="BB1147" s="50"/>
      <c r="BI1147" s="42"/>
    </row>
    <row r="1148" spans="1:61" s="24" customFormat="1" ht="20.85" hidden="1" customHeight="1">
      <c r="A1148" s="32"/>
      <c r="B1148" s="158"/>
      <c r="C1148" s="78" t="s">
        <v>138</v>
      </c>
      <c r="D1148" s="35">
        <f>F1148+E1148</f>
        <v>0.21999999999999997</v>
      </c>
      <c r="E1148" s="35"/>
      <c r="F1148" s="35">
        <f>SUM(G1148:AX1148)</f>
        <v>0.21999999999999997</v>
      </c>
      <c r="G1148" s="147">
        <f>G1145-G1146-G1147</f>
        <v>0.16999999999999998</v>
      </c>
      <c r="H1148" s="147">
        <f t="shared" ref="H1148:AX1148" si="210">H1145-H1146-H1147</f>
        <v>0</v>
      </c>
      <c r="I1148" s="147">
        <f t="shared" si="210"/>
        <v>0</v>
      </c>
      <c r="J1148" s="147">
        <f t="shared" si="210"/>
        <v>0.05</v>
      </c>
      <c r="K1148" s="147">
        <f t="shared" si="210"/>
        <v>0</v>
      </c>
      <c r="L1148" s="147">
        <f t="shared" si="210"/>
        <v>0</v>
      </c>
      <c r="M1148" s="147">
        <f t="shared" si="210"/>
        <v>0</v>
      </c>
      <c r="N1148" s="147">
        <f t="shared" si="210"/>
        <v>0</v>
      </c>
      <c r="O1148" s="147">
        <f t="shared" si="210"/>
        <v>0</v>
      </c>
      <c r="P1148" s="147">
        <f t="shared" si="210"/>
        <v>0</v>
      </c>
      <c r="Q1148" s="147">
        <f t="shared" si="210"/>
        <v>0</v>
      </c>
      <c r="R1148" s="147">
        <f t="shared" si="210"/>
        <v>0</v>
      </c>
      <c r="S1148" s="147">
        <f t="shared" si="210"/>
        <v>0</v>
      </c>
      <c r="T1148" s="147">
        <f t="shared" si="210"/>
        <v>0</v>
      </c>
      <c r="U1148" s="147">
        <f t="shared" si="210"/>
        <v>0</v>
      </c>
      <c r="V1148" s="147">
        <f t="shared" si="210"/>
        <v>0</v>
      </c>
      <c r="W1148" s="147">
        <f t="shared" si="210"/>
        <v>0</v>
      </c>
      <c r="X1148" s="147">
        <f t="shared" si="210"/>
        <v>0</v>
      </c>
      <c r="Y1148" s="147">
        <f t="shared" si="210"/>
        <v>0</v>
      </c>
      <c r="Z1148" s="147">
        <f t="shared" si="210"/>
        <v>0</v>
      </c>
      <c r="AA1148" s="147">
        <f t="shared" si="210"/>
        <v>0</v>
      </c>
      <c r="AB1148" s="147">
        <f t="shared" si="210"/>
        <v>0</v>
      </c>
      <c r="AC1148" s="147">
        <f t="shared" si="210"/>
        <v>0</v>
      </c>
      <c r="AD1148" s="147">
        <f t="shared" si="210"/>
        <v>0</v>
      </c>
      <c r="AE1148" s="147">
        <f t="shared" si="210"/>
        <v>0</v>
      </c>
      <c r="AF1148" s="147">
        <f t="shared" si="210"/>
        <v>0</v>
      </c>
      <c r="AG1148" s="147">
        <f t="shared" si="210"/>
        <v>0</v>
      </c>
      <c r="AH1148" s="147">
        <f t="shared" si="210"/>
        <v>0</v>
      </c>
      <c r="AI1148" s="147">
        <f t="shared" si="210"/>
        <v>0</v>
      </c>
      <c r="AJ1148" s="147">
        <f t="shared" si="210"/>
        <v>0</v>
      </c>
      <c r="AK1148" s="147">
        <f t="shared" si="210"/>
        <v>0</v>
      </c>
      <c r="AL1148" s="147">
        <f t="shared" si="210"/>
        <v>0</v>
      </c>
      <c r="AM1148" s="147">
        <f t="shared" si="210"/>
        <v>0</v>
      </c>
      <c r="AN1148" s="147">
        <f t="shared" si="210"/>
        <v>0</v>
      </c>
      <c r="AO1148" s="147">
        <f t="shared" si="210"/>
        <v>0</v>
      </c>
      <c r="AP1148" s="147">
        <f t="shared" si="210"/>
        <v>0</v>
      </c>
      <c r="AQ1148" s="147">
        <f t="shared" si="210"/>
        <v>0</v>
      </c>
      <c r="AR1148" s="147">
        <f t="shared" si="210"/>
        <v>0</v>
      </c>
      <c r="AS1148" s="147">
        <f t="shared" si="210"/>
        <v>0</v>
      </c>
      <c r="AT1148" s="147">
        <f t="shared" si="210"/>
        <v>0</v>
      </c>
      <c r="AU1148" s="147">
        <f t="shared" si="210"/>
        <v>0</v>
      </c>
      <c r="AV1148" s="147">
        <f t="shared" si="210"/>
        <v>0</v>
      </c>
      <c r="AW1148" s="147">
        <f t="shared" si="210"/>
        <v>0</v>
      </c>
      <c r="AX1148" s="147">
        <f t="shared" si="210"/>
        <v>0</v>
      </c>
      <c r="AY1148" s="34" t="s">
        <v>233</v>
      </c>
      <c r="AZ1148" s="34"/>
      <c r="BA1148" s="93"/>
      <c r="BB1148" s="50"/>
      <c r="BI1148" s="42"/>
    </row>
    <row r="1149" spans="1:61" s="24" customFormat="1" ht="20.85" customHeight="1">
      <c r="A1149" s="32">
        <f>A1145+1</f>
        <v>748</v>
      </c>
      <c r="B1149" s="158" t="s">
        <v>186</v>
      </c>
      <c r="C1149" s="78" t="s">
        <v>1260</v>
      </c>
      <c r="D1149" s="35">
        <f t="shared" si="204"/>
        <v>2.12</v>
      </c>
      <c r="E1149" s="35"/>
      <c r="F1149" s="35">
        <f t="shared" si="196"/>
        <v>2.12</v>
      </c>
      <c r="G1149" s="109"/>
      <c r="H1149" s="109"/>
      <c r="I1149" s="109"/>
      <c r="J1149" s="109">
        <v>2.08</v>
      </c>
      <c r="K1149" s="46"/>
      <c r="L1149" s="46"/>
      <c r="M1149" s="109"/>
      <c r="N1149" s="46"/>
      <c r="O1149" s="46"/>
      <c r="P1149" s="109"/>
      <c r="Q1149" s="46"/>
      <c r="R1149" s="46"/>
      <c r="S1149" s="46"/>
      <c r="T1149" s="46"/>
      <c r="U1149" s="46"/>
      <c r="V1149" s="46"/>
      <c r="W1149" s="46">
        <v>0.04</v>
      </c>
      <c r="X1149" s="46"/>
      <c r="Y1149" s="46"/>
      <c r="Z1149" s="46"/>
      <c r="AA1149" s="46"/>
      <c r="AB1149" s="46"/>
      <c r="AC1149" s="46"/>
      <c r="AD1149" s="46"/>
      <c r="AE1149" s="46"/>
      <c r="AF1149" s="46"/>
      <c r="AG1149" s="46"/>
      <c r="AH1149" s="46"/>
      <c r="AI1149" s="46"/>
      <c r="AJ1149" s="46"/>
      <c r="AK1149" s="46"/>
      <c r="AL1149" s="46"/>
      <c r="AM1149" s="46"/>
      <c r="AN1149" s="46"/>
      <c r="AO1149" s="46"/>
      <c r="AP1149" s="46"/>
      <c r="AQ1149" s="46"/>
      <c r="AR1149" s="46"/>
      <c r="AS1149" s="46"/>
      <c r="AT1149" s="46"/>
      <c r="AU1149" s="46"/>
      <c r="AV1149" s="46"/>
      <c r="AW1149" s="46"/>
      <c r="AX1149" s="109"/>
      <c r="AY1149" s="34" t="s">
        <v>233</v>
      </c>
      <c r="AZ1149" s="34" t="s">
        <v>786</v>
      </c>
      <c r="BA1149" s="47" t="s">
        <v>298</v>
      </c>
      <c r="BB1149" s="50" t="s">
        <v>351</v>
      </c>
      <c r="BI1149" s="42">
        <v>1</v>
      </c>
    </row>
    <row r="1150" spans="1:61" s="24" customFormat="1" ht="20.85" hidden="1" customHeight="1">
      <c r="A1150" s="32"/>
      <c r="B1150" s="158"/>
      <c r="C1150" s="78" t="s">
        <v>59</v>
      </c>
      <c r="D1150" s="35">
        <f t="shared" si="204"/>
        <v>0.74</v>
      </c>
      <c r="E1150" s="35"/>
      <c r="F1150" s="35">
        <f t="shared" si="196"/>
        <v>0.74</v>
      </c>
      <c r="G1150" s="109"/>
      <c r="H1150" s="109"/>
      <c r="I1150" s="109"/>
      <c r="J1150" s="109">
        <v>0.74</v>
      </c>
      <c r="K1150" s="46"/>
      <c r="L1150" s="46"/>
      <c r="M1150" s="109"/>
      <c r="N1150" s="46"/>
      <c r="O1150" s="46"/>
      <c r="P1150" s="109"/>
      <c r="Q1150" s="46"/>
      <c r="R1150" s="46"/>
      <c r="S1150" s="46"/>
      <c r="T1150" s="46"/>
      <c r="U1150" s="46"/>
      <c r="V1150" s="46"/>
      <c r="W1150" s="46"/>
      <c r="X1150" s="46"/>
      <c r="Y1150" s="46"/>
      <c r="Z1150" s="46"/>
      <c r="AA1150" s="46"/>
      <c r="AB1150" s="46"/>
      <c r="AC1150" s="46"/>
      <c r="AD1150" s="46"/>
      <c r="AE1150" s="46"/>
      <c r="AF1150" s="46"/>
      <c r="AG1150" s="46"/>
      <c r="AH1150" s="46"/>
      <c r="AI1150" s="46"/>
      <c r="AJ1150" s="46"/>
      <c r="AK1150" s="46"/>
      <c r="AL1150" s="46"/>
      <c r="AM1150" s="46"/>
      <c r="AN1150" s="46"/>
      <c r="AO1150" s="46"/>
      <c r="AP1150" s="46"/>
      <c r="AQ1150" s="46"/>
      <c r="AR1150" s="46"/>
      <c r="AS1150" s="46"/>
      <c r="AT1150" s="46"/>
      <c r="AU1150" s="46"/>
      <c r="AV1150" s="46"/>
      <c r="AW1150" s="46"/>
      <c r="AX1150" s="109"/>
      <c r="AY1150" s="34" t="s">
        <v>233</v>
      </c>
      <c r="AZ1150" s="34"/>
      <c r="BA1150" s="47"/>
      <c r="BB1150" s="50"/>
      <c r="BI1150" s="42"/>
    </row>
    <row r="1151" spans="1:61" s="24" customFormat="1" ht="20.85" hidden="1" customHeight="1">
      <c r="A1151" s="32"/>
      <c r="B1151" s="158"/>
      <c r="C1151" s="78" t="s">
        <v>44</v>
      </c>
      <c r="D1151" s="35">
        <f t="shared" si="204"/>
        <v>0.74</v>
      </c>
      <c r="E1151" s="35"/>
      <c r="F1151" s="35">
        <f t="shared" si="196"/>
        <v>0.74</v>
      </c>
      <c r="G1151" s="109"/>
      <c r="H1151" s="109"/>
      <c r="I1151" s="109"/>
      <c r="J1151" s="109">
        <v>0.74</v>
      </c>
      <c r="K1151" s="46"/>
      <c r="L1151" s="46"/>
      <c r="M1151" s="109"/>
      <c r="N1151" s="46"/>
      <c r="O1151" s="46"/>
      <c r="P1151" s="109"/>
      <c r="Q1151" s="46"/>
      <c r="R1151" s="46"/>
      <c r="S1151" s="46"/>
      <c r="T1151" s="46"/>
      <c r="U1151" s="46"/>
      <c r="V1151" s="46"/>
      <c r="W1151" s="46"/>
      <c r="X1151" s="46"/>
      <c r="Y1151" s="46"/>
      <c r="Z1151" s="46"/>
      <c r="AA1151" s="46"/>
      <c r="AB1151" s="46"/>
      <c r="AC1151" s="46"/>
      <c r="AD1151" s="46"/>
      <c r="AE1151" s="46"/>
      <c r="AF1151" s="46"/>
      <c r="AG1151" s="46"/>
      <c r="AH1151" s="46"/>
      <c r="AI1151" s="46"/>
      <c r="AJ1151" s="46"/>
      <c r="AK1151" s="46"/>
      <c r="AL1151" s="46"/>
      <c r="AM1151" s="46"/>
      <c r="AN1151" s="46"/>
      <c r="AO1151" s="46"/>
      <c r="AP1151" s="46"/>
      <c r="AQ1151" s="46"/>
      <c r="AR1151" s="46"/>
      <c r="AS1151" s="46"/>
      <c r="AT1151" s="46"/>
      <c r="AU1151" s="46"/>
      <c r="AV1151" s="46"/>
      <c r="AW1151" s="46"/>
      <c r="AX1151" s="109"/>
      <c r="AY1151" s="34" t="s">
        <v>233</v>
      </c>
      <c r="AZ1151" s="34"/>
      <c r="BA1151" s="47"/>
      <c r="BB1151" s="50"/>
      <c r="BI1151" s="42"/>
    </row>
    <row r="1152" spans="1:61" s="24" customFormat="1" ht="20.85" hidden="1" customHeight="1">
      <c r="A1152" s="32"/>
      <c r="B1152" s="158"/>
      <c r="C1152" s="78" t="s">
        <v>45</v>
      </c>
      <c r="D1152" s="35">
        <f t="shared" si="204"/>
        <v>0.2</v>
      </c>
      <c r="E1152" s="35"/>
      <c r="F1152" s="35">
        <f t="shared" si="196"/>
        <v>0.2</v>
      </c>
      <c r="G1152" s="109"/>
      <c r="H1152" s="109"/>
      <c r="I1152" s="109"/>
      <c r="J1152" s="109">
        <v>0.2</v>
      </c>
      <c r="K1152" s="46"/>
      <c r="L1152" s="46"/>
      <c r="M1152" s="109"/>
      <c r="N1152" s="46"/>
      <c r="O1152" s="46"/>
      <c r="P1152" s="109"/>
      <c r="Q1152" s="46"/>
      <c r="R1152" s="46"/>
      <c r="S1152" s="46"/>
      <c r="T1152" s="46"/>
      <c r="U1152" s="46"/>
      <c r="V1152" s="46"/>
      <c r="W1152" s="46"/>
      <c r="X1152" s="46"/>
      <c r="Y1152" s="46"/>
      <c r="Z1152" s="46"/>
      <c r="AA1152" s="46"/>
      <c r="AB1152" s="46"/>
      <c r="AC1152" s="46"/>
      <c r="AD1152" s="46"/>
      <c r="AE1152" s="46"/>
      <c r="AF1152" s="46"/>
      <c r="AG1152" s="46"/>
      <c r="AH1152" s="46"/>
      <c r="AI1152" s="46"/>
      <c r="AJ1152" s="46"/>
      <c r="AK1152" s="46"/>
      <c r="AL1152" s="46"/>
      <c r="AM1152" s="46"/>
      <c r="AN1152" s="46"/>
      <c r="AO1152" s="46"/>
      <c r="AP1152" s="46"/>
      <c r="AQ1152" s="46"/>
      <c r="AR1152" s="46"/>
      <c r="AS1152" s="46"/>
      <c r="AT1152" s="46"/>
      <c r="AU1152" s="46"/>
      <c r="AV1152" s="46"/>
      <c r="AW1152" s="46"/>
      <c r="AX1152" s="109"/>
      <c r="AY1152" s="34" t="s">
        <v>233</v>
      </c>
      <c r="AZ1152" s="34"/>
      <c r="BA1152" s="47"/>
      <c r="BB1152" s="50"/>
      <c r="BI1152" s="42"/>
    </row>
    <row r="1153" spans="1:61" s="24" customFormat="1" ht="20.85" hidden="1" customHeight="1">
      <c r="A1153" s="32"/>
      <c r="B1153" s="158"/>
      <c r="C1153" s="78" t="s">
        <v>138</v>
      </c>
      <c r="D1153" s="35">
        <f t="shared" si="204"/>
        <v>0.44000000000000006</v>
      </c>
      <c r="E1153" s="35"/>
      <c r="F1153" s="35">
        <f t="shared" si="196"/>
        <v>0.44000000000000006</v>
      </c>
      <c r="G1153" s="147">
        <f t="shared" ref="G1153:AW1153" si="211">G1149-G1150-G1151-G1152</f>
        <v>0</v>
      </c>
      <c r="H1153" s="147">
        <f t="shared" si="211"/>
        <v>0</v>
      </c>
      <c r="I1153" s="147">
        <f t="shared" si="211"/>
        <v>0</v>
      </c>
      <c r="J1153" s="147">
        <f t="shared" si="211"/>
        <v>0.40000000000000008</v>
      </c>
      <c r="K1153" s="147">
        <f t="shared" si="211"/>
        <v>0</v>
      </c>
      <c r="L1153" s="147">
        <f t="shared" si="211"/>
        <v>0</v>
      </c>
      <c r="M1153" s="147">
        <f t="shared" si="211"/>
        <v>0</v>
      </c>
      <c r="N1153" s="147">
        <f t="shared" si="211"/>
        <v>0</v>
      </c>
      <c r="O1153" s="147">
        <f t="shared" si="211"/>
        <v>0</v>
      </c>
      <c r="P1153" s="147">
        <f t="shared" si="211"/>
        <v>0</v>
      </c>
      <c r="Q1153" s="147">
        <f t="shared" si="211"/>
        <v>0</v>
      </c>
      <c r="R1153" s="147">
        <f t="shared" si="211"/>
        <v>0</v>
      </c>
      <c r="S1153" s="147">
        <f t="shared" si="211"/>
        <v>0</v>
      </c>
      <c r="T1153" s="147">
        <f t="shared" si="211"/>
        <v>0</v>
      </c>
      <c r="U1153" s="147">
        <f t="shared" si="211"/>
        <v>0</v>
      </c>
      <c r="V1153" s="147">
        <f t="shared" si="211"/>
        <v>0</v>
      </c>
      <c r="W1153" s="147">
        <f t="shared" si="211"/>
        <v>0.04</v>
      </c>
      <c r="X1153" s="147">
        <f t="shared" si="211"/>
        <v>0</v>
      </c>
      <c r="Y1153" s="147">
        <f t="shared" si="211"/>
        <v>0</v>
      </c>
      <c r="Z1153" s="147">
        <f t="shared" si="211"/>
        <v>0</v>
      </c>
      <c r="AA1153" s="147">
        <f t="shared" si="211"/>
        <v>0</v>
      </c>
      <c r="AB1153" s="147">
        <f t="shared" si="211"/>
        <v>0</v>
      </c>
      <c r="AC1153" s="147">
        <f t="shared" si="211"/>
        <v>0</v>
      </c>
      <c r="AD1153" s="147">
        <f t="shared" si="211"/>
        <v>0</v>
      </c>
      <c r="AE1153" s="147">
        <f t="shared" si="211"/>
        <v>0</v>
      </c>
      <c r="AF1153" s="147">
        <f t="shared" si="211"/>
        <v>0</v>
      </c>
      <c r="AG1153" s="147">
        <f t="shared" si="211"/>
        <v>0</v>
      </c>
      <c r="AH1153" s="147">
        <f t="shared" si="211"/>
        <v>0</v>
      </c>
      <c r="AI1153" s="147">
        <f t="shared" si="211"/>
        <v>0</v>
      </c>
      <c r="AJ1153" s="147">
        <f t="shared" si="211"/>
        <v>0</v>
      </c>
      <c r="AK1153" s="147">
        <f t="shared" si="211"/>
        <v>0</v>
      </c>
      <c r="AL1153" s="147">
        <f t="shared" si="211"/>
        <v>0</v>
      </c>
      <c r="AM1153" s="147">
        <f t="shared" si="211"/>
        <v>0</v>
      </c>
      <c r="AN1153" s="147">
        <f t="shared" si="211"/>
        <v>0</v>
      </c>
      <c r="AO1153" s="147">
        <f t="shared" si="211"/>
        <v>0</v>
      </c>
      <c r="AP1153" s="147">
        <f t="shared" si="211"/>
        <v>0</v>
      </c>
      <c r="AQ1153" s="147">
        <f t="shared" si="211"/>
        <v>0</v>
      </c>
      <c r="AR1153" s="147">
        <f t="shared" si="211"/>
        <v>0</v>
      </c>
      <c r="AS1153" s="147">
        <f t="shared" si="211"/>
        <v>0</v>
      </c>
      <c r="AT1153" s="147">
        <f t="shared" si="211"/>
        <v>0</v>
      </c>
      <c r="AU1153" s="147">
        <f t="shared" si="211"/>
        <v>0</v>
      </c>
      <c r="AV1153" s="147">
        <f t="shared" si="211"/>
        <v>0</v>
      </c>
      <c r="AW1153" s="147">
        <f t="shared" si="211"/>
        <v>0</v>
      </c>
      <c r="AX1153" s="147">
        <f>AX1149-AX1150-AX1151-AX1152</f>
        <v>0</v>
      </c>
      <c r="AY1153" s="34" t="s">
        <v>233</v>
      </c>
      <c r="AZ1153" s="34"/>
      <c r="BA1153" s="47"/>
      <c r="BB1153" s="50"/>
      <c r="BI1153" s="42"/>
    </row>
    <row r="1154" spans="1:61" s="24" customFormat="1" ht="20.85" customHeight="1">
      <c r="A1154" s="32">
        <f>A1149+1</f>
        <v>749</v>
      </c>
      <c r="B1154" s="158" t="s">
        <v>186</v>
      </c>
      <c r="C1154" s="78" t="s">
        <v>1260</v>
      </c>
      <c r="D1154" s="35">
        <f t="shared" si="204"/>
        <v>0.5</v>
      </c>
      <c r="E1154" s="35"/>
      <c r="F1154" s="35">
        <f t="shared" si="196"/>
        <v>0.5</v>
      </c>
      <c r="G1154" s="109">
        <v>0.5</v>
      </c>
      <c r="H1154" s="109"/>
      <c r="I1154" s="109"/>
      <c r="J1154" s="109"/>
      <c r="K1154" s="46"/>
      <c r="L1154" s="46"/>
      <c r="M1154" s="109"/>
      <c r="N1154" s="46"/>
      <c r="O1154" s="46"/>
      <c r="P1154" s="109"/>
      <c r="Q1154" s="46"/>
      <c r="R1154" s="46"/>
      <c r="S1154" s="46"/>
      <c r="T1154" s="46"/>
      <c r="U1154" s="46"/>
      <c r="V1154" s="46"/>
      <c r="W1154" s="46"/>
      <c r="X1154" s="46"/>
      <c r="Y1154" s="46"/>
      <c r="Z1154" s="46"/>
      <c r="AA1154" s="46"/>
      <c r="AB1154" s="46"/>
      <c r="AC1154" s="46"/>
      <c r="AD1154" s="46"/>
      <c r="AE1154" s="46"/>
      <c r="AF1154" s="46"/>
      <c r="AG1154" s="46"/>
      <c r="AH1154" s="46"/>
      <c r="AI1154" s="46"/>
      <c r="AJ1154" s="46"/>
      <c r="AK1154" s="46"/>
      <c r="AL1154" s="46"/>
      <c r="AM1154" s="46"/>
      <c r="AN1154" s="46"/>
      <c r="AO1154" s="46"/>
      <c r="AP1154" s="46"/>
      <c r="AQ1154" s="46"/>
      <c r="AR1154" s="46"/>
      <c r="AS1154" s="46"/>
      <c r="AT1154" s="46"/>
      <c r="AU1154" s="46"/>
      <c r="AV1154" s="46"/>
      <c r="AW1154" s="46"/>
      <c r="AX1154" s="109"/>
      <c r="AY1154" s="34" t="s">
        <v>233</v>
      </c>
      <c r="AZ1154" s="34" t="s">
        <v>1013</v>
      </c>
      <c r="BA1154" s="93" t="s">
        <v>291</v>
      </c>
      <c r="BB1154" s="50"/>
      <c r="BC1154" s="24" t="s">
        <v>1557</v>
      </c>
      <c r="BI1154" s="42">
        <v>1</v>
      </c>
    </row>
    <row r="1155" spans="1:61" s="24" customFormat="1" ht="20.85" hidden="1" customHeight="1">
      <c r="A1155" s="32"/>
      <c r="B1155" s="158"/>
      <c r="C1155" s="78" t="s">
        <v>59</v>
      </c>
      <c r="D1155" s="35">
        <f t="shared" si="204"/>
        <v>0.2</v>
      </c>
      <c r="E1155" s="35"/>
      <c r="F1155" s="35">
        <f t="shared" si="196"/>
        <v>0.2</v>
      </c>
      <c r="G1155" s="109">
        <v>0.2</v>
      </c>
      <c r="H1155" s="109"/>
      <c r="I1155" s="109"/>
      <c r="J1155" s="109"/>
      <c r="K1155" s="46"/>
      <c r="L1155" s="46"/>
      <c r="M1155" s="109"/>
      <c r="N1155" s="46"/>
      <c r="O1155" s="46"/>
      <c r="P1155" s="109"/>
      <c r="Q1155" s="46"/>
      <c r="R1155" s="46"/>
      <c r="S1155" s="46"/>
      <c r="T1155" s="46"/>
      <c r="U1155" s="46"/>
      <c r="V1155" s="46"/>
      <c r="W1155" s="46"/>
      <c r="X1155" s="46"/>
      <c r="Y1155" s="46"/>
      <c r="Z1155" s="46"/>
      <c r="AA1155" s="46"/>
      <c r="AB1155" s="46"/>
      <c r="AC1155" s="46"/>
      <c r="AD1155" s="46"/>
      <c r="AE1155" s="46"/>
      <c r="AF1155" s="46"/>
      <c r="AG1155" s="46"/>
      <c r="AH1155" s="46"/>
      <c r="AI1155" s="46"/>
      <c r="AJ1155" s="46"/>
      <c r="AK1155" s="46"/>
      <c r="AL1155" s="46"/>
      <c r="AM1155" s="46"/>
      <c r="AN1155" s="46"/>
      <c r="AO1155" s="46"/>
      <c r="AP1155" s="46"/>
      <c r="AQ1155" s="46"/>
      <c r="AR1155" s="46"/>
      <c r="AS1155" s="46"/>
      <c r="AT1155" s="46"/>
      <c r="AU1155" s="46"/>
      <c r="AV1155" s="46"/>
      <c r="AW1155" s="46"/>
      <c r="AX1155" s="109"/>
      <c r="AY1155" s="34" t="s">
        <v>233</v>
      </c>
      <c r="AZ1155" s="34"/>
      <c r="BA1155" s="93"/>
      <c r="BB1155" s="50"/>
      <c r="BI1155" s="42"/>
    </row>
    <row r="1156" spans="1:61" s="24" customFormat="1" ht="20.85" hidden="1" customHeight="1">
      <c r="A1156" s="32"/>
      <c r="B1156" s="158"/>
      <c r="C1156" s="78" t="s">
        <v>44</v>
      </c>
      <c r="D1156" s="35">
        <f t="shared" si="204"/>
        <v>0.2</v>
      </c>
      <c r="E1156" s="35"/>
      <c r="F1156" s="35">
        <f t="shared" si="196"/>
        <v>0.2</v>
      </c>
      <c r="G1156" s="109">
        <v>0.2</v>
      </c>
      <c r="H1156" s="109"/>
      <c r="I1156" s="109"/>
      <c r="J1156" s="109"/>
      <c r="K1156" s="46"/>
      <c r="L1156" s="46"/>
      <c r="M1156" s="109"/>
      <c r="N1156" s="46"/>
      <c r="O1156" s="46"/>
      <c r="P1156" s="109"/>
      <c r="Q1156" s="46"/>
      <c r="R1156" s="46"/>
      <c r="S1156" s="46"/>
      <c r="T1156" s="46"/>
      <c r="U1156" s="46"/>
      <c r="V1156" s="46"/>
      <c r="W1156" s="46"/>
      <c r="X1156" s="46"/>
      <c r="Y1156" s="46"/>
      <c r="Z1156" s="46"/>
      <c r="AA1156" s="46"/>
      <c r="AB1156" s="46"/>
      <c r="AC1156" s="46"/>
      <c r="AD1156" s="46"/>
      <c r="AE1156" s="46"/>
      <c r="AF1156" s="46"/>
      <c r="AG1156" s="46"/>
      <c r="AH1156" s="46"/>
      <c r="AI1156" s="46"/>
      <c r="AJ1156" s="46"/>
      <c r="AK1156" s="46"/>
      <c r="AL1156" s="46"/>
      <c r="AM1156" s="46"/>
      <c r="AN1156" s="46"/>
      <c r="AO1156" s="46"/>
      <c r="AP1156" s="46"/>
      <c r="AQ1156" s="46"/>
      <c r="AR1156" s="46"/>
      <c r="AS1156" s="46"/>
      <c r="AT1156" s="46"/>
      <c r="AU1156" s="46"/>
      <c r="AV1156" s="46"/>
      <c r="AW1156" s="46"/>
      <c r="AX1156" s="109"/>
      <c r="AY1156" s="34" t="s">
        <v>233</v>
      </c>
      <c r="AZ1156" s="34"/>
      <c r="BA1156" s="93"/>
      <c r="BB1156" s="50"/>
      <c r="BI1156" s="42"/>
    </row>
    <row r="1157" spans="1:61" s="24" customFormat="1" ht="20.85" hidden="1" customHeight="1">
      <c r="A1157" s="32"/>
      <c r="B1157" s="158"/>
      <c r="C1157" s="78" t="s">
        <v>138</v>
      </c>
      <c r="D1157" s="35">
        <f t="shared" si="204"/>
        <v>9.9999999999999978E-2</v>
      </c>
      <c r="E1157" s="35"/>
      <c r="F1157" s="35">
        <f t="shared" ref="F1157:F1225" si="212">SUM(G1157:AX1157)</f>
        <v>9.9999999999999978E-2</v>
      </c>
      <c r="G1157" s="147">
        <f>G1154-G1155-G1156</f>
        <v>9.9999999999999978E-2</v>
      </c>
      <c r="H1157" s="147">
        <f t="shared" ref="H1157:AX1157" si="213">H1154-H1155-H1156</f>
        <v>0</v>
      </c>
      <c r="I1157" s="147">
        <f t="shared" si="213"/>
        <v>0</v>
      </c>
      <c r="J1157" s="147">
        <f t="shared" si="213"/>
        <v>0</v>
      </c>
      <c r="K1157" s="147">
        <f t="shared" si="213"/>
        <v>0</v>
      </c>
      <c r="L1157" s="147">
        <f t="shared" si="213"/>
        <v>0</v>
      </c>
      <c r="M1157" s="147">
        <f t="shared" si="213"/>
        <v>0</v>
      </c>
      <c r="N1157" s="147">
        <f t="shared" si="213"/>
        <v>0</v>
      </c>
      <c r="O1157" s="147">
        <f t="shared" si="213"/>
        <v>0</v>
      </c>
      <c r="P1157" s="147">
        <f t="shared" si="213"/>
        <v>0</v>
      </c>
      <c r="Q1157" s="147">
        <f t="shared" si="213"/>
        <v>0</v>
      </c>
      <c r="R1157" s="147">
        <f t="shared" si="213"/>
        <v>0</v>
      </c>
      <c r="S1157" s="147">
        <f t="shared" si="213"/>
        <v>0</v>
      </c>
      <c r="T1157" s="147">
        <f t="shared" si="213"/>
        <v>0</v>
      </c>
      <c r="U1157" s="147">
        <f t="shared" si="213"/>
        <v>0</v>
      </c>
      <c r="V1157" s="147">
        <f t="shared" si="213"/>
        <v>0</v>
      </c>
      <c r="W1157" s="147">
        <f t="shared" si="213"/>
        <v>0</v>
      </c>
      <c r="X1157" s="147">
        <f t="shared" si="213"/>
        <v>0</v>
      </c>
      <c r="Y1157" s="147">
        <f t="shared" si="213"/>
        <v>0</v>
      </c>
      <c r="Z1157" s="147">
        <f t="shared" si="213"/>
        <v>0</v>
      </c>
      <c r="AA1157" s="147">
        <f t="shared" si="213"/>
        <v>0</v>
      </c>
      <c r="AB1157" s="147">
        <f t="shared" si="213"/>
        <v>0</v>
      </c>
      <c r="AC1157" s="147">
        <f t="shared" si="213"/>
        <v>0</v>
      </c>
      <c r="AD1157" s="147">
        <f t="shared" si="213"/>
        <v>0</v>
      </c>
      <c r="AE1157" s="147">
        <f t="shared" si="213"/>
        <v>0</v>
      </c>
      <c r="AF1157" s="147">
        <f t="shared" si="213"/>
        <v>0</v>
      </c>
      <c r="AG1157" s="147">
        <f t="shared" si="213"/>
        <v>0</v>
      </c>
      <c r="AH1157" s="147">
        <f t="shared" si="213"/>
        <v>0</v>
      </c>
      <c r="AI1157" s="147">
        <f t="shared" si="213"/>
        <v>0</v>
      </c>
      <c r="AJ1157" s="147">
        <f t="shared" si="213"/>
        <v>0</v>
      </c>
      <c r="AK1157" s="147">
        <f t="shared" si="213"/>
        <v>0</v>
      </c>
      <c r="AL1157" s="147">
        <f t="shared" si="213"/>
        <v>0</v>
      </c>
      <c r="AM1157" s="147">
        <f t="shared" si="213"/>
        <v>0</v>
      </c>
      <c r="AN1157" s="147">
        <f t="shared" si="213"/>
        <v>0</v>
      </c>
      <c r="AO1157" s="147">
        <f t="shared" si="213"/>
        <v>0</v>
      </c>
      <c r="AP1157" s="147">
        <f t="shared" si="213"/>
        <v>0</v>
      </c>
      <c r="AQ1157" s="147">
        <f t="shared" si="213"/>
        <v>0</v>
      </c>
      <c r="AR1157" s="147">
        <f t="shared" si="213"/>
        <v>0</v>
      </c>
      <c r="AS1157" s="147">
        <f t="shared" si="213"/>
        <v>0</v>
      </c>
      <c r="AT1157" s="147">
        <f t="shared" si="213"/>
        <v>0</v>
      </c>
      <c r="AU1157" s="147">
        <f t="shared" si="213"/>
        <v>0</v>
      </c>
      <c r="AV1157" s="147">
        <f t="shared" si="213"/>
        <v>0</v>
      </c>
      <c r="AW1157" s="147">
        <f t="shared" si="213"/>
        <v>0</v>
      </c>
      <c r="AX1157" s="147">
        <f t="shared" si="213"/>
        <v>0</v>
      </c>
      <c r="AY1157" s="34" t="s">
        <v>233</v>
      </c>
      <c r="AZ1157" s="34"/>
      <c r="BA1157" s="93"/>
      <c r="BB1157" s="50"/>
      <c r="BI1157" s="42"/>
    </row>
    <row r="1158" spans="1:61" s="24" customFormat="1" ht="20.85" customHeight="1">
      <c r="A1158" s="32">
        <f>A1154+1</f>
        <v>750</v>
      </c>
      <c r="B1158" s="158" t="s">
        <v>186</v>
      </c>
      <c r="C1158" s="78" t="s">
        <v>1260</v>
      </c>
      <c r="D1158" s="35">
        <f t="shared" si="204"/>
        <v>0.46</v>
      </c>
      <c r="E1158" s="35"/>
      <c r="F1158" s="35">
        <f t="shared" si="212"/>
        <v>0.46</v>
      </c>
      <c r="G1158" s="109"/>
      <c r="H1158" s="109"/>
      <c r="I1158" s="109"/>
      <c r="J1158" s="109">
        <v>0.46</v>
      </c>
      <c r="K1158" s="46"/>
      <c r="L1158" s="46"/>
      <c r="M1158" s="109"/>
      <c r="N1158" s="46"/>
      <c r="O1158" s="46"/>
      <c r="P1158" s="109"/>
      <c r="Q1158" s="46"/>
      <c r="R1158" s="46"/>
      <c r="S1158" s="46"/>
      <c r="T1158" s="46"/>
      <c r="U1158" s="46"/>
      <c r="V1158" s="46"/>
      <c r="W1158" s="46"/>
      <c r="X1158" s="46"/>
      <c r="Y1158" s="46"/>
      <c r="Z1158" s="46"/>
      <c r="AA1158" s="46"/>
      <c r="AB1158" s="46"/>
      <c r="AC1158" s="46"/>
      <c r="AD1158" s="46"/>
      <c r="AE1158" s="46"/>
      <c r="AF1158" s="46"/>
      <c r="AG1158" s="46"/>
      <c r="AH1158" s="46"/>
      <c r="AI1158" s="46"/>
      <c r="AJ1158" s="46"/>
      <c r="AK1158" s="46"/>
      <c r="AL1158" s="46"/>
      <c r="AM1158" s="46"/>
      <c r="AN1158" s="46"/>
      <c r="AO1158" s="46"/>
      <c r="AP1158" s="46"/>
      <c r="AQ1158" s="46"/>
      <c r="AR1158" s="46"/>
      <c r="AS1158" s="46"/>
      <c r="AT1158" s="46"/>
      <c r="AU1158" s="46"/>
      <c r="AV1158" s="46"/>
      <c r="AW1158" s="46"/>
      <c r="AX1158" s="109"/>
      <c r="AY1158" s="34" t="s">
        <v>233</v>
      </c>
      <c r="AZ1158" s="34" t="s">
        <v>1192</v>
      </c>
      <c r="BA1158" s="47" t="s">
        <v>298</v>
      </c>
      <c r="BB1158" s="50"/>
      <c r="BC1158" s="24" t="s">
        <v>1558</v>
      </c>
      <c r="BI1158" s="42">
        <v>1</v>
      </c>
    </row>
    <row r="1159" spans="1:61" s="24" customFormat="1" ht="20.85" hidden="1" customHeight="1">
      <c r="A1159" s="32"/>
      <c r="B1159" s="158"/>
      <c r="C1159" s="78" t="s">
        <v>59</v>
      </c>
      <c r="D1159" s="35">
        <f t="shared" si="204"/>
        <v>0.19</v>
      </c>
      <c r="E1159" s="35"/>
      <c r="F1159" s="35">
        <f t="shared" si="212"/>
        <v>0.19</v>
      </c>
      <c r="G1159" s="109"/>
      <c r="H1159" s="109"/>
      <c r="I1159" s="109"/>
      <c r="J1159" s="109">
        <v>0.19</v>
      </c>
      <c r="K1159" s="46"/>
      <c r="L1159" s="46"/>
      <c r="M1159" s="109"/>
      <c r="N1159" s="46"/>
      <c r="O1159" s="46"/>
      <c r="P1159" s="109"/>
      <c r="Q1159" s="46"/>
      <c r="R1159" s="46"/>
      <c r="S1159" s="46"/>
      <c r="T1159" s="46"/>
      <c r="U1159" s="46"/>
      <c r="V1159" s="46"/>
      <c r="W1159" s="46"/>
      <c r="X1159" s="46"/>
      <c r="Y1159" s="46"/>
      <c r="Z1159" s="46"/>
      <c r="AA1159" s="46"/>
      <c r="AB1159" s="46"/>
      <c r="AC1159" s="46"/>
      <c r="AD1159" s="46"/>
      <c r="AE1159" s="46"/>
      <c r="AF1159" s="46"/>
      <c r="AG1159" s="46"/>
      <c r="AH1159" s="46"/>
      <c r="AI1159" s="46"/>
      <c r="AJ1159" s="46"/>
      <c r="AK1159" s="46"/>
      <c r="AL1159" s="46"/>
      <c r="AM1159" s="46"/>
      <c r="AN1159" s="46"/>
      <c r="AO1159" s="46"/>
      <c r="AP1159" s="46"/>
      <c r="AQ1159" s="46"/>
      <c r="AR1159" s="46"/>
      <c r="AS1159" s="46"/>
      <c r="AT1159" s="46"/>
      <c r="AU1159" s="46"/>
      <c r="AV1159" s="46"/>
      <c r="AW1159" s="46"/>
      <c r="AX1159" s="109"/>
      <c r="AY1159" s="34" t="s">
        <v>233</v>
      </c>
      <c r="AZ1159" s="34"/>
      <c r="BA1159" s="47"/>
      <c r="BB1159" s="50"/>
      <c r="BI1159" s="42"/>
    </row>
    <row r="1160" spans="1:61" s="24" customFormat="1" ht="20.85" hidden="1" customHeight="1">
      <c r="A1160" s="32"/>
      <c r="B1160" s="158"/>
      <c r="C1160" s="78" t="s">
        <v>44</v>
      </c>
      <c r="D1160" s="35">
        <f t="shared" si="204"/>
        <v>0.19</v>
      </c>
      <c r="E1160" s="35"/>
      <c r="F1160" s="35">
        <f t="shared" si="212"/>
        <v>0.19</v>
      </c>
      <c r="G1160" s="109"/>
      <c r="H1160" s="109"/>
      <c r="I1160" s="109"/>
      <c r="J1160" s="109">
        <v>0.19</v>
      </c>
      <c r="K1160" s="46"/>
      <c r="L1160" s="46"/>
      <c r="M1160" s="109"/>
      <c r="N1160" s="46"/>
      <c r="O1160" s="46"/>
      <c r="P1160" s="109"/>
      <c r="Q1160" s="46"/>
      <c r="R1160" s="46"/>
      <c r="S1160" s="46"/>
      <c r="T1160" s="46"/>
      <c r="U1160" s="46"/>
      <c r="V1160" s="46"/>
      <c r="W1160" s="46"/>
      <c r="X1160" s="46"/>
      <c r="Y1160" s="46"/>
      <c r="Z1160" s="46"/>
      <c r="AA1160" s="46"/>
      <c r="AB1160" s="46"/>
      <c r="AC1160" s="46"/>
      <c r="AD1160" s="46"/>
      <c r="AE1160" s="46"/>
      <c r="AF1160" s="46"/>
      <c r="AG1160" s="46"/>
      <c r="AH1160" s="46"/>
      <c r="AI1160" s="46"/>
      <c r="AJ1160" s="46"/>
      <c r="AK1160" s="46"/>
      <c r="AL1160" s="46"/>
      <c r="AM1160" s="46"/>
      <c r="AN1160" s="46"/>
      <c r="AO1160" s="46"/>
      <c r="AP1160" s="46"/>
      <c r="AQ1160" s="46"/>
      <c r="AR1160" s="46"/>
      <c r="AS1160" s="46"/>
      <c r="AT1160" s="46"/>
      <c r="AU1160" s="46"/>
      <c r="AV1160" s="46"/>
      <c r="AW1160" s="46"/>
      <c r="AX1160" s="109"/>
      <c r="AY1160" s="34" t="s">
        <v>233</v>
      </c>
      <c r="AZ1160" s="34"/>
      <c r="BA1160" s="47"/>
      <c r="BB1160" s="50"/>
      <c r="BI1160" s="42"/>
    </row>
    <row r="1161" spans="1:61" s="24" customFormat="1" ht="20.85" hidden="1" customHeight="1">
      <c r="A1161" s="32"/>
      <c r="B1161" s="158"/>
      <c r="C1161" s="78" t="s">
        <v>138</v>
      </c>
      <c r="D1161" s="35">
        <f t="shared" si="204"/>
        <v>8.0000000000000016E-2</v>
      </c>
      <c r="E1161" s="35"/>
      <c r="F1161" s="35">
        <f t="shared" si="212"/>
        <v>8.0000000000000016E-2</v>
      </c>
      <c r="G1161" s="147">
        <f t="shared" ref="G1161:AW1161" si="214">G1158-G1159-G1160</f>
        <v>0</v>
      </c>
      <c r="H1161" s="147">
        <f t="shared" si="214"/>
        <v>0</v>
      </c>
      <c r="I1161" s="147">
        <f t="shared" si="214"/>
        <v>0</v>
      </c>
      <c r="J1161" s="147">
        <f t="shared" si="214"/>
        <v>8.0000000000000016E-2</v>
      </c>
      <c r="K1161" s="147">
        <f t="shared" si="214"/>
        <v>0</v>
      </c>
      <c r="L1161" s="147">
        <f t="shared" si="214"/>
        <v>0</v>
      </c>
      <c r="M1161" s="147">
        <f t="shared" si="214"/>
        <v>0</v>
      </c>
      <c r="N1161" s="147">
        <f t="shared" si="214"/>
        <v>0</v>
      </c>
      <c r="O1161" s="147">
        <f t="shared" si="214"/>
        <v>0</v>
      </c>
      <c r="P1161" s="147">
        <f t="shared" si="214"/>
        <v>0</v>
      </c>
      <c r="Q1161" s="147">
        <f t="shared" si="214"/>
        <v>0</v>
      </c>
      <c r="R1161" s="147">
        <f t="shared" si="214"/>
        <v>0</v>
      </c>
      <c r="S1161" s="147">
        <f t="shared" si="214"/>
        <v>0</v>
      </c>
      <c r="T1161" s="147">
        <f t="shared" si="214"/>
        <v>0</v>
      </c>
      <c r="U1161" s="147">
        <f t="shared" si="214"/>
        <v>0</v>
      </c>
      <c r="V1161" s="147">
        <f t="shared" si="214"/>
        <v>0</v>
      </c>
      <c r="W1161" s="147">
        <f t="shared" si="214"/>
        <v>0</v>
      </c>
      <c r="X1161" s="147">
        <f t="shared" si="214"/>
        <v>0</v>
      </c>
      <c r="Y1161" s="147">
        <f t="shared" si="214"/>
        <v>0</v>
      </c>
      <c r="Z1161" s="147">
        <f t="shared" si="214"/>
        <v>0</v>
      </c>
      <c r="AA1161" s="147">
        <f t="shared" si="214"/>
        <v>0</v>
      </c>
      <c r="AB1161" s="147">
        <f t="shared" si="214"/>
        <v>0</v>
      </c>
      <c r="AC1161" s="147">
        <f t="shared" si="214"/>
        <v>0</v>
      </c>
      <c r="AD1161" s="147">
        <f t="shared" si="214"/>
        <v>0</v>
      </c>
      <c r="AE1161" s="147">
        <f t="shared" si="214"/>
        <v>0</v>
      </c>
      <c r="AF1161" s="147">
        <f t="shared" si="214"/>
        <v>0</v>
      </c>
      <c r="AG1161" s="147">
        <f t="shared" si="214"/>
        <v>0</v>
      </c>
      <c r="AH1161" s="147">
        <f t="shared" si="214"/>
        <v>0</v>
      </c>
      <c r="AI1161" s="147">
        <f t="shared" si="214"/>
        <v>0</v>
      </c>
      <c r="AJ1161" s="147">
        <f t="shared" si="214"/>
        <v>0</v>
      </c>
      <c r="AK1161" s="147">
        <f t="shared" si="214"/>
        <v>0</v>
      </c>
      <c r="AL1161" s="147">
        <f t="shared" si="214"/>
        <v>0</v>
      </c>
      <c r="AM1161" s="147">
        <f t="shared" si="214"/>
        <v>0</v>
      </c>
      <c r="AN1161" s="147">
        <f t="shared" si="214"/>
        <v>0</v>
      </c>
      <c r="AO1161" s="147">
        <f t="shared" si="214"/>
        <v>0</v>
      </c>
      <c r="AP1161" s="147">
        <f t="shared" si="214"/>
        <v>0</v>
      </c>
      <c r="AQ1161" s="147">
        <f t="shared" si="214"/>
        <v>0</v>
      </c>
      <c r="AR1161" s="147">
        <f t="shared" si="214"/>
        <v>0</v>
      </c>
      <c r="AS1161" s="147">
        <f t="shared" si="214"/>
        <v>0</v>
      </c>
      <c r="AT1161" s="147">
        <f t="shared" si="214"/>
        <v>0</v>
      </c>
      <c r="AU1161" s="147">
        <f t="shared" si="214"/>
        <v>0</v>
      </c>
      <c r="AV1161" s="147">
        <f t="shared" si="214"/>
        <v>0</v>
      </c>
      <c r="AW1161" s="147">
        <f t="shared" si="214"/>
        <v>0</v>
      </c>
      <c r="AX1161" s="147">
        <f>AX1158-AX1159-AX1160</f>
        <v>0</v>
      </c>
      <c r="AY1161" s="34" t="s">
        <v>233</v>
      </c>
      <c r="AZ1161" s="34"/>
      <c r="BA1161" s="47"/>
      <c r="BB1161" s="50"/>
      <c r="BI1161" s="42"/>
    </row>
    <row r="1162" spans="1:61" s="24" customFormat="1" ht="20.85" customHeight="1">
      <c r="A1162" s="32">
        <f>A1158+1</f>
        <v>751</v>
      </c>
      <c r="B1162" s="158" t="s">
        <v>186</v>
      </c>
      <c r="C1162" s="78" t="s">
        <v>1260</v>
      </c>
      <c r="D1162" s="35">
        <f t="shared" si="204"/>
        <v>0.98</v>
      </c>
      <c r="E1162" s="35"/>
      <c r="F1162" s="35">
        <f t="shared" si="212"/>
        <v>0.98</v>
      </c>
      <c r="G1162" s="109">
        <v>0.98</v>
      </c>
      <c r="H1162" s="109"/>
      <c r="I1162" s="109"/>
      <c r="J1162" s="46"/>
      <c r="K1162" s="46"/>
      <c r="L1162" s="46"/>
      <c r="M1162" s="109"/>
      <c r="N1162" s="46"/>
      <c r="O1162" s="46"/>
      <c r="P1162" s="109"/>
      <c r="Q1162" s="46"/>
      <c r="R1162" s="46"/>
      <c r="S1162" s="46"/>
      <c r="T1162" s="46"/>
      <c r="U1162" s="46"/>
      <c r="V1162" s="46"/>
      <c r="W1162" s="46"/>
      <c r="X1162" s="46"/>
      <c r="Y1162" s="46"/>
      <c r="Z1162" s="46"/>
      <c r="AA1162" s="46"/>
      <c r="AB1162" s="46"/>
      <c r="AC1162" s="46"/>
      <c r="AD1162" s="46"/>
      <c r="AE1162" s="46"/>
      <c r="AF1162" s="46"/>
      <c r="AG1162" s="46"/>
      <c r="AH1162" s="46"/>
      <c r="AI1162" s="46"/>
      <c r="AJ1162" s="46"/>
      <c r="AK1162" s="46"/>
      <c r="AL1162" s="46"/>
      <c r="AM1162" s="46"/>
      <c r="AN1162" s="46"/>
      <c r="AO1162" s="46"/>
      <c r="AP1162" s="46"/>
      <c r="AQ1162" s="46"/>
      <c r="AR1162" s="46"/>
      <c r="AS1162" s="46"/>
      <c r="AT1162" s="46"/>
      <c r="AU1162" s="46"/>
      <c r="AV1162" s="46"/>
      <c r="AW1162" s="46"/>
      <c r="AX1162" s="109"/>
      <c r="AY1162" s="34" t="s">
        <v>233</v>
      </c>
      <c r="AZ1162" s="34" t="s">
        <v>1184</v>
      </c>
      <c r="BA1162" s="93" t="s">
        <v>291</v>
      </c>
      <c r="BB1162" s="50"/>
      <c r="BC1162" s="24" t="s">
        <v>1559</v>
      </c>
      <c r="BI1162" s="42">
        <v>1</v>
      </c>
    </row>
    <row r="1163" spans="1:61" s="24" customFormat="1" ht="20.85" hidden="1" customHeight="1">
      <c r="A1163" s="32"/>
      <c r="B1163" s="158"/>
      <c r="C1163" s="78" t="s">
        <v>59</v>
      </c>
      <c r="D1163" s="35">
        <f t="shared" si="204"/>
        <v>0.35</v>
      </c>
      <c r="E1163" s="35"/>
      <c r="F1163" s="35">
        <f t="shared" si="212"/>
        <v>0.35</v>
      </c>
      <c r="G1163" s="109">
        <v>0.35</v>
      </c>
      <c r="H1163" s="109"/>
      <c r="I1163" s="109"/>
      <c r="J1163" s="46"/>
      <c r="K1163" s="46"/>
      <c r="L1163" s="46"/>
      <c r="M1163" s="109"/>
      <c r="N1163" s="46"/>
      <c r="O1163" s="46"/>
      <c r="P1163" s="109"/>
      <c r="Q1163" s="46"/>
      <c r="R1163" s="46"/>
      <c r="S1163" s="46"/>
      <c r="T1163" s="46"/>
      <c r="U1163" s="46"/>
      <c r="V1163" s="46"/>
      <c r="W1163" s="46"/>
      <c r="X1163" s="46"/>
      <c r="Y1163" s="46"/>
      <c r="Z1163" s="46"/>
      <c r="AA1163" s="46"/>
      <c r="AB1163" s="46"/>
      <c r="AC1163" s="46"/>
      <c r="AD1163" s="46"/>
      <c r="AE1163" s="46"/>
      <c r="AF1163" s="46"/>
      <c r="AG1163" s="46"/>
      <c r="AH1163" s="46"/>
      <c r="AI1163" s="46"/>
      <c r="AJ1163" s="46"/>
      <c r="AK1163" s="46"/>
      <c r="AL1163" s="46"/>
      <c r="AM1163" s="46"/>
      <c r="AN1163" s="46"/>
      <c r="AO1163" s="46"/>
      <c r="AP1163" s="46"/>
      <c r="AQ1163" s="46"/>
      <c r="AR1163" s="46"/>
      <c r="AS1163" s="46"/>
      <c r="AT1163" s="46"/>
      <c r="AU1163" s="46"/>
      <c r="AV1163" s="46"/>
      <c r="AW1163" s="46"/>
      <c r="AX1163" s="109"/>
      <c r="AY1163" s="34" t="s">
        <v>233</v>
      </c>
      <c r="AZ1163" s="34"/>
      <c r="BA1163" s="93"/>
      <c r="BB1163" s="50"/>
      <c r="BI1163" s="42"/>
    </row>
    <row r="1164" spans="1:61" s="24" customFormat="1" ht="20.85" hidden="1" customHeight="1">
      <c r="A1164" s="32"/>
      <c r="B1164" s="158"/>
      <c r="C1164" s="78" t="s">
        <v>44</v>
      </c>
      <c r="D1164" s="35">
        <f t="shared" si="204"/>
        <v>0.4</v>
      </c>
      <c r="E1164" s="35"/>
      <c r="F1164" s="35">
        <f t="shared" si="212"/>
        <v>0.4</v>
      </c>
      <c r="G1164" s="109">
        <v>0.4</v>
      </c>
      <c r="H1164" s="109"/>
      <c r="I1164" s="109"/>
      <c r="J1164" s="46"/>
      <c r="K1164" s="46"/>
      <c r="L1164" s="46"/>
      <c r="M1164" s="109"/>
      <c r="N1164" s="46"/>
      <c r="O1164" s="46"/>
      <c r="P1164" s="109"/>
      <c r="Q1164" s="46"/>
      <c r="R1164" s="46"/>
      <c r="S1164" s="46"/>
      <c r="T1164" s="46"/>
      <c r="U1164" s="46"/>
      <c r="V1164" s="46"/>
      <c r="W1164" s="46"/>
      <c r="X1164" s="46"/>
      <c r="Y1164" s="46"/>
      <c r="Z1164" s="46"/>
      <c r="AA1164" s="46"/>
      <c r="AB1164" s="46"/>
      <c r="AC1164" s="46"/>
      <c r="AD1164" s="46"/>
      <c r="AE1164" s="46"/>
      <c r="AF1164" s="46"/>
      <c r="AG1164" s="46"/>
      <c r="AH1164" s="46"/>
      <c r="AI1164" s="46"/>
      <c r="AJ1164" s="46"/>
      <c r="AK1164" s="46"/>
      <c r="AL1164" s="46"/>
      <c r="AM1164" s="46"/>
      <c r="AN1164" s="46"/>
      <c r="AO1164" s="46"/>
      <c r="AP1164" s="46"/>
      <c r="AQ1164" s="46"/>
      <c r="AR1164" s="46"/>
      <c r="AS1164" s="46"/>
      <c r="AT1164" s="46"/>
      <c r="AU1164" s="46"/>
      <c r="AV1164" s="46"/>
      <c r="AW1164" s="46"/>
      <c r="AX1164" s="109"/>
      <c r="AY1164" s="34" t="s">
        <v>233</v>
      </c>
      <c r="AZ1164" s="34"/>
      <c r="BA1164" s="93"/>
      <c r="BB1164" s="50"/>
      <c r="BI1164" s="42"/>
    </row>
    <row r="1165" spans="1:61" s="24" customFormat="1" ht="20.85" hidden="1" customHeight="1">
      <c r="A1165" s="32"/>
      <c r="B1165" s="158"/>
      <c r="C1165" s="78" t="s">
        <v>138</v>
      </c>
      <c r="D1165" s="35">
        <f t="shared" si="204"/>
        <v>0.22999999999999998</v>
      </c>
      <c r="E1165" s="35"/>
      <c r="F1165" s="35">
        <f t="shared" si="212"/>
        <v>0.22999999999999998</v>
      </c>
      <c r="G1165" s="147">
        <f>G1162-G1163-G1164</f>
        <v>0.22999999999999998</v>
      </c>
      <c r="H1165" s="147">
        <f t="shared" ref="H1165:AX1165" si="215">H1162-H1163-H1164</f>
        <v>0</v>
      </c>
      <c r="I1165" s="147">
        <f t="shared" si="215"/>
        <v>0</v>
      </c>
      <c r="J1165" s="147">
        <f t="shared" si="215"/>
        <v>0</v>
      </c>
      <c r="K1165" s="147">
        <f t="shared" si="215"/>
        <v>0</v>
      </c>
      <c r="L1165" s="147">
        <f t="shared" si="215"/>
        <v>0</v>
      </c>
      <c r="M1165" s="147">
        <f t="shared" si="215"/>
        <v>0</v>
      </c>
      <c r="N1165" s="147">
        <f t="shared" si="215"/>
        <v>0</v>
      </c>
      <c r="O1165" s="147">
        <f t="shared" si="215"/>
        <v>0</v>
      </c>
      <c r="P1165" s="147">
        <f t="shared" si="215"/>
        <v>0</v>
      </c>
      <c r="Q1165" s="147">
        <f t="shared" si="215"/>
        <v>0</v>
      </c>
      <c r="R1165" s="147">
        <f t="shared" si="215"/>
        <v>0</v>
      </c>
      <c r="S1165" s="147">
        <f t="shared" si="215"/>
        <v>0</v>
      </c>
      <c r="T1165" s="147">
        <f t="shared" si="215"/>
        <v>0</v>
      </c>
      <c r="U1165" s="147">
        <f t="shared" si="215"/>
        <v>0</v>
      </c>
      <c r="V1165" s="147">
        <f t="shared" si="215"/>
        <v>0</v>
      </c>
      <c r="W1165" s="147">
        <f t="shared" si="215"/>
        <v>0</v>
      </c>
      <c r="X1165" s="147">
        <f t="shared" si="215"/>
        <v>0</v>
      </c>
      <c r="Y1165" s="147">
        <f t="shared" si="215"/>
        <v>0</v>
      </c>
      <c r="Z1165" s="147">
        <f t="shared" si="215"/>
        <v>0</v>
      </c>
      <c r="AA1165" s="147">
        <f t="shared" si="215"/>
        <v>0</v>
      </c>
      <c r="AB1165" s="147">
        <f t="shared" si="215"/>
        <v>0</v>
      </c>
      <c r="AC1165" s="147">
        <f t="shared" si="215"/>
        <v>0</v>
      </c>
      <c r="AD1165" s="147">
        <f t="shared" si="215"/>
        <v>0</v>
      </c>
      <c r="AE1165" s="147">
        <f t="shared" si="215"/>
        <v>0</v>
      </c>
      <c r="AF1165" s="147">
        <f t="shared" si="215"/>
        <v>0</v>
      </c>
      <c r="AG1165" s="147">
        <f t="shared" si="215"/>
        <v>0</v>
      </c>
      <c r="AH1165" s="147">
        <f t="shared" si="215"/>
        <v>0</v>
      </c>
      <c r="AI1165" s="147">
        <f t="shared" si="215"/>
        <v>0</v>
      </c>
      <c r="AJ1165" s="147">
        <f t="shared" si="215"/>
        <v>0</v>
      </c>
      <c r="AK1165" s="147">
        <f t="shared" si="215"/>
        <v>0</v>
      </c>
      <c r="AL1165" s="147">
        <f t="shared" si="215"/>
        <v>0</v>
      </c>
      <c r="AM1165" s="147">
        <f t="shared" si="215"/>
        <v>0</v>
      </c>
      <c r="AN1165" s="147">
        <f t="shared" si="215"/>
        <v>0</v>
      </c>
      <c r="AO1165" s="147">
        <f t="shared" si="215"/>
        <v>0</v>
      </c>
      <c r="AP1165" s="147">
        <f t="shared" si="215"/>
        <v>0</v>
      </c>
      <c r="AQ1165" s="147">
        <f t="shared" si="215"/>
        <v>0</v>
      </c>
      <c r="AR1165" s="147">
        <f t="shared" si="215"/>
        <v>0</v>
      </c>
      <c r="AS1165" s="147">
        <f t="shared" si="215"/>
        <v>0</v>
      </c>
      <c r="AT1165" s="147">
        <f t="shared" si="215"/>
        <v>0</v>
      </c>
      <c r="AU1165" s="147">
        <f t="shared" si="215"/>
        <v>0</v>
      </c>
      <c r="AV1165" s="147">
        <f t="shared" si="215"/>
        <v>0</v>
      </c>
      <c r="AW1165" s="147">
        <f t="shared" si="215"/>
        <v>0</v>
      </c>
      <c r="AX1165" s="147">
        <f t="shared" si="215"/>
        <v>0</v>
      </c>
      <c r="AY1165" s="34" t="s">
        <v>233</v>
      </c>
      <c r="AZ1165" s="34"/>
      <c r="BA1165" s="93"/>
      <c r="BB1165" s="50"/>
      <c r="BI1165" s="42"/>
    </row>
    <row r="1166" spans="1:61" s="24" customFormat="1" ht="32.1" customHeight="1">
      <c r="A1166" s="32">
        <f>A1162+1</f>
        <v>752</v>
      </c>
      <c r="B1166" s="158" t="s">
        <v>186</v>
      </c>
      <c r="C1166" s="78" t="s">
        <v>1260</v>
      </c>
      <c r="D1166" s="35">
        <f t="shared" si="204"/>
        <v>0.76</v>
      </c>
      <c r="E1166" s="35"/>
      <c r="F1166" s="35">
        <f t="shared" si="212"/>
        <v>0.76</v>
      </c>
      <c r="G1166" s="109"/>
      <c r="H1166" s="109"/>
      <c r="I1166" s="109"/>
      <c r="J1166" s="109">
        <v>0.23</v>
      </c>
      <c r="K1166" s="46"/>
      <c r="L1166" s="46"/>
      <c r="M1166" s="109"/>
      <c r="N1166" s="46"/>
      <c r="O1166" s="46"/>
      <c r="P1166" s="109"/>
      <c r="Q1166" s="46"/>
      <c r="R1166" s="46"/>
      <c r="S1166" s="46"/>
      <c r="T1166" s="46"/>
      <c r="U1166" s="46"/>
      <c r="V1166" s="46"/>
      <c r="W1166" s="46"/>
      <c r="X1166" s="46"/>
      <c r="Y1166" s="46"/>
      <c r="Z1166" s="46">
        <v>0.12</v>
      </c>
      <c r="AA1166" s="46"/>
      <c r="AB1166" s="46"/>
      <c r="AC1166" s="46"/>
      <c r="AD1166" s="46"/>
      <c r="AE1166" s="46"/>
      <c r="AF1166" s="46"/>
      <c r="AG1166" s="46"/>
      <c r="AH1166" s="46"/>
      <c r="AI1166" s="46"/>
      <c r="AJ1166" s="46"/>
      <c r="AK1166" s="46"/>
      <c r="AL1166" s="46"/>
      <c r="AM1166" s="46"/>
      <c r="AN1166" s="46"/>
      <c r="AO1166" s="46"/>
      <c r="AP1166" s="46">
        <v>0.41</v>
      </c>
      <c r="AQ1166" s="46"/>
      <c r="AR1166" s="46"/>
      <c r="AS1166" s="46"/>
      <c r="AT1166" s="46"/>
      <c r="AU1166" s="46"/>
      <c r="AV1166" s="46"/>
      <c r="AW1166" s="46"/>
      <c r="AX1166" s="109"/>
      <c r="AY1166" s="34" t="s">
        <v>233</v>
      </c>
      <c r="AZ1166" s="34" t="s">
        <v>1560</v>
      </c>
      <c r="BA1166" s="93" t="s">
        <v>291</v>
      </c>
      <c r="BB1166" s="50"/>
      <c r="BI1166" s="42">
        <v>1</v>
      </c>
    </row>
    <row r="1167" spans="1:61" s="24" customFormat="1" ht="21.6" hidden="1" customHeight="1">
      <c r="A1167" s="32"/>
      <c r="C1167" s="78" t="s">
        <v>59</v>
      </c>
      <c r="D1167" s="35">
        <f t="shared" si="204"/>
        <v>0.27</v>
      </c>
      <c r="E1167" s="35"/>
      <c r="F1167" s="35">
        <f t="shared" si="212"/>
        <v>0.27</v>
      </c>
      <c r="G1167" s="109"/>
      <c r="H1167" s="109"/>
      <c r="I1167" s="109"/>
      <c r="J1167" s="109">
        <v>0.1</v>
      </c>
      <c r="K1167" s="46"/>
      <c r="L1167" s="46"/>
      <c r="M1167" s="109"/>
      <c r="N1167" s="46"/>
      <c r="O1167" s="46"/>
      <c r="P1167" s="109"/>
      <c r="Q1167" s="46"/>
      <c r="R1167" s="46"/>
      <c r="S1167" s="46"/>
      <c r="T1167" s="46"/>
      <c r="U1167" s="46"/>
      <c r="V1167" s="46"/>
      <c r="W1167" s="46"/>
      <c r="X1167" s="46"/>
      <c r="Y1167" s="46"/>
      <c r="Z1167" s="46">
        <v>0.05</v>
      </c>
      <c r="AA1167" s="46"/>
      <c r="AB1167" s="46"/>
      <c r="AC1167" s="46"/>
      <c r="AD1167" s="46"/>
      <c r="AE1167" s="46"/>
      <c r="AF1167" s="46"/>
      <c r="AG1167" s="46"/>
      <c r="AH1167" s="46"/>
      <c r="AI1167" s="46"/>
      <c r="AJ1167" s="46"/>
      <c r="AK1167" s="46"/>
      <c r="AL1167" s="46"/>
      <c r="AM1167" s="46"/>
      <c r="AN1167" s="46"/>
      <c r="AO1167" s="46"/>
      <c r="AP1167" s="46">
        <v>0.12</v>
      </c>
      <c r="AQ1167" s="46"/>
      <c r="AR1167" s="46"/>
      <c r="AS1167" s="46"/>
      <c r="AT1167" s="46"/>
      <c r="AU1167" s="46"/>
      <c r="AV1167" s="46"/>
      <c r="AW1167" s="46"/>
      <c r="AX1167" s="109"/>
      <c r="AY1167" s="34" t="s">
        <v>233</v>
      </c>
      <c r="AZ1167" s="34"/>
      <c r="BA1167" s="93"/>
      <c r="BB1167" s="50"/>
      <c r="BI1167" s="42"/>
    </row>
    <row r="1168" spans="1:61" s="24" customFormat="1" ht="21.6" hidden="1" customHeight="1">
      <c r="A1168" s="32"/>
      <c r="B1168" s="158"/>
      <c r="C1168" s="78" t="s">
        <v>44</v>
      </c>
      <c r="D1168" s="35">
        <f t="shared" si="204"/>
        <v>0.3</v>
      </c>
      <c r="E1168" s="35"/>
      <c r="F1168" s="35">
        <f t="shared" si="212"/>
        <v>0.3</v>
      </c>
      <c r="G1168" s="109"/>
      <c r="H1168" s="109"/>
      <c r="I1168" s="109"/>
      <c r="J1168" s="109">
        <v>7.0000000000000007E-2</v>
      </c>
      <c r="K1168" s="46"/>
      <c r="L1168" s="46"/>
      <c r="M1168" s="109"/>
      <c r="N1168" s="46"/>
      <c r="O1168" s="46"/>
      <c r="P1168" s="109"/>
      <c r="Q1168" s="46"/>
      <c r="R1168" s="46"/>
      <c r="S1168" s="46"/>
      <c r="T1168" s="46"/>
      <c r="U1168" s="46"/>
      <c r="V1168" s="46"/>
      <c r="W1168" s="46"/>
      <c r="X1168" s="46"/>
      <c r="Y1168" s="46"/>
      <c r="Z1168" s="46">
        <v>0.02</v>
      </c>
      <c r="AA1168" s="46"/>
      <c r="AB1168" s="46"/>
      <c r="AC1168" s="46"/>
      <c r="AD1168" s="46"/>
      <c r="AE1168" s="46"/>
      <c r="AF1168" s="46"/>
      <c r="AG1168" s="46"/>
      <c r="AH1168" s="46"/>
      <c r="AI1168" s="46"/>
      <c r="AJ1168" s="46"/>
      <c r="AK1168" s="46"/>
      <c r="AL1168" s="46"/>
      <c r="AM1168" s="46"/>
      <c r="AN1168" s="46"/>
      <c r="AO1168" s="46"/>
      <c r="AP1168" s="46">
        <v>0.21</v>
      </c>
      <c r="AQ1168" s="46"/>
      <c r="AR1168" s="46"/>
      <c r="AS1168" s="46"/>
      <c r="AT1168" s="46"/>
      <c r="AU1168" s="46"/>
      <c r="AV1168" s="46"/>
      <c r="AW1168" s="46"/>
      <c r="AX1168" s="109"/>
      <c r="AY1168" s="34" t="s">
        <v>233</v>
      </c>
      <c r="AZ1168" s="34"/>
      <c r="BA1168" s="93"/>
      <c r="BB1168" s="50"/>
      <c r="BI1168" s="42"/>
    </row>
    <row r="1169" spans="1:61" s="24" customFormat="1" ht="21.6" hidden="1" customHeight="1">
      <c r="A1169" s="32"/>
      <c r="B1169" s="158"/>
      <c r="C1169" s="78" t="s">
        <v>138</v>
      </c>
      <c r="D1169" s="35">
        <f t="shared" si="204"/>
        <v>0.18999999999999997</v>
      </c>
      <c r="E1169" s="35"/>
      <c r="F1169" s="35">
        <f t="shared" si="212"/>
        <v>0.18999999999999997</v>
      </c>
      <c r="G1169" s="147">
        <f>G1166-G1167-G1168</f>
        <v>0</v>
      </c>
      <c r="H1169" s="147">
        <f t="shared" ref="H1169:AX1169" si="216">H1166-H1167-H1168</f>
        <v>0</v>
      </c>
      <c r="I1169" s="147">
        <f t="shared" si="216"/>
        <v>0</v>
      </c>
      <c r="J1169" s="147">
        <f t="shared" si="216"/>
        <v>0.06</v>
      </c>
      <c r="K1169" s="147">
        <f t="shared" si="216"/>
        <v>0</v>
      </c>
      <c r="L1169" s="147">
        <f t="shared" si="216"/>
        <v>0</v>
      </c>
      <c r="M1169" s="147">
        <f t="shared" si="216"/>
        <v>0</v>
      </c>
      <c r="N1169" s="147">
        <f t="shared" si="216"/>
        <v>0</v>
      </c>
      <c r="O1169" s="147">
        <f t="shared" si="216"/>
        <v>0</v>
      </c>
      <c r="P1169" s="147">
        <f t="shared" si="216"/>
        <v>0</v>
      </c>
      <c r="Q1169" s="147">
        <f t="shared" si="216"/>
        <v>0</v>
      </c>
      <c r="R1169" s="147">
        <f t="shared" si="216"/>
        <v>0</v>
      </c>
      <c r="S1169" s="147">
        <f t="shared" si="216"/>
        <v>0</v>
      </c>
      <c r="T1169" s="147">
        <f t="shared" si="216"/>
        <v>0</v>
      </c>
      <c r="U1169" s="147">
        <f t="shared" si="216"/>
        <v>0</v>
      </c>
      <c r="V1169" s="147">
        <f t="shared" si="216"/>
        <v>0</v>
      </c>
      <c r="W1169" s="147">
        <f t="shared" si="216"/>
        <v>0</v>
      </c>
      <c r="X1169" s="147">
        <f t="shared" si="216"/>
        <v>0</v>
      </c>
      <c r="Y1169" s="147">
        <f t="shared" si="216"/>
        <v>0</v>
      </c>
      <c r="Z1169" s="147">
        <f t="shared" si="216"/>
        <v>4.9999999999999989E-2</v>
      </c>
      <c r="AA1169" s="147">
        <f t="shared" si="216"/>
        <v>0</v>
      </c>
      <c r="AB1169" s="147">
        <f t="shared" si="216"/>
        <v>0</v>
      </c>
      <c r="AC1169" s="147">
        <f t="shared" si="216"/>
        <v>0</v>
      </c>
      <c r="AD1169" s="147">
        <f t="shared" si="216"/>
        <v>0</v>
      </c>
      <c r="AE1169" s="147">
        <f t="shared" si="216"/>
        <v>0</v>
      </c>
      <c r="AF1169" s="147">
        <f t="shared" si="216"/>
        <v>0</v>
      </c>
      <c r="AG1169" s="147">
        <f t="shared" si="216"/>
        <v>0</v>
      </c>
      <c r="AH1169" s="147">
        <f t="shared" si="216"/>
        <v>0</v>
      </c>
      <c r="AI1169" s="147">
        <f t="shared" si="216"/>
        <v>0</v>
      </c>
      <c r="AJ1169" s="147">
        <f t="shared" si="216"/>
        <v>0</v>
      </c>
      <c r="AK1169" s="147">
        <f t="shared" si="216"/>
        <v>0</v>
      </c>
      <c r="AL1169" s="147">
        <f t="shared" si="216"/>
        <v>0</v>
      </c>
      <c r="AM1169" s="147">
        <f t="shared" si="216"/>
        <v>0</v>
      </c>
      <c r="AN1169" s="147">
        <f t="shared" si="216"/>
        <v>0</v>
      </c>
      <c r="AO1169" s="147">
        <f t="shared" si="216"/>
        <v>0</v>
      </c>
      <c r="AP1169" s="147">
        <f t="shared" si="216"/>
        <v>7.9999999999999988E-2</v>
      </c>
      <c r="AQ1169" s="147">
        <f t="shared" si="216"/>
        <v>0</v>
      </c>
      <c r="AR1169" s="147">
        <f t="shared" si="216"/>
        <v>0</v>
      </c>
      <c r="AS1169" s="147">
        <f t="shared" si="216"/>
        <v>0</v>
      </c>
      <c r="AT1169" s="147">
        <f t="shared" si="216"/>
        <v>0</v>
      </c>
      <c r="AU1169" s="147">
        <f t="shared" si="216"/>
        <v>0</v>
      </c>
      <c r="AV1169" s="147">
        <f t="shared" si="216"/>
        <v>0</v>
      </c>
      <c r="AW1169" s="147">
        <f t="shared" si="216"/>
        <v>0</v>
      </c>
      <c r="AX1169" s="147">
        <f t="shared" si="216"/>
        <v>0</v>
      </c>
      <c r="AY1169" s="34" t="s">
        <v>233</v>
      </c>
      <c r="AZ1169" s="34"/>
      <c r="BA1169" s="93"/>
      <c r="BB1169" s="50"/>
      <c r="BI1169" s="42"/>
    </row>
    <row r="1170" spans="1:61" s="24" customFormat="1" ht="17.850000000000001" customHeight="1">
      <c r="A1170" s="32">
        <f>A1166+1</f>
        <v>753</v>
      </c>
      <c r="B1170" s="158" t="s">
        <v>186</v>
      </c>
      <c r="C1170" s="78" t="s">
        <v>59</v>
      </c>
      <c r="D1170" s="35">
        <f t="shared" si="204"/>
        <v>0.27</v>
      </c>
      <c r="E1170" s="35"/>
      <c r="F1170" s="35">
        <f t="shared" si="212"/>
        <v>0.27</v>
      </c>
      <c r="G1170" s="109">
        <v>0.27</v>
      </c>
      <c r="H1170" s="109"/>
      <c r="I1170" s="109"/>
      <c r="J1170" s="109"/>
      <c r="K1170" s="46"/>
      <c r="L1170" s="46"/>
      <c r="M1170" s="109"/>
      <c r="N1170" s="46"/>
      <c r="O1170" s="46"/>
      <c r="P1170" s="109"/>
      <c r="Q1170" s="46"/>
      <c r="R1170" s="46"/>
      <c r="S1170" s="46"/>
      <c r="T1170" s="46"/>
      <c r="U1170" s="46"/>
      <c r="V1170" s="46"/>
      <c r="W1170" s="46"/>
      <c r="X1170" s="46"/>
      <c r="Y1170" s="46"/>
      <c r="Z1170" s="46"/>
      <c r="AA1170" s="46"/>
      <c r="AB1170" s="46"/>
      <c r="AC1170" s="46"/>
      <c r="AD1170" s="46"/>
      <c r="AE1170" s="46"/>
      <c r="AF1170" s="46"/>
      <c r="AG1170" s="46"/>
      <c r="AH1170" s="46"/>
      <c r="AI1170" s="46"/>
      <c r="AJ1170" s="46"/>
      <c r="AK1170" s="46"/>
      <c r="AL1170" s="46"/>
      <c r="AM1170" s="46"/>
      <c r="AN1170" s="46"/>
      <c r="AO1170" s="46"/>
      <c r="AP1170" s="46"/>
      <c r="AQ1170" s="46"/>
      <c r="AR1170" s="46"/>
      <c r="AS1170" s="46"/>
      <c r="AT1170" s="46"/>
      <c r="AU1170" s="46"/>
      <c r="AV1170" s="46"/>
      <c r="AW1170" s="46"/>
      <c r="AX1170" s="109"/>
      <c r="AY1170" s="34" t="s">
        <v>233</v>
      </c>
      <c r="AZ1170" s="34" t="s">
        <v>1194</v>
      </c>
      <c r="BA1170" s="93" t="s">
        <v>291</v>
      </c>
      <c r="BB1170" s="50"/>
      <c r="BC1170" s="24" t="s">
        <v>1561</v>
      </c>
      <c r="BI1170" s="42">
        <v>1</v>
      </c>
    </row>
    <row r="1171" spans="1:61" s="24" customFormat="1" ht="17.850000000000001" customHeight="1">
      <c r="A1171" s="32">
        <f>A1170+1</f>
        <v>754</v>
      </c>
      <c r="B1171" s="158" t="s">
        <v>186</v>
      </c>
      <c r="C1171" s="78" t="s">
        <v>59</v>
      </c>
      <c r="D1171" s="35">
        <f t="shared" si="204"/>
        <v>0.25</v>
      </c>
      <c r="E1171" s="35"/>
      <c r="F1171" s="35">
        <f t="shared" si="212"/>
        <v>0.25</v>
      </c>
      <c r="G1171" s="109">
        <v>0.25</v>
      </c>
      <c r="H1171" s="109"/>
      <c r="I1171" s="109"/>
      <c r="J1171" s="109"/>
      <c r="K1171" s="46"/>
      <c r="L1171" s="46"/>
      <c r="M1171" s="109"/>
      <c r="N1171" s="46"/>
      <c r="O1171" s="46"/>
      <c r="P1171" s="109"/>
      <c r="Q1171" s="46"/>
      <c r="R1171" s="46"/>
      <c r="S1171" s="46"/>
      <c r="T1171" s="46"/>
      <c r="U1171" s="46"/>
      <c r="V1171" s="46"/>
      <c r="W1171" s="46"/>
      <c r="X1171" s="46"/>
      <c r="Y1171" s="46"/>
      <c r="Z1171" s="46"/>
      <c r="AA1171" s="46"/>
      <c r="AB1171" s="46"/>
      <c r="AC1171" s="46"/>
      <c r="AD1171" s="46"/>
      <c r="AE1171" s="46"/>
      <c r="AF1171" s="46"/>
      <c r="AG1171" s="46"/>
      <c r="AH1171" s="46"/>
      <c r="AI1171" s="46"/>
      <c r="AJ1171" s="46"/>
      <c r="AK1171" s="46"/>
      <c r="AL1171" s="46"/>
      <c r="AM1171" s="46"/>
      <c r="AN1171" s="46"/>
      <c r="AO1171" s="46"/>
      <c r="AP1171" s="46"/>
      <c r="AQ1171" s="46"/>
      <c r="AR1171" s="46"/>
      <c r="AS1171" s="46"/>
      <c r="AT1171" s="46"/>
      <c r="AU1171" s="46"/>
      <c r="AV1171" s="46"/>
      <c r="AW1171" s="46"/>
      <c r="AX1171" s="109"/>
      <c r="AY1171" s="34" t="str">
        <f>$AY$1170</f>
        <v>Xã Phú Lâm</v>
      </c>
      <c r="AZ1171" s="34" t="s">
        <v>1182</v>
      </c>
      <c r="BA1171" s="47" t="s">
        <v>298</v>
      </c>
      <c r="BB1171" s="50"/>
      <c r="BC1171" s="24" t="s">
        <v>381</v>
      </c>
      <c r="BI1171" s="42">
        <v>1</v>
      </c>
    </row>
    <row r="1172" spans="1:61" s="24" customFormat="1" ht="17.850000000000001" customHeight="1">
      <c r="A1172" s="32">
        <f>A1171+1</f>
        <v>755</v>
      </c>
      <c r="B1172" s="158" t="s">
        <v>186</v>
      </c>
      <c r="C1172" s="78" t="s">
        <v>1260</v>
      </c>
      <c r="D1172" s="35">
        <f t="shared" si="204"/>
        <v>1.97</v>
      </c>
      <c r="E1172" s="35"/>
      <c r="F1172" s="35">
        <f t="shared" si="212"/>
        <v>1.97</v>
      </c>
      <c r="G1172" s="109">
        <v>1.97</v>
      </c>
      <c r="H1172" s="109"/>
      <c r="I1172" s="109"/>
      <c r="J1172" s="109"/>
      <c r="K1172" s="46"/>
      <c r="L1172" s="46"/>
      <c r="M1172" s="109"/>
      <c r="N1172" s="46"/>
      <c r="O1172" s="46"/>
      <c r="P1172" s="109"/>
      <c r="Q1172" s="46"/>
      <c r="R1172" s="46"/>
      <c r="S1172" s="46"/>
      <c r="T1172" s="46"/>
      <c r="U1172" s="46"/>
      <c r="V1172" s="46"/>
      <c r="W1172" s="46"/>
      <c r="X1172" s="46"/>
      <c r="Y1172" s="46"/>
      <c r="Z1172" s="46"/>
      <c r="AA1172" s="46"/>
      <c r="AB1172" s="46"/>
      <c r="AC1172" s="46"/>
      <c r="AD1172" s="46"/>
      <c r="AE1172" s="46"/>
      <c r="AF1172" s="46"/>
      <c r="AG1172" s="46"/>
      <c r="AH1172" s="46"/>
      <c r="AI1172" s="46"/>
      <c r="AJ1172" s="46"/>
      <c r="AK1172" s="46"/>
      <c r="AL1172" s="46"/>
      <c r="AM1172" s="46"/>
      <c r="AN1172" s="46"/>
      <c r="AO1172" s="46"/>
      <c r="AP1172" s="46"/>
      <c r="AQ1172" s="46"/>
      <c r="AR1172" s="46"/>
      <c r="AS1172" s="46"/>
      <c r="AT1172" s="46"/>
      <c r="AU1172" s="46"/>
      <c r="AV1172" s="46"/>
      <c r="AW1172" s="46"/>
      <c r="AX1172" s="109"/>
      <c r="AY1172" s="34" t="str">
        <f>$AY$1170</f>
        <v>Xã Phú Lâm</v>
      </c>
      <c r="AZ1172" s="34" t="s">
        <v>1562</v>
      </c>
      <c r="BA1172" s="47" t="s">
        <v>298</v>
      </c>
      <c r="BB1172" s="50"/>
      <c r="BC1172" s="24" t="s">
        <v>381</v>
      </c>
      <c r="BI1172" s="42">
        <v>1</v>
      </c>
    </row>
    <row r="1173" spans="1:61" s="24" customFormat="1" ht="17.850000000000001" hidden="1" customHeight="1">
      <c r="A1173" s="32"/>
      <c r="B1173" s="158"/>
      <c r="C1173" s="78" t="s">
        <v>59</v>
      </c>
      <c r="D1173" s="35">
        <f t="shared" si="204"/>
        <v>0.69</v>
      </c>
      <c r="E1173" s="35"/>
      <c r="F1173" s="35">
        <f t="shared" si="212"/>
        <v>0.69</v>
      </c>
      <c r="G1173" s="109">
        <v>0.69</v>
      </c>
      <c r="H1173" s="109"/>
      <c r="I1173" s="109"/>
      <c r="J1173" s="109"/>
      <c r="K1173" s="46"/>
      <c r="L1173" s="46"/>
      <c r="M1173" s="109"/>
      <c r="N1173" s="46"/>
      <c r="O1173" s="46"/>
      <c r="P1173" s="109"/>
      <c r="Q1173" s="46"/>
      <c r="R1173" s="46"/>
      <c r="S1173" s="46"/>
      <c r="T1173" s="46"/>
      <c r="U1173" s="46"/>
      <c r="V1173" s="46"/>
      <c r="W1173" s="46"/>
      <c r="X1173" s="46"/>
      <c r="Y1173" s="46"/>
      <c r="Z1173" s="46"/>
      <c r="AA1173" s="46"/>
      <c r="AB1173" s="46"/>
      <c r="AC1173" s="46"/>
      <c r="AD1173" s="46"/>
      <c r="AE1173" s="46"/>
      <c r="AF1173" s="46"/>
      <c r="AG1173" s="46"/>
      <c r="AH1173" s="46"/>
      <c r="AI1173" s="46"/>
      <c r="AJ1173" s="46"/>
      <c r="AK1173" s="46"/>
      <c r="AL1173" s="46"/>
      <c r="AM1173" s="46"/>
      <c r="AN1173" s="46"/>
      <c r="AO1173" s="46"/>
      <c r="AP1173" s="46"/>
      <c r="AQ1173" s="46"/>
      <c r="AR1173" s="46"/>
      <c r="AS1173" s="46"/>
      <c r="AT1173" s="46"/>
      <c r="AU1173" s="46"/>
      <c r="AV1173" s="46"/>
      <c r="AW1173" s="46"/>
      <c r="AX1173" s="109"/>
      <c r="AY1173" s="34" t="s">
        <v>233</v>
      </c>
      <c r="AZ1173" s="34"/>
      <c r="BA1173" s="47"/>
      <c r="BB1173" s="50"/>
      <c r="BI1173" s="42"/>
    </row>
    <row r="1174" spans="1:61" s="24" customFormat="1" ht="17.850000000000001" hidden="1" customHeight="1">
      <c r="A1174" s="32"/>
      <c r="B1174" s="158"/>
      <c r="C1174" s="78" t="s">
        <v>44</v>
      </c>
      <c r="D1174" s="35">
        <f t="shared" si="204"/>
        <v>0.69</v>
      </c>
      <c r="E1174" s="35"/>
      <c r="F1174" s="35">
        <f t="shared" si="212"/>
        <v>0.69</v>
      </c>
      <c r="G1174" s="109">
        <v>0.69</v>
      </c>
      <c r="H1174" s="109"/>
      <c r="I1174" s="109"/>
      <c r="J1174" s="109"/>
      <c r="K1174" s="46"/>
      <c r="L1174" s="46"/>
      <c r="M1174" s="109"/>
      <c r="N1174" s="46"/>
      <c r="O1174" s="46"/>
      <c r="P1174" s="109"/>
      <c r="Q1174" s="46"/>
      <c r="R1174" s="46"/>
      <c r="S1174" s="46"/>
      <c r="T1174" s="46"/>
      <c r="U1174" s="46"/>
      <c r="V1174" s="46"/>
      <c r="W1174" s="46"/>
      <c r="X1174" s="46"/>
      <c r="Y1174" s="46"/>
      <c r="Z1174" s="46"/>
      <c r="AA1174" s="46"/>
      <c r="AB1174" s="46"/>
      <c r="AC1174" s="46"/>
      <c r="AD1174" s="46"/>
      <c r="AE1174" s="46"/>
      <c r="AF1174" s="46"/>
      <c r="AG1174" s="46"/>
      <c r="AH1174" s="46"/>
      <c r="AI1174" s="46"/>
      <c r="AJ1174" s="46"/>
      <c r="AK1174" s="46"/>
      <c r="AL1174" s="46"/>
      <c r="AM1174" s="46"/>
      <c r="AN1174" s="46"/>
      <c r="AO1174" s="46"/>
      <c r="AP1174" s="46"/>
      <c r="AQ1174" s="46"/>
      <c r="AR1174" s="46"/>
      <c r="AS1174" s="46"/>
      <c r="AT1174" s="46"/>
      <c r="AU1174" s="46"/>
      <c r="AV1174" s="46"/>
      <c r="AW1174" s="46"/>
      <c r="AX1174" s="109"/>
      <c r="AY1174" s="34" t="s">
        <v>233</v>
      </c>
      <c r="AZ1174" s="34"/>
      <c r="BA1174" s="47"/>
      <c r="BB1174" s="50"/>
      <c r="BI1174" s="42"/>
    </row>
    <row r="1175" spans="1:61" s="24" customFormat="1" ht="17.850000000000001" hidden="1" customHeight="1">
      <c r="A1175" s="32"/>
      <c r="B1175" s="158"/>
      <c r="C1175" s="78" t="s">
        <v>45</v>
      </c>
      <c r="D1175" s="35">
        <f t="shared" si="204"/>
        <v>0.2</v>
      </c>
      <c r="E1175" s="35"/>
      <c r="F1175" s="35">
        <f t="shared" si="212"/>
        <v>0.2</v>
      </c>
      <c r="G1175" s="109">
        <v>0.2</v>
      </c>
      <c r="H1175" s="109"/>
      <c r="I1175" s="109"/>
      <c r="J1175" s="109"/>
      <c r="K1175" s="46"/>
      <c r="L1175" s="46"/>
      <c r="M1175" s="109"/>
      <c r="N1175" s="46"/>
      <c r="O1175" s="46"/>
      <c r="P1175" s="109"/>
      <c r="Q1175" s="46"/>
      <c r="R1175" s="46"/>
      <c r="S1175" s="46"/>
      <c r="T1175" s="46"/>
      <c r="U1175" s="46"/>
      <c r="V1175" s="46"/>
      <c r="W1175" s="46"/>
      <c r="X1175" s="46"/>
      <c r="Y1175" s="46"/>
      <c r="Z1175" s="46"/>
      <c r="AA1175" s="46"/>
      <c r="AB1175" s="46"/>
      <c r="AC1175" s="46"/>
      <c r="AD1175" s="46"/>
      <c r="AE1175" s="46"/>
      <c r="AF1175" s="46"/>
      <c r="AG1175" s="46"/>
      <c r="AH1175" s="46"/>
      <c r="AI1175" s="46"/>
      <c r="AJ1175" s="46"/>
      <c r="AK1175" s="46"/>
      <c r="AL1175" s="46"/>
      <c r="AM1175" s="46"/>
      <c r="AN1175" s="46"/>
      <c r="AO1175" s="46"/>
      <c r="AP1175" s="46"/>
      <c r="AQ1175" s="46"/>
      <c r="AR1175" s="46"/>
      <c r="AS1175" s="46"/>
      <c r="AT1175" s="46"/>
      <c r="AU1175" s="46"/>
      <c r="AV1175" s="46"/>
      <c r="AW1175" s="46"/>
      <c r="AX1175" s="109"/>
      <c r="AY1175" s="34" t="s">
        <v>233</v>
      </c>
      <c r="AZ1175" s="34"/>
      <c r="BA1175" s="47"/>
      <c r="BB1175" s="50"/>
      <c r="BI1175" s="42"/>
    </row>
    <row r="1176" spans="1:61" s="24" customFormat="1" ht="17.850000000000001" hidden="1" customHeight="1">
      <c r="A1176" s="32"/>
      <c r="B1176" s="158"/>
      <c r="C1176" s="78" t="s">
        <v>138</v>
      </c>
      <c r="D1176" s="35">
        <f t="shared" si="204"/>
        <v>0.39000000000000007</v>
      </c>
      <c r="E1176" s="35"/>
      <c r="F1176" s="35">
        <f t="shared" si="212"/>
        <v>0.39000000000000007</v>
      </c>
      <c r="G1176" s="153">
        <f t="shared" ref="G1176:AX1176" si="217">G1172-G1173-G1174-G1175</f>
        <v>0.39000000000000007</v>
      </c>
      <c r="H1176" s="153">
        <f t="shared" si="217"/>
        <v>0</v>
      </c>
      <c r="I1176" s="153">
        <f t="shared" si="217"/>
        <v>0</v>
      </c>
      <c r="J1176" s="153">
        <f t="shared" si="217"/>
        <v>0</v>
      </c>
      <c r="K1176" s="153">
        <f t="shared" si="217"/>
        <v>0</v>
      </c>
      <c r="L1176" s="153">
        <f t="shared" si="217"/>
        <v>0</v>
      </c>
      <c r="M1176" s="153">
        <f t="shared" si="217"/>
        <v>0</v>
      </c>
      <c r="N1176" s="153">
        <f t="shared" si="217"/>
        <v>0</v>
      </c>
      <c r="O1176" s="153">
        <f t="shared" si="217"/>
        <v>0</v>
      </c>
      <c r="P1176" s="153">
        <f t="shared" si="217"/>
        <v>0</v>
      </c>
      <c r="Q1176" s="153">
        <f t="shared" si="217"/>
        <v>0</v>
      </c>
      <c r="R1176" s="153">
        <f t="shared" si="217"/>
        <v>0</v>
      </c>
      <c r="S1176" s="153">
        <f t="shared" si="217"/>
        <v>0</v>
      </c>
      <c r="T1176" s="153">
        <f t="shared" si="217"/>
        <v>0</v>
      </c>
      <c r="U1176" s="153">
        <f t="shared" si="217"/>
        <v>0</v>
      </c>
      <c r="V1176" s="153">
        <f t="shared" si="217"/>
        <v>0</v>
      </c>
      <c r="W1176" s="153">
        <f t="shared" si="217"/>
        <v>0</v>
      </c>
      <c r="X1176" s="153">
        <f t="shared" si="217"/>
        <v>0</v>
      </c>
      <c r="Y1176" s="153">
        <f t="shared" si="217"/>
        <v>0</v>
      </c>
      <c r="Z1176" s="153">
        <f t="shared" si="217"/>
        <v>0</v>
      </c>
      <c r="AA1176" s="153">
        <f t="shared" si="217"/>
        <v>0</v>
      </c>
      <c r="AB1176" s="153">
        <f t="shared" si="217"/>
        <v>0</v>
      </c>
      <c r="AC1176" s="153">
        <f t="shared" si="217"/>
        <v>0</v>
      </c>
      <c r="AD1176" s="153">
        <f t="shared" si="217"/>
        <v>0</v>
      </c>
      <c r="AE1176" s="153">
        <f t="shared" si="217"/>
        <v>0</v>
      </c>
      <c r="AF1176" s="153">
        <f t="shared" si="217"/>
        <v>0</v>
      </c>
      <c r="AG1176" s="153">
        <f t="shared" si="217"/>
        <v>0</v>
      </c>
      <c r="AH1176" s="153">
        <f t="shared" si="217"/>
        <v>0</v>
      </c>
      <c r="AI1176" s="153">
        <f t="shared" si="217"/>
        <v>0</v>
      </c>
      <c r="AJ1176" s="153">
        <f t="shared" si="217"/>
        <v>0</v>
      </c>
      <c r="AK1176" s="153">
        <f t="shared" si="217"/>
        <v>0</v>
      </c>
      <c r="AL1176" s="153">
        <f t="shared" si="217"/>
        <v>0</v>
      </c>
      <c r="AM1176" s="153">
        <f t="shared" si="217"/>
        <v>0</v>
      </c>
      <c r="AN1176" s="153">
        <f t="shared" si="217"/>
        <v>0</v>
      </c>
      <c r="AO1176" s="153">
        <f t="shared" si="217"/>
        <v>0</v>
      </c>
      <c r="AP1176" s="153">
        <f t="shared" si="217"/>
        <v>0</v>
      </c>
      <c r="AQ1176" s="153">
        <f t="shared" si="217"/>
        <v>0</v>
      </c>
      <c r="AR1176" s="153">
        <f t="shared" si="217"/>
        <v>0</v>
      </c>
      <c r="AS1176" s="153">
        <f t="shared" si="217"/>
        <v>0</v>
      </c>
      <c r="AT1176" s="153">
        <f t="shared" si="217"/>
        <v>0</v>
      </c>
      <c r="AU1176" s="153">
        <f t="shared" si="217"/>
        <v>0</v>
      </c>
      <c r="AV1176" s="153">
        <f t="shared" si="217"/>
        <v>0</v>
      </c>
      <c r="AW1176" s="153">
        <f t="shared" si="217"/>
        <v>0</v>
      </c>
      <c r="AX1176" s="153">
        <f t="shared" si="217"/>
        <v>0</v>
      </c>
      <c r="AY1176" s="34" t="s">
        <v>233</v>
      </c>
      <c r="AZ1176" s="34"/>
      <c r="BA1176" s="47"/>
      <c r="BB1176" s="50"/>
      <c r="BI1176" s="42"/>
    </row>
    <row r="1177" spans="1:61" s="24" customFormat="1" ht="33.6" customHeight="1">
      <c r="A1177" s="32">
        <f>A1172+1</f>
        <v>756</v>
      </c>
      <c r="B1177" s="158" t="s">
        <v>186</v>
      </c>
      <c r="C1177" s="78" t="s">
        <v>1260</v>
      </c>
      <c r="D1177" s="35">
        <f t="shared" si="204"/>
        <v>0.4</v>
      </c>
      <c r="E1177" s="35"/>
      <c r="F1177" s="35">
        <f t="shared" si="212"/>
        <v>0.4</v>
      </c>
      <c r="G1177" s="109">
        <v>0.4</v>
      </c>
      <c r="H1177" s="109"/>
      <c r="I1177" s="109"/>
      <c r="J1177" s="109"/>
      <c r="K1177" s="46"/>
      <c r="L1177" s="46"/>
      <c r="M1177" s="109"/>
      <c r="N1177" s="46"/>
      <c r="O1177" s="46"/>
      <c r="P1177" s="109"/>
      <c r="Q1177" s="46"/>
      <c r="R1177" s="46"/>
      <c r="S1177" s="46"/>
      <c r="T1177" s="46"/>
      <c r="U1177" s="46"/>
      <c r="V1177" s="46"/>
      <c r="W1177" s="46"/>
      <c r="X1177" s="46"/>
      <c r="Y1177" s="46"/>
      <c r="Z1177" s="46"/>
      <c r="AA1177" s="46"/>
      <c r="AB1177" s="46"/>
      <c r="AC1177" s="46"/>
      <c r="AD1177" s="46"/>
      <c r="AE1177" s="46"/>
      <c r="AF1177" s="46"/>
      <c r="AG1177" s="46"/>
      <c r="AH1177" s="46"/>
      <c r="AI1177" s="46"/>
      <c r="AJ1177" s="46"/>
      <c r="AK1177" s="46"/>
      <c r="AL1177" s="46"/>
      <c r="AM1177" s="46"/>
      <c r="AN1177" s="46"/>
      <c r="AO1177" s="46"/>
      <c r="AP1177" s="46"/>
      <c r="AQ1177" s="46"/>
      <c r="AR1177" s="46"/>
      <c r="AS1177" s="46"/>
      <c r="AT1177" s="46"/>
      <c r="AU1177" s="46"/>
      <c r="AV1177" s="46"/>
      <c r="AW1177" s="46"/>
      <c r="AX1177" s="109"/>
      <c r="AY1177" s="34" t="str">
        <f>$AY$1170</f>
        <v>Xã Phú Lâm</v>
      </c>
      <c r="AZ1177" s="34" t="s">
        <v>1563</v>
      </c>
      <c r="BA1177" s="47" t="s">
        <v>298</v>
      </c>
      <c r="BB1177" s="50"/>
      <c r="BC1177" s="24" t="s">
        <v>381</v>
      </c>
      <c r="BI1177" s="42">
        <v>1</v>
      </c>
    </row>
    <row r="1178" spans="1:61" s="24" customFormat="1" ht="21" hidden="1" customHeight="1">
      <c r="A1178" s="32"/>
      <c r="B1178" s="158"/>
      <c r="C1178" s="78" t="s">
        <v>59</v>
      </c>
      <c r="D1178" s="35">
        <f t="shared" si="204"/>
        <v>0.16</v>
      </c>
      <c r="E1178" s="35"/>
      <c r="F1178" s="35">
        <f t="shared" si="212"/>
        <v>0.16</v>
      </c>
      <c r="G1178" s="109">
        <v>0.16</v>
      </c>
      <c r="H1178" s="109"/>
      <c r="I1178" s="109"/>
      <c r="J1178" s="109"/>
      <c r="K1178" s="46"/>
      <c r="L1178" s="46"/>
      <c r="M1178" s="109"/>
      <c r="N1178" s="46"/>
      <c r="O1178" s="46"/>
      <c r="P1178" s="109"/>
      <c r="Q1178" s="46"/>
      <c r="R1178" s="46"/>
      <c r="S1178" s="46"/>
      <c r="T1178" s="46"/>
      <c r="U1178" s="46"/>
      <c r="V1178" s="46"/>
      <c r="W1178" s="46"/>
      <c r="X1178" s="46"/>
      <c r="Y1178" s="46"/>
      <c r="Z1178" s="46"/>
      <c r="AA1178" s="46"/>
      <c r="AB1178" s="46"/>
      <c r="AC1178" s="46"/>
      <c r="AD1178" s="46"/>
      <c r="AE1178" s="46"/>
      <c r="AF1178" s="46"/>
      <c r="AG1178" s="46"/>
      <c r="AH1178" s="46"/>
      <c r="AI1178" s="46"/>
      <c r="AJ1178" s="46"/>
      <c r="AK1178" s="46"/>
      <c r="AL1178" s="46"/>
      <c r="AM1178" s="46"/>
      <c r="AN1178" s="46"/>
      <c r="AO1178" s="46"/>
      <c r="AP1178" s="46"/>
      <c r="AQ1178" s="46"/>
      <c r="AR1178" s="46"/>
      <c r="AS1178" s="46"/>
      <c r="AT1178" s="46"/>
      <c r="AU1178" s="46"/>
      <c r="AV1178" s="46"/>
      <c r="AW1178" s="46"/>
      <c r="AX1178" s="109"/>
      <c r="AY1178" s="34" t="s">
        <v>233</v>
      </c>
      <c r="AZ1178" s="34"/>
      <c r="BA1178" s="47"/>
      <c r="BB1178" s="50"/>
      <c r="BI1178" s="42"/>
    </row>
    <row r="1179" spans="1:61" s="24" customFormat="1" ht="21" hidden="1" customHeight="1">
      <c r="A1179" s="32"/>
      <c r="B1179" s="158"/>
      <c r="C1179" s="78" t="s">
        <v>44</v>
      </c>
      <c r="D1179" s="35">
        <f t="shared" si="204"/>
        <v>0.16</v>
      </c>
      <c r="E1179" s="35"/>
      <c r="F1179" s="35">
        <f t="shared" si="212"/>
        <v>0.16</v>
      </c>
      <c r="G1179" s="109">
        <v>0.16</v>
      </c>
      <c r="H1179" s="109"/>
      <c r="I1179" s="109"/>
      <c r="J1179" s="109"/>
      <c r="K1179" s="46"/>
      <c r="L1179" s="46"/>
      <c r="M1179" s="109"/>
      <c r="N1179" s="46"/>
      <c r="O1179" s="46"/>
      <c r="P1179" s="109"/>
      <c r="Q1179" s="46"/>
      <c r="R1179" s="46"/>
      <c r="S1179" s="46"/>
      <c r="T1179" s="46"/>
      <c r="U1179" s="46"/>
      <c r="V1179" s="46"/>
      <c r="W1179" s="46"/>
      <c r="X1179" s="46"/>
      <c r="Y1179" s="46"/>
      <c r="Z1179" s="46"/>
      <c r="AA1179" s="46"/>
      <c r="AB1179" s="46"/>
      <c r="AC1179" s="46"/>
      <c r="AD1179" s="46"/>
      <c r="AE1179" s="46"/>
      <c r="AF1179" s="46"/>
      <c r="AG1179" s="46"/>
      <c r="AH1179" s="46"/>
      <c r="AI1179" s="46"/>
      <c r="AJ1179" s="46"/>
      <c r="AK1179" s="46"/>
      <c r="AL1179" s="46"/>
      <c r="AM1179" s="46"/>
      <c r="AN1179" s="46"/>
      <c r="AO1179" s="46"/>
      <c r="AP1179" s="46"/>
      <c r="AQ1179" s="46"/>
      <c r="AR1179" s="46"/>
      <c r="AS1179" s="46"/>
      <c r="AT1179" s="46"/>
      <c r="AU1179" s="46"/>
      <c r="AV1179" s="46"/>
      <c r="AW1179" s="46"/>
      <c r="AX1179" s="109"/>
      <c r="AY1179" s="34" t="s">
        <v>233</v>
      </c>
      <c r="AZ1179" s="34"/>
      <c r="BA1179" s="47"/>
      <c r="BB1179" s="50"/>
      <c r="BI1179" s="42"/>
    </row>
    <row r="1180" spans="1:61" s="24" customFormat="1" ht="21" hidden="1" customHeight="1">
      <c r="A1180" s="32"/>
      <c r="B1180" s="158"/>
      <c r="C1180" s="78" t="s">
        <v>138</v>
      </c>
      <c r="D1180" s="35">
        <f t="shared" si="204"/>
        <v>8.0000000000000016E-2</v>
      </c>
      <c r="E1180" s="35"/>
      <c r="F1180" s="35">
        <f t="shared" si="212"/>
        <v>8.0000000000000016E-2</v>
      </c>
      <c r="G1180" s="147">
        <f t="shared" ref="G1180:AW1180" si="218">G1177-G1178-G1179</f>
        <v>8.0000000000000016E-2</v>
      </c>
      <c r="H1180" s="147">
        <f t="shared" si="218"/>
        <v>0</v>
      </c>
      <c r="I1180" s="147">
        <f t="shared" si="218"/>
        <v>0</v>
      </c>
      <c r="J1180" s="147">
        <f t="shared" si="218"/>
        <v>0</v>
      </c>
      <c r="K1180" s="147">
        <f t="shared" si="218"/>
        <v>0</v>
      </c>
      <c r="L1180" s="147">
        <f t="shared" si="218"/>
        <v>0</v>
      </c>
      <c r="M1180" s="147">
        <f t="shared" si="218"/>
        <v>0</v>
      </c>
      <c r="N1180" s="147">
        <f t="shared" si="218"/>
        <v>0</v>
      </c>
      <c r="O1180" s="147">
        <f t="shared" si="218"/>
        <v>0</v>
      </c>
      <c r="P1180" s="147">
        <f t="shared" si="218"/>
        <v>0</v>
      </c>
      <c r="Q1180" s="147">
        <f t="shared" si="218"/>
        <v>0</v>
      </c>
      <c r="R1180" s="147">
        <f t="shared" si="218"/>
        <v>0</v>
      </c>
      <c r="S1180" s="147">
        <f t="shared" si="218"/>
        <v>0</v>
      </c>
      <c r="T1180" s="147">
        <f t="shared" si="218"/>
        <v>0</v>
      </c>
      <c r="U1180" s="147">
        <f t="shared" si="218"/>
        <v>0</v>
      </c>
      <c r="V1180" s="147">
        <f t="shared" si="218"/>
        <v>0</v>
      </c>
      <c r="W1180" s="147">
        <f t="shared" si="218"/>
        <v>0</v>
      </c>
      <c r="X1180" s="147">
        <f t="shared" si="218"/>
        <v>0</v>
      </c>
      <c r="Y1180" s="147">
        <f t="shared" si="218"/>
        <v>0</v>
      </c>
      <c r="Z1180" s="147">
        <f t="shared" si="218"/>
        <v>0</v>
      </c>
      <c r="AA1180" s="147">
        <f t="shared" si="218"/>
        <v>0</v>
      </c>
      <c r="AB1180" s="147">
        <f t="shared" si="218"/>
        <v>0</v>
      </c>
      <c r="AC1180" s="147">
        <f t="shared" si="218"/>
        <v>0</v>
      </c>
      <c r="AD1180" s="147">
        <f t="shared" si="218"/>
        <v>0</v>
      </c>
      <c r="AE1180" s="147">
        <f t="shared" si="218"/>
        <v>0</v>
      </c>
      <c r="AF1180" s="147">
        <f t="shared" si="218"/>
        <v>0</v>
      </c>
      <c r="AG1180" s="147">
        <f t="shared" si="218"/>
        <v>0</v>
      </c>
      <c r="AH1180" s="147">
        <f t="shared" si="218"/>
        <v>0</v>
      </c>
      <c r="AI1180" s="147">
        <f t="shared" si="218"/>
        <v>0</v>
      </c>
      <c r="AJ1180" s="147">
        <f t="shared" si="218"/>
        <v>0</v>
      </c>
      <c r="AK1180" s="147">
        <f t="shared" si="218"/>
        <v>0</v>
      </c>
      <c r="AL1180" s="147">
        <f t="shared" si="218"/>
        <v>0</v>
      </c>
      <c r="AM1180" s="147">
        <f t="shared" si="218"/>
        <v>0</v>
      </c>
      <c r="AN1180" s="147">
        <f t="shared" si="218"/>
        <v>0</v>
      </c>
      <c r="AO1180" s="147">
        <f t="shared" si="218"/>
        <v>0</v>
      </c>
      <c r="AP1180" s="147">
        <f t="shared" si="218"/>
        <v>0</v>
      </c>
      <c r="AQ1180" s="147">
        <f t="shared" si="218"/>
        <v>0</v>
      </c>
      <c r="AR1180" s="147">
        <f t="shared" si="218"/>
        <v>0</v>
      </c>
      <c r="AS1180" s="147">
        <f t="shared" si="218"/>
        <v>0</v>
      </c>
      <c r="AT1180" s="147">
        <f t="shared" si="218"/>
        <v>0</v>
      </c>
      <c r="AU1180" s="147">
        <f t="shared" si="218"/>
        <v>0</v>
      </c>
      <c r="AV1180" s="147">
        <f t="shared" si="218"/>
        <v>0</v>
      </c>
      <c r="AW1180" s="147">
        <f t="shared" si="218"/>
        <v>0</v>
      </c>
      <c r="AX1180" s="147">
        <f>AX1177-AX1178-AX1179</f>
        <v>0</v>
      </c>
      <c r="AY1180" s="34" t="s">
        <v>233</v>
      </c>
      <c r="AZ1180" s="34"/>
      <c r="BA1180" s="47"/>
      <c r="BB1180" s="50"/>
      <c r="BI1180" s="42"/>
    </row>
    <row r="1181" spans="1:61" s="24" customFormat="1" ht="22.35" customHeight="1">
      <c r="A1181" s="32">
        <f>A1177+1</f>
        <v>757</v>
      </c>
      <c r="B1181" s="60" t="s">
        <v>1299</v>
      </c>
      <c r="C1181" s="78" t="s">
        <v>59</v>
      </c>
      <c r="D1181" s="35">
        <f t="shared" si="204"/>
        <v>1.6</v>
      </c>
      <c r="E1181" s="45"/>
      <c r="F1181" s="35">
        <f t="shared" si="212"/>
        <v>1.6</v>
      </c>
      <c r="G1181" s="46"/>
      <c r="H1181" s="46"/>
      <c r="I1181" s="46"/>
      <c r="J1181" s="46">
        <v>1.6</v>
      </c>
      <c r="K1181" s="46"/>
      <c r="L1181" s="46"/>
      <c r="M1181" s="46"/>
      <c r="N1181" s="46"/>
      <c r="O1181" s="46"/>
      <c r="P1181" s="46"/>
      <c r="Q1181" s="46"/>
      <c r="R1181" s="46"/>
      <c r="S1181" s="46"/>
      <c r="T1181" s="46"/>
      <c r="U1181" s="46"/>
      <c r="V1181" s="46"/>
      <c r="W1181" s="46"/>
      <c r="X1181" s="46"/>
      <c r="Y1181" s="46"/>
      <c r="Z1181" s="46"/>
      <c r="AA1181" s="46"/>
      <c r="AB1181" s="46"/>
      <c r="AC1181" s="46"/>
      <c r="AD1181" s="46"/>
      <c r="AE1181" s="46"/>
      <c r="AF1181" s="46"/>
      <c r="AG1181" s="46"/>
      <c r="AH1181" s="46"/>
      <c r="AI1181" s="46"/>
      <c r="AJ1181" s="46"/>
      <c r="AK1181" s="46"/>
      <c r="AL1181" s="46"/>
      <c r="AM1181" s="46"/>
      <c r="AN1181" s="46"/>
      <c r="AO1181" s="46"/>
      <c r="AP1181" s="46"/>
      <c r="AQ1181" s="46"/>
      <c r="AR1181" s="46"/>
      <c r="AS1181" s="46"/>
      <c r="AT1181" s="46"/>
      <c r="AU1181" s="46"/>
      <c r="AV1181" s="46"/>
      <c r="AW1181" s="46"/>
      <c r="AX1181" s="46"/>
      <c r="AY1181" s="47" t="s">
        <v>953</v>
      </c>
      <c r="AZ1181" s="47" t="s">
        <v>615</v>
      </c>
      <c r="BA1181" s="93" t="s">
        <v>291</v>
      </c>
      <c r="BB1181" s="50"/>
      <c r="BI1181" s="42">
        <v>1</v>
      </c>
    </row>
    <row r="1182" spans="1:61" s="24" customFormat="1" ht="22.35" customHeight="1">
      <c r="A1182" s="32" t="s">
        <v>1564</v>
      </c>
      <c r="B1182" s="158" t="s">
        <v>186</v>
      </c>
      <c r="C1182" s="78" t="s">
        <v>1260</v>
      </c>
      <c r="D1182" s="35">
        <f>E1182+F1182</f>
        <v>4.7100000000000009</v>
      </c>
      <c r="E1182" s="89">
        <f>E1183+E1188+E1189+E1193+E1197+E1198+E1202</f>
        <v>0</v>
      </c>
      <c r="F1182" s="141">
        <f>F1183+F1188+F1189+F1193+F1197+F1198+F1202</f>
        <v>4.7100000000000009</v>
      </c>
      <c r="G1182" s="141">
        <f t="shared" ref="G1182:AX1182" si="219">G1183+G1188+G1189+G1193+G1197+G1198+G1202</f>
        <v>2.85</v>
      </c>
      <c r="H1182" s="141">
        <f t="shared" si="219"/>
        <v>0</v>
      </c>
      <c r="I1182" s="141">
        <f t="shared" si="219"/>
        <v>0.25</v>
      </c>
      <c r="J1182" s="141">
        <f t="shared" si="219"/>
        <v>1.43</v>
      </c>
      <c r="K1182" s="141">
        <f t="shared" si="219"/>
        <v>0</v>
      </c>
      <c r="L1182" s="141">
        <f t="shared" si="219"/>
        <v>0</v>
      </c>
      <c r="M1182" s="141">
        <f t="shared" si="219"/>
        <v>0</v>
      </c>
      <c r="N1182" s="141">
        <f t="shared" si="219"/>
        <v>0</v>
      </c>
      <c r="O1182" s="141">
        <f t="shared" si="219"/>
        <v>0</v>
      </c>
      <c r="P1182" s="141">
        <f t="shared" si="219"/>
        <v>0.18</v>
      </c>
      <c r="Q1182" s="141">
        <f t="shared" si="219"/>
        <v>0</v>
      </c>
      <c r="R1182" s="141">
        <f t="shared" si="219"/>
        <v>0</v>
      </c>
      <c r="S1182" s="141">
        <f t="shared" si="219"/>
        <v>0</v>
      </c>
      <c r="T1182" s="141">
        <f t="shared" si="219"/>
        <v>0</v>
      </c>
      <c r="U1182" s="141">
        <f t="shared" si="219"/>
        <v>0</v>
      </c>
      <c r="V1182" s="141">
        <f t="shared" si="219"/>
        <v>0</v>
      </c>
      <c r="W1182" s="141">
        <f t="shared" si="219"/>
        <v>0</v>
      </c>
      <c r="X1182" s="141">
        <f t="shared" si="219"/>
        <v>0</v>
      </c>
      <c r="Y1182" s="141">
        <f t="shared" si="219"/>
        <v>0</v>
      </c>
      <c r="Z1182" s="141">
        <f t="shared" si="219"/>
        <v>0</v>
      </c>
      <c r="AA1182" s="141">
        <f t="shared" si="219"/>
        <v>0</v>
      </c>
      <c r="AB1182" s="141">
        <f t="shared" si="219"/>
        <v>0</v>
      </c>
      <c r="AC1182" s="141">
        <f t="shared" si="219"/>
        <v>0</v>
      </c>
      <c r="AD1182" s="141">
        <f t="shared" si="219"/>
        <v>0</v>
      </c>
      <c r="AE1182" s="141">
        <f t="shared" si="219"/>
        <v>0</v>
      </c>
      <c r="AF1182" s="141">
        <f t="shared" si="219"/>
        <v>0</v>
      </c>
      <c r="AG1182" s="141">
        <f t="shared" si="219"/>
        <v>0</v>
      </c>
      <c r="AH1182" s="141">
        <f t="shared" si="219"/>
        <v>0</v>
      </c>
      <c r="AI1182" s="141">
        <f t="shared" si="219"/>
        <v>0</v>
      </c>
      <c r="AJ1182" s="141">
        <f t="shared" si="219"/>
        <v>0</v>
      </c>
      <c r="AK1182" s="141">
        <f t="shared" si="219"/>
        <v>0</v>
      </c>
      <c r="AL1182" s="141">
        <f t="shared" si="219"/>
        <v>0</v>
      </c>
      <c r="AM1182" s="141">
        <f t="shared" si="219"/>
        <v>0</v>
      </c>
      <c r="AN1182" s="141">
        <f t="shared" si="219"/>
        <v>0</v>
      </c>
      <c r="AO1182" s="141">
        <f t="shared" si="219"/>
        <v>0</v>
      </c>
      <c r="AP1182" s="141">
        <f t="shared" si="219"/>
        <v>0</v>
      </c>
      <c r="AQ1182" s="141">
        <f t="shared" si="219"/>
        <v>0</v>
      </c>
      <c r="AR1182" s="141">
        <f t="shared" si="219"/>
        <v>0</v>
      </c>
      <c r="AS1182" s="141">
        <f t="shared" si="219"/>
        <v>0</v>
      </c>
      <c r="AT1182" s="141">
        <f t="shared" si="219"/>
        <v>0</v>
      </c>
      <c r="AU1182" s="141">
        <f t="shared" si="219"/>
        <v>0</v>
      </c>
      <c r="AV1182" s="141">
        <f t="shared" si="219"/>
        <v>0</v>
      </c>
      <c r="AW1182" s="141">
        <f t="shared" si="219"/>
        <v>0</v>
      </c>
      <c r="AX1182" s="141">
        <f t="shared" si="219"/>
        <v>0</v>
      </c>
      <c r="AY1182" s="47" t="s">
        <v>234</v>
      </c>
      <c r="AZ1182" s="47"/>
      <c r="BA1182" s="93"/>
      <c r="BB1182" s="50"/>
      <c r="BI1182" s="42"/>
    </row>
    <row r="1183" spans="1:61" s="24" customFormat="1" ht="28.35" customHeight="1">
      <c r="A1183" s="32">
        <f>A1181+1</f>
        <v>758</v>
      </c>
      <c r="B1183" s="158" t="s">
        <v>186</v>
      </c>
      <c r="C1183" s="78" t="s">
        <v>1260</v>
      </c>
      <c r="D1183" s="35">
        <f t="shared" si="204"/>
        <v>1.7000000000000002</v>
      </c>
      <c r="E1183" s="45"/>
      <c r="F1183" s="35">
        <f t="shared" si="212"/>
        <v>1.7000000000000002</v>
      </c>
      <c r="G1183" s="46">
        <v>1.6</v>
      </c>
      <c r="H1183" s="46"/>
      <c r="I1183" s="46">
        <v>0.1</v>
      </c>
      <c r="J1183" s="46"/>
      <c r="K1183" s="46"/>
      <c r="L1183" s="46"/>
      <c r="M1183" s="46"/>
      <c r="N1183" s="46"/>
      <c r="O1183" s="46"/>
      <c r="P1183" s="46"/>
      <c r="Q1183" s="46"/>
      <c r="R1183" s="46"/>
      <c r="S1183" s="46"/>
      <c r="T1183" s="46"/>
      <c r="U1183" s="46"/>
      <c r="V1183" s="46"/>
      <c r="W1183" s="46"/>
      <c r="X1183" s="46"/>
      <c r="Y1183" s="46"/>
      <c r="Z1183" s="46"/>
      <c r="AA1183" s="46"/>
      <c r="AB1183" s="46"/>
      <c r="AC1183" s="46"/>
      <c r="AD1183" s="46"/>
      <c r="AE1183" s="46"/>
      <c r="AF1183" s="46"/>
      <c r="AG1183" s="46"/>
      <c r="AH1183" s="46"/>
      <c r="AI1183" s="46"/>
      <c r="AJ1183" s="46"/>
      <c r="AK1183" s="46"/>
      <c r="AL1183" s="46"/>
      <c r="AM1183" s="46"/>
      <c r="AN1183" s="46"/>
      <c r="AO1183" s="46"/>
      <c r="AP1183" s="46"/>
      <c r="AQ1183" s="46"/>
      <c r="AR1183" s="46"/>
      <c r="AS1183" s="46"/>
      <c r="AT1183" s="46"/>
      <c r="AU1183" s="46"/>
      <c r="AV1183" s="46"/>
      <c r="AW1183" s="46"/>
      <c r="AX1183" s="46"/>
      <c r="AY1183" s="47" t="s">
        <v>234</v>
      </c>
      <c r="AZ1183" s="47" t="s">
        <v>1565</v>
      </c>
      <c r="BA1183" s="93" t="s">
        <v>291</v>
      </c>
      <c r="BB1183" s="50" t="s">
        <v>1566</v>
      </c>
      <c r="BI1183" s="42">
        <v>1</v>
      </c>
    </row>
    <row r="1184" spans="1:61" s="24" customFormat="1" ht="20.45" hidden="1" customHeight="1">
      <c r="A1184" s="32"/>
      <c r="B1184" s="158"/>
      <c r="C1184" s="78" t="s">
        <v>59</v>
      </c>
      <c r="D1184" s="35">
        <f t="shared" si="204"/>
        <v>0.6</v>
      </c>
      <c r="E1184" s="45"/>
      <c r="F1184" s="35">
        <f t="shared" si="212"/>
        <v>0.6</v>
      </c>
      <c r="G1184" s="46">
        <v>0.6</v>
      </c>
      <c r="H1184" s="46"/>
      <c r="I1184" s="46"/>
      <c r="J1184" s="46"/>
      <c r="K1184" s="46"/>
      <c r="L1184" s="46"/>
      <c r="M1184" s="46"/>
      <c r="N1184" s="46"/>
      <c r="O1184" s="46"/>
      <c r="P1184" s="46"/>
      <c r="Q1184" s="46"/>
      <c r="R1184" s="46"/>
      <c r="S1184" s="46"/>
      <c r="T1184" s="46"/>
      <c r="U1184" s="46"/>
      <c r="V1184" s="46"/>
      <c r="W1184" s="46"/>
      <c r="X1184" s="46"/>
      <c r="Y1184" s="46"/>
      <c r="Z1184" s="46"/>
      <c r="AA1184" s="46"/>
      <c r="AB1184" s="46"/>
      <c r="AC1184" s="46"/>
      <c r="AD1184" s="46"/>
      <c r="AE1184" s="46"/>
      <c r="AF1184" s="46"/>
      <c r="AG1184" s="46"/>
      <c r="AH1184" s="46"/>
      <c r="AI1184" s="46"/>
      <c r="AJ1184" s="46"/>
      <c r="AK1184" s="46"/>
      <c r="AL1184" s="46"/>
      <c r="AM1184" s="46"/>
      <c r="AN1184" s="46"/>
      <c r="AO1184" s="46"/>
      <c r="AP1184" s="46"/>
      <c r="AQ1184" s="46"/>
      <c r="AR1184" s="46"/>
      <c r="AS1184" s="46"/>
      <c r="AT1184" s="46"/>
      <c r="AU1184" s="46"/>
      <c r="AV1184" s="46"/>
      <c r="AW1184" s="46"/>
      <c r="AX1184" s="46"/>
      <c r="AY1184" s="47" t="s">
        <v>234</v>
      </c>
      <c r="AZ1184" s="47"/>
      <c r="BA1184" s="93"/>
      <c r="BB1184" s="50"/>
      <c r="BI1184" s="42"/>
    </row>
    <row r="1185" spans="1:61" s="24" customFormat="1" ht="20.45" hidden="1" customHeight="1">
      <c r="A1185" s="32"/>
      <c r="B1185" s="158"/>
      <c r="C1185" s="78" t="s">
        <v>44</v>
      </c>
      <c r="D1185" s="35">
        <f t="shared" si="204"/>
        <v>0.6</v>
      </c>
      <c r="E1185" s="45"/>
      <c r="F1185" s="35">
        <f t="shared" si="212"/>
        <v>0.6</v>
      </c>
      <c r="G1185" s="46">
        <v>0.6</v>
      </c>
      <c r="H1185" s="46"/>
      <c r="I1185" s="46"/>
      <c r="J1185" s="46"/>
      <c r="K1185" s="46"/>
      <c r="L1185" s="46"/>
      <c r="M1185" s="46"/>
      <c r="N1185" s="46"/>
      <c r="O1185" s="46"/>
      <c r="P1185" s="46"/>
      <c r="Q1185" s="46"/>
      <c r="R1185" s="46"/>
      <c r="S1185" s="46"/>
      <c r="T1185" s="46"/>
      <c r="U1185" s="46"/>
      <c r="V1185" s="46"/>
      <c r="W1185" s="46"/>
      <c r="X1185" s="46"/>
      <c r="Y1185" s="46"/>
      <c r="Z1185" s="46"/>
      <c r="AA1185" s="46"/>
      <c r="AB1185" s="46"/>
      <c r="AC1185" s="46"/>
      <c r="AD1185" s="46"/>
      <c r="AE1185" s="46"/>
      <c r="AF1185" s="46"/>
      <c r="AG1185" s="46"/>
      <c r="AH1185" s="46"/>
      <c r="AI1185" s="46"/>
      <c r="AJ1185" s="46"/>
      <c r="AK1185" s="46"/>
      <c r="AL1185" s="46"/>
      <c r="AM1185" s="46"/>
      <c r="AN1185" s="46"/>
      <c r="AO1185" s="46"/>
      <c r="AP1185" s="46"/>
      <c r="AQ1185" s="46"/>
      <c r="AR1185" s="46"/>
      <c r="AS1185" s="46"/>
      <c r="AT1185" s="46"/>
      <c r="AU1185" s="46"/>
      <c r="AV1185" s="46"/>
      <c r="AW1185" s="46"/>
      <c r="AX1185" s="46"/>
      <c r="AY1185" s="47" t="s">
        <v>234</v>
      </c>
      <c r="AZ1185" s="47"/>
      <c r="BA1185" s="93"/>
      <c r="BB1185" s="50"/>
      <c r="BI1185" s="42"/>
    </row>
    <row r="1186" spans="1:61" s="24" customFormat="1" ht="20.45" hidden="1" customHeight="1">
      <c r="A1186" s="32"/>
      <c r="B1186" s="158"/>
      <c r="C1186" s="78" t="s">
        <v>45</v>
      </c>
      <c r="D1186" s="35">
        <f t="shared" si="204"/>
        <v>0.17</v>
      </c>
      <c r="E1186" s="45"/>
      <c r="F1186" s="35">
        <f t="shared" si="212"/>
        <v>0.17</v>
      </c>
      <c r="G1186" s="46">
        <v>0.17</v>
      </c>
      <c r="H1186" s="46"/>
      <c r="I1186" s="46"/>
      <c r="J1186" s="46"/>
      <c r="K1186" s="46"/>
      <c r="L1186" s="46"/>
      <c r="M1186" s="46"/>
      <c r="N1186" s="46"/>
      <c r="O1186" s="46"/>
      <c r="P1186" s="46"/>
      <c r="Q1186" s="46"/>
      <c r="R1186" s="46"/>
      <c r="S1186" s="46"/>
      <c r="T1186" s="46"/>
      <c r="U1186" s="46"/>
      <c r="V1186" s="46"/>
      <c r="W1186" s="46"/>
      <c r="X1186" s="46"/>
      <c r="Y1186" s="46"/>
      <c r="Z1186" s="46"/>
      <c r="AA1186" s="46"/>
      <c r="AB1186" s="46"/>
      <c r="AC1186" s="46"/>
      <c r="AD1186" s="46"/>
      <c r="AE1186" s="46"/>
      <c r="AF1186" s="46"/>
      <c r="AG1186" s="46"/>
      <c r="AH1186" s="46"/>
      <c r="AI1186" s="46"/>
      <c r="AJ1186" s="46"/>
      <c r="AK1186" s="46"/>
      <c r="AL1186" s="46"/>
      <c r="AM1186" s="46"/>
      <c r="AN1186" s="46"/>
      <c r="AO1186" s="46"/>
      <c r="AP1186" s="46"/>
      <c r="AQ1186" s="46"/>
      <c r="AR1186" s="46"/>
      <c r="AS1186" s="46"/>
      <c r="AT1186" s="46"/>
      <c r="AU1186" s="46"/>
      <c r="AV1186" s="46"/>
      <c r="AW1186" s="46"/>
      <c r="AX1186" s="46"/>
      <c r="AY1186" s="47" t="s">
        <v>234</v>
      </c>
      <c r="AZ1186" s="47"/>
      <c r="BA1186" s="93"/>
      <c r="BB1186" s="50"/>
      <c r="BI1186" s="42"/>
    </row>
    <row r="1187" spans="1:61" s="24" customFormat="1" ht="20.45" hidden="1" customHeight="1">
      <c r="A1187" s="32"/>
      <c r="B1187" s="158"/>
      <c r="C1187" s="78" t="s">
        <v>138</v>
      </c>
      <c r="D1187" s="35">
        <f t="shared" si="204"/>
        <v>0.33</v>
      </c>
      <c r="E1187" s="45"/>
      <c r="F1187" s="35">
        <f t="shared" si="212"/>
        <v>0.33</v>
      </c>
      <c r="G1187" s="153">
        <f>G1183-G1184-G1185-G1186</f>
        <v>0.23</v>
      </c>
      <c r="H1187" s="153">
        <f t="shared" ref="H1187:AX1187" si="220">H1183-H1184-H1185-H1186</f>
        <v>0</v>
      </c>
      <c r="I1187" s="153">
        <f t="shared" si="220"/>
        <v>0.1</v>
      </c>
      <c r="J1187" s="153">
        <f t="shared" si="220"/>
        <v>0</v>
      </c>
      <c r="K1187" s="153">
        <f t="shared" si="220"/>
        <v>0</v>
      </c>
      <c r="L1187" s="153">
        <f t="shared" si="220"/>
        <v>0</v>
      </c>
      <c r="M1187" s="153">
        <f t="shared" si="220"/>
        <v>0</v>
      </c>
      <c r="N1187" s="153">
        <f t="shared" si="220"/>
        <v>0</v>
      </c>
      <c r="O1187" s="153">
        <f t="shared" si="220"/>
        <v>0</v>
      </c>
      <c r="P1187" s="153">
        <f t="shared" si="220"/>
        <v>0</v>
      </c>
      <c r="Q1187" s="153">
        <f t="shared" si="220"/>
        <v>0</v>
      </c>
      <c r="R1187" s="153">
        <f t="shared" si="220"/>
        <v>0</v>
      </c>
      <c r="S1187" s="153">
        <f t="shared" si="220"/>
        <v>0</v>
      </c>
      <c r="T1187" s="153">
        <f t="shared" si="220"/>
        <v>0</v>
      </c>
      <c r="U1187" s="153">
        <f t="shared" si="220"/>
        <v>0</v>
      </c>
      <c r="V1187" s="153">
        <f t="shared" si="220"/>
        <v>0</v>
      </c>
      <c r="W1187" s="153">
        <f t="shared" si="220"/>
        <v>0</v>
      </c>
      <c r="X1187" s="153">
        <f t="shared" si="220"/>
        <v>0</v>
      </c>
      <c r="Y1187" s="153">
        <f t="shared" si="220"/>
        <v>0</v>
      </c>
      <c r="Z1187" s="153">
        <f t="shared" si="220"/>
        <v>0</v>
      </c>
      <c r="AA1187" s="153">
        <f t="shared" si="220"/>
        <v>0</v>
      </c>
      <c r="AB1187" s="153">
        <f t="shared" si="220"/>
        <v>0</v>
      </c>
      <c r="AC1187" s="153">
        <f t="shared" si="220"/>
        <v>0</v>
      </c>
      <c r="AD1187" s="153">
        <f t="shared" si="220"/>
        <v>0</v>
      </c>
      <c r="AE1187" s="153">
        <f t="shared" si="220"/>
        <v>0</v>
      </c>
      <c r="AF1187" s="153">
        <f t="shared" si="220"/>
        <v>0</v>
      </c>
      <c r="AG1187" s="153">
        <f t="shared" si="220"/>
        <v>0</v>
      </c>
      <c r="AH1187" s="153">
        <f t="shared" si="220"/>
        <v>0</v>
      </c>
      <c r="AI1187" s="153">
        <f t="shared" si="220"/>
        <v>0</v>
      </c>
      <c r="AJ1187" s="153">
        <f t="shared" si="220"/>
        <v>0</v>
      </c>
      <c r="AK1187" s="153">
        <f t="shared" si="220"/>
        <v>0</v>
      </c>
      <c r="AL1187" s="153">
        <f t="shared" si="220"/>
        <v>0</v>
      </c>
      <c r="AM1187" s="153">
        <f t="shared" si="220"/>
        <v>0</v>
      </c>
      <c r="AN1187" s="153">
        <f t="shared" si="220"/>
        <v>0</v>
      </c>
      <c r="AO1187" s="153">
        <f t="shared" si="220"/>
        <v>0</v>
      </c>
      <c r="AP1187" s="153">
        <f t="shared" si="220"/>
        <v>0</v>
      </c>
      <c r="AQ1187" s="153">
        <f t="shared" si="220"/>
        <v>0</v>
      </c>
      <c r="AR1187" s="153">
        <f t="shared" si="220"/>
        <v>0</v>
      </c>
      <c r="AS1187" s="153">
        <f t="shared" si="220"/>
        <v>0</v>
      </c>
      <c r="AT1187" s="153">
        <f t="shared" si="220"/>
        <v>0</v>
      </c>
      <c r="AU1187" s="153">
        <f t="shared" si="220"/>
        <v>0</v>
      </c>
      <c r="AV1187" s="153">
        <f t="shared" si="220"/>
        <v>0</v>
      </c>
      <c r="AW1187" s="153">
        <f t="shared" si="220"/>
        <v>0</v>
      </c>
      <c r="AX1187" s="153">
        <f t="shared" si="220"/>
        <v>0</v>
      </c>
      <c r="AY1187" s="47" t="s">
        <v>234</v>
      </c>
      <c r="AZ1187" s="47"/>
      <c r="BA1187" s="93"/>
      <c r="BB1187" s="50"/>
      <c r="BI1187" s="42"/>
    </row>
    <row r="1188" spans="1:61" s="24" customFormat="1" ht="18.600000000000001" customHeight="1">
      <c r="A1188" s="32">
        <f>A1183+1</f>
        <v>759</v>
      </c>
      <c r="B1188" s="158" t="s">
        <v>186</v>
      </c>
      <c r="C1188" s="78" t="s">
        <v>59</v>
      </c>
      <c r="D1188" s="35">
        <f t="shared" si="204"/>
        <v>0.2</v>
      </c>
      <c r="E1188" s="45"/>
      <c r="F1188" s="35">
        <f t="shared" si="212"/>
        <v>0.2</v>
      </c>
      <c r="G1188" s="46">
        <v>0.2</v>
      </c>
      <c r="H1188" s="46"/>
      <c r="I1188" s="46"/>
      <c r="J1188" s="46"/>
      <c r="K1188" s="46"/>
      <c r="L1188" s="46"/>
      <c r="M1188" s="46"/>
      <c r="N1188" s="46"/>
      <c r="O1188" s="46"/>
      <c r="P1188" s="46"/>
      <c r="Q1188" s="46"/>
      <c r="R1188" s="46"/>
      <c r="S1188" s="46"/>
      <c r="T1188" s="46"/>
      <c r="U1188" s="46"/>
      <c r="V1188" s="46"/>
      <c r="W1188" s="46"/>
      <c r="X1188" s="46"/>
      <c r="Y1188" s="46"/>
      <c r="Z1188" s="46"/>
      <c r="AA1188" s="46"/>
      <c r="AB1188" s="46"/>
      <c r="AC1188" s="46"/>
      <c r="AD1188" s="46"/>
      <c r="AE1188" s="46"/>
      <c r="AF1188" s="46"/>
      <c r="AG1188" s="46"/>
      <c r="AH1188" s="46"/>
      <c r="AI1188" s="46"/>
      <c r="AJ1188" s="46"/>
      <c r="AK1188" s="46"/>
      <c r="AL1188" s="46"/>
      <c r="AM1188" s="46"/>
      <c r="AN1188" s="46"/>
      <c r="AO1188" s="46"/>
      <c r="AP1188" s="46"/>
      <c r="AQ1188" s="46"/>
      <c r="AR1188" s="46"/>
      <c r="AS1188" s="46"/>
      <c r="AT1188" s="46"/>
      <c r="AU1188" s="46"/>
      <c r="AV1188" s="46"/>
      <c r="AW1188" s="46"/>
      <c r="AX1188" s="46"/>
      <c r="AY1188" s="47" t="s">
        <v>234</v>
      </c>
      <c r="AZ1188" s="47" t="s">
        <v>1567</v>
      </c>
      <c r="BA1188" s="93" t="s">
        <v>291</v>
      </c>
      <c r="BB1188" s="50"/>
      <c r="BI1188" s="42">
        <v>1</v>
      </c>
    </row>
    <row r="1189" spans="1:61" s="24" customFormat="1">
      <c r="A1189" s="32">
        <f>A1188+1</f>
        <v>760</v>
      </c>
      <c r="B1189" s="158" t="s">
        <v>186</v>
      </c>
      <c r="C1189" s="78" t="s">
        <v>1260</v>
      </c>
      <c r="D1189" s="35">
        <f t="shared" si="204"/>
        <v>0.39999999999999997</v>
      </c>
      <c r="E1189" s="45"/>
      <c r="F1189" s="35">
        <f t="shared" si="212"/>
        <v>0.39999999999999997</v>
      </c>
      <c r="G1189" s="46">
        <v>0.35</v>
      </c>
      <c r="H1189" s="46"/>
      <c r="I1189" s="46">
        <v>0.05</v>
      </c>
      <c r="J1189" s="46"/>
      <c r="K1189" s="46"/>
      <c r="L1189" s="46"/>
      <c r="M1189" s="46"/>
      <c r="N1189" s="46"/>
      <c r="O1189" s="46"/>
      <c r="P1189" s="46"/>
      <c r="Q1189" s="46"/>
      <c r="R1189" s="46"/>
      <c r="S1189" s="46"/>
      <c r="T1189" s="46"/>
      <c r="U1189" s="46"/>
      <c r="V1189" s="46"/>
      <c r="W1189" s="46"/>
      <c r="X1189" s="46"/>
      <c r="Y1189" s="46"/>
      <c r="Z1189" s="46"/>
      <c r="AA1189" s="46"/>
      <c r="AB1189" s="46"/>
      <c r="AC1189" s="46"/>
      <c r="AD1189" s="46"/>
      <c r="AE1189" s="46"/>
      <c r="AF1189" s="46"/>
      <c r="AG1189" s="46"/>
      <c r="AH1189" s="46"/>
      <c r="AI1189" s="46"/>
      <c r="AJ1189" s="46"/>
      <c r="AK1189" s="46"/>
      <c r="AL1189" s="46"/>
      <c r="AM1189" s="46"/>
      <c r="AN1189" s="46"/>
      <c r="AO1189" s="46"/>
      <c r="AP1189" s="46"/>
      <c r="AQ1189" s="46"/>
      <c r="AR1189" s="46"/>
      <c r="AS1189" s="46"/>
      <c r="AT1189" s="46"/>
      <c r="AU1189" s="46"/>
      <c r="AV1189" s="46"/>
      <c r="AW1189" s="46"/>
      <c r="AX1189" s="46"/>
      <c r="AY1189" s="47" t="s">
        <v>234</v>
      </c>
      <c r="AZ1189" s="47" t="s">
        <v>1568</v>
      </c>
      <c r="BA1189" s="93" t="s">
        <v>291</v>
      </c>
      <c r="BB1189" s="50"/>
      <c r="BI1189" s="42">
        <v>1</v>
      </c>
    </row>
    <row r="1190" spans="1:61" s="24" customFormat="1" hidden="1">
      <c r="A1190" s="32"/>
      <c r="B1190" s="158"/>
      <c r="C1190" s="78" t="s">
        <v>59</v>
      </c>
      <c r="D1190" s="35">
        <f t="shared" si="204"/>
        <v>0.16</v>
      </c>
      <c r="E1190" s="45"/>
      <c r="F1190" s="35">
        <f t="shared" si="212"/>
        <v>0.16</v>
      </c>
      <c r="G1190" s="46">
        <v>0.16</v>
      </c>
      <c r="H1190" s="46"/>
      <c r="I1190" s="46"/>
      <c r="J1190" s="46"/>
      <c r="K1190" s="46"/>
      <c r="L1190" s="46"/>
      <c r="M1190" s="46"/>
      <c r="N1190" s="46"/>
      <c r="O1190" s="46"/>
      <c r="P1190" s="46"/>
      <c r="Q1190" s="46"/>
      <c r="R1190" s="46"/>
      <c r="S1190" s="46"/>
      <c r="T1190" s="46"/>
      <c r="U1190" s="46"/>
      <c r="V1190" s="46"/>
      <c r="W1190" s="46"/>
      <c r="X1190" s="46"/>
      <c r="Y1190" s="46"/>
      <c r="Z1190" s="46"/>
      <c r="AA1190" s="46"/>
      <c r="AB1190" s="46"/>
      <c r="AC1190" s="46"/>
      <c r="AD1190" s="46"/>
      <c r="AE1190" s="46"/>
      <c r="AF1190" s="46"/>
      <c r="AG1190" s="46"/>
      <c r="AH1190" s="46"/>
      <c r="AI1190" s="46"/>
      <c r="AJ1190" s="46"/>
      <c r="AK1190" s="46"/>
      <c r="AL1190" s="46"/>
      <c r="AM1190" s="46"/>
      <c r="AN1190" s="46"/>
      <c r="AO1190" s="46"/>
      <c r="AP1190" s="46"/>
      <c r="AQ1190" s="46"/>
      <c r="AR1190" s="46"/>
      <c r="AS1190" s="46"/>
      <c r="AT1190" s="46"/>
      <c r="AU1190" s="46"/>
      <c r="AV1190" s="46"/>
      <c r="AW1190" s="46"/>
      <c r="AX1190" s="46"/>
      <c r="AY1190" s="47" t="s">
        <v>234</v>
      </c>
      <c r="AZ1190" s="47"/>
      <c r="BA1190" s="93"/>
      <c r="BB1190" s="50"/>
      <c r="BI1190" s="42"/>
    </row>
    <row r="1191" spans="1:61" s="24" customFormat="1" hidden="1">
      <c r="A1191" s="32"/>
      <c r="B1191" s="158"/>
      <c r="C1191" s="78" t="s">
        <v>44</v>
      </c>
      <c r="D1191" s="35">
        <f t="shared" si="204"/>
        <v>0.16</v>
      </c>
      <c r="E1191" s="45"/>
      <c r="F1191" s="35">
        <f t="shared" si="212"/>
        <v>0.16</v>
      </c>
      <c r="G1191" s="46">
        <v>0.11</v>
      </c>
      <c r="H1191" s="46"/>
      <c r="I1191" s="46">
        <v>0.05</v>
      </c>
      <c r="J1191" s="46"/>
      <c r="K1191" s="46"/>
      <c r="L1191" s="46"/>
      <c r="M1191" s="46"/>
      <c r="N1191" s="46"/>
      <c r="O1191" s="46"/>
      <c r="P1191" s="46"/>
      <c r="Q1191" s="46"/>
      <c r="R1191" s="46"/>
      <c r="S1191" s="46"/>
      <c r="T1191" s="46"/>
      <c r="U1191" s="46"/>
      <c r="V1191" s="46"/>
      <c r="W1191" s="46"/>
      <c r="X1191" s="46"/>
      <c r="Y1191" s="46"/>
      <c r="Z1191" s="46"/>
      <c r="AA1191" s="46"/>
      <c r="AB1191" s="46"/>
      <c r="AC1191" s="46"/>
      <c r="AD1191" s="46"/>
      <c r="AE1191" s="46"/>
      <c r="AF1191" s="46"/>
      <c r="AG1191" s="46"/>
      <c r="AH1191" s="46"/>
      <c r="AI1191" s="46"/>
      <c r="AJ1191" s="46"/>
      <c r="AK1191" s="46"/>
      <c r="AL1191" s="46"/>
      <c r="AM1191" s="46"/>
      <c r="AN1191" s="46"/>
      <c r="AO1191" s="46"/>
      <c r="AP1191" s="46"/>
      <c r="AQ1191" s="46"/>
      <c r="AR1191" s="46"/>
      <c r="AS1191" s="46"/>
      <c r="AT1191" s="46"/>
      <c r="AU1191" s="46"/>
      <c r="AV1191" s="46"/>
      <c r="AW1191" s="46"/>
      <c r="AX1191" s="46"/>
      <c r="AY1191" s="47" t="s">
        <v>234</v>
      </c>
      <c r="AZ1191" s="47"/>
      <c r="BA1191" s="93"/>
      <c r="BB1191" s="50"/>
      <c r="BI1191" s="42"/>
    </row>
    <row r="1192" spans="1:61" s="24" customFormat="1" hidden="1">
      <c r="A1192" s="32"/>
      <c r="B1192" s="158"/>
      <c r="C1192" s="78" t="s">
        <v>138</v>
      </c>
      <c r="D1192" s="35">
        <f t="shared" si="204"/>
        <v>7.9999999999999974E-2</v>
      </c>
      <c r="E1192" s="45"/>
      <c r="F1192" s="35">
        <f t="shared" si="212"/>
        <v>7.9999999999999974E-2</v>
      </c>
      <c r="G1192" s="153">
        <f>G1189-G1190-G1191</f>
        <v>7.9999999999999974E-2</v>
      </c>
      <c r="H1192" s="153">
        <f t="shared" ref="H1192:AX1192" si="221">H1189-H1190-H1191</f>
        <v>0</v>
      </c>
      <c r="I1192" s="153">
        <f t="shared" si="221"/>
        <v>0</v>
      </c>
      <c r="J1192" s="153">
        <f t="shared" si="221"/>
        <v>0</v>
      </c>
      <c r="K1192" s="153">
        <f t="shared" si="221"/>
        <v>0</v>
      </c>
      <c r="L1192" s="153">
        <f t="shared" si="221"/>
        <v>0</v>
      </c>
      <c r="M1192" s="153">
        <f t="shared" si="221"/>
        <v>0</v>
      </c>
      <c r="N1192" s="153">
        <f t="shared" si="221"/>
        <v>0</v>
      </c>
      <c r="O1192" s="153">
        <f t="shared" si="221"/>
        <v>0</v>
      </c>
      <c r="P1192" s="153">
        <f t="shared" si="221"/>
        <v>0</v>
      </c>
      <c r="Q1192" s="153">
        <f t="shared" si="221"/>
        <v>0</v>
      </c>
      <c r="R1192" s="153">
        <f t="shared" si="221"/>
        <v>0</v>
      </c>
      <c r="S1192" s="153">
        <f t="shared" si="221"/>
        <v>0</v>
      </c>
      <c r="T1192" s="153">
        <f t="shared" si="221"/>
        <v>0</v>
      </c>
      <c r="U1192" s="153">
        <f t="shared" si="221"/>
        <v>0</v>
      </c>
      <c r="V1192" s="153">
        <f t="shared" si="221"/>
        <v>0</v>
      </c>
      <c r="W1192" s="153">
        <f t="shared" si="221"/>
        <v>0</v>
      </c>
      <c r="X1192" s="153">
        <f t="shared" si="221"/>
        <v>0</v>
      </c>
      <c r="Y1192" s="153">
        <f t="shared" si="221"/>
        <v>0</v>
      </c>
      <c r="Z1192" s="153">
        <f t="shared" si="221"/>
        <v>0</v>
      </c>
      <c r="AA1192" s="153">
        <f t="shared" si="221"/>
        <v>0</v>
      </c>
      <c r="AB1192" s="153">
        <f t="shared" si="221"/>
        <v>0</v>
      </c>
      <c r="AC1192" s="153">
        <f t="shared" si="221"/>
        <v>0</v>
      </c>
      <c r="AD1192" s="153">
        <f t="shared" si="221"/>
        <v>0</v>
      </c>
      <c r="AE1192" s="153">
        <f t="shared" si="221"/>
        <v>0</v>
      </c>
      <c r="AF1192" s="153">
        <f t="shared" si="221"/>
        <v>0</v>
      </c>
      <c r="AG1192" s="153">
        <f t="shared" si="221"/>
        <v>0</v>
      </c>
      <c r="AH1192" s="153">
        <f t="shared" si="221"/>
        <v>0</v>
      </c>
      <c r="AI1192" s="153">
        <f t="shared" si="221"/>
        <v>0</v>
      </c>
      <c r="AJ1192" s="153">
        <f t="shared" si="221"/>
        <v>0</v>
      </c>
      <c r="AK1192" s="153">
        <f t="shared" si="221"/>
        <v>0</v>
      </c>
      <c r="AL1192" s="153">
        <f t="shared" si="221"/>
        <v>0</v>
      </c>
      <c r="AM1192" s="153">
        <f t="shared" si="221"/>
        <v>0</v>
      </c>
      <c r="AN1192" s="153">
        <f t="shared" si="221"/>
        <v>0</v>
      </c>
      <c r="AO1192" s="153">
        <f t="shared" si="221"/>
        <v>0</v>
      </c>
      <c r="AP1192" s="153">
        <f t="shared" si="221"/>
        <v>0</v>
      </c>
      <c r="AQ1192" s="153">
        <f t="shared" si="221"/>
        <v>0</v>
      </c>
      <c r="AR1192" s="153">
        <f t="shared" si="221"/>
        <v>0</v>
      </c>
      <c r="AS1192" s="153">
        <f t="shared" si="221"/>
        <v>0</v>
      </c>
      <c r="AT1192" s="153">
        <f t="shared" si="221"/>
        <v>0</v>
      </c>
      <c r="AU1192" s="153">
        <f t="shared" si="221"/>
        <v>0</v>
      </c>
      <c r="AV1192" s="153">
        <f t="shared" si="221"/>
        <v>0</v>
      </c>
      <c r="AW1192" s="153">
        <f t="shared" si="221"/>
        <v>0</v>
      </c>
      <c r="AX1192" s="153">
        <f t="shared" si="221"/>
        <v>0</v>
      </c>
      <c r="AY1192" s="47" t="s">
        <v>234</v>
      </c>
      <c r="AZ1192" s="47"/>
      <c r="BA1192" s="93"/>
      <c r="BB1192" s="50"/>
      <c r="BI1192" s="42"/>
    </row>
    <row r="1193" spans="1:61" s="24" customFormat="1" ht="19.350000000000001" customHeight="1">
      <c r="A1193" s="32">
        <f>A1189+1</f>
        <v>761</v>
      </c>
      <c r="B1193" s="158" t="s">
        <v>186</v>
      </c>
      <c r="C1193" s="78" t="s">
        <v>1260</v>
      </c>
      <c r="D1193" s="35">
        <f t="shared" ref="D1193:D1258" si="222">F1193+E1193</f>
        <v>0.6</v>
      </c>
      <c r="E1193" s="45"/>
      <c r="F1193" s="35">
        <f t="shared" si="212"/>
        <v>0.6</v>
      </c>
      <c r="G1193" s="46">
        <v>0.5</v>
      </c>
      <c r="H1193" s="46"/>
      <c r="I1193" s="46">
        <v>0.1</v>
      </c>
      <c r="J1193" s="46"/>
      <c r="K1193" s="46"/>
      <c r="L1193" s="46"/>
      <c r="M1193" s="46"/>
      <c r="N1193" s="46"/>
      <c r="O1193" s="46"/>
      <c r="P1193" s="46"/>
      <c r="Q1193" s="46"/>
      <c r="R1193" s="46"/>
      <c r="S1193" s="46"/>
      <c r="T1193" s="46"/>
      <c r="U1193" s="46"/>
      <c r="V1193" s="46"/>
      <c r="W1193" s="46"/>
      <c r="X1193" s="46"/>
      <c r="Y1193" s="46"/>
      <c r="Z1193" s="46"/>
      <c r="AA1193" s="46"/>
      <c r="AB1193" s="46"/>
      <c r="AC1193" s="46"/>
      <c r="AD1193" s="46"/>
      <c r="AE1193" s="46"/>
      <c r="AF1193" s="46"/>
      <c r="AG1193" s="46"/>
      <c r="AH1193" s="46"/>
      <c r="AI1193" s="46"/>
      <c r="AJ1193" s="46"/>
      <c r="AK1193" s="46"/>
      <c r="AL1193" s="46"/>
      <c r="AM1193" s="46"/>
      <c r="AN1193" s="46"/>
      <c r="AO1193" s="46"/>
      <c r="AP1193" s="46"/>
      <c r="AQ1193" s="46"/>
      <c r="AR1193" s="46"/>
      <c r="AS1193" s="46"/>
      <c r="AT1193" s="46"/>
      <c r="AU1193" s="46"/>
      <c r="AV1193" s="46"/>
      <c r="AW1193" s="46"/>
      <c r="AX1193" s="46"/>
      <c r="AY1193" s="47" t="s">
        <v>234</v>
      </c>
      <c r="AZ1193" s="47" t="s">
        <v>1569</v>
      </c>
      <c r="BA1193" s="93" t="s">
        <v>291</v>
      </c>
      <c r="BB1193" s="50"/>
      <c r="BI1193" s="42">
        <v>1</v>
      </c>
    </row>
    <row r="1194" spans="1:61" s="24" customFormat="1" ht="19.350000000000001" hidden="1" customHeight="1">
      <c r="A1194" s="32"/>
      <c r="B1194" s="158"/>
      <c r="C1194" s="78" t="s">
        <v>59</v>
      </c>
      <c r="D1194" s="35">
        <f t="shared" si="222"/>
        <v>0.2</v>
      </c>
      <c r="E1194" s="45"/>
      <c r="F1194" s="35">
        <f t="shared" si="212"/>
        <v>0.2</v>
      </c>
      <c r="G1194" s="46">
        <v>0.2</v>
      </c>
      <c r="H1194" s="46"/>
      <c r="I1194" s="46"/>
      <c r="J1194" s="46"/>
      <c r="K1194" s="46"/>
      <c r="L1194" s="46"/>
      <c r="M1194" s="46"/>
      <c r="N1194" s="46"/>
      <c r="O1194" s="46"/>
      <c r="P1194" s="46"/>
      <c r="Q1194" s="46"/>
      <c r="R1194" s="46"/>
      <c r="S1194" s="46"/>
      <c r="T1194" s="46"/>
      <c r="U1194" s="46"/>
      <c r="V1194" s="46"/>
      <c r="W1194" s="46"/>
      <c r="X1194" s="46"/>
      <c r="Y1194" s="46"/>
      <c r="Z1194" s="46"/>
      <c r="AA1194" s="46"/>
      <c r="AB1194" s="46"/>
      <c r="AC1194" s="46"/>
      <c r="AD1194" s="46"/>
      <c r="AE1194" s="46"/>
      <c r="AF1194" s="46"/>
      <c r="AG1194" s="46"/>
      <c r="AH1194" s="46"/>
      <c r="AI1194" s="46"/>
      <c r="AJ1194" s="46"/>
      <c r="AK1194" s="46"/>
      <c r="AL1194" s="46"/>
      <c r="AM1194" s="46"/>
      <c r="AN1194" s="46"/>
      <c r="AO1194" s="46"/>
      <c r="AP1194" s="46"/>
      <c r="AQ1194" s="46"/>
      <c r="AR1194" s="46"/>
      <c r="AS1194" s="46"/>
      <c r="AT1194" s="46"/>
      <c r="AU1194" s="46"/>
      <c r="AV1194" s="46"/>
      <c r="AW1194" s="46"/>
      <c r="AX1194" s="46"/>
      <c r="AY1194" s="47" t="s">
        <v>234</v>
      </c>
      <c r="AZ1194" s="47"/>
      <c r="BA1194" s="93"/>
      <c r="BB1194" s="50"/>
      <c r="BI1194" s="42"/>
    </row>
    <row r="1195" spans="1:61" s="24" customFormat="1" ht="19.350000000000001" hidden="1" customHeight="1">
      <c r="A1195" s="32"/>
      <c r="B1195" s="158"/>
      <c r="C1195" s="78" t="s">
        <v>44</v>
      </c>
      <c r="D1195" s="35">
        <f t="shared" si="222"/>
        <v>0.2</v>
      </c>
      <c r="E1195" s="45"/>
      <c r="F1195" s="35">
        <f t="shared" si="212"/>
        <v>0.2</v>
      </c>
      <c r="G1195" s="46">
        <v>0.2</v>
      </c>
      <c r="H1195" s="46"/>
      <c r="I1195" s="46"/>
      <c r="J1195" s="46"/>
      <c r="K1195" s="46"/>
      <c r="L1195" s="46"/>
      <c r="M1195" s="46"/>
      <c r="N1195" s="46"/>
      <c r="O1195" s="46"/>
      <c r="P1195" s="46"/>
      <c r="Q1195" s="46"/>
      <c r="R1195" s="46"/>
      <c r="S1195" s="46"/>
      <c r="T1195" s="46"/>
      <c r="U1195" s="46"/>
      <c r="V1195" s="46"/>
      <c r="W1195" s="46"/>
      <c r="X1195" s="46"/>
      <c r="Y1195" s="46"/>
      <c r="Z1195" s="46"/>
      <c r="AA1195" s="46"/>
      <c r="AB1195" s="46"/>
      <c r="AC1195" s="46"/>
      <c r="AD1195" s="46"/>
      <c r="AE1195" s="46"/>
      <c r="AF1195" s="46"/>
      <c r="AG1195" s="46"/>
      <c r="AH1195" s="46"/>
      <c r="AI1195" s="46"/>
      <c r="AJ1195" s="46"/>
      <c r="AK1195" s="46"/>
      <c r="AL1195" s="46"/>
      <c r="AM1195" s="46"/>
      <c r="AN1195" s="46"/>
      <c r="AO1195" s="46"/>
      <c r="AP1195" s="46"/>
      <c r="AQ1195" s="46"/>
      <c r="AR1195" s="46"/>
      <c r="AS1195" s="46"/>
      <c r="AT1195" s="46"/>
      <c r="AU1195" s="46"/>
      <c r="AV1195" s="46"/>
      <c r="AW1195" s="46"/>
      <c r="AX1195" s="46"/>
      <c r="AY1195" s="47" t="s">
        <v>234</v>
      </c>
      <c r="AZ1195" s="47"/>
      <c r="BA1195" s="93"/>
      <c r="BB1195" s="50"/>
      <c r="BI1195" s="42"/>
    </row>
    <row r="1196" spans="1:61" s="24" customFormat="1" ht="19.350000000000001" hidden="1" customHeight="1">
      <c r="A1196" s="32"/>
      <c r="B1196" s="158"/>
      <c r="C1196" s="78" t="s">
        <v>138</v>
      </c>
      <c r="D1196" s="35">
        <f t="shared" si="222"/>
        <v>0.19999999999999998</v>
      </c>
      <c r="E1196" s="45"/>
      <c r="F1196" s="35">
        <f t="shared" si="212"/>
        <v>0.19999999999999998</v>
      </c>
      <c r="G1196" s="153">
        <f>G1193-G1194-G1195</f>
        <v>9.9999999999999978E-2</v>
      </c>
      <c r="H1196" s="153">
        <f t="shared" ref="H1196:AX1196" si="223">H1193-H1194-H1195</f>
        <v>0</v>
      </c>
      <c r="I1196" s="153">
        <f t="shared" si="223"/>
        <v>0.1</v>
      </c>
      <c r="J1196" s="153">
        <f t="shared" si="223"/>
        <v>0</v>
      </c>
      <c r="K1196" s="153">
        <f t="shared" si="223"/>
        <v>0</v>
      </c>
      <c r="L1196" s="153">
        <f t="shared" si="223"/>
        <v>0</v>
      </c>
      <c r="M1196" s="153">
        <f t="shared" si="223"/>
        <v>0</v>
      </c>
      <c r="N1196" s="153">
        <f t="shared" si="223"/>
        <v>0</v>
      </c>
      <c r="O1196" s="153">
        <f t="shared" si="223"/>
        <v>0</v>
      </c>
      <c r="P1196" s="153">
        <f t="shared" si="223"/>
        <v>0</v>
      </c>
      <c r="Q1196" s="153">
        <f t="shared" si="223"/>
        <v>0</v>
      </c>
      <c r="R1196" s="153">
        <f t="shared" si="223"/>
        <v>0</v>
      </c>
      <c r="S1196" s="153">
        <f t="shared" si="223"/>
        <v>0</v>
      </c>
      <c r="T1196" s="153">
        <f t="shared" si="223"/>
        <v>0</v>
      </c>
      <c r="U1196" s="153">
        <f t="shared" si="223"/>
        <v>0</v>
      </c>
      <c r="V1196" s="153">
        <f t="shared" si="223"/>
        <v>0</v>
      </c>
      <c r="W1196" s="153">
        <f t="shared" si="223"/>
        <v>0</v>
      </c>
      <c r="X1196" s="153">
        <f t="shared" si="223"/>
        <v>0</v>
      </c>
      <c r="Y1196" s="153">
        <f t="shared" si="223"/>
        <v>0</v>
      </c>
      <c r="Z1196" s="153">
        <f t="shared" si="223"/>
        <v>0</v>
      </c>
      <c r="AA1196" s="153">
        <f t="shared" si="223"/>
        <v>0</v>
      </c>
      <c r="AB1196" s="153">
        <f t="shared" si="223"/>
        <v>0</v>
      </c>
      <c r="AC1196" s="153">
        <f t="shared" si="223"/>
        <v>0</v>
      </c>
      <c r="AD1196" s="153">
        <f t="shared" si="223"/>
        <v>0</v>
      </c>
      <c r="AE1196" s="153">
        <f t="shared" si="223"/>
        <v>0</v>
      </c>
      <c r="AF1196" s="153">
        <f t="shared" si="223"/>
        <v>0</v>
      </c>
      <c r="AG1196" s="153">
        <f t="shared" si="223"/>
        <v>0</v>
      </c>
      <c r="AH1196" s="153">
        <f t="shared" si="223"/>
        <v>0</v>
      </c>
      <c r="AI1196" s="153">
        <f t="shared" si="223"/>
        <v>0</v>
      </c>
      <c r="AJ1196" s="153">
        <f t="shared" si="223"/>
        <v>0</v>
      </c>
      <c r="AK1196" s="153">
        <f t="shared" si="223"/>
        <v>0</v>
      </c>
      <c r="AL1196" s="153">
        <f t="shared" si="223"/>
        <v>0</v>
      </c>
      <c r="AM1196" s="153">
        <f t="shared" si="223"/>
        <v>0</v>
      </c>
      <c r="AN1196" s="153">
        <f t="shared" si="223"/>
        <v>0</v>
      </c>
      <c r="AO1196" s="153">
        <f t="shared" si="223"/>
        <v>0</v>
      </c>
      <c r="AP1196" s="153">
        <f t="shared" si="223"/>
        <v>0</v>
      </c>
      <c r="AQ1196" s="153">
        <f t="shared" si="223"/>
        <v>0</v>
      </c>
      <c r="AR1196" s="153">
        <f t="shared" si="223"/>
        <v>0</v>
      </c>
      <c r="AS1196" s="153">
        <f t="shared" si="223"/>
        <v>0</v>
      </c>
      <c r="AT1196" s="153">
        <f t="shared" si="223"/>
        <v>0</v>
      </c>
      <c r="AU1196" s="153">
        <f t="shared" si="223"/>
        <v>0</v>
      </c>
      <c r="AV1196" s="153">
        <f t="shared" si="223"/>
        <v>0</v>
      </c>
      <c r="AW1196" s="153">
        <f t="shared" si="223"/>
        <v>0</v>
      </c>
      <c r="AX1196" s="153">
        <f t="shared" si="223"/>
        <v>0</v>
      </c>
      <c r="AY1196" s="47" t="s">
        <v>234</v>
      </c>
      <c r="AZ1196" s="47"/>
      <c r="BA1196" s="93"/>
      <c r="BB1196" s="50"/>
      <c r="BI1196" s="42"/>
    </row>
    <row r="1197" spans="1:61" s="24" customFormat="1" ht="33.6" customHeight="1">
      <c r="A1197" s="32">
        <f>A1193+1</f>
        <v>762</v>
      </c>
      <c r="B1197" s="158" t="s">
        <v>186</v>
      </c>
      <c r="C1197" s="78" t="s">
        <v>59</v>
      </c>
      <c r="D1197" s="35">
        <f t="shared" si="222"/>
        <v>0.18</v>
      </c>
      <c r="E1197" s="45"/>
      <c r="F1197" s="35">
        <f t="shared" si="212"/>
        <v>0.18</v>
      </c>
      <c r="G1197" s="46"/>
      <c r="H1197" s="46"/>
      <c r="I1197" s="46"/>
      <c r="J1197" s="46"/>
      <c r="K1197" s="46"/>
      <c r="L1197" s="46"/>
      <c r="M1197" s="46"/>
      <c r="N1197" s="46"/>
      <c r="O1197" s="46"/>
      <c r="P1197" s="46">
        <v>0.18</v>
      </c>
      <c r="Q1197" s="46"/>
      <c r="R1197" s="46"/>
      <c r="S1197" s="46"/>
      <c r="T1197" s="46"/>
      <c r="U1197" s="46"/>
      <c r="V1197" s="46"/>
      <c r="W1197" s="46"/>
      <c r="X1197" s="46"/>
      <c r="Y1197" s="46"/>
      <c r="Z1197" s="46"/>
      <c r="AA1197" s="46"/>
      <c r="AB1197" s="46"/>
      <c r="AC1197" s="46"/>
      <c r="AD1197" s="46"/>
      <c r="AE1197" s="46"/>
      <c r="AF1197" s="46"/>
      <c r="AG1197" s="46"/>
      <c r="AH1197" s="46"/>
      <c r="AI1197" s="46"/>
      <c r="AJ1197" s="46"/>
      <c r="AK1197" s="46"/>
      <c r="AL1197" s="46"/>
      <c r="AM1197" s="46"/>
      <c r="AN1197" s="46"/>
      <c r="AO1197" s="46"/>
      <c r="AP1197" s="46"/>
      <c r="AQ1197" s="46"/>
      <c r="AR1197" s="46"/>
      <c r="AS1197" s="46"/>
      <c r="AT1197" s="46"/>
      <c r="AU1197" s="46"/>
      <c r="AV1197" s="46"/>
      <c r="AW1197" s="46"/>
      <c r="AX1197" s="46"/>
      <c r="AY1197" s="47" t="s">
        <v>234</v>
      </c>
      <c r="AZ1197" s="47" t="s">
        <v>1570</v>
      </c>
      <c r="BA1197" s="47" t="s">
        <v>298</v>
      </c>
      <c r="BB1197" s="48"/>
      <c r="BI1197" s="42">
        <v>1</v>
      </c>
    </row>
    <row r="1198" spans="1:61" s="24" customFormat="1" ht="33.6" customHeight="1">
      <c r="A1198" s="32">
        <f>A1197+1</f>
        <v>763</v>
      </c>
      <c r="B1198" s="158" t="s">
        <v>186</v>
      </c>
      <c r="C1198" s="78" t="s">
        <v>1260</v>
      </c>
      <c r="D1198" s="35">
        <f t="shared" si="222"/>
        <v>0.4</v>
      </c>
      <c r="E1198" s="45"/>
      <c r="F1198" s="35">
        <f t="shared" si="212"/>
        <v>0.4</v>
      </c>
      <c r="G1198" s="46">
        <v>0.2</v>
      </c>
      <c r="H1198" s="46"/>
      <c r="I1198" s="46"/>
      <c r="J1198" s="46">
        <v>0.2</v>
      </c>
      <c r="K1198" s="46"/>
      <c r="L1198" s="46"/>
      <c r="M1198" s="46"/>
      <c r="N1198" s="46"/>
      <c r="O1198" s="46"/>
      <c r="P1198" s="46"/>
      <c r="Q1198" s="46"/>
      <c r="R1198" s="46"/>
      <c r="S1198" s="46"/>
      <c r="T1198" s="46"/>
      <c r="U1198" s="46"/>
      <c r="V1198" s="46"/>
      <c r="W1198" s="46"/>
      <c r="X1198" s="46"/>
      <c r="Y1198" s="46"/>
      <c r="Z1198" s="46"/>
      <c r="AA1198" s="46"/>
      <c r="AB1198" s="46"/>
      <c r="AC1198" s="46"/>
      <c r="AD1198" s="46"/>
      <c r="AE1198" s="46"/>
      <c r="AF1198" s="46"/>
      <c r="AG1198" s="46"/>
      <c r="AH1198" s="46"/>
      <c r="AI1198" s="46"/>
      <c r="AJ1198" s="46"/>
      <c r="AK1198" s="46"/>
      <c r="AL1198" s="46"/>
      <c r="AM1198" s="46"/>
      <c r="AN1198" s="46"/>
      <c r="AO1198" s="46"/>
      <c r="AP1198" s="46"/>
      <c r="AQ1198" s="46"/>
      <c r="AR1198" s="46"/>
      <c r="AS1198" s="46"/>
      <c r="AT1198" s="46"/>
      <c r="AU1198" s="46"/>
      <c r="AV1198" s="46"/>
      <c r="AW1198" s="46"/>
      <c r="AX1198" s="46"/>
      <c r="AY1198" s="47" t="s">
        <v>234</v>
      </c>
      <c r="AZ1198" s="47" t="s">
        <v>1571</v>
      </c>
      <c r="BA1198" s="47" t="s">
        <v>298</v>
      </c>
      <c r="BB1198" s="48"/>
      <c r="BI1198" s="42">
        <v>1</v>
      </c>
    </row>
    <row r="1199" spans="1:61" s="24" customFormat="1" ht="18.600000000000001" hidden="1" customHeight="1">
      <c r="A1199" s="32"/>
      <c r="B1199" s="158"/>
      <c r="C1199" s="78" t="s">
        <v>59</v>
      </c>
      <c r="D1199" s="35">
        <f t="shared" si="222"/>
        <v>0.16</v>
      </c>
      <c r="E1199" s="45"/>
      <c r="F1199" s="35">
        <f t="shared" si="212"/>
        <v>0.16</v>
      </c>
      <c r="G1199" s="46">
        <v>0.16</v>
      </c>
      <c r="H1199" s="46"/>
      <c r="I1199" s="46"/>
      <c r="J1199" s="46"/>
      <c r="K1199" s="46"/>
      <c r="L1199" s="46"/>
      <c r="M1199" s="46"/>
      <c r="N1199" s="46"/>
      <c r="O1199" s="46"/>
      <c r="P1199" s="46"/>
      <c r="Q1199" s="46"/>
      <c r="R1199" s="46"/>
      <c r="S1199" s="46"/>
      <c r="T1199" s="46"/>
      <c r="U1199" s="46"/>
      <c r="V1199" s="46"/>
      <c r="W1199" s="46"/>
      <c r="X1199" s="46"/>
      <c r="Y1199" s="46"/>
      <c r="Z1199" s="46"/>
      <c r="AA1199" s="46"/>
      <c r="AB1199" s="46"/>
      <c r="AC1199" s="46"/>
      <c r="AD1199" s="46"/>
      <c r="AE1199" s="46"/>
      <c r="AF1199" s="46"/>
      <c r="AG1199" s="46"/>
      <c r="AH1199" s="46"/>
      <c r="AI1199" s="46"/>
      <c r="AJ1199" s="46"/>
      <c r="AK1199" s="46"/>
      <c r="AL1199" s="46"/>
      <c r="AM1199" s="46"/>
      <c r="AN1199" s="46"/>
      <c r="AO1199" s="46"/>
      <c r="AP1199" s="46"/>
      <c r="AQ1199" s="46"/>
      <c r="AR1199" s="46"/>
      <c r="AS1199" s="46"/>
      <c r="AT1199" s="46"/>
      <c r="AU1199" s="46"/>
      <c r="AV1199" s="46"/>
      <c r="AW1199" s="46"/>
      <c r="AX1199" s="46"/>
      <c r="AY1199" s="47" t="s">
        <v>234</v>
      </c>
      <c r="AZ1199" s="47"/>
      <c r="BA1199" s="47"/>
      <c r="BB1199" s="48"/>
      <c r="BI1199" s="42"/>
    </row>
    <row r="1200" spans="1:61" s="24" customFormat="1" ht="18.600000000000001" hidden="1" customHeight="1">
      <c r="A1200" s="32"/>
      <c r="B1200" s="158"/>
      <c r="C1200" s="78" t="s">
        <v>44</v>
      </c>
      <c r="D1200" s="35">
        <f t="shared" si="222"/>
        <v>0.16</v>
      </c>
      <c r="E1200" s="45"/>
      <c r="F1200" s="35">
        <f t="shared" si="212"/>
        <v>0.16</v>
      </c>
      <c r="G1200" s="46"/>
      <c r="H1200" s="46"/>
      <c r="I1200" s="46"/>
      <c r="J1200" s="46">
        <v>0.16</v>
      </c>
      <c r="K1200" s="46"/>
      <c r="L1200" s="46"/>
      <c r="M1200" s="46"/>
      <c r="N1200" s="46"/>
      <c r="O1200" s="46"/>
      <c r="P1200" s="46"/>
      <c r="Q1200" s="46"/>
      <c r="R1200" s="46"/>
      <c r="S1200" s="46"/>
      <c r="T1200" s="46"/>
      <c r="U1200" s="46"/>
      <c r="V1200" s="46"/>
      <c r="W1200" s="46"/>
      <c r="X1200" s="46"/>
      <c r="Y1200" s="46"/>
      <c r="Z1200" s="46"/>
      <c r="AA1200" s="46"/>
      <c r="AB1200" s="46"/>
      <c r="AC1200" s="46"/>
      <c r="AD1200" s="46"/>
      <c r="AE1200" s="46"/>
      <c r="AF1200" s="46"/>
      <c r="AG1200" s="46"/>
      <c r="AH1200" s="46"/>
      <c r="AI1200" s="46"/>
      <c r="AJ1200" s="46"/>
      <c r="AK1200" s="46"/>
      <c r="AL1200" s="46"/>
      <c r="AM1200" s="46"/>
      <c r="AN1200" s="46"/>
      <c r="AO1200" s="46"/>
      <c r="AP1200" s="46"/>
      <c r="AQ1200" s="46"/>
      <c r="AR1200" s="46"/>
      <c r="AS1200" s="46"/>
      <c r="AT1200" s="46"/>
      <c r="AU1200" s="46"/>
      <c r="AV1200" s="46"/>
      <c r="AW1200" s="46"/>
      <c r="AX1200" s="46"/>
      <c r="AY1200" s="47" t="s">
        <v>234</v>
      </c>
      <c r="AZ1200" s="47"/>
      <c r="BA1200" s="47"/>
      <c r="BB1200" s="48"/>
      <c r="BI1200" s="42"/>
    </row>
    <row r="1201" spans="1:61" s="24" customFormat="1" ht="18.600000000000001" hidden="1" customHeight="1">
      <c r="A1201" s="32"/>
      <c r="B1201" s="158"/>
      <c r="C1201" s="78" t="s">
        <v>138</v>
      </c>
      <c r="D1201" s="35">
        <f t="shared" si="222"/>
        <v>8.0000000000000016E-2</v>
      </c>
      <c r="E1201" s="45"/>
      <c r="F1201" s="35">
        <f t="shared" si="212"/>
        <v>8.0000000000000016E-2</v>
      </c>
      <c r="G1201" s="153">
        <f t="shared" ref="G1201:AW1201" si="224">G1198-G1199-G1200</f>
        <v>4.0000000000000008E-2</v>
      </c>
      <c r="H1201" s="153">
        <f t="shared" si="224"/>
        <v>0</v>
      </c>
      <c r="I1201" s="153">
        <f t="shared" si="224"/>
        <v>0</v>
      </c>
      <c r="J1201" s="153">
        <f t="shared" si="224"/>
        <v>4.0000000000000008E-2</v>
      </c>
      <c r="K1201" s="153">
        <f t="shared" si="224"/>
        <v>0</v>
      </c>
      <c r="L1201" s="153">
        <f t="shared" si="224"/>
        <v>0</v>
      </c>
      <c r="M1201" s="153">
        <f t="shared" si="224"/>
        <v>0</v>
      </c>
      <c r="N1201" s="153">
        <f t="shared" si="224"/>
        <v>0</v>
      </c>
      <c r="O1201" s="153">
        <f t="shared" si="224"/>
        <v>0</v>
      </c>
      <c r="P1201" s="153">
        <f t="shared" si="224"/>
        <v>0</v>
      </c>
      <c r="Q1201" s="153">
        <f t="shared" si="224"/>
        <v>0</v>
      </c>
      <c r="R1201" s="153">
        <f t="shared" si="224"/>
        <v>0</v>
      </c>
      <c r="S1201" s="153">
        <f t="shared" si="224"/>
        <v>0</v>
      </c>
      <c r="T1201" s="153">
        <f t="shared" si="224"/>
        <v>0</v>
      </c>
      <c r="U1201" s="153">
        <f t="shared" si="224"/>
        <v>0</v>
      </c>
      <c r="V1201" s="153">
        <f t="shared" si="224"/>
        <v>0</v>
      </c>
      <c r="W1201" s="153">
        <f t="shared" si="224"/>
        <v>0</v>
      </c>
      <c r="X1201" s="153">
        <f t="shared" si="224"/>
        <v>0</v>
      </c>
      <c r="Y1201" s="153">
        <f t="shared" si="224"/>
        <v>0</v>
      </c>
      <c r="Z1201" s="153">
        <f t="shared" si="224"/>
        <v>0</v>
      </c>
      <c r="AA1201" s="153">
        <f t="shared" si="224"/>
        <v>0</v>
      </c>
      <c r="AB1201" s="153">
        <f t="shared" si="224"/>
        <v>0</v>
      </c>
      <c r="AC1201" s="153">
        <f t="shared" si="224"/>
        <v>0</v>
      </c>
      <c r="AD1201" s="153">
        <f t="shared" si="224"/>
        <v>0</v>
      </c>
      <c r="AE1201" s="153">
        <f t="shared" si="224"/>
        <v>0</v>
      </c>
      <c r="AF1201" s="153">
        <f t="shared" si="224"/>
        <v>0</v>
      </c>
      <c r="AG1201" s="153">
        <f t="shared" si="224"/>
        <v>0</v>
      </c>
      <c r="AH1201" s="153">
        <f t="shared" si="224"/>
        <v>0</v>
      </c>
      <c r="AI1201" s="153">
        <f t="shared" si="224"/>
        <v>0</v>
      </c>
      <c r="AJ1201" s="153">
        <f t="shared" si="224"/>
        <v>0</v>
      </c>
      <c r="AK1201" s="153">
        <f t="shared" si="224"/>
        <v>0</v>
      </c>
      <c r="AL1201" s="153">
        <f t="shared" si="224"/>
        <v>0</v>
      </c>
      <c r="AM1201" s="153">
        <f t="shared" si="224"/>
        <v>0</v>
      </c>
      <c r="AN1201" s="153">
        <f t="shared" si="224"/>
        <v>0</v>
      </c>
      <c r="AO1201" s="153">
        <f t="shared" si="224"/>
        <v>0</v>
      </c>
      <c r="AP1201" s="153">
        <f t="shared" si="224"/>
        <v>0</v>
      </c>
      <c r="AQ1201" s="153">
        <f t="shared" si="224"/>
        <v>0</v>
      </c>
      <c r="AR1201" s="153">
        <f t="shared" si="224"/>
        <v>0</v>
      </c>
      <c r="AS1201" s="153">
        <f t="shared" si="224"/>
        <v>0</v>
      </c>
      <c r="AT1201" s="153">
        <f t="shared" si="224"/>
        <v>0</v>
      </c>
      <c r="AU1201" s="153">
        <f t="shared" si="224"/>
        <v>0</v>
      </c>
      <c r="AV1201" s="153">
        <f t="shared" si="224"/>
        <v>0</v>
      </c>
      <c r="AW1201" s="153">
        <f t="shared" si="224"/>
        <v>0</v>
      </c>
      <c r="AX1201" s="153">
        <f>AX1198-AX1199-AX1200</f>
        <v>0</v>
      </c>
      <c r="AY1201" s="47" t="s">
        <v>234</v>
      </c>
      <c r="AZ1201" s="47"/>
      <c r="BA1201" s="47"/>
      <c r="BB1201" s="48"/>
      <c r="BI1201" s="42"/>
    </row>
    <row r="1202" spans="1:61" s="24" customFormat="1" ht="19.350000000000001" customHeight="1">
      <c r="A1202" s="32">
        <f>A1198+1</f>
        <v>764</v>
      </c>
      <c r="B1202" s="60" t="s">
        <v>1299</v>
      </c>
      <c r="C1202" s="78" t="s">
        <v>59</v>
      </c>
      <c r="D1202" s="35">
        <f t="shared" si="222"/>
        <v>1.23</v>
      </c>
      <c r="E1202" s="45"/>
      <c r="F1202" s="35">
        <f t="shared" si="212"/>
        <v>1.23</v>
      </c>
      <c r="G1202" s="46"/>
      <c r="H1202" s="46"/>
      <c r="I1202" s="46"/>
      <c r="J1202" s="46">
        <v>1.23</v>
      </c>
      <c r="K1202" s="46"/>
      <c r="L1202" s="46"/>
      <c r="M1202" s="46"/>
      <c r="N1202" s="46"/>
      <c r="O1202" s="46"/>
      <c r="P1202" s="46"/>
      <c r="Q1202" s="46"/>
      <c r="R1202" s="46"/>
      <c r="S1202" s="46"/>
      <c r="T1202" s="46"/>
      <c r="U1202" s="46"/>
      <c r="V1202" s="46"/>
      <c r="W1202" s="46"/>
      <c r="X1202" s="46"/>
      <c r="Y1202" s="46"/>
      <c r="Z1202" s="46"/>
      <c r="AA1202" s="46"/>
      <c r="AB1202" s="46"/>
      <c r="AC1202" s="46"/>
      <c r="AD1202" s="46"/>
      <c r="AE1202" s="46"/>
      <c r="AF1202" s="46"/>
      <c r="AG1202" s="46"/>
      <c r="AH1202" s="46"/>
      <c r="AI1202" s="46"/>
      <c r="AJ1202" s="46"/>
      <c r="AK1202" s="46"/>
      <c r="AL1202" s="46"/>
      <c r="AM1202" s="46"/>
      <c r="AN1202" s="46"/>
      <c r="AO1202" s="46"/>
      <c r="AP1202" s="46"/>
      <c r="AQ1202" s="46"/>
      <c r="AR1202" s="46"/>
      <c r="AS1202" s="46"/>
      <c r="AT1202" s="46"/>
      <c r="AU1202" s="46"/>
      <c r="AV1202" s="46"/>
      <c r="AW1202" s="46"/>
      <c r="AX1202" s="46"/>
      <c r="AY1202" s="47" t="s">
        <v>234</v>
      </c>
      <c r="AZ1202" s="47" t="s">
        <v>615</v>
      </c>
      <c r="BA1202" s="39" t="s">
        <v>291</v>
      </c>
      <c r="BB1202" s="40"/>
      <c r="BI1202" s="42">
        <v>1</v>
      </c>
    </row>
    <row r="1203" spans="1:61" s="24" customFormat="1" ht="19.350000000000001" customHeight="1">
      <c r="A1203" s="32" t="s">
        <v>1572</v>
      </c>
      <c r="B1203" s="158" t="s">
        <v>186</v>
      </c>
      <c r="C1203" s="78" t="s">
        <v>1260</v>
      </c>
      <c r="D1203" s="35">
        <f>E1203+F1203</f>
        <v>39.660000000000018</v>
      </c>
      <c r="E1203" s="89">
        <f>E1204+E1209+E1214+E1219+E1224+E1228+E1233+E1237+E1248+E1252+E1256+E1260+E1265+E1266+E1270+E1274+E1278+E1282+E1286+E1290+E1291+E1292+E1293+E1294+E1295+E1297+E1301</f>
        <v>0</v>
      </c>
      <c r="F1203" s="141">
        <f>F1204+F1209+F1214+F1219+F1224+F1228+F1233+F1237+F1248+F1252+F1256+F1260+F1265+F1266+F1270+F1274+F1278+F1282+F1286+F1290+F1291+F1292+F1293+F1294+F1295+F1297+F1301</f>
        <v>39.660000000000018</v>
      </c>
      <c r="G1203" s="141">
        <f t="shared" ref="G1203:AX1203" si="225">G1204+G1209+G1214+G1219+G1224+G1228+G1233+G1237+G1248+G1252+G1256+G1260+G1265+G1266+G1270+G1274+G1278+G1282+G1286+G1290+G1291+G1292+G1293+G1294+G1295+G1297+G1301</f>
        <v>13.730000000000002</v>
      </c>
      <c r="H1203" s="141">
        <f t="shared" si="225"/>
        <v>4.6400000000000006</v>
      </c>
      <c r="I1203" s="141">
        <f t="shared" si="225"/>
        <v>1.37</v>
      </c>
      <c r="J1203" s="141">
        <f t="shared" si="225"/>
        <v>8.1199999999999992</v>
      </c>
      <c r="K1203" s="141">
        <f t="shared" si="225"/>
        <v>0</v>
      </c>
      <c r="L1203" s="141">
        <f t="shared" si="225"/>
        <v>0</v>
      </c>
      <c r="M1203" s="141">
        <f t="shared" si="225"/>
        <v>1.53</v>
      </c>
      <c r="N1203" s="141">
        <f t="shared" si="225"/>
        <v>0</v>
      </c>
      <c r="O1203" s="141">
        <f t="shared" si="225"/>
        <v>0</v>
      </c>
      <c r="P1203" s="141">
        <f t="shared" si="225"/>
        <v>1.08</v>
      </c>
      <c r="Q1203" s="141">
        <f t="shared" si="225"/>
        <v>0</v>
      </c>
      <c r="R1203" s="141">
        <f t="shared" si="225"/>
        <v>0</v>
      </c>
      <c r="S1203" s="141">
        <f t="shared" si="225"/>
        <v>0</v>
      </c>
      <c r="T1203" s="141">
        <f t="shared" si="225"/>
        <v>0</v>
      </c>
      <c r="U1203" s="141">
        <f t="shared" si="225"/>
        <v>0</v>
      </c>
      <c r="V1203" s="141">
        <f t="shared" si="225"/>
        <v>0</v>
      </c>
      <c r="W1203" s="141">
        <f t="shared" si="225"/>
        <v>0</v>
      </c>
      <c r="X1203" s="141">
        <f t="shared" si="225"/>
        <v>0</v>
      </c>
      <c r="Y1203" s="141">
        <f t="shared" si="225"/>
        <v>0</v>
      </c>
      <c r="Z1203" s="141">
        <f t="shared" si="225"/>
        <v>0.85000000000000009</v>
      </c>
      <c r="AA1203" s="141">
        <f t="shared" si="225"/>
        <v>0.68000000000000016</v>
      </c>
      <c r="AB1203" s="141">
        <f t="shared" si="225"/>
        <v>0</v>
      </c>
      <c r="AC1203" s="141">
        <f t="shared" si="225"/>
        <v>0</v>
      </c>
      <c r="AD1203" s="141">
        <f t="shared" si="225"/>
        <v>3.6099999999999994</v>
      </c>
      <c r="AE1203" s="141">
        <f t="shared" si="225"/>
        <v>0</v>
      </c>
      <c r="AF1203" s="141">
        <f t="shared" si="225"/>
        <v>0</v>
      </c>
      <c r="AG1203" s="141">
        <f t="shared" si="225"/>
        <v>0</v>
      </c>
      <c r="AH1203" s="141">
        <f t="shared" si="225"/>
        <v>0</v>
      </c>
      <c r="AI1203" s="141">
        <f t="shared" si="225"/>
        <v>0</v>
      </c>
      <c r="AJ1203" s="141">
        <f t="shared" si="225"/>
        <v>0</v>
      </c>
      <c r="AK1203" s="141">
        <f t="shared" si="225"/>
        <v>0.46</v>
      </c>
      <c r="AL1203" s="141">
        <f t="shared" si="225"/>
        <v>0</v>
      </c>
      <c r="AM1203" s="141">
        <f t="shared" si="225"/>
        <v>0</v>
      </c>
      <c r="AN1203" s="141">
        <f t="shared" si="225"/>
        <v>0.11</v>
      </c>
      <c r="AO1203" s="141">
        <f t="shared" si="225"/>
        <v>0</v>
      </c>
      <c r="AP1203" s="141">
        <f t="shared" si="225"/>
        <v>0.37</v>
      </c>
      <c r="AQ1203" s="141">
        <f t="shared" si="225"/>
        <v>0.55000000000000004</v>
      </c>
      <c r="AR1203" s="141">
        <f t="shared" si="225"/>
        <v>0.03</v>
      </c>
      <c r="AS1203" s="141">
        <f t="shared" si="225"/>
        <v>1.0900000000000001</v>
      </c>
      <c r="AT1203" s="141">
        <f t="shared" si="225"/>
        <v>0</v>
      </c>
      <c r="AU1203" s="141">
        <f t="shared" si="225"/>
        <v>0.8</v>
      </c>
      <c r="AV1203" s="141">
        <f t="shared" si="225"/>
        <v>0.64</v>
      </c>
      <c r="AW1203" s="141">
        <f t="shared" si="225"/>
        <v>0</v>
      </c>
      <c r="AX1203" s="141">
        <f t="shared" si="225"/>
        <v>0</v>
      </c>
      <c r="AY1203" s="70" t="s">
        <v>235</v>
      </c>
      <c r="AZ1203" s="47"/>
      <c r="BA1203" s="39"/>
      <c r="BB1203" s="40"/>
      <c r="BI1203" s="42"/>
    </row>
    <row r="1204" spans="1:61" s="24" customFormat="1" ht="19.350000000000001" customHeight="1">
      <c r="A1204" s="32">
        <f>A1202+1</f>
        <v>765</v>
      </c>
      <c r="B1204" s="158" t="s">
        <v>186</v>
      </c>
      <c r="C1204" s="78" t="s">
        <v>1260</v>
      </c>
      <c r="D1204" s="35">
        <f t="shared" si="222"/>
        <v>6.5499999999999989</v>
      </c>
      <c r="E1204" s="76"/>
      <c r="F1204" s="35">
        <f t="shared" si="212"/>
        <v>6.5499999999999989</v>
      </c>
      <c r="G1204" s="77">
        <v>5.55</v>
      </c>
      <c r="H1204" s="77"/>
      <c r="I1204" s="77"/>
      <c r="J1204" s="77">
        <v>0.34</v>
      </c>
      <c r="K1204" s="77"/>
      <c r="L1204" s="77"/>
      <c r="M1204" s="77"/>
      <c r="N1204" s="77"/>
      <c r="O1204" s="77"/>
      <c r="P1204" s="77">
        <v>0.14000000000000001</v>
      </c>
      <c r="Q1204" s="77"/>
      <c r="R1204" s="77"/>
      <c r="S1204" s="77"/>
      <c r="T1204" s="77"/>
      <c r="U1204" s="77"/>
      <c r="V1204" s="77"/>
      <c r="W1204" s="77"/>
      <c r="X1204" s="77"/>
      <c r="Y1204" s="77"/>
      <c r="Z1204" s="77">
        <v>0.1</v>
      </c>
      <c r="AA1204" s="77">
        <v>0.22</v>
      </c>
      <c r="AB1204" s="77"/>
      <c r="AC1204" s="77"/>
      <c r="AD1204" s="77"/>
      <c r="AE1204" s="77"/>
      <c r="AF1204" s="77"/>
      <c r="AG1204" s="77"/>
      <c r="AH1204" s="77"/>
      <c r="AI1204" s="77"/>
      <c r="AJ1204" s="77"/>
      <c r="AK1204" s="77"/>
      <c r="AL1204" s="77"/>
      <c r="AM1204" s="77"/>
      <c r="AN1204" s="77"/>
      <c r="AO1204" s="77"/>
      <c r="AP1204" s="77">
        <v>0.2</v>
      </c>
      <c r="AQ1204" s="77"/>
      <c r="AR1204" s="77"/>
      <c r="AS1204" s="77"/>
      <c r="AT1204" s="77"/>
      <c r="AU1204" s="77"/>
      <c r="AV1204" s="77"/>
      <c r="AW1204" s="77"/>
      <c r="AX1204" s="77"/>
      <c r="AY1204" s="70" t="s">
        <v>235</v>
      </c>
      <c r="AZ1204" s="70" t="s">
        <v>387</v>
      </c>
      <c r="BA1204" s="118" t="s">
        <v>291</v>
      </c>
      <c r="BB1204" s="72"/>
      <c r="BI1204" s="42">
        <v>1</v>
      </c>
    </row>
    <row r="1205" spans="1:61" s="24" customFormat="1" ht="19.350000000000001" hidden="1" customHeight="1">
      <c r="A1205" s="32"/>
      <c r="B1205" s="158"/>
      <c r="C1205" s="78" t="s">
        <v>59</v>
      </c>
      <c r="D1205" s="35">
        <f t="shared" si="222"/>
        <v>2.29</v>
      </c>
      <c r="E1205" s="76"/>
      <c r="F1205" s="35">
        <f t="shared" si="212"/>
        <v>2.29</v>
      </c>
      <c r="G1205" s="77">
        <v>2.19</v>
      </c>
      <c r="H1205" s="77"/>
      <c r="I1205" s="77"/>
      <c r="J1205" s="77"/>
      <c r="K1205" s="77"/>
      <c r="L1205" s="77"/>
      <c r="M1205" s="77"/>
      <c r="N1205" s="77"/>
      <c r="O1205" s="77"/>
      <c r="P1205" s="77"/>
      <c r="Q1205" s="77"/>
      <c r="R1205" s="77"/>
      <c r="S1205" s="77"/>
      <c r="T1205" s="77"/>
      <c r="U1205" s="77"/>
      <c r="V1205" s="77"/>
      <c r="W1205" s="77"/>
      <c r="X1205" s="77"/>
      <c r="Y1205" s="77"/>
      <c r="Z1205" s="77"/>
      <c r="AA1205" s="77">
        <v>0.1</v>
      </c>
      <c r="AB1205" s="77"/>
      <c r="AC1205" s="77"/>
      <c r="AD1205" s="77"/>
      <c r="AE1205" s="77"/>
      <c r="AF1205" s="77"/>
      <c r="AG1205" s="77"/>
      <c r="AH1205" s="77"/>
      <c r="AI1205" s="77"/>
      <c r="AJ1205" s="77"/>
      <c r="AK1205" s="77"/>
      <c r="AL1205" s="77"/>
      <c r="AM1205" s="77"/>
      <c r="AN1205" s="77"/>
      <c r="AO1205" s="77"/>
      <c r="AP1205" s="77"/>
      <c r="AQ1205" s="77"/>
      <c r="AR1205" s="77"/>
      <c r="AS1205" s="77"/>
      <c r="AT1205" s="77"/>
      <c r="AU1205" s="77"/>
      <c r="AV1205" s="77"/>
      <c r="AW1205" s="77"/>
      <c r="AX1205" s="77"/>
      <c r="AY1205" s="70" t="s">
        <v>235</v>
      </c>
      <c r="AZ1205" s="70"/>
      <c r="BA1205" s="118"/>
      <c r="BB1205" s="72"/>
      <c r="BI1205" s="42"/>
    </row>
    <row r="1206" spans="1:61" s="24" customFormat="1" ht="19.350000000000001" hidden="1" customHeight="1">
      <c r="A1206" s="32"/>
      <c r="B1206" s="158"/>
      <c r="C1206" s="78" t="s">
        <v>44</v>
      </c>
      <c r="D1206" s="35">
        <f t="shared" si="222"/>
        <v>2.29</v>
      </c>
      <c r="E1206" s="76"/>
      <c r="F1206" s="35">
        <f t="shared" si="212"/>
        <v>2.29</v>
      </c>
      <c r="G1206" s="77">
        <v>2.0699999999999998</v>
      </c>
      <c r="H1206" s="77"/>
      <c r="I1206" s="77"/>
      <c r="J1206" s="77"/>
      <c r="K1206" s="77"/>
      <c r="L1206" s="77"/>
      <c r="M1206" s="77"/>
      <c r="N1206" s="77"/>
      <c r="O1206" s="77"/>
      <c r="P1206" s="77"/>
      <c r="Q1206" s="77"/>
      <c r="R1206" s="77"/>
      <c r="S1206" s="77"/>
      <c r="T1206" s="77"/>
      <c r="U1206" s="77"/>
      <c r="V1206" s="77"/>
      <c r="W1206" s="77"/>
      <c r="X1206" s="77"/>
      <c r="Y1206" s="77"/>
      <c r="Z1206" s="77"/>
      <c r="AA1206" s="77">
        <v>0.12</v>
      </c>
      <c r="AB1206" s="77"/>
      <c r="AC1206" s="77"/>
      <c r="AD1206" s="77"/>
      <c r="AE1206" s="77"/>
      <c r="AF1206" s="77"/>
      <c r="AG1206" s="77"/>
      <c r="AH1206" s="77"/>
      <c r="AI1206" s="77"/>
      <c r="AJ1206" s="77"/>
      <c r="AK1206" s="77"/>
      <c r="AL1206" s="77"/>
      <c r="AM1206" s="77"/>
      <c r="AN1206" s="77"/>
      <c r="AO1206" s="77"/>
      <c r="AP1206" s="77">
        <v>0.1</v>
      </c>
      <c r="AQ1206" s="77"/>
      <c r="AR1206" s="77"/>
      <c r="AS1206" s="77"/>
      <c r="AT1206" s="77"/>
      <c r="AU1206" s="77"/>
      <c r="AV1206" s="77"/>
      <c r="AW1206" s="77"/>
      <c r="AX1206" s="77"/>
      <c r="AY1206" s="70" t="s">
        <v>235</v>
      </c>
      <c r="AZ1206" s="70"/>
      <c r="BA1206" s="118"/>
      <c r="BB1206" s="72"/>
      <c r="BI1206" s="42"/>
    </row>
    <row r="1207" spans="1:61" s="24" customFormat="1" ht="19.350000000000001" hidden="1" customHeight="1">
      <c r="A1207" s="32"/>
      <c r="B1207" s="158"/>
      <c r="C1207" s="78" t="s">
        <v>45</v>
      </c>
      <c r="D1207" s="35">
        <f t="shared" si="222"/>
        <v>0.6</v>
      </c>
      <c r="E1207" s="76"/>
      <c r="F1207" s="35">
        <f t="shared" si="212"/>
        <v>0.6</v>
      </c>
      <c r="G1207" s="77">
        <v>0.4</v>
      </c>
      <c r="H1207" s="77"/>
      <c r="I1207" s="77"/>
      <c r="J1207" s="77">
        <v>0.1</v>
      </c>
      <c r="K1207" s="77"/>
      <c r="L1207" s="77"/>
      <c r="M1207" s="77"/>
      <c r="N1207" s="77"/>
      <c r="O1207" s="77"/>
      <c r="P1207" s="77"/>
      <c r="Q1207" s="77"/>
      <c r="R1207" s="77"/>
      <c r="S1207" s="77"/>
      <c r="T1207" s="77"/>
      <c r="U1207" s="77"/>
      <c r="V1207" s="77"/>
      <c r="W1207" s="77"/>
      <c r="X1207" s="77"/>
      <c r="Y1207" s="77"/>
      <c r="Z1207" s="77">
        <v>0.1</v>
      </c>
      <c r="AA1207" s="77"/>
      <c r="AB1207" s="77"/>
      <c r="AC1207" s="77"/>
      <c r="AD1207" s="77"/>
      <c r="AE1207" s="77"/>
      <c r="AF1207" s="77"/>
      <c r="AG1207" s="77"/>
      <c r="AH1207" s="77"/>
      <c r="AI1207" s="77"/>
      <c r="AJ1207" s="77"/>
      <c r="AK1207" s="77"/>
      <c r="AL1207" s="77"/>
      <c r="AM1207" s="77"/>
      <c r="AN1207" s="77"/>
      <c r="AO1207" s="77"/>
      <c r="AP1207" s="77"/>
      <c r="AQ1207" s="77"/>
      <c r="AR1207" s="77"/>
      <c r="AS1207" s="77"/>
      <c r="AT1207" s="77"/>
      <c r="AU1207" s="77"/>
      <c r="AV1207" s="77"/>
      <c r="AW1207" s="77"/>
      <c r="AX1207" s="77"/>
      <c r="AY1207" s="70" t="s">
        <v>235</v>
      </c>
      <c r="AZ1207" s="70"/>
      <c r="BA1207" s="118"/>
      <c r="BB1207" s="72"/>
      <c r="BI1207" s="42"/>
    </row>
    <row r="1208" spans="1:61" s="24" customFormat="1" ht="19.350000000000001" hidden="1" customHeight="1">
      <c r="A1208" s="32"/>
      <c r="B1208" s="158"/>
      <c r="C1208" s="78" t="s">
        <v>138</v>
      </c>
      <c r="D1208" s="35">
        <f t="shared" si="222"/>
        <v>1.37</v>
      </c>
      <c r="E1208" s="76"/>
      <c r="F1208" s="35">
        <f t="shared" si="212"/>
        <v>1.37</v>
      </c>
      <c r="G1208" s="153">
        <f>G1204-G1205-G1206-G1207</f>
        <v>0.89</v>
      </c>
      <c r="H1208" s="153">
        <f t="shared" ref="H1208:AX1208" si="226">H1204-H1205-H1206-H1207</f>
        <v>0</v>
      </c>
      <c r="I1208" s="153">
        <f t="shared" si="226"/>
        <v>0</v>
      </c>
      <c r="J1208" s="153">
        <f t="shared" si="226"/>
        <v>0.24000000000000002</v>
      </c>
      <c r="K1208" s="153">
        <f t="shared" si="226"/>
        <v>0</v>
      </c>
      <c r="L1208" s="153">
        <f t="shared" si="226"/>
        <v>0</v>
      </c>
      <c r="M1208" s="153">
        <f t="shared" si="226"/>
        <v>0</v>
      </c>
      <c r="N1208" s="153">
        <f t="shared" si="226"/>
        <v>0</v>
      </c>
      <c r="O1208" s="153">
        <f t="shared" si="226"/>
        <v>0</v>
      </c>
      <c r="P1208" s="154">
        <f t="shared" si="226"/>
        <v>0.14000000000000001</v>
      </c>
      <c r="Q1208" s="153">
        <f t="shared" si="226"/>
        <v>0</v>
      </c>
      <c r="R1208" s="153">
        <f t="shared" si="226"/>
        <v>0</v>
      </c>
      <c r="S1208" s="153">
        <f t="shared" si="226"/>
        <v>0</v>
      </c>
      <c r="T1208" s="153">
        <f t="shared" si="226"/>
        <v>0</v>
      </c>
      <c r="U1208" s="153">
        <f t="shared" si="226"/>
        <v>0</v>
      </c>
      <c r="V1208" s="153">
        <f t="shared" si="226"/>
        <v>0</v>
      </c>
      <c r="W1208" s="153">
        <f t="shared" si="226"/>
        <v>0</v>
      </c>
      <c r="X1208" s="153">
        <f t="shared" si="226"/>
        <v>0</v>
      </c>
      <c r="Y1208" s="153">
        <f t="shared" si="226"/>
        <v>0</v>
      </c>
      <c r="Z1208" s="153">
        <f t="shared" si="226"/>
        <v>0</v>
      </c>
      <c r="AA1208" s="153">
        <f t="shared" si="226"/>
        <v>0</v>
      </c>
      <c r="AB1208" s="153">
        <f t="shared" si="226"/>
        <v>0</v>
      </c>
      <c r="AC1208" s="153">
        <f t="shared" si="226"/>
        <v>0</v>
      </c>
      <c r="AD1208" s="153">
        <f t="shared" si="226"/>
        <v>0</v>
      </c>
      <c r="AE1208" s="153">
        <f t="shared" si="226"/>
        <v>0</v>
      </c>
      <c r="AF1208" s="153">
        <f t="shared" si="226"/>
        <v>0</v>
      </c>
      <c r="AG1208" s="153">
        <f t="shared" si="226"/>
        <v>0</v>
      </c>
      <c r="AH1208" s="153">
        <f t="shared" si="226"/>
        <v>0</v>
      </c>
      <c r="AI1208" s="153">
        <f t="shared" si="226"/>
        <v>0</v>
      </c>
      <c r="AJ1208" s="153">
        <f t="shared" si="226"/>
        <v>0</v>
      </c>
      <c r="AK1208" s="153">
        <f t="shared" si="226"/>
        <v>0</v>
      </c>
      <c r="AL1208" s="153">
        <f t="shared" si="226"/>
        <v>0</v>
      </c>
      <c r="AM1208" s="153">
        <f t="shared" si="226"/>
        <v>0</v>
      </c>
      <c r="AN1208" s="153">
        <f t="shared" si="226"/>
        <v>0</v>
      </c>
      <c r="AO1208" s="153">
        <f t="shared" si="226"/>
        <v>0</v>
      </c>
      <c r="AP1208" s="153">
        <f t="shared" si="226"/>
        <v>0.1</v>
      </c>
      <c r="AQ1208" s="153">
        <f t="shared" si="226"/>
        <v>0</v>
      </c>
      <c r="AR1208" s="153">
        <f t="shared" si="226"/>
        <v>0</v>
      </c>
      <c r="AS1208" s="153">
        <f t="shared" si="226"/>
        <v>0</v>
      </c>
      <c r="AT1208" s="153">
        <f t="shared" si="226"/>
        <v>0</v>
      </c>
      <c r="AU1208" s="153">
        <f t="shared" si="226"/>
        <v>0</v>
      </c>
      <c r="AV1208" s="153">
        <f t="shared" si="226"/>
        <v>0</v>
      </c>
      <c r="AW1208" s="153">
        <f t="shared" si="226"/>
        <v>0</v>
      </c>
      <c r="AX1208" s="153">
        <f t="shared" si="226"/>
        <v>0</v>
      </c>
      <c r="AY1208" s="70" t="s">
        <v>235</v>
      </c>
      <c r="AZ1208" s="70"/>
      <c r="BA1208" s="118"/>
      <c r="BB1208" s="72"/>
      <c r="BI1208" s="42"/>
    </row>
    <row r="1209" spans="1:61" s="24" customFormat="1" ht="19.350000000000001" customHeight="1">
      <c r="A1209" s="32">
        <f>A1204+1</f>
        <v>766</v>
      </c>
      <c r="B1209" s="158" t="s">
        <v>186</v>
      </c>
      <c r="C1209" s="78" t="s">
        <v>1260</v>
      </c>
      <c r="D1209" s="35">
        <f t="shared" si="222"/>
        <v>5.4999999999999991</v>
      </c>
      <c r="E1209" s="76"/>
      <c r="F1209" s="35">
        <f t="shared" si="212"/>
        <v>5.4999999999999991</v>
      </c>
      <c r="G1209" s="77">
        <v>0.12</v>
      </c>
      <c r="H1209" s="77">
        <v>0.2</v>
      </c>
      <c r="I1209" s="77"/>
      <c r="J1209" s="77">
        <f>3.17+0.38</f>
        <v>3.55</v>
      </c>
      <c r="K1209" s="77"/>
      <c r="L1209" s="77"/>
      <c r="M1209" s="77">
        <v>1.53</v>
      </c>
      <c r="N1209" s="77"/>
      <c r="O1209" s="77"/>
      <c r="P1209" s="77"/>
      <c r="Q1209" s="77"/>
      <c r="R1209" s="77"/>
      <c r="S1209" s="77"/>
      <c r="T1209" s="77"/>
      <c r="U1209" s="77"/>
      <c r="V1209" s="77"/>
      <c r="W1209" s="77"/>
      <c r="X1209" s="77"/>
      <c r="Y1209" s="77"/>
      <c r="Z1209" s="77">
        <v>0.1</v>
      </c>
      <c r="AA1209" s="77"/>
      <c r="AB1209" s="77"/>
      <c r="AC1209" s="77"/>
      <c r="AD1209" s="77"/>
      <c r="AE1209" s="77"/>
      <c r="AF1209" s="77"/>
      <c r="AG1209" s="77"/>
      <c r="AH1209" s="77"/>
      <c r="AI1209" s="77"/>
      <c r="AJ1209" s="77"/>
      <c r="AK1209" s="77"/>
      <c r="AL1209" s="77"/>
      <c r="AM1209" s="77"/>
      <c r="AN1209" s="77"/>
      <c r="AO1209" s="77"/>
      <c r="AP1209" s="77"/>
      <c r="AQ1209" s="77"/>
      <c r="AR1209" s="77"/>
      <c r="AS1209" s="77"/>
      <c r="AT1209" s="77"/>
      <c r="AU1209" s="77"/>
      <c r="AV1209" s="77"/>
      <c r="AW1209" s="77"/>
      <c r="AX1209" s="77"/>
      <c r="AY1209" s="70" t="s">
        <v>235</v>
      </c>
      <c r="AZ1209" s="70" t="s">
        <v>389</v>
      </c>
      <c r="BA1209" s="47" t="s">
        <v>298</v>
      </c>
      <c r="BB1209" s="48"/>
      <c r="BI1209" s="42">
        <v>1</v>
      </c>
    </row>
    <row r="1210" spans="1:61" s="24" customFormat="1" ht="19.350000000000001" hidden="1" customHeight="1">
      <c r="A1210" s="32"/>
      <c r="B1210" s="158"/>
      <c r="C1210" s="78" t="s">
        <v>59</v>
      </c>
      <c r="D1210" s="35">
        <f t="shared" si="222"/>
        <v>1.93</v>
      </c>
      <c r="E1210" s="76"/>
      <c r="F1210" s="35">
        <f t="shared" si="212"/>
        <v>1.93</v>
      </c>
      <c r="G1210" s="77">
        <v>0.12</v>
      </c>
      <c r="H1210" s="77"/>
      <c r="I1210" s="77"/>
      <c r="J1210" s="77">
        <v>1.01</v>
      </c>
      <c r="K1210" s="77"/>
      <c r="L1210" s="77"/>
      <c r="M1210" s="77">
        <v>0.7</v>
      </c>
      <c r="N1210" s="77"/>
      <c r="O1210" s="77"/>
      <c r="P1210" s="77"/>
      <c r="Q1210" s="77"/>
      <c r="R1210" s="77"/>
      <c r="S1210" s="77"/>
      <c r="T1210" s="77"/>
      <c r="U1210" s="77"/>
      <c r="V1210" s="77"/>
      <c r="W1210" s="77"/>
      <c r="X1210" s="77"/>
      <c r="Y1210" s="77"/>
      <c r="Z1210" s="77">
        <v>0.1</v>
      </c>
      <c r="AA1210" s="77"/>
      <c r="AB1210" s="77"/>
      <c r="AC1210" s="77"/>
      <c r="AD1210" s="77"/>
      <c r="AE1210" s="77"/>
      <c r="AF1210" s="77"/>
      <c r="AG1210" s="77"/>
      <c r="AH1210" s="77"/>
      <c r="AI1210" s="77"/>
      <c r="AJ1210" s="77"/>
      <c r="AK1210" s="77"/>
      <c r="AL1210" s="77"/>
      <c r="AM1210" s="77"/>
      <c r="AN1210" s="77"/>
      <c r="AO1210" s="77"/>
      <c r="AP1210" s="77"/>
      <c r="AQ1210" s="77"/>
      <c r="AR1210" s="77"/>
      <c r="AS1210" s="77"/>
      <c r="AT1210" s="77"/>
      <c r="AU1210" s="77"/>
      <c r="AV1210" s="77"/>
      <c r="AW1210" s="77"/>
      <c r="AX1210" s="77"/>
      <c r="AY1210" s="70" t="s">
        <v>235</v>
      </c>
      <c r="AZ1210" s="70"/>
      <c r="BA1210" s="47"/>
      <c r="BB1210" s="48"/>
      <c r="BI1210" s="42"/>
    </row>
    <row r="1211" spans="1:61" s="24" customFormat="1" ht="19.350000000000001" hidden="1" customHeight="1">
      <c r="A1211" s="32"/>
      <c r="B1211" s="158"/>
      <c r="C1211" s="78" t="s">
        <v>44</v>
      </c>
      <c r="D1211" s="35">
        <f t="shared" si="222"/>
        <v>1.9300000000000002</v>
      </c>
      <c r="E1211" s="76"/>
      <c r="F1211" s="35">
        <f t="shared" si="212"/>
        <v>1.9300000000000002</v>
      </c>
      <c r="G1211" s="77"/>
      <c r="H1211" s="77">
        <v>0.1</v>
      </c>
      <c r="I1211" s="77"/>
      <c r="J1211" s="77">
        <v>1.53</v>
      </c>
      <c r="K1211" s="77"/>
      <c r="L1211" s="77"/>
      <c r="M1211" s="77">
        <v>0.3</v>
      </c>
      <c r="N1211" s="77"/>
      <c r="O1211" s="77"/>
      <c r="P1211" s="77"/>
      <c r="Q1211" s="77"/>
      <c r="R1211" s="77"/>
      <c r="S1211" s="77"/>
      <c r="T1211" s="77"/>
      <c r="U1211" s="77"/>
      <c r="V1211" s="77"/>
      <c r="W1211" s="77"/>
      <c r="X1211" s="77"/>
      <c r="Y1211" s="77"/>
      <c r="Z1211" s="77"/>
      <c r="AA1211" s="77"/>
      <c r="AB1211" s="77"/>
      <c r="AC1211" s="77"/>
      <c r="AD1211" s="77"/>
      <c r="AE1211" s="77"/>
      <c r="AF1211" s="77"/>
      <c r="AG1211" s="77"/>
      <c r="AH1211" s="77"/>
      <c r="AI1211" s="77"/>
      <c r="AJ1211" s="77"/>
      <c r="AK1211" s="77"/>
      <c r="AL1211" s="77"/>
      <c r="AM1211" s="77"/>
      <c r="AN1211" s="77"/>
      <c r="AO1211" s="77"/>
      <c r="AP1211" s="77"/>
      <c r="AQ1211" s="77"/>
      <c r="AR1211" s="77"/>
      <c r="AS1211" s="77"/>
      <c r="AT1211" s="77"/>
      <c r="AU1211" s="77"/>
      <c r="AV1211" s="77"/>
      <c r="AW1211" s="77"/>
      <c r="AX1211" s="77"/>
      <c r="AY1211" s="70" t="s">
        <v>235</v>
      </c>
      <c r="AZ1211" s="70"/>
      <c r="BA1211" s="47"/>
      <c r="BB1211" s="48"/>
      <c r="BI1211" s="42"/>
    </row>
    <row r="1212" spans="1:61" s="24" customFormat="1" ht="19.350000000000001" hidden="1" customHeight="1">
      <c r="A1212" s="32"/>
      <c r="B1212" s="158"/>
      <c r="C1212" s="78" t="s">
        <v>45</v>
      </c>
      <c r="D1212" s="35">
        <f t="shared" si="222"/>
        <v>0.55000000000000004</v>
      </c>
      <c r="E1212" s="76"/>
      <c r="F1212" s="35">
        <f t="shared" si="212"/>
        <v>0.55000000000000004</v>
      </c>
      <c r="G1212" s="77"/>
      <c r="H1212" s="77">
        <v>0.1</v>
      </c>
      <c r="I1212" s="77"/>
      <c r="J1212" s="77">
        <v>0.25</v>
      </c>
      <c r="K1212" s="77"/>
      <c r="L1212" s="77"/>
      <c r="M1212" s="77">
        <v>0.2</v>
      </c>
      <c r="N1212" s="77"/>
      <c r="O1212" s="77"/>
      <c r="P1212" s="77"/>
      <c r="Q1212" s="77"/>
      <c r="R1212" s="77"/>
      <c r="S1212" s="77"/>
      <c r="T1212" s="77"/>
      <c r="U1212" s="77"/>
      <c r="V1212" s="77"/>
      <c r="W1212" s="77"/>
      <c r="X1212" s="77"/>
      <c r="Y1212" s="77"/>
      <c r="Z1212" s="77"/>
      <c r="AA1212" s="77"/>
      <c r="AB1212" s="77"/>
      <c r="AC1212" s="77"/>
      <c r="AD1212" s="77"/>
      <c r="AE1212" s="77"/>
      <c r="AF1212" s="77"/>
      <c r="AG1212" s="77"/>
      <c r="AH1212" s="77"/>
      <c r="AI1212" s="77"/>
      <c r="AJ1212" s="77"/>
      <c r="AK1212" s="77"/>
      <c r="AL1212" s="77"/>
      <c r="AM1212" s="77"/>
      <c r="AN1212" s="77"/>
      <c r="AO1212" s="77"/>
      <c r="AP1212" s="77"/>
      <c r="AQ1212" s="77"/>
      <c r="AR1212" s="77"/>
      <c r="AS1212" s="77"/>
      <c r="AT1212" s="77"/>
      <c r="AU1212" s="77"/>
      <c r="AV1212" s="77"/>
      <c r="AW1212" s="77"/>
      <c r="AX1212" s="77"/>
      <c r="AY1212" s="70" t="s">
        <v>235</v>
      </c>
      <c r="AZ1212" s="70"/>
      <c r="BA1212" s="47"/>
      <c r="BB1212" s="48"/>
      <c r="BI1212" s="42"/>
    </row>
    <row r="1213" spans="1:61" s="24" customFormat="1" ht="19.350000000000001" hidden="1" customHeight="1">
      <c r="A1213" s="32"/>
      <c r="B1213" s="158"/>
      <c r="C1213" s="78" t="s">
        <v>138</v>
      </c>
      <c r="D1213" s="35">
        <f t="shared" si="222"/>
        <v>1.0900000000000001</v>
      </c>
      <c r="E1213" s="76"/>
      <c r="F1213" s="35">
        <f t="shared" si="212"/>
        <v>1.0900000000000001</v>
      </c>
      <c r="G1213" s="153">
        <f>G1209-G1210-G1211-G1212</f>
        <v>0</v>
      </c>
      <c r="H1213" s="153">
        <f t="shared" ref="H1213:AX1213" si="227">H1209-H1210-H1211-H1212</f>
        <v>0</v>
      </c>
      <c r="I1213" s="153">
        <f t="shared" si="227"/>
        <v>0</v>
      </c>
      <c r="J1213" s="153">
        <f t="shared" si="227"/>
        <v>0.76</v>
      </c>
      <c r="K1213" s="153">
        <f t="shared" si="227"/>
        <v>0</v>
      </c>
      <c r="L1213" s="153">
        <f t="shared" si="227"/>
        <v>0</v>
      </c>
      <c r="M1213" s="153">
        <f t="shared" si="227"/>
        <v>0.33</v>
      </c>
      <c r="N1213" s="153">
        <f t="shared" si="227"/>
        <v>0</v>
      </c>
      <c r="O1213" s="153">
        <f t="shared" si="227"/>
        <v>0</v>
      </c>
      <c r="P1213" s="153">
        <f t="shared" si="227"/>
        <v>0</v>
      </c>
      <c r="Q1213" s="153">
        <f t="shared" si="227"/>
        <v>0</v>
      </c>
      <c r="R1213" s="153">
        <f t="shared" si="227"/>
        <v>0</v>
      </c>
      <c r="S1213" s="153">
        <f t="shared" si="227"/>
        <v>0</v>
      </c>
      <c r="T1213" s="153">
        <f t="shared" si="227"/>
        <v>0</v>
      </c>
      <c r="U1213" s="153">
        <f t="shared" si="227"/>
        <v>0</v>
      </c>
      <c r="V1213" s="153">
        <f t="shared" si="227"/>
        <v>0</v>
      </c>
      <c r="W1213" s="153">
        <f t="shared" si="227"/>
        <v>0</v>
      </c>
      <c r="X1213" s="153">
        <f t="shared" si="227"/>
        <v>0</v>
      </c>
      <c r="Y1213" s="153">
        <f t="shared" si="227"/>
        <v>0</v>
      </c>
      <c r="Z1213" s="153">
        <f t="shared" si="227"/>
        <v>0</v>
      </c>
      <c r="AA1213" s="153">
        <f t="shared" si="227"/>
        <v>0</v>
      </c>
      <c r="AB1213" s="153">
        <f t="shared" si="227"/>
        <v>0</v>
      </c>
      <c r="AC1213" s="153">
        <f t="shared" si="227"/>
        <v>0</v>
      </c>
      <c r="AD1213" s="153">
        <f t="shared" si="227"/>
        <v>0</v>
      </c>
      <c r="AE1213" s="153">
        <f t="shared" si="227"/>
        <v>0</v>
      </c>
      <c r="AF1213" s="153">
        <f t="shared" si="227"/>
        <v>0</v>
      </c>
      <c r="AG1213" s="153">
        <f t="shared" si="227"/>
        <v>0</v>
      </c>
      <c r="AH1213" s="153">
        <f t="shared" si="227"/>
        <v>0</v>
      </c>
      <c r="AI1213" s="153">
        <f t="shared" si="227"/>
        <v>0</v>
      </c>
      <c r="AJ1213" s="153">
        <f t="shared" si="227"/>
        <v>0</v>
      </c>
      <c r="AK1213" s="153">
        <f t="shared" si="227"/>
        <v>0</v>
      </c>
      <c r="AL1213" s="153">
        <f t="shared" si="227"/>
        <v>0</v>
      </c>
      <c r="AM1213" s="153">
        <f t="shared" si="227"/>
        <v>0</v>
      </c>
      <c r="AN1213" s="153">
        <f t="shared" si="227"/>
        <v>0</v>
      </c>
      <c r="AO1213" s="153">
        <f t="shared" si="227"/>
        <v>0</v>
      </c>
      <c r="AP1213" s="153">
        <f t="shared" si="227"/>
        <v>0</v>
      </c>
      <c r="AQ1213" s="153">
        <f t="shared" si="227"/>
        <v>0</v>
      </c>
      <c r="AR1213" s="153">
        <f t="shared" si="227"/>
        <v>0</v>
      </c>
      <c r="AS1213" s="153">
        <f t="shared" si="227"/>
        <v>0</v>
      </c>
      <c r="AT1213" s="153">
        <f t="shared" si="227"/>
        <v>0</v>
      </c>
      <c r="AU1213" s="153">
        <f t="shared" si="227"/>
        <v>0</v>
      </c>
      <c r="AV1213" s="153">
        <f t="shared" si="227"/>
        <v>0</v>
      </c>
      <c r="AW1213" s="153">
        <f t="shared" si="227"/>
        <v>0</v>
      </c>
      <c r="AX1213" s="153">
        <f t="shared" si="227"/>
        <v>0</v>
      </c>
      <c r="AY1213" s="70" t="s">
        <v>235</v>
      </c>
      <c r="AZ1213" s="70"/>
      <c r="BA1213" s="47"/>
      <c r="BB1213" s="48"/>
      <c r="BI1213" s="42"/>
    </row>
    <row r="1214" spans="1:61" s="24" customFormat="1" ht="19.350000000000001" customHeight="1">
      <c r="A1214" s="32">
        <f>A1209+1</f>
        <v>767</v>
      </c>
      <c r="B1214" s="158" t="s">
        <v>186</v>
      </c>
      <c r="C1214" s="78" t="s">
        <v>1260</v>
      </c>
      <c r="D1214" s="35">
        <f t="shared" si="222"/>
        <v>2.6399999999999997</v>
      </c>
      <c r="E1214" s="76"/>
      <c r="F1214" s="35">
        <f t="shared" si="212"/>
        <v>2.6399999999999997</v>
      </c>
      <c r="G1214" s="77"/>
      <c r="H1214" s="77">
        <v>0.77</v>
      </c>
      <c r="I1214" s="77"/>
      <c r="J1214" s="77">
        <v>1.75</v>
      </c>
      <c r="K1214" s="77"/>
      <c r="L1214" s="77"/>
      <c r="M1214" s="77"/>
      <c r="N1214" s="77"/>
      <c r="O1214" s="77"/>
      <c r="P1214" s="77">
        <v>0.09</v>
      </c>
      <c r="Q1214" s="77"/>
      <c r="R1214" s="77"/>
      <c r="S1214" s="77"/>
      <c r="T1214" s="77"/>
      <c r="U1214" s="77"/>
      <c r="V1214" s="77"/>
      <c r="W1214" s="77"/>
      <c r="X1214" s="77"/>
      <c r="Y1214" s="77"/>
      <c r="Z1214" s="77">
        <v>0.03</v>
      </c>
      <c r="AA1214" s="77"/>
      <c r="AB1214" s="77"/>
      <c r="AC1214" s="77"/>
      <c r="AD1214" s="77"/>
      <c r="AE1214" s="77"/>
      <c r="AF1214" s="77"/>
      <c r="AG1214" s="77"/>
      <c r="AH1214" s="77"/>
      <c r="AI1214" s="77"/>
      <c r="AJ1214" s="77"/>
      <c r="AK1214" s="77"/>
      <c r="AL1214" s="77"/>
      <c r="AM1214" s="77"/>
      <c r="AN1214" s="77"/>
      <c r="AO1214" s="77"/>
      <c r="AP1214" s="77"/>
      <c r="AQ1214" s="77"/>
      <c r="AR1214" s="77"/>
      <c r="AS1214" s="77"/>
      <c r="AT1214" s="77"/>
      <c r="AU1214" s="77"/>
      <c r="AV1214" s="77"/>
      <c r="AW1214" s="77"/>
      <c r="AX1214" s="77"/>
      <c r="AY1214" s="70" t="s">
        <v>235</v>
      </c>
      <c r="AZ1214" s="70" t="s">
        <v>389</v>
      </c>
      <c r="BA1214" s="47" t="s">
        <v>298</v>
      </c>
      <c r="BB1214" s="48"/>
      <c r="BC1214" s="24" t="s">
        <v>1573</v>
      </c>
      <c r="BI1214" s="42">
        <v>1</v>
      </c>
    </row>
    <row r="1215" spans="1:61" s="24" customFormat="1" ht="19.350000000000001" hidden="1" customHeight="1">
      <c r="A1215" s="32"/>
      <c r="B1215" s="158"/>
      <c r="C1215" s="78" t="s">
        <v>59</v>
      </c>
      <c r="D1215" s="35">
        <f t="shared" si="222"/>
        <v>0.91999999999999993</v>
      </c>
      <c r="E1215" s="76"/>
      <c r="F1215" s="35">
        <f t="shared" si="212"/>
        <v>0.91999999999999993</v>
      </c>
      <c r="G1215" s="77"/>
      <c r="H1215" s="77">
        <v>0.3</v>
      </c>
      <c r="I1215" s="77"/>
      <c r="J1215" s="77">
        <v>0.62</v>
      </c>
      <c r="K1215" s="77"/>
      <c r="L1215" s="77"/>
      <c r="M1215" s="77"/>
      <c r="N1215" s="77"/>
      <c r="O1215" s="77"/>
      <c r="P1215" s="77"/>
      <c r="Q1215" s="77"/>
      <c r="R1215" s="77"/>
      <c r="S1215" s="77"/>
      <c r="T1215" s="77"/>
      <c r="U1215" s="77"/>
      <c r="V1215" s="77"/>
      <c r="W1215" s="77"/>
      <c r="X1215" s="77"/>
      <c r="Y1215" s="77"/>
      <c r="Z1215" s="77"/>
      <c r="AA1215" s="77"/>
      <c r="AB1215" s="77"/>
      <c r="AC1215" s="77"/>
      <c r="AD1215" s="77"/>
      <c r="AE1215" s="77"/>
      <c r="AF1215" s="77"/>
      <c r="AG1215" s="77"/>
      <c r="AH1215" s="77"/>
      <c r="AI1215" s="77"/>
      <c r="AJ1215" s="77"/>
      <c r="AK1215" s="77"/>
      <c r="AL1215" s="77"/>
      <c r="AM1215" s="77"/>
      <c r="AN1215" s="77"/>
      <c r="AO1215" s="77"/>
      <c r="AP1215" s="77"/>
      <c r="AQ1215" s="77"/>
      <c r="AR1215" s="77"/>
      <c r="AS1215" s="77"/>
      <c r="AT1215" s="77"/>
      <c r="AU1215" s="77"/>
      <c r="AV1215" s="77"/>
      <c r="AW1215" s="77"/>
      <c r="AX1215" s="77"/>
      <c r="AY1215" s="70" t="s">
        <v>235</v>
      </c>
      <c r="AZ1215" s="70"/>
      <c r="BA1215" s="47"/>
      <c r="BB1215" s="48"/>
      <c r="BI1215" s="42"/>
    </row>
    <row r="1216" spans="1:61" s="24" customFormat="1" ht="19.350000000000001" hidden="1" customHeight="1">
      <c r="A1216" s="32"/>
      <c r="B1216" s="158"/>
      <c r="C1216" s="78" t="s">
        <v>44</v>
      </c>
      <c r="D1216" s="35">
        <f t="shared" si="222"/>
        <v>0.92</v>
      </c>
      <c r="E1216" s="76"/>
      <c r="F1216" s="35">
        <f t="shared" si="212"/>
        <v>0.92</v>
      </c>
      <c r="G1216" s="77"/>
      <c r="H1216" s="77">
        <v>0.2</v>
      </c>
      <c r="I1216" s="77"/>
      <c r="J1216" s="77">
        <v>0.63</v>
      </c>
      <c r="K1216" s="77"/>
      <c r="L1216" s="77"/>
      <c r="M1216" s="77"/>
      <c r="N1216" s="77"/>
      <c r="O1216" s="77"/>
      <c r="P1216" s="77">
        <v>0.09</v>
      </c>
      <c r="Q1216" s="77"/>
      <c r="R1216" s="77"/>
      <c r="S1216" s="77"/>
      <c r="T1216" s="77"/>
      <c r="U1216" s="77"/>
      <c r="V1216" s="77"/>
      <c r="W1216" s="77"/>
      <c r="X1216" s="77"/>
      <c r="Y1216" s="77"/>
      <c r="Z1216" s="77"/>
      <c r="AA1216" s="77"/>
      <c r="AB1216" s="77"/>
      <c r="AC1216" s="77"/>
      <c r="AD1216" s="77"/>
      <c r="AE1216" s="77"/>
      <c r="AF1216" s="77"/>
      <c r="AG1216" s="77"/>
      <c r="AH1216" s="77"/>
      <c r="AI1216" s="77"/>
      <c r="AJ1216" s="77"/>
      <c r="AK1216" s="77"/>
      <c r="AL1216" s="77"/>
      <c r="AM1216" s="77"/>
      <c r="AN1216" s="77"/>
      <c r="AO1216" s="77"/>
      <c r="AP1216" s="77"/>
      <c r="AQ1216" s="77"/>
      <c r="AR1216" s="77"/>
      <c r="AS1216" s="77"/>
      <c r="AT1216" s="77"/>
      <c r="AU1216" s="77"/>
      <c r="AV1216" s="77"/>
      <c r="AW1216" s="77"/>
      <c r="AX1216" s="77"/>
      <c r="AY1216" s="70" t="s">
        <v>235</v>
      </c>
      <c r="AZ1216" s="70"/>
      <c r="BA1216" s="47"/>
      <c r="BB1216" s="48"/>
      <c r="BI1216" s="42"/>
    </row>
    <row r="1217" spans="1:61" s="24" customFormat="1" ht="19.350000000000001" hidden="1" customHeight="1">
      <c r="A1217" s="32"/>
      <c r="B1217" s="158"/>
      <c r="C1217" s="78" t="s">
        <v>45</v>
      </c>
      <c r="D1217" s="35">
        <f t="shared" si="222"/>
        <v>0.26</v>
      </c>
      <c r="E1217" s="76"/>
      <c r="F1217" s="35">
        <f t="shared" si="212"/>
        <v>0.26</v>
      </c>
      <c r="G1217" s="77"/>
      <c r="H1217" s="77">
        <v>0.1</v>
      </c>
      <c r="I1217" s="77"/>
      <c r="J1217" s="77">
        <v>0.16</v>
      </c>
      <c r="K1217" s="77"/>
      <c r="L1217" s="77"/>
      <c r="M1217" s="77"/>
      <c r="N1217" s="77"/>
      <c r="O1217" s="77"/>
      <c r="P1217" s="77"/>
      <c r="Q1217" s="77"/>
      <c r="R1217" s="77"/>
      <c r="S1217" s="77"/>
      <c r="T1217" s="77"/>
      <c r="U1217" s="77"/>
      <c r="V1217" s="77"/>
      <c r="W1217" s="77"/>
      <c r="X1217" s="77"/>
      <c r="Y1217" s="77"/>
      <c r="Z1217" s="77"/>
      <c r="AA1217" s="77"/>
      <c r="AB1217" s="77"/>
      <c r="AC1217" s="77"/>
      <c r="AD1217" s="77"/>
      <c r="AE1217" s="77"/>
      <c r="AF1217" s="77"/>
      <c r="AG1217" s="77"/>
      <c r="AH1217" s="77"/>
      <c r="AI1217" s="77"/>
      <c r="AJ1217" s="77"/>
      <c r="AK1217" s="77"/>
      <c r="AL1217" s="77"/>
      <c r="AM1217" s="77"/>
      <c r="AN1217" s="77"/>
      <c r="AO1217" s="77"/>
      <c r="AP1217" s="77"/>
      <c r="AQ1217" s="77"/>
      <c r="AR1217" s="77"/>
      <c r="AS1217" s="77"/>
      <c r="AT1217" s="77"/>
      <c r="AU1217" s="77"/>
      <c r="AV1217" s="77"/>
      <c r="AW1217" s="77"/>
      <c r="AX1217" s="77"/>
      <c r="AY1217" s="70" t="s">
        <v>235</v>
      </c>
      <c r="AZ1217" s="70"/>
      <c r="BA1217" s="47"/>
      <c r="BB1217" s="48"/>
      <c r="BI1217" s="42"/>
    </row>
    <row r="1218" spans="1:61" s="24" customFormat="1" ht="19.350000000000001" hidden="1" customHeight="1">
      <c r="A1218" s="32"/>
      <c r="B1218" s="158"/>
      <c r="C1218" s="78" t="s">
        <v>138</v>
      </c>
      <c r="D1218" s="35">
        <f t="shared" si="222"/>
        <v>0.53999999999999992</v>
      </c>
      <c r="E1218" s="76"/>
      <c r="F1218" s="35">
        <f t="shared" si="212"/>
        <v>0.53999999999999992</v>
      </c>
      <c r="G1218" s="153">
        <f>G1214-G1215-G1216-G1217</f>
        <v>0</v>
      </c>
      <c r="H1218" s="153">
        <f t="shared" ref="H1218:AX1218" si="228">H1214-H1215-H1216-H1217</f>
        <v>0.17</v>
      </c>
      <c r="I1218" s="153">
        <f t="shared" si="228"/>
        <v>0</v>
      </c>
      <c r="J1218" s="153">
        <f t="shared" si="228"/>
        <v>0.33999999999999986</v>
      </c>
      <c r="K1218" s="153">
        <f t="shared" si="228"/>
        <v>0</v>
      </c>
      <c r="L1218" s="153">
        <f t="shared" si="228"/>
        <v>0</v>
      </c>
      <c r="M1218" s="153">
        <f t="shared" si="228"/>
        <v>0</v>
      </c>
      <c r="N1218" s="153">
        <f t="shared" si="228"/>
        <v>0</v>
      </c>
      <c r="O1218" s="153">
        <f t="shared" si="228"/>
        <v>0</v>
      </c>
      <c r="P1218" s="154">
        <f t="shared" si="228"/>
        <v>0</v>
      </c>
      <c r="Q1218" s="153">
        <f t="shared" si="228"/>
        <v>0</v>
      </c>
      <c r="R1218" s="153">
        <f t="shared" si="228"/>
        <v>0</v>
      </c>
      <c r="S1218" s="153">
        <f t="shared" si="228"/>
        <v>0</v>
      </c>
      <c r="T1218" s="153">
        <f t="shared" si="228"/>
        <v>0</v>
      </c>
      <c r="U1218" s="153">
        <f t="shared" si="228"/>
        <v>0</v>
      </c>
      <c r="V1218" s="153">
        <f t="shared" si="228"/>
        <v>0</v>
      </c>
      <c r="W1218" s="153">
        <f t="shared" si="228"/>
        <v>0</v>
      </c>
      <c r="X1218" s="153">
        <f t="shared" si="228"/>
        <v>0</v>
      </c>
      <c r="Y1218" s="153">
        <f t="shared" si="228"/>
        <v>0</v>
      </c>
      <c r="Z1218" s="153">
        <f t="shared" si="228"/>
        <v>0.03</v>
      </c>
      <c r="AA1218" s="153">
        <f t="shared" si="228"/>
        <v>0</v>
      </c>
      <c r="AB1218" s="153">
        <f t="shared" si="228"/>
        <v>0</v>
      </c>
      <c r="AC1218" s="153">
        <f t="shared" si="228"/>
        <v>0</v>
      </c>
      <c r="AD1218" s="153">
        <f t="shared" si="228"/>
        <v>0</v>
      </c>
      <c r="AE1218" s="153">
        <f t="shared" si="228"/>
        <v>0</v>
      </c>
      <c r="AF1218" s="153">
        <f t="shared" si="228"/>
        <v>0</v>
      </c>
      <c r="AG1218" s="153">
        <f t="shared" si="228"/>
        <v>0</v>
      </c>
      <c r="AH1218" s="153">
        <f t="shared" si="228"/>
        <v>0</v>
      </c>
      <c r="AI1218" s="153">
        <f t="shared" si="228"/>
        <v>0</v>
      </c>
      <c r="AJ1218" s="153">
        <f t="shared" si="228"/>
        <v>0</v>
      </c>
      <c r="AK1218" s="153">
        <f t="shared" si="228"/>
        <v>0</v>
      </c>
      <c r="AL1218" s="153">
        <f t="shared" si="228"/>
        <v>0</v>
      </c>
      <c r="AM1218" s="153">
        <f t="shared" si="228"/>
        <v>0</v>
      </c>
      <c r="AN1218" s="153">
        <f t="shared" si="228"/>
        <v>0</v>
      </c>
      <c r="AO1218" s="153">
        <f t="shared" si="228"/>
        <v>0</v>
      </c>
      <c r="AP1218" s="153">
        <f t="shared" si="228"/>
        <v>0</v>
      </c>
      <c r="AQ1218" s="153">
        <f t="shared" si="228"/>
        <v>0</v>
      </c>
      <c r="AR1218" s="153">
        <f t="shared" si="228"/>
        <v>0</v>
      </c>
      <c r="AS1218" s="153">
        <f t="shared" si="228"/>
        <v>0</v>
      </c>
      <c r="AT1218" s="153">
        <f t="shared" si="228"/>
        <v>0</v>
      </c>
      <c r="AU1218" s="153">
        <f t="shared" si="228"/>
        <v>0</v>
      </c>
      <c r="AV1218" s="153">
        <f t="shared" si="228"/>
        <v>0</v>
      </c>
      <c r="AW1218" s="153">
        <f t="shared" si="228"/>
        <v>0</v>
      </c>
      <c r="AX1218" s="153">
        <f t="shared" si="228"/>
        <v>0</v>
      </c>
      <c r="AY1218" s="70" t="s">
        <v>235</v>
      </c>
      <c r="AZ1218" s="70"/>
      <c r="BA1218" s="47"/>
      <c r="BB1218" s="48"/>
      <c r="BI1218" s="42"/>
    </row>
    <row r="1219" spans="1:61" s="24" customFormat="1" ht="19.350000000000001" customHeight="1">
      <c r="A1219" s="32">
        <f>A1214+1</f>
        <v>768</v>
      </c>
      <c r="B1219" s="158" t="s">
        <v>186</v>
      </c>
      <c r="C1219" s="78" t="s">
        <v>1260</v>
      </c>
      <c r="D1219" s="35">
        <f t="shared" si="222"/>
        <v>1.8</v>
      </c>
      <c r="E1219" s="76"/>
      <c r="F1219" s="35">
        <f t="shared" si="212"/>
        <v>1.8</v>
      </c>
      <c r="G1219" s="77">
        <v>1.69</v>
      </c>
      <c r="H1219" s="77"/>
      <c r="I1219" s="77"/>
      <c r="J1219" s="77"/>
      <c r="K1219" s="77"/>
      <c r="L1219" s="77"/>
      <c r="M1219" s="77"/>
      <c r="N1219" s="77"/>
      <c r="O1219" s="77"/>
      <c r="P1219" s="77"/>
      <c r="Q1219" s="77"/>
      <c r="R1219" s="77"/>
      <c r="S1219" s="77"/>
      <c r="T1219" s="77"/>
      <c r="U1219" s="77"/>
      <c r="V1219" s="77"/>
      <c r="W1219" s="77"/>
      <c r="X1219" s="77"/>
      <c r="Y1219" s="77"/>
      <c r="Z1219" s="77"/>
      <c r="AA1219" s="77">
        <v>0.11</v>
      </c>
      <c r="AB1219" s="77"/>
      <c r="AC1219" s="77"/>
      <c r="AD1219" s="77"/>
      <c r="AE1219" s="77"/>
      <c r="AF1219" s="77"/>
      <c r="AG1219" s="77"/>
      <c r="AH1219" s="77"/>
      <c r="AI1219" s="77"/>
      <c r="AJ1219" s="77"/>
      <c r="AK1219" s="77"/>
      <c r="AL1219" s="77"/>
      <c r="AM1219" s="77"/>
      <c r="AN1219" s="77"/>
      <c r="AO1219" s="77"/>
      <c r="AP1219" s="77"/>
      <c r="AQ1219" s="77"/>
      <c r="AR1219" s="77"/>
      <c r="AS1219" s="77"/>
      <c r="AT1219" s="77"/>
      <c r="AU1219" s="77"/>
      <c r="AV1219" s="77"/>
      <c r="AW1219" s="77"/>
      <c r="AX1219" s="77"/>
      <c r="AY1219" s="70" t="s">
        <v>235</v>
      </c>
      <c r="AZ1219" s="70" t="s">
        <v>328</v>
      </c>
      <c r="BA1219" s="118" t="s">
        <v>291</v>
      </c>
      <c r="BB1219" s="72"/>
      <c r="BC1219" s="24" t="s">
        <v>1574</v>
      </c>
      <c r="BG1219" s="24" t="s">
        <v>1575</v>
      </c>
      <c r="BI1219" s="42">
        <v>1</v>
      </c>
    </row>
    <row r="1220" spans="1:61" s="24" customFormat="1" ht="19.350000000000001" hidden="1" customHeight="1">
      <c r="A1220" s="32"/>
      <c r="B1220" s="158"/>
      <c r="C1220" s="78" t="s">
        <v>59</v>
      </c>
      <c r="D1220" s="35">
        <f t="shared" si="222"/>
        <v>0.68</v>
      </c>
      <c r="E1220" s="76"/>
      <c r="F1220" s="35">
        <f t="shared" si="212"/>
        <v>0.68</v>
      </c>
      <c r="G1220" s="77">
        <v>0.63</v>
      </c>
      <c r="H1220" s="77"/>
      <c r="I1220" s="77"/>
      <c r="J1220" s="77"/>
      <c r="K1220" s="77"/>
      <c r="L1220" s="77"/>
      <c r="M1220" s="77"/>
      <c r="N1220" s="77"/>
      <c r="O1220" s="77"/>
      <c r="P1220" s="77"/>
      <c r="Q1220" s="77"/>
      <c r="R1220" s="77"/>
      <c r="S1220" s="77"/>
      <c r="T1220" s="77"/>
      <c r="U1220" s="77"/>
      <c r="V1220" s="77"/>
      <c r="W1220" s="77"/>
      <c r="X1220" s="77"/>
      <c r="Y1220" s="77"/>
      <c r="Z1220" s="77"/>
      <c r="AA1220" s="77">
        <v>0.05</v>
      </c>
      <c r="AB1220" s="77"/>
      <c r="AC1220" s="77"/>
      <c r="AD1220" s="77"/>
      <c r="AE1220" s="77"/>
      <c r="AF1220" s="77"/>
      <c r="AG1220" s="77"/>
      <c r="AH1220" s="77"/>
      <c r="AI1220" s="77"/>
      <c r="AJ1220" s="77"/>
      <c r="AK1220" s="77"/>
      <c r="AL1220" s="77"/>
      <c r="AM1220" s="77"/>
      <c r="AN1220" s="77"/>
      <c r="AO1220" s="77"/>
      <c r="AP1220" s="77"/>
      <c r="AQ1220" s="77"/>
      <c r="AR1220" s="77"/>
      <c r="AS1220" s="77"/>
      <c r="AT1220" s="77"/>
      <c r="AU1220" s="77"/>
      <c r="AV1220" s="77"/>
      <c r="AW1220" s="77"/>
      <c r="AX1220" s="77"/>
      <c r="AY1220" s="70" t="s">
        <v>235</v>
      </c>
      <c r="AZ1220" s="70"/>
      <c r="BA1220" s="118"/>
      <c r="BB1220" s="72"/>
      <c r="BI1220" s="42"/>
    </row>
    <row r="1221" spans="1:61" s="24" customFormat="1" ht="19.350000000000001" hidden="1" customHeight="1">
      <c r="A1221" s="32"/>
      <c r="B1221" s="158"/>
      <c r="C1221" s="78" t="s">
        <v>44</v>
      </c>
      <c r="D1221" s="35">
        <f t="shared" si="222"/>
        <v>0.63</v>
      </c>
      <c r="E1221" s="76"/>
      <c r="F1221" s="35">
        <f t="shared" si="212"/>
        <v>0.63</v>
      </c>
      <c r="G1221" s="77">
        <v>0.63</v>
      </c>
      <c r="H1221" s="77"/>
      <c r="I1221" s="77"/>
      <c r="J1221" s="77"/>
      <c r="K1221" s="77"/>
      <c r="L1221" s="77"/>
      <c r="M1221" s="77"/>
      <c r="N1221" s="77"/>
      <c r="O1221" s="77"/>
      <c r="P1221" s="77"/>
      <c r="Q1221" s="77"/>
      <c r="R1221" s="77"/>
      <c r="S1221" s="77"/>
      <c r="T1221" s="77"/>
      <c r="U1221" s="77"/>
      <c r="V1221" s="77"/>
      <c r="W1221" s="77"/>
      <c r="X1221" s="77"/>
      <c r="Y1221" s="77"/>
      <c r="Z1221" s="77"/>
      <c r="AA1221" s="77"/>
      <c r="AB1221" s="77"/>
      <c r="AC1221" s="77"/>
      <c r="AD1221" s="77"/>
      <c r="AE1221" s="77"/>
      <c r="AF1221" s="77"/>
      <c r="AG1221" s="77"/>
      <c r="AH1221" s="77"/>
      <c r="AI1221" s="77"/>
      <c r="AJ1221" s="77"/>
      <c r="AK1221" s="77"/>
      <c r="AL1221" s="77"/>
      <c r="AM1221" s="77"/>
      <c r="AN1221" s="77"/>
      <c r="AO1221" s="77"/>
      <c r="AP1221" s="77"/>
      <c r="AQ1221" s="77"/>
      <c r="AR1221" s="77"/>
      <c r="AS1221" s="77"/>
      <c r="AT1221" s="77"/>
      <c r="AU1221" s="77"/>
      <c r="AV1221" s="77"/>
      <c r="AW1221" s="77"/>
      <c r="AX1221" s="77"/>
      <c r="AY1221" s="70" t="s">
        <v>235</v>
      </c>
      <c r="AZ1221" s="70"/>
      <c r="BA1221" s="118"/>
      <c r="BB1221" s="72"/>
      <c r="BI1221" s="42"/>
    </row>
    <row r="1222" spans="1:61" s="24" customFormat="1" ht="19.350000000000001" hidden="1" customHeight="1">
      <c r="A1222" s="32"/>
      <c r="B1222" s="158"/>
      <c r="C1222" s="78" t="s">
        <v>45</v>
      </c>
      <c r="D1222" s="35">
        <f t="shared" si="222"/>
        <v>0.18</v>
      </c>
      <c r="E1222" s="76"/>
      <c r="F1222" s="35">
        <f t="shared" si="212"/>
        <v>0.18</v>
      </c>
      <c r="G1222" s="77">
        <v>0.18</v>
      </c>
      <c r="H1222" s="77"/>
      <c r="I1222" s="77"/>
      <c r="J1222" s="77"/>
      <c r="K1222" s="77"/>
      <c r="L1222" s="77"/>
      <c r="M1222" s="77"/>
      <c r="N1222" s="77"/>
      <c r="O1222" s="77"/>
      <c r="P1222" s="77"/>
      <c r="Q1222" s="77"/>
      <c r="R1222" s="77"/>
      <c r="S1222" s="77"/>
      <c r="T1222" s="77"/>
      <c r="U1222" s="77"/>
      <c r="V1222" s="77"/>
      <c r="W1222" s="77"/>
      <c r="X1222" s="77"/>
      <c r="Y1222" s="77"/>
      <c r="Z1222" s="77"/>
      <c r="AA1222" s="77"/>
      <c r="AB1222" s="77"/>
      <c r="AC1222" s="77"/>
      <c r="AD1222" s="77"/>
      <c r="AE1222" s="77"/>
      <c r="AF1222" s="77"/>
      <c r="AG1222" s="77"/>
      <c r="AH1222" s="77"/>
      <c r="AI1222" s="77"/>
      <c r="AJ1222" s="77"/>
      <c r="AK1222" s="77"/>
      <c r="AL1222" s="77"/>
      <c r="AM1222" s="77"/>
      <c r="AN1222" s="77"/>
      <c r="AO1222" s="77"/>
      <c r="AP1222" s="77"/>
      <c r="AQ1222" s="77"/>
      <c r="AR1222" s="77"/>
      <c r="AS1222" s="77"/>
      <c r="AT1222" s="77"/>
      <c r="AU1222" s="77"/>
      <c r="AV1222" s="77"/>
      <c r="AW1222" s="77"/>
      <c r="AX1222" s="77"/>
      <c r="AY1222" s="70" t="s">
        <v>235</v>
      </c>
      <c r="AZ1222" s="70"/>
      <c r="BA1222" s="118"/>
      <c r="BB1222" s="72"/>
      <c r="BI1222" s="42"/>
    </row>
    <row r="1223" spans="1:61" s="24" customFormat="1" ht="19.350000000000001" hidden="1" customHeight="1">
      <c r="A1223" s="32"/>
      <c r="B1223" s="158"/>
      <c r="C1223" s="78" t="s">
        <v>138</v>
      </c>
      <c r="D1223" s="35">
        <f t="shared" si="222"/>
        <v>0.31000000000000005</v>
      </c>
      <c r="E1223" s="76"/>
      <c r="F1223" s="35">
        <f t="shared" si="212"/>
        <v>0.31000000000000005</v>
      </c>
      <c r="G1223" s="153">
        <f t="shared" ref="G1223:AW1223" si="229">G1219-G1220-G1221-G1222</f>
        <v>0.25000000000000006</v>
      </c>
      <c r="H1223" s="153">
        <f t="shared" si="229"/>
        <v>0</v>
      </c>
      <c r="I1223" s="153">
        <f t="shared" si="229"/>
        <v>0</v>
      </c>
      <c r="J1223" s="153">
        <f t="shared" si="229"/>
        <v>0</v>
      </c>
      <c r="K1223" s="153">
        <f t="shared" si="229"/>
        <v>0</v>
      </c>
      <c r="L1223" s="153">
        <f t="shared" si="229"/>
        <v>0</v>
      </c>
      <c r="M1223" s="153">
        <f t="shared" si="229"/>
        <v>0</v>
      </c>
      <c r="N1223" s="153">
        <f t="shared" si="229"/>
        <v>0</v>
      </c>
      <c r="O1223" s="153">
        <f t="shared" si="229"/>
        <v>0</v>
      </c>
      <c r="P1223" s="153">
        <f t="shared" si="229"/>
        <v>0</v>
      </c>
      <c r="Q1223" s="153">
        <f t="shared" si="229"/>
        <v>0</v>
      </c>
      <c r="R1223" s="153">
        <f t="shared" si="229"/>
        <v>0</v>
      </c>
      <c r="S1223" s="153">
        <f t="shared" si="229"/>
        <v>0</v>
      </c>
      <c r="T1223" s="153">
        <f t="shared" si="229"/>
        <v>0</v>
      </c>
      <c r="U1223" s="153">
        <f t="shared" si="229"/>
        <v>0</v>
      </c>
      <c r="V1223" s="153">
        <f t="shared" si="229"/>
        <v>0</v>
      </c>
      <c r="W1223" s="153">
        <f t="shared" si="229"/>
        <v>0</v>
      </c>
      <c r="X1223" s="153">
        <f t="shared" si="229"/>
        <v>0</v>
      </c>
      <c r="Y1223" s="153">
        <f t="shared" si="229"/>
        <v>0</v>
      </c>
      <c r="Z1223" s="153">
        <f t="shared" si="229"/>
        <v>0</v>
      </c>
      <c r="AA1223" s="153">
        <f t="shared" si="229"/>
        <v>0.06</v>
      </c>
      <c r="AB1223" s="153">
        <f t="shared" si="229"/>
        <v>0</v>
      </c>
      <c r="AC1223" s="153">
        <f t="shared" si="229"/>
        <v>0</v>
      </c>
      <c r="AD1223" s="153">
        <f t="shared" si="229"/>
        <v>0</v>
      </c>
      <c r="AE1223" s="153">
        <f t="shared" si="229"/>
        <v>0</v>
      </c>
      <c r="AF1223" s="153">
        <f t="shared" si="229"/>
        <v>0</v>
      </c>
      <c r="AG1223" s="153">
        <f t="shared" si="229"/>
        <v>0</v>
      </c>
      <c r="AH1223" s="153">
        <f t="shared" si="229"/>
        <v>0</v>
      </c>
      <c r="AI1223" s="153">
        <f t="shared" si="229"/>
        <v>0</v>
      </c>
      <c r="AJ1223" s="153">
        <f t="shared" si="229"/>
        <v>0</v>
      </c>
      <c r="AK1223" s="153">
        <f t="shared" si="229"/>
        <v>0</v>
      </c>
      <c r="AL1223" s="153">
        <f t="shared" si="229"/>
        <v>0</v>
      </c>
      <c r="AM1223" s="153">
        <f t="shared" si="229"/>
        <v>0</v>
      </c>
      <c r="AN1223" s="153">
        <f t="shared" si="229"/>
        <v>0</v>
      </c>
      <c r="AO1223" s="153">
        <f t="shared" si="229"/>
        <v>0</v>
      </c>
      <c r="AP1223" s="153">
        <f t="shared" si="229"/>
        <v>0</v>
      </c>
      <c r="AQ1223" s="153">
        <f t="shared" si="229"/>
        <v>0</v>
      </c>
      <c r="AR1223" s="153">
        <f t="shared" si="229"/>
        <v>0</v>
      </c>
      <c r="AS1223" s="153">
        <f t="shared" si="229"/>
        <v>0</v>
      </c>
      <c r="AT1223" s="153">
        <f t="shared" si="229"/>
        <v>0</v>
      </c>
      <c r="AU1223" s="153">
        <f t="shared" si="229"/>
        <v>0</v>
      </c>
      <c r="AV1223" s="153">
        <f t="shared" si="229"/>
        <v>0</v>
      </c>
      <c r="AW1223" s="153">
        <f t="shared" si="229"/>
        <v>0</v>
      </c>
      <c r="AX1223" s="153">
        <f>AX1219-AX1220-AX1221-AX1222</f>
        <v>0</v>
      </c>
      <c r="AY1223" s="70" t="s">
        <v>235</v>
      </c>
      <c r="AZ1223" s="70"/>
      <c r="BA1223" s="118"/>
      <c r="BB1223" s="72"/>
      <c r="BI1223" s="42"/>
    </row>
    <row r="1224" spans="1:61" s="24" customFormat="1" ht="19.350000000000001" customHeight="1">
      <c r="A1224" s="32">
        <f>A1219+1</f>
        <v>769</v>
      </c>
      <c r="B1224" s="158" t="s">
        <v>186</v>
      </c>
      <c r="C1224" s="78" t="s">
        <v>1260</v>
      </c>
      <c r="D1224" s="35">
        <f t="shared" si="222"/>
        <v>1.17</v>
      </c>
      <c r="E1224" s="76"/>
      <c r="F1224" s="35">
        <f t="shared" si="212"/>
        <v>1.17</v>
      </c>
      <c r="G1224" s="77">
        <v>1.17</v>
      </c>
      <c r="H1224" s="77"/>
      <c r="I1224" s="77"/>
      <c r="J1224" s="77"/>
      <c r="K1224" s="77"/>
      <c r="L1224" s="77"/>
      <c r="M1224" s="77"/>
      <c r="N1224" s="77"/>
      <c r="O1224" s="77"/>
      <c r="P1224" s="77"/>
      <c r="Q1224" s="77"/>
      <c r="R1224" s="77"/>
      <c r="S1224" s="77"/>
      <c r="T1224" s="77"/>
      <c r="U1224" s="77"/>
      <c r="V1224" s="77"/>
      <c r="W1224" s="77"/>
      <c r="X1224" s="77"/>
      <c r="Y1224" s="77"/>
      <c r="Z1224" s="77"/>
      <c r="AA1224" s="77"/>
      <c r="AB1224" s="77"/>
      <c r="AC1224" s="77"/>
      <c r="AD1224" s="77"/>
      <c r="AE1224" s="77"/>
      <c r="AF1224" s="77"/>
      <c r="AG1224" s="77"/>
      <c r="AH1224" s="77"/>
      <c r="AI1224" s="77"/>
      <c r="AJ1224" s="77"/>
      <c r="AK1224" s="77"/>
      <c r="AL1224" s="77"/>
      <c r="AM1224" s="77"/>
      <c r="AN1224" s="77"/>
      <c r="AO1224" s="77"/>
      <c r="AP1224" s="77"/>
      <c r="AQ1224" s="77"/>
      <c r="AR1224" s="77"/>
      <c r="AS1224" s="77"/>
      <c r="AT1224" s="77"/>
      <c r="AU1224" s="77"/>
      <c r="AV1224" s="77"/>
      <c r="AW1224" s="77"/>
      <c r="AX1224" s="77"/>
      <c r="AY1224" s="70" t="s">
        <v>235</v>
      </c>
      <c r="AZ1224" s="70" t="s">
        <v>305</v>
      </c>
      <c r="BA1224" s="118" t="s">
        <v>291</v>
      </c>
      <c r="BB1224" s="72"/>
      <c r="BI1224" s="42">
        <v>1</v>
      </c>
    </row>
    <row r="1225" spans="1:61" s="24" customFormat="1" ht="19.350000000000001" hidden="1" customHeight="1">
      <c r="A1225" s="32"/>
      <c r="B1225" s="158"/>
      <c r="C1225" s="78" t="s">
        <v>59</v>
      </c>
      <c r="D1225" s="35">
        <f t="shared" si="222"/>
        <v>0.41</v>
      </c>
      <c r="E1225" s="76"/>
      <c r="F1225" s="35">
        <f t="shared" si="212"/>
        <v>0.41</v>
      </c>
      <c r="G1225" s="77">
        <v>0.41</v>
      </c>
      <c r="H1225" s="77"/>
      <c r="I1225" s="77"/>
      <c r="J1225" s="77"/>
      <c r="K1225" s="77"/>
      <c r="L1225" s="77"/>
      <c r="M1225" s="77"/>
      <c r="N1225" s="77"/>
      <c r="O1225" s="77"/>
      <c r="P1225" s="77"/>
      <c r="Q1225" s="77"/>
      <c r="R1225" s="77"/>
      <c r="S1225" s="77"/>
      <c r="T1225" s="77"/>
      <c r="U1225" s="77"/>
      <c r="V1225" s="77"/>
      <c r="W1225" s="77"/>
      <c r="X1225" s="77"/>
      <c r="Y1225" s="77"/>
      <c r="Z1225" s="77"/>
      <c r="AA1225" s="77"/>
      <c r="AB1225" s="77"/>
      <c r="AC1225" s="77"/>
      <c r="AD1225" s="77"/>
      <c r="AE1225" s="77"/>
      <c r="AF1225" s="77"/>
      <c r="AG1225" s="77"/>
      <c r="AH1225" s="77"/>
      <c r="AI1225" s="77"/>
      <c r="AJ1225" s="77"/>
      <c r="AK1225" s="77"/>
      <c r="AL1225" s="77"/>
      <c r="AM1225" s="77"/>
      <c r="AN1225" s="77"/>
      <c r="AO1225" s="77"/>
      <c r="AP1225" s="77"/>
      <c r="AQ1225" s="77"/>
      <c r="AR1225" s="77"/>
      <c r="AS1225" s="77"/>
      <c r="AT1225" s="77"/>
      <c r="AU1225" s="77"/>
      <c r="AV1225" s="77"/>
      <c r="AW1225" s="77"/>
      <c r="AX1225" s="77"/>
      <c r="AY1225" s="70" t="s">
        <v>235</v>
      </c>
      <c r="AZ1225" s="70"/>
      <c r="BA1225" s="118"/>
      <c r="BB1225" s="72"/>
      <c r="BI1225" s="42"/>
    </row>
    <row r="1226" spans="1:61" s="24" customFormat="1" ht="19.350000000000001" hidden="1" customHeight="1">
      <c r="A1226" s="32"/>
      <c r="B1226" s="158"/>
      <c r="C1226" s="78" t="s">
        <v>44</v>
      </c>
      <c r="D1226" s="35">
        <f t="shared" si="222"/>
        <v>0.47</v>
      </c>
      <c r="E1226" s="76"/>
      <c r="F1226" s="35">
        <f t="shared" ref="F1226:F1238" si="230">SUM(G1226:AX1226)</f>
        <v>0.47</v>
      </c>
      <c r="G1226" s="77">
        <v>0.47</v>
      </c>
      <c r="H1226" s="77"/>
      <c r="I1226" s="77"/>
      <c r="J1226" s="77"/>
      <c r="K1226" s="77"/>
      <c r="L1226" s="77"/>
      <c r="M1226" s="77"/>
      <c r="N1226" s="77"/>
      <c r="O1226" s="77"/>
      <c r="P1226" s="77"/>
      <c r="Q1226" s="77"/>
      <c r="R1226" s="77"/>
      <c r="S1226" s="77"/>
      <c r="T1226" s="77"/>
      <c r="U1226" s="77"/>
      <c r="V1226" s="77"/>
      <c r="W1226" s="77"/>
      <c r="X1226" s="77"/>
      <c r="Y1226" s="77"/>
      <c r="Z1226" s="77"/>
      <c r="AA1226" s="77"/>
      <c r="AB1226" s="77"/>
      <c r="AC1226" s="77"/>
      <c r="AD1226" s="77"/>
      <c r="AE1226" s="77"/>
      <c r="AF1226" s="77"/>
      <c r="AG1226" s="77"/>
      <c r="AH1226" s="77"/>
      <c r="AI1226" s="77"/>
      <c r="AJ1226" s="77"/>
      <c r="AK1226" s="77"/>
      <c r="AL1226" s="77"/>
      <c r="AM1226" s="77"/>
      <c r="AN1226" s="77"/>
      <c r="AO1226" s="77"/>
      <c r="AP1226" s="77"/>
      <c r="AQ1226" s="77"/>
      <c r="AR1226" s="77"/>
      <c r="AS1226" s="77"/>
      <c r="AT1226" s="77"/>
      <c r="AU1226" s="77"/>
      <c r="AV1226" s="77"/>
      <c r="AW1226" s="77"/>
      <c r="AX1226" s="77"/>
      <c r="AY1226" s="70" t="s">
        <v>235</v>
      </c>
      <c r="AZ1226" s="70"/>
      <c r="BA1226" s="118"/>
      <c r="BB1226" s="72"/>
      <c r="BI1226" s="42"/>
    </row>
    <row r="1227" spans="1:61" s="24" customFormat="1" ht="19.350000000000001" hidden="1" customHeight="1">
      <c r="A1227" s="32"/>
      <c r="B1227" s="158"/>
      <c r="C1227" s="78" t="s">
        <v>138</v>
      </c>
      <c r="D1227" s="35">
        <f t="shared" si="222"/>
        <v>0.29000000000000004</v>
      </c>
      <c r="E1227" s="76"/>
      <c r="F1227" s="35">
        <f t="shared" si="230"/>
        <v>0.29000000000000004</v>
      </c>
      <c r="G1227" s="153">
        <f>G1224-G1225-G1226</f>
        <v>0.29000000000000004</v>
      </c>
      <c r="H1227" s="153">
        <f t="shared" ref="H1227:AX1227" si="231">H1224-H1225-H1226</f>
        <v>0</v>
      </c>
      <c r="I1227" s="153">
        <f t="shared" si="231"/>
        <v>0</v>
      </c>
      <c r="J1227" s="153">
        <f t="shared" si="231"/>
        <v>0</v>
      </c>
      <c r="K1227" s="153">
        <f t="shared" si="231"/>
        <v>0</v>
      </c>
      <c r="L1227" s="153">
        <f t="shared" si="231"/>
        <v>0</v>
      </c>
      <c r="M1227" s="153">
        <f t="shared" si="231"/>
        <v>0</v>
      </c>
      <c r="N1227" s="153">
        <f t="shared" si="231"/>
        <v>0</v>
      </c>
      <c r="O1227" s="153">
        <f t="shared" si="231"/>
        <v>0</v>
      </c>
      <c r="P1227" s="153">
        <f t="shared" si="231"/>
        <v>0</v>
      </c>
      <c r="Q1227" s="153">
        <f t="shared" si="231"/>
        <v>0</v>
      </c>
      <c r="R1227" s="153">
        <f t="shared" si="231"/>
        <v>0</v>
      </c>
      <c r="S1227" s="153">
        <f t="shared" si="231"/>
        <v>0</v>
      </c>
      <c r="T1227" s="153">
        <f t="shared" si="231"/>
        <v>0</v>
      </c>
      <c r="U1227" s="153">
        <f t="shared" si="231"/>
        <v>0</v>
      </c>
      <c r="V1227" s="153">
        <f t="shared" si="231"/>
        <v>0</v>
      </c>
      <c r="W1227" s="153">
        <f t="shared" si="231"/>
        <v>0</v>
      </c>
      <c r="X1227" s="153">
        <f t="shared" si="231"/>
        <v>0</v>
      </c>
      <c r="Y1227" s="153">
        <f t="shared" si="231"/>
        <v>0</v>
      </c>
      <c r="Z1227" s="153">
        <f t="shared" si="231"/>
        <v>0</v>
      </c>
      <c r="AA1227" s="153">
        <f t="shared" si="231"/>
        <v>0</v>
      </c>
      <c r="AB1227" s="153">
        <f t="shared" si="231"/>
        <v>0</v>
      </c>
      <c r="AC1227" s="153">
        <f t="shared" si="231"/>
        <v>0</v>
      </c>
      <c r="AD1227" s="153">
        <f t="shared" si="231"/>
        <v>0</v>
      </c>
      <c r="AE1227" s="153">
        <f t="shared" si="231"/>
        <v>0</v>
      </c>
      <c r="AF1227" s="153">
        <f t="shared" si="231"/>
        <v>0</v>
      </c>
      <c r="AG1227" s="153">
        <f t="shared" si="231"/>
        <v>0</v>
      </c>
      <c r="AH1227" s="153">
        <f t="shared" si="231"/>
        <v>0</v>
      </c>
      <c r="AI1227" s="153">
        <f t="shared" si="231"/>
        <v>0</v>
      </c>
      <c r="AJ1227" s="153">
        <f t="shared" si="231"/>
        <v>0</v>
      </c>
      <c r="AK1227" s="153">
        <f t="shared" si="231"/>
        <v>0</v>
      </c>
      <c r="AL1227" s="153">
        <f t="shared" si="231"/>
        <v>0</v>
      </c>
      <c r="AM1227" s="153">
        <f t="shared" si="231"/>
        <v>0</v>
      </c>
      <c r="AN1227" s="153">
        <f t="shared" si="231"/>
        <v>0</v>
      </c>
      <c r="AO1227" s="153">
        <f t="shared" si="231"/>
        <v>0</v>
      </c>
      <c r="AP1227" s="153">
        <f t="shared" si="231"/>
        <v>0</v>
      </c>
      <c r="AQ1227" s="153">
        <f t="shared" si="231"/>
        <v>0</v>
      </c>
      <c r="AR1227" s="153">
        <f t="shared" si="231"/>
        <v>0</v>
      </c>
      <c r="AS1227" s="153">
        <f t="shared" si="231"/>
        <v>0</v>
      </c>
      <c r="AT1227" s="153">
        <f t="shared" si="231"/>
        <v>0</v>
      </c>
      <c r="AU1227" s="153">
        <f t="shared" si="231"/>
        <v>0</v>
      </c>
      <c r="AV1227" s="153">
        <f t="shared" si="231"/>
        <v>0</v>
      </c>
      <c r="AW1227" s="153">
        <f t="shared" si="231"/>
        <v>0</v>
      </c>
      <c r="AX1227" s="153">
        <f t="shared" si="231"/>
        <v>0</v>
      </c>
      <c r="AY1227" s="70" t="s">
        <v>235</v>
      </c>
      <c r="AZ1227" s="70"/>
      <c r="BA1227" s="118"/>
      <c r="BB1227" s="72"/>
      <c r="BI1227" s="42"/>
    </row>
    <row r="1228" spans="1:61" s="24" customFormat="1" ht="19.350000000000001" customHeight="1">
      <c r="A1228" s="32">
        <f>A1224+1</f>
        <v>770</v>
      </c>
      <c r="B1228" s="158" t="s">
        <v>186</v>
      </c>
      <c r="C1228" s="78" t="s">
        <v>1260</v>
      </c>
      <c r="D1228" s="35">
        <f t="shared" si="222"/>
        <v>2.85</v>
      </c>
      <c r="E1228" s="76"/>
      <c r="F1228" s="35">
        <f t="shared" si="230"/>
        <v>2.85</v>
      </c>
      <c r="G1228" s="77">
        <v>0.83</v>
      </c>
      <c r="H1228" s="77">
        <v>1.62</v>
      </c>
      <c r="I1228" s="77"/>
      <c r="J1228" s="77"/>
      <c r="K1228" s="77"/>
      <c r="L1228" s="77"/>
      <c r="M1228" s="77"/>
      <c r="N1228" s="77"/>
      <c r="O1228" s="77"/>
      <c r="P1228" s="77">
        <v>0.23</v>
      </c>
      <c r="Q1228" s="77"/>
      <c r="R1228" s="77"/>
      <c r="S1228" s="77"/>
      <c r="T1228" s="77"/>
      <c r="U1228" s="77"/>
      <c r="V1228" s="77"/>
      <c r="W1228" s="77"/>
      <c r="X1228" s="77"/>
      <c r="Y1228" s="77"/>
      <c r="Z1228" s="77"/>
      <c r="AA1228" s="77">
        <v>0.17</v>
      </c>
      <c r="AB1228" s="77"/>
      <c r="AC1228" s="77"/>
      <c r="AD1228" s="77"/>
      <c r="AE1228" s="77"/>
      <c r="AF1228" s="77"/>
      <c r="AG1228" s="77"/>
      <c r="AH1228" s="77"/>
      <c r="AI1228" s="77"/>
      <c r="AJ1228" s="77"/>
      <c r="AK1228" s="77"/>
      <c r="AL1228" s="77"/>
      <c r="AM1228" s="77"/>
      <c r="AN1228" s="77"/>
      <c r="AO1228" s="77"/>
      <c r="AP1228" s="77"/>
      <c r="AQ1228" s="77"/>
      <c r="AR1228" s="77"/>
      <c r="AS1228" s="77"/>
      <c r="AT1228" s="77"/>
      <c r="AU1228" s="77"/>
      <c r="AV1228" s="77"/>
      <c r="AW1228" s="77"/>
      <c r="AX1228" s="77"/>
      <c r="AY1228" s="70" t="s">
        <v>235</v>
      </c>
      <c r="AZ1228" s="70" t="s">
        <v>417</v>
      </c>
      <c r="BA1228" s="118" t="s">
        <v>291</v>
      </c>
      <c r="BB1228" s="72" t="s">
        <v>1576</v>
      </c>
      <c r="BI1228" s="42">
        <v>1</v>
      </c>
    </row>
    <row r="1229" spans="1:61" s="24" customFormat="1" ht="19.350000000000001" hidden="1" customHeight="1">
      <c r="A1229" s="32"/>
      <c r="B1229" s="158"/>
      <c r="C1229" s="78" t="s">
        <v>59</v>
      </c>
      <c r="D1229" s="35">
        <f t="shared" si="222"/>
        <v>0.99999999999999989</v>
      </c>
      <c r="E1229" s="76"/>
      <c r="F1229" s="35">
        <f t="shared" si="230"/>
        <v>0.99999999999999989</v>
      </c>
      <c r="G1229" s="77">
        <v>0.33</v>
      </c>
      <c r="H1229" s="77">
        <v>0.56999999999999995</v>
      </c>
      <c r="I1229" s="77"/>
      <c r="J1229" s="77"/>
      <c r="K1229" s="77"/>
      <c r="L1229" s="77"/>
      <c r="M1229" s="77"/>
      <c r="N1229" s="77"/>
      <c r="O1229" s="77"/>
      <c r="P1229" s="77"/>
      <c r="Q1229" s="77"/>
      <c r="R1229" s="77"/>
      <c r="S1229" s="77"/>
      <c r="T1229" s="77"/>
      <c r="U1229" s="77"/>
      <c r="V1229" s="77"/>
      <c r="W1229" s="77"/>
      <c r="X1229" s="77"/>
      <c r="Y1229" s="77"/>
      <c r="Z1229" s="77"/>
      <c r="AA1229" s="77">
        <v>0.1</v>
      </c>
      <c r="AB1229" s="77"/>
      <c r="AC1229" s="77"/>
      <c r="AD1229" s="77"/>
      <c r="AE1229" s="77"/>
      <c r="AF1229" s="77"/>
      <c r="AG1229" s="77"/>
      <c r="AH1229" s="77"/>
      <c r="AI1229" s="77"/>
      <c r="AJ1229" s="77"/>
      <c r="AK1229" s="77"/>
      <c r="AL1229" s="77"/>
      <c r="AM1229" s="77"/>
      <c r="AN1229" s="77"/>
      <c r="AO1229" s="77"/>
      <c r="AP1229" s="77"/>
      <c r="AQ1229" s="77"/>
      <c r="AR1229" s="77"/>
      <c r="AS1229" s="77"/>
      <c r="AT1229" s="77"/>
      <c r="AU1229" s="77"/>
      <c r="AV1229" s="77"/>
      <c r="AW1229" s="77"/>
      <c r="AX1229" s="77"/>
      <c r="AY1229" s="70" t="s">
        <v>235</v>
      </c>
      <c r="AZ1229" s="70"/>
      <c r="BA1229" s="118"/>
      <c r="BB1229" s="72"/>
      <c r="BI1229" s="42"/>
    </row>
    <row r="1230" spans="1:61" s="24" customFormat="1" ht="19.350000000000001" hidden="1" customHeight="1">
      <c r="A1230" s="32"/>
      <c r="B1230" s="158"/>
      <c r="C1230" s="78" t="s">
        <v>44</v>
      </c>
      <c r="D1230" s="35">
        <f t="shared" si="222"/>
        <v>1</v>
      </c>
      <c r="E1230" s="76"/>
      <c r="F1230" s="35">
        <f t="shared" si="230"/>
        <v>1</v>
      </c>
      <c r="G1230" s="77">
        <v>0.2</v>
      </c>
      <c r="H1230" s="77">
        <v>0.63</v>
      </c>
      <c r="I1230" s="77"/>
      <c r="J1230" s="77"/>
      <c r="K1230" s="77"/>
      <c r="L1230" s="77"/>
      <c r="M1230" s="77"/>
      <c r="N1230" s="77"/>
      <c r="O1230" s="77"/>
      <c r="P1230" s="77">
        <v>0.1</v>
      </c>
      <c r="Q1230" s="77"/>
      <c r="R1230" s="77"/>
      <c r="S1230" s="77"/>
      <c r="T1230" s="77"/>
      <c r="U1230" s="77"/>
      <c r="V1230" s="77"/>
      <c r="W1230" s="77"/>
      <c r="X1230" s="77"/>
      <c r="Y1230" s="77"/>
      <c r="Z1230" s="77"/>
      <c r="AA1230" s="77">
        <v>7.0000000000000007E-2</v>
      </c>
      <c r="AB1230" s="77"/>
      <c r="AC1230" s="77"/>
      <c r="AD1230" s="77"/>
      <c r="AE1230" s="77"/>
      <c r="AF1230" s="77"/>
      <c r="AG1230" s="77"/>
      <c r="AH1230" s="77"/>
      <c r="AI1230" s="77"/>
      <c r="AJ1230" s="77"/>
      <c r="AK1230" s="77"/>
      <c r="AL1230" s="77"/>
      <c r="AM1230" s="77"/>
      <c r="AN1230" s="77"/>
      <c r="AO1230" s="77"/>
      <c r="AP1230" s="77"/>
      <c r="AQ1230" s="77"/>
      <c r="AR1230" s="77"/>
      <c r="AS1230" s="77"/>
      <c r="AT1230" s="77"/>
      <c r="AU1230" s="77"/>
      <c r="AV1230" s="77"/>
      <c r="AW1230" s="77"/>
      <c r="AX1230" s="77"/>
      <c r="AY1230" s="70" t="s">
        <v>235</v>
      </c>
      <c r="AZ1230" s="70"/>
      <c r="BA1230" s="118"/>
      <c r="BB1230" s="72"/>
      <c r="BI1230" s="42"/>
    </row>
    <row r="1231" spans="1:61" s="24" customFormat="1" ht="19.350000000000001" hidden="1" customHeight="1">
      <c r="A1231" s="32"/>
      <c r="B1231" s="158"/>
      <c r="C1231" s="78" t="s">
        <v>45</v>
      </c>
      <c r="D1231" s="35">
        <f t="shared" si="222"/>
        <v>0.28000000000000003</v>
      </c>
      <c r="E1231" s="76"/>
      <c r="F1231" s="35">
        <f t="shared" si="230"/>
        <v>0.28000000000000003</v>
      </c>
      <c r="G1231" s="77">
        <v>0.13</v>
      </c>
      <c r="H1231" s="77">
        <v>0.15</v>
      </c>
      <c r="I1231" s="77"/>
      <c r="J1231" s="77"/>
      <c r="K1231" s="77"/>
      <c r="L1231" s="77"/>
      <c r="M1231" s="77"/>
      <c r="N1231" s="77"/>
      <c r="O1231" s="77"/>
      <c r="P1231" s="77"/>
      <c r="Q1231" s="77"/>
      <c r="R1231" s="77"/>
      <c r="S1231" s="77"/>
      <c r="T1231" s="77"/>
      <c r="U1231" s="77"/>
      <c r="V1231" s="77"/>
      <c r="W1231" s="77"/>
      <c r="X1231" s="77"/>
      <c r="Y1231" s="77"/>
      <c r="Z1231" s="77"/>
      <c r="AA1231" s="77"/>
      <c r="AB1231" s="77"/>
      <c r="AC1231" s="77"/>
      <c r="AD1231" s="77"/>
      <c r="AE1231" s="77"/>
      <c r="AF1231" s="77"/>
      <c r="AG1231" s="77"/>
      <c r="AH1231" s="77"/>
      <c r="AI1231" s="77"/>
      <c r="AJ1231" s="77"/>
      <c r="AK1231" s="77"/>
      <c r="AL1231" s="77"/>
      <c r="AM1231" s="77"/>
      <c r="AN1231" s="77"/>
      <c r="AO1231" s="77"/>
      <c r="AP1231" s="77"/>
      <c r="AQ1231" s="77"/>
      <c r="AR1231" s="77"/>
      <c r="AS1231" s="77"/>
      <c r="AT1231" s="77"/>
      <c r="AU1231" s="77"/>
      <c r="AV1231" s="77"/>
      <c r="AW1231" s="77"/>
      <c r="AX1231" s="77"/>
      <c r="AY1231" s="70" t="s">
        <v>235</v>
      </c>
      <c r="AZ1231" s="70"/>
      <c r="BA1231" s="118"/>
      <c r="BB1231" s="72"/>
      <c r="BI1231" s="42"/>
    </row>
    <row r="1232" spans="1:61" s="24" customFormat="1" ht="19.350000000000001" hidden="1" customHeight="1">
      <c r="A1232" s="32"/>
      <c r="B1232" s="158"/>
      <c r="C1232" s="78" t="s">
        <v>138</v>
      </c>
      <c r="D1232" s="35">
        <f t="shared" si="222"/>
        <v>0.57000000000000017</v>
      </c>
      <c r="E1232" s="76"/>
      <c r="F1232" s="35">
        <f t="shared" si="230"/>
        <v>0.57000000000000017</v>
      </c>
      <c r="G1232" s="153">
        <f>G1228-G1229-G1230-G1231</f>
        <v>0.16999999999999993</v>
      </c>
      <c r="H1232" s="153">
        <f t="shared" ref="H1232:AX1232" si="232">H1228-H1229-H1230-H1231</f>
        <v>0.27000000000000024</v>
      </c>
      <c r="I1232" s="153">
        <f t="shared" si="232"/>
        <v>0</v>
      </c>
      <c r="J1232" s="153">
        <f t="shared" si="232"/>
        <v>0</v>
      </c>
      <c r="K1232" s="153">
        <f t="shared" si="232"/>
        <v>0</v>
      </c>
      <c r="L1232" s="153">
        <f t="shared" si="232"/>
        <v>0</v>
      </c>
      <c r="M1232" s="153">
        <f t="shared" si="232"/>
        <v>0</v>
      </c>
      <c r="N1232" s="153">
        <f t="shared" si="232"/>
        <v>0</v>
      </c>
      <c r="O1232" s="153">
        <f t="shared" si="232"/>
        <v>0</v>
      </c>
      <c r="P1232" s="154">
        <f t="shared" si="232"/>
        <v>0.13</v>
      </c>
      <c r="Q1232" s="153">
        <f t="shared" si="232"/>
        <v>0</v>
      </c>
      <c r="R1232" s="153">
        <f t="shared" si="232"/>
        <v>0</v>
      </c>
      <c r="S1232" s="153">
        <f t="shared" si="232"/>
        <v>0</v>
      </c>
      <c r="T1232" s="153">
        <f t="shared" si="232"/>
        <v>0</v>
      </c>
      <c r="U1232" s="153">
        <f t="shared" si="232"/>
        <v>0</v>
      </c>
      <c r="V1232" s="153">
        <f t="shared" si="232"/>
        <v>0</v>
      </c>
      <c r="W1232" s="153">
        <f t="shared" si="232"/>
        <v>0</v>
      </c>
      <c r="X1232" s="153">
        <f t="shared" si="232"/>
        <v>0</v>
      </c>
      <c r="Y1232" s="153">
        <f t="shared" si="232"/>
        <v>0</v>
      </c>
      <c r="Z1232" s="153">
        <f t="shared" si="232"/>
        <v>0</v>
      </c>
      <c r="AA1232" s="153">
        <f t="shared" si="232"/>
        <v>0</v>
      </c>
      <c r="AB1232" s="153">
        <f t="shared" si="232"/>
        <v>0</v>
      </c>
      <c r="AC1232" s="153">
        <f t="shared" si="232"/>
        <v>0</v>
      </c>
      <c r="AD1232" s="153">
        <f t="shared" si="232"/>
        <v>0</v>
      </c>
      <c r="AE1232" s="153">
        <f t="shared" si="232"/>
        <v>0</v>
      </c>
      <c r="AF1232" s="153">
        <f t="shared" si="232"/>
        <v>0</v>
      </c>
      <c r="AG1232" s="153">
        <f t="shared" si="232"/>
        <v>0</v>
      </c>
      <c r="AH1232" s="153">
        <f t="shared" si="232"/>
        <v>0</v>
      </c>
      <c r="AI1232" s="153">
        <f t="shared" si="232"/>
        <v>0</v>
      </c>
      <c r="AJ1232" s="153">
        <f t="shared" si="232"/>
        <v>0</v>
      </c>
      <c r="AK1232" s="153">
        <f t="shared" si="232"/>
        <v>0</v>
      </c>
      <c r="AL1232" s="153">
        <f t="shared" si="232"/>
        <v>0</v>
      </c>
      <c r="AM1232" s="153">
        <f t="shared" si="232"/>
        <v>0</v>
      </c>
      <c r="AN1232" s="153">
        <f t="shared" si="232"/>
        <v>0</v>
      </c>
      <c r="AO1232" s="153">
        <f t="shared" si="232"/>
        <v>0</v>
      </c>
      <c r="AP1232" s="153">
        <f t="shared" si="232"/>
        <v>0</v>
      </c>
      <c r="AQ1232" s="153">
        <f t="shared" si="232"/>
        <v>0</v>
      </c>
      <c r="AR1232" s="153">
        <f t="shared" si="232"/>
        <v>0</v>
      </c>
      <c r="AS1232" s="153">
        <f t="shared" si="232"/>
        <v>0</v>
      </c>
      <c r="AT1232" s="153">
        <f t="shared" si="232"/>
        <v>0</v>
      </c>
      <c r="AU1232" s="153">
        <f t="shared" si="232"/>
        <v>0</v>
      </c>
      <c r="AV1232" s="153">
        <f t="shared" si="232"/>
        <v>0</v>
      </c>
      <c r="AW1232" s="153">
        <f t="shared" si="232"/>
        <v>0</v>
      </c>
      <c r="AX1232" s="153">
        <f t="shared" si="232"/>
        <v>0</v>
      </c>
      <c r="AY1232" s="70" t="s">
        <v>235</v>
      </c>
      <c r="AZ1232" s="70"/>
      <c r="BA1232" s="118"/>
      <c r="BB1232" s="72"/>
      <c r="BI1232" s="42"/>
    </row>
    <row r="1233" spans="1:72" s="24" customFormat="1" ht="19.350000000000001" customHeight="1">
      <c r="A1233" s="32">
        <f>A1228+1</f>
        <v>771</v>
      </c>
      <c r="B1233" s="158" t="s">
        <v>186</v>
      </c>
      <c r="C1233" s="78" t="s">
        <v>1260</v>
      </c>
      <c r="D1233" s="35">
        <f t="shared" si="222"/>
        <v>1.05</v>
      </c>
      <c r="E1233" s="76"/>
      <c r="F1233" s="35">
        <f t="shared" si="230"/>
        <v>1.05</v>
      </c>
      <c r="G1233" s="77">
        <v>0.91</v>
      </c>
      <c r="H1233" s="77"/>
      <c r="I1233" s="77">
        <v>0.06</v>
      </c>
      <c r="J1233" s="77"/>
      <c r="K1233" s="77"/>
      <c r="L1233" s="77"/>
      <c r="M1233" s="77"/>
      <c r="N1233" s="77"/>
      <c r="O1233" s="77"/>
      <c r="P1233" s="77"/>
      <c r="Q1233" s="77"/>
      <c r="R1233" s="77"/>
      <c r="S1233" s="77"/>
      <c r="T1233" s="77"/>
      <c r="U1233" s="77"/>
      <c r="V1233" s="77"/>
      <c r="W1233" s="77"/>
      <c r="X1233" s="77"/>
      <c r="Y1233" s="77"/>
      <c r="Z1233" s="77">
        <v>0.04</v>
      </c>
      <c r="AA1233" s="77">
        <v>0.04</v>
      </c>
      <c r="AB1233" s="77"/>
      <c r="AC1233" s="77"/>
      <c r="AD1233" s="77"/>
      <c r="AE1233" s="77"/>
      <c r="AF1233" s="77"/>
      <c r="AG1233" s="77"/>
      <c r="AH1233" s="77"/>
      <c r="AI1233" s="77"/>
      <c r="AJ1233" s="77"/>
      <c r="AK1233" s="77"/>
      <c r="AL1233" s="77"/>
      <c r="AM1233" s="77"/>
      <c r="AN1233" s="77"/>
      <c r="AO1233" s="77"/>
      <c r="AP1233" s="77"/>
      <c r="AQ1233" s="77"/>
      <c r="AR1233" s="77"/>
      <c r="AS1233" s="77"/>
      <c r="AT1233" s="77"/>
      <c r="AU1233" s="77"/>
      <c r="AV1233" s="77"/>
      <c r="AW1233" s="77"/>
      <c r="AX1233" s="77"/>
      <c r="AY1233" s="70" t="s">
        <v>235</v>
      </c>
      <c r="AZ1233" s="70" t="s">
        <v>1577</v>
      </c>
      <c r="BA1233" s="118" t="s">
        <v>291</v>
      </c>
      <c r="BB1233" s="72"/>
      <c r="BI1233" s="42">
        <v>1</v>
      </c>
    </row>
    <row r="1234" spans="1:72" s="24" customFormat="1" ht="19.350000000000001" hidden="1" customHeight="1">
      <c r="A1234" s="32"/>
      <c r="B1234" s="158"/>
      <c r="C1234" s="78" t="s">
        <v>59</v>
      </c>
      <c r="D1234" s="35">
        <f t="shared" si="222"/>
        <v>0.39</v>
      </c>
      <c r="E1234" s="76"/>
      <c r="F1234" s="35">
        <f t="shared" si="230"/>
        <v>0.39</v>
      </c>
      <c r="G1234" s="77">
        <v>0.39</v>
      </c>
      <c r="H1234" s="77"/>
      <c r="I1234" s="77"/>
      <c r="J1234" s="77"/>
      <c r="K1234" s="77"/>
      <c r="L1234" s="77"/>
      <c r="M1234" s="77"/>
      <c r="N1234" s="77"/>
      <c r="O1234" s="77"/>
      <c r="P1234" s="77"/>
      <c r="Q1234" s="77"/>
      <c r="R1234" s="77"/>
      <c r="S1234" s="77"/>
      <c r="T1234" s="77"/>
      <c r="U1234" s="77"/>
      <c r="V1234" s="77"/>
      <c r="W1234" s="77"/>
      <c r="X1234" s="77"/>
      <c r="Y1234" s="77"/>
      <c r="Z1234" s="77"/>
      <c r="AA1234" s="77"/>
      <c r="AB1234" s="77"/>
      <c r="AC1234" s="77"/>
      <c r="AD1234" s="77"/>
      <c r="AE1234" s="77"/>
      <c r="AF1234" s="77"/>
      <c r="AG1234" s="77"/>
      <c r="AH1234" s="77"/>
      <c r="AI1234" s="77"/>
      <c r="AJ1234" s="77"/>
      <c r="AK1234" s="77"/>
      <c r="AL1234" s="77"/>
      <c r="AM1234" s="77"/>
      <c r="AN1234" s="77"/>
      <c r="AO1234" s="77"/>
      <c r="AP1234" s="77"/>
      <c r="AQ1234" s="77"/>
      <c r="AR1234" s="77"/>
      <c r="AS1234" s="77"/>
      <c r="AT1234" s="77"/>
      <c r="AU1234" s="77"/>
      <c r="AV1234" s="77"/>
      <c r="AW1234" s="77"/>
      <c r="AX1234" s="77"/>
      <c r="AY1234" s="70" t="s">
        <v>235</v>
      </c>
      <c r="AZ1234" s="70"/>
      <c r="BA1234" s="118"/>
      <c r="BB1234" s="72"/>
      <c r="BI1234" s="42"/>
    </row>
    <row r="1235" spans="1:72" s="24" customFormat="1" ht="19.350000000000001" hidden="1" customHeight="1">
      <c r="A1235" s="32"/>
      <c r="B1235" s="158"/>
      <c r="C1235" s="78" t="s">
        <v>44</v>
      </c>
      <c r="D1235" s="35">
        <f t="shared" si="222"/>
        <v>0.46</v>
      </c>
      <c r="E1235" s="76"/>
      <c r="F1235" s="35">
        <f t="shared" si="230"/>
        <v>0.46</v>
      </c>
      <c r="G1235" s="77">
        <v>0.46</v>
      </c>
      <c r="H1235" s="77"/>
      <c r="I1235" s="77"/>
      <c r="J1235" s="77"/>
      <c r="K1235" s="77"/>
      <c r="L1235" s="77"/>
      <c r="M1235" s="77"/>
      <c r="N1235" s="77"/>
      <c r="O1235" s="77"/>
      <c r="P1235" s="77"/>
      <c r="Q1235" s="77"/>
      <c r="R1235" s="77"/>
      <c r="S1235" s="77"/>
      <c r="T1235" s="77"/>
      <c r="U1235" s="77"/>
      <c r="V1235" s="77"/>
      <c r="W1235" s="77"/>
      <c r="X1235" s="77"/>
      <c r="Y1235" s="77"/>
      <c r="Z1235" s="77"/>
      <c r="AA1235" s="77"/>
      <c r="AB1235" s="77"/>
      <c r="AC1235" s="77"/>
      <c r="AD1235" s="77"/>
      <c r="AE1235" s="77"/>
      <c r="AF1235" s="77"/>
      <c r="AG1235" s="77"/>
      <c r="AH1235" s="77"/>
      <c r="AI1235" s="77"/>
      <c r="AJ1235" s="77"/>
      <c r="AK1235" s="77"/>
      <c r="AL1235" s="77"/>
      <c r="AM1235" s="77"/>
      <c r="AN1235" s="77"/>
      <c r="AO1235" s="77"/>
      <c r="AP1235" s="77"/>
      <c r="AQ1235" s="77"/>
      <c r="AR1235" s="77"/>
      <c r="AS1235" s="77"/>
      <c r="AT1235" s="77"/>
      <c r="AU1235" s="77"/>
      <c r="AV1235" s="77"/>
      <c r="AW1235" s="77"/>
      <c r="AX1235" s="77"/>
      <c r="AY1235" s="70" t="s">
        <v>235</v>
      </c>
      <c r="AZ1235" s="70"/>
      <c r="BA1235" s="118"/>
      <c r="BB1235" s="72"/>
      <c r="BI1235" s="42"/>
    </row>
    <row r="1236" spans="1:72" s="24" customFormat="1" ht="19.350000000000001" hidden="1" customHeight="1">
      <c r="A1236" s="32"/>
      <c r="B1236" s="158"/>
      <c r="C1236" s="78" t="s">
        <v>138</v>
      </c>
      <c r="D1236" s="35">
        <f t="shared" si="222"/>
        <v>0.2</v>
      </c>
      <c r="E1236" s="76"/>
      <c r="F1236" s="35">
        <f t="shared" si="230"/>
        <v>0.2</v>
      </c>
      <c r="G1236" s="153">
        <f>G1233-G1234-G1235</f>
        <v>0.06</v>
      </c>
      <c r="H1236" s="153">
        <f t="shared" ref="H1236:AX1236" si="233">H1233-H1234-H1235</f>
        <v>0</v>
      </c>
      <c r="I1236" s="153">
        <f t="shared" si="233"/>
        <v>0.06</v>
      </c>
      <c r="J1236" s="153">
        <f t="shared" si="233"/>
        <v>0</v>
      </c>
      <c r="K1236" s="153">
        <f t="shared" si="233"/>
        <v>0</v>
      </c>
      <c r="L1236" s="153">
        <f t="shared" si="233"/>
        <v>0</v>
      </c>
      <c r="M1236" s="153">
        <f t="shared" si="233"/>
        <v>0</v>
      </c>
      <c r="N1236" s="153">
        <f t="shared" si="233"/>
        <v>0</v>
      </c>
      <c r="O1236" s="153">
        <f t="shared" si="233"/>
        <v>0</v>
      </c>
      <c r="P1236" s="153">
        <f t="shared" si="233"/>
        <v>0</v>
      </c>
      <c r="Q1236" s="153">
        <f t="shared" si="233"/>
        <v>0</v>
      </c>
      <c r="R1236" s="153">
        <f t="shared" si="233"/>
        <v>0</v>
      </c>
      <c r="S1236" s="153">
        <f t="shared" si="233"/>
        <v>0</v>
      </c>
      <c r="T1236" s="153">
        <f t="shared" si="233"/>
        <v>0</v>
      </c>
      <c r="U1236" s="153">
        <f t="shared" si="233"/>
        <v>0</v>
      </c>
      <c r="V1236" s="153">
        <f t="shared" si="233"/>
        <v>0</v>
      </c>
      <c r="W1236" s="153">
        <f t="shared" si="233"/>
        <v>0</v>
      </c>
      <c r="X1236" s="153">
        <f t="shared" si="233"/>
        <v>0</v>
      </c>
      <c r="Y1236" s="153">
        <f t="shared" si="233"/>
        <v>0</v>
      </c>
      <c r="Z1236" s="153">
        <f t="shared" si="233"/>
        <v>0.04</v>
      </c>
      <c r="AA1236" s="153">
        <f t="shared" si="233"/>
        <v>0.04</v>
      </c>
      <c r="AB1236" s="153">
        <f t="shared" si="233"/>
        <v>0</v>
      </c>
      <c r="AC1236" s="153">
        <f t="shared" si="233"/>
        <v>0</v>
      </c>
      <c r="AD1236" s="153">
        <f t="shared" si="233"/>
        <v>0</v>
      </c>
      <c r="AE1236" s="153">
        <f t="shared" si="233"/>
        <v>0</v>
      </c>
      <c r="AF1236" s="153">
        <f t="shared" si="233"/>
        <v>0</v>
      </c>
      <c r="AG1236" s="153">
        <f t="shared" si="233"/>
        <v>0</v>
      </c>
      <c r="AH1236" s="153">
        <f t="shared" si="233"/>
        <v>0</v>
      </c>
      <c r="AI1236" s="153">
        <f t="shared" si="233"/>
        <v>0</v>
      </c>
      <c r="AJ1236" s="153">
        <f t="shared" si="233"/>
        <v>0</v>
      </c>
      <c r="AK1236" s="153">
        <f t="shared" si="233"/>
        <v>0</v>
      </c>
      <c r="AL1236" s="153">
        <f t="shared" si="233"/>
        <v>0</v>
      </c>
      <c r="AM1236" s="153">
        <f t="shared" si="233"/>
        <v>0</v>
      </c>
      <c r="AN1236" s="153">
        <f t="shared" si="233"/>
        <v>0</v>
      </c>
      <c r="AO1236" s="153">
        <f t="shared" si="233"/>
        <v>0</v>
      </c>
      <c r="AP1236" s="153">
        <f t="shared" si="233"/>
        <v>0</v>
      </c>
      <c r="AQ1236" s="153">
        <f t="shared" si="233"/>
        <v>0</v>
      </c>
      <c r="AR1236" s="153">
        <f t="shared" si="233"/>
        <v>0</v>
      </c>
      <c r="AS1236" s="153">
        <f t="shared" si="233"/>
        <v>0</v>
      </c>
      <c r="AT1236" s="153">
        <f t="shared" si="233"/>
        <v>0</v>
      </c>
      <c r="AU1236" s="153">
        <f t="shared" si="233"/>
        <v>0</v>
      </c>
      <c r="AV1236" s="153">
        <f t="shared" si="233"/>
        <v>0</v>
      </c>
      <c r="AW1236" s="153">
        <f t="shared" si="233"/>
        <v>0</v>
      </c>
      <c r="AX1236" s="153">
        <f t="shared" si="233"/>
        <v>0</v>
      </c>
      <c r="AY1236" s="70" t="s">
        <v>235</v>
      </c>
      <c r="AZ1236" s="70"/>
      <c r="BA1236" s="118"/>
      <c r="BB1236" s="72"/>
      <c r="BI1236" s="42"/>
    </row>
    <row r="1237" spans="1:72" s="24" customFormat="1" ht="33.6" customHeight="1">
      <c r="A1237" s="32">
        <f>A1233+1</f>
        <v>772</v>
      </c>
      <c r="B1237" s="158" t="s">
        <v>1578</v>
      </c>
      <c r="C1237" s="78" t="s">
        <v>1260</v>
      </c>
      <c r="D1237" s="35">
        <f t="shared" si="222"/>
        <v>9.33</v>
      </c>
      <c r="E1237" s="76"/>
      <c r="F1237" s="35">
        <f t="shared" si="230"/>
        <v>9.33</v>
      </c>
      <c r="G1237" s="154">
        <v>1.1399999999999999</v>
      </c>
      <c r="H1237" s="154"/>
      <c r="I1237" s="154">
        <v>0.08</v>
      </c>
      <c r="J1237" s="154">
        <v>0.4</v>
      </c>
      <c r="K1237" s="154"/>
      <c r="L1237" s="154"/>
      <c r="M1237" s="154"/>
      <c r="N1237" s="154"/>
      <c r="O1237" s="154"/>
      <c r="P1237" s="154"/>
      <c r="Q1237" s="154"/>
      <c r="R1237" s="154"/>
      <c r="S1237" s="154"/>
      <c r="T1237" s="154"/>
      <c r="U1237" s="154"/>
      <c r="V1237" s="154"/>
      <c r="W1237" s="154"/>
      <c r="X1237" s="154"/>
      <c r="Y1237" s="154"/>
      <c r="Z1237" s="157">
        <v>0.55000000000000004</v>
      </c>
      <c r="AA1237" s="154"/>
      <c r="AB1237" s="154"/>
      <c r="AC1237" s="154"/>
      <c r="AD1237" s="154">
        <f>3.65+0.7-0.74</f>
        <v>3.6099999999999994</v>
      </c>
      <c r="AE1237" s="154"/>
      <c r="AF1237" s="154"/>
      <c r="AG1237" s="154"/>
      <c r="AH1237" s="154"/>
      <c r="AI1237" s="154"/>
      <c r="AJ1237" s="154"/>
      <c r="AK1237" s="154">
        <v>0.46</v>
      </c>
      <c r="AL1237" s="154"/>
      <c r="AM1237" s="154"/>
      <c r="AN1237" s="154">
        <v>0.11</v>
      </c>
      <c r="AO1237" s="154"/>
      <c r="AP1237" s="154">
        <v>0.17</v>
      </c>
      <c r="AQ1237" s="154">
        <v>0.55000000000000004</v>
      </c>
      <c r="AR1237" s="154"/>
      <c r="AS1237" s="154">
        <v>1.0900000000000001</v>
      </c>
      <c r="AT1237" s="154"/>
      <c r="AU1237" s="154">
        <v>0.8</v>
      </c>
      <c r="AV1237" s="154">
        <v>0.37</v>
      </c>
      <c r="AW1237" s="154"/>
      <c r="AX1237" s="154"/>
      <c r="AY1237" s="70" t="s">
        <v>1579</v>
      </c>
      <c r="AZ1237" s="70"/>
      <c r="BA1237" s="47" t="s">
        <v>298</v>
      </c>
      <c r="BB1237" s="72"/>
      <c r="BI1237" s="42"/>
      <c r="BT1237" s="24" t="s">
        <v>311</v>
      </c>
    </row>
    <row r="1238" spans="1:72" s="24" customFormat="1" ht="23.1" hidden="1" customHeight="1">
      <c r="A1238" s="32"/>
      <c r="B1238" s="158"/>
      <c r="C1238" s="78" t="s">
        <v>59</v>
      </c>
      <c r="D1238" s="35">
        <f t="shared" si="222"/>
        <v>1.93</v>
      </c>
      <c r="E1238" s="76"/>
      <c r="F1238" s="35">
        <f t="shared" si="230"/>
        <v>1.93</v>
      </c>
      <c r="G1238" s="154">
        <v>0.43</v>
      </c>
      <c r="H1238" s="154"/>
      <c r="I1238" s="154"/>
      <c r="J1238" s="154"/>
      <c r="K1238" s="154"/>
      <c r="L1238" s="154"/>
      <c r="M1238" s="154"/>
      <c r="N1238" s="154"/>
      <c r="O1238" s="154"/>
      <c r="P1238" s="154"/>
      <c r="Q1238" s="154"/>
      <c r="R1238" s="154"/>
      <c r="S1238" s="154"/>
      <c r="T1238" s="154"/>
      <c r="U1238" s="154"/>
      <c r="V1238" s="154"/>
      <c r="W1238" s="154"/>
      <c r="X1238" s="154"/>
      <c r="Y1238" s="154"/>
      <c r="Z1238" s="157">
        <v>0.1</v>
      </c>
      <c r="AA1238" s="154"/>
      <c r="AB1238" s="154"/>
      <c r="AC1238" s="154"/>
      <c r="AD1238" s="154">
        <v>1.4</v>
      </c>
      <c r="AE1238" s="154"/>
      <c r="AF1238" s="154"/>
      <c r="AG1238" s="154"/>
      <c r="AH1238" s="154"/>
      <c r="AI1238" s="154"/>
      <c r="AJ1238" s="154"/>
      <c r="AK1238" s="154"/>
      <c r="AL1238" s="154"/>
      <c r="AM1238" s="154"/>
      <c r="AN1238" s="154"/>
      <c r="AO1238" s="154"/>
      <c r="AP1238" s="154"/>
      <c r="AQ1238" s="154"/>
      <c r="AR1238" s="154"/>
      <c r="AS1238" s="154"/>
      <c r="AT1238" s="154"/>
      <c r="AU1238" s="154"/>
      <c r="AV1238" s="154"/>
      <c r="AW1238" s="154"/>
      <c r="AX1238" s="154"/>
      <c r="AY1238" s="70" t="s">
        <v>235</v>
      </c>
      <c r="AZ1238" s="70"/>
      <c r="BA1238" s="47"/>
      <c r="BB1238" s="72"/>
      <c r="BI1238" s="42"/>
    </row>
    <row r="1239" spans="1:72" s="24" customFormat="1" ht="23.1" hidden="1" customHeight="1">
      <c r="A1239" s="32"/>
      <c r="B1239" s="158"/>
      <c r="C1239" s="78" t="s">
        <v>112</v>
      </c>
      <c r="D1239" s="35">
        <f t="shared" si="222"/>
        <v>0.11</v>
      </c>
      <c r="E1239" s="76"/>
      <c r="F1239" s="35">
        <f t="shared" ref="F1239:F1247" si="234">SUM(G1239:AX1239)</f>
        <v>0.11</v>
      </c>
      <c r="G1239" s="154"/>
      <c r="H1239" s="154"/>
      <c r="I1239" s="154"/>
      <c r="J1239" s="154"/>
      <c r="K1239" s="154"/>
      <c r="L1239" s="154"/>
      <c r="M1239" s="154"/>
      <c r="N1239" s="154"/>
      <c r="O1239" s="154"/>
      <c r="P1239" s="154"/>
      <c r="Q1239" s="154"/>
      <c r="R1239" s="154"/>
      <c r="S1239" s="154"/>
      <c r="T1239" s="154"/>
      <c r="U1239" s="154"/>
      <c r="V1239" s="154"/>
      <c r="W1239" s="154"/>
      <c r="X1239" s="154"/>
      <c r="Y1239" s="154"/>
      <c r="Z1239" s="157"/>
      <c r="AA1239" s="154"/>
      <c r="AB1239" s="154"/>
      <c r="AC1239" s="154"/>
      <c r="AD1239" s="154"/>
      <c r="AE1239" s="154"/>
      <c r="AF1239" s="154"/>
      <c r="AG1239" s="154"/>
      <c r="AH1239" s="154"/>
      <c r="AI1239" s="154"/>
      <c r="AJ1239" s="154"/>
      <c r="AK1239" s="154"/>
      <c r="AL1239" s="154"/>
      <c r="AM1239" s="154"/>
      <c r="AN1239" s="154">
        <v>0.11</v>
      </c>
      <c r="AO1239" s="154"/>
      <c r="AP1239" s="154"/>
      <c r="AQ1239" s="154"/>
      <c r="AR1239" s="154"/>
      <c r="AS1239" s="154"/>
      <c r="AT1239" s="154"/>
      <c r="AU1239" s="154"/>
      <c r="AV1239" s="154"/>
      <c r="AW1239" s="154"/>
      <c r="AX1239" s="154"/>
      <c r="AY1239" s="70" t="s">
        <v>289</v>
      </c>
      <c r="AZ1239" s="70"/>
      <c r="BA1239" s="47"/>
      <c r="BB1239" s="72"/>
      <c r="BI1239" s="42"/>
    </row>
    <row r="1240" spans="1:72" s="24" customFormat="1" ht="23.1" hidden="1" customHeight="1">
      <c r="A1240" s="32"/>
      <c r="B1240" s="158"/>
      <c r="C1240" s="78" t="s">
        <v>24</v>
      </c>
      <c r="D1240" s="35">
        <f t="shared" si="222"/>
        <v>1.79</v>
      </c>
      <c r="E1240" s="76"/>
      <c r="F1240" s="35">
        <f t="shared" si="234"/>
        <v>1.79</v>
      </c>
      <c r="G1240" s="154"/>
      <c r="H1240" s="154"/>
      <c r="I1240" s="154"/>
      <c r="J1240" s="154"/>
      <c r="K1240" s="154"/>
      <c r="L1240" s="154"/>
      <c r="M1240" s="154"/>
      <c r="N1240" s="154"/>
      <c r="O1240" s="154"/>
      <c r="P1240" s="154"/>
      <c r="Q1240" s="154"/>
      <c r="R1240" s="154"/>
      <c r="S1240" s="154"/>
      <c r="T1240" s="154"/>
      <c r="U1240" s="154"/>
      <c r="V1240" s="154"/>
      <c r="W1240" s="154"/>
      <c r="X1240" s="154"/>
      <c r="Y1240" s="154"/>
      <c r="Z1240" s="157"/>
      <c r="AA1240" s="154"/>
      <c r="AB1240" s="154"/>
      <c r="AC1240" s="154"/>
      <c r="AD1240" s="15">
        <v>0.7</v>
      </c>
      <c r="AE1240" s="154"/>
      <c r="AF1240" s="154"/>
      <c r="AG1240" s="154"/>
      <c r="AH1240" s="154"/>
      <c r="AI1240" s="154"/>
      <c r="AJ1240" s="154"/>
      <c r="AK1240" s="154"/>
      <c r="AL1240" s="154"/>
      <c r="AM1240" s="154"/>
      <c r="AN1240" s="154"/>
      <c r="AO1240" s="154"/>
      <c r="AP1240" s="154"/>
      <c r="AQ1240" s="154"/>
      <c r="AR1240" s="154"/>
      <c r="AS1240" s="154">
        <v>1.0900000000000001</v>
      </c>
      <c r="AT1240" s="154"/>
      <c r="AU1240" s="154"/>
      <c r="AV1240" s="154"/>
      <c r="AW1240" s="154"/>
      <c r="AX1240" s="154"/>
      <c r="AY1240" s="70" t="s">
        <v>289</v>
      </c>
      <c r="AZ1240" s="70"/>
      <c r="BA1240" s="47"/>
      <c r="BB1240" s="72"/>
      <c r="BG1240" s="24" t="s">
        <v>1580</v>
      </c>
      <c r="BI1240" s="42"/>
      <c r="BL1240" s="24" t="s">
        <v>1581</v>
      </c>
    </row>
    <row r="1241" spans="1:72" s="24" customFormat="1" ht="23.1" hidden="1" customHeight="1">
      <c r="A1241" s="32"/>
      <c r="B1241" s="158"/>
      <c r="C1241" s="78" t="s">
        <v>96</v>
      </c>
      <c r="D1241" s="35">
        <f>F1241+E1241</f>
        <v>0.62000000000000011</v>
      </c>
      <c r="E1241" s="76"/>
      <c r="F1241" s="35">
        <f>SUM(G1241:AX1241)</f>
        <v>0.62000000000000011</v>
      </c>
      <c r="G1241" s="154"/>
      <c r="H1241" s="154"/>
      <c r="I1241" s="154"/>
      <c r="J1241" s="154">
        <v>0.1</v>
      </c>
      <c r="K1241" s="154"/>
      <c r="L1241" s="154"/>
      <c r="M1241" s="154"/>
      <c r="N1241" s="154"/>
      <c r="O1241" s="154"/>
      <c r="P1241" s="154"/>
      <c r="Q1241" s="154"/>
      <c r="R1241" s="154"/>
      <c r="S1241" s="154"/>
      <c r="T1241" s="154"/>
      <c r="U1241" s="154"/>
      <c r="V1241" s="154"/>
      <c r="W1241" s="154"/>
      <c r="X1241" s="154"/>
      <c r="Y1241" s="154"/>
      <c r="Z1241" s="157"/>
      <c r="AA1241" s="154"/>
      <c r="AB1241" s="154"/>
      <c r="AC1241" s="154"/>
      <c r="AD1241" s="154">
        <v>0.2</v>
      </c>
      <c r="AE1241" s="154"/>
      <c r="AF1241" s="154"/>
      <c r="AG1241" s="154"/>
      <c r="AH1241" s="154"/>
      <c r="AI1241" s="154"/>
      <c r="AJ1241" s="154"/>
      <c r="AK1241" s="154">
        <v>0.32</v>
      </c>
      <c r="AL1241" s="154"/>
      <c r="AM1241" s="154"/>
      <c r="AN1241" s="154"/>
      <c r="AO1241" s="154"/>
      <c r="AP1241" s="154"/>
      <c r="AQ1241" s="154"/>
      <c r="AR1241" s="154"/>
      <c r="AS1241" s="154"/>
      <c r="AT1241" s="154"/>
      <c r="AU1241" s="154"/>
      <c r="AV1241" s="154"/>
      <c r="AW1241" s="154"/>
      <c r="AX1241" s="154"/>
      <c r="AY1241" s="70" t="s">
        <v>235</v>
      </c>
      <c r="AZ1241" s="70"/>
      <c r="BA1241" s="47"/>
      <c r="BB1241" s="72"/>
      <c r="BI1241" s="42"/>
    </row>
    <row r="1242" spans="1:72" s="24" customFormat="1" ht="23.1" hidden="1" customHeight="1">
      <c r="A1242" s="32"/>
      <c r="B1242" s="158"/>
      <c r="C1242" s="78" t="s">
        <v>41</v>
      </c>
      <c r="D1242" s="35">
        <f t="shared" si="222"/>
        <v>0.66999999999999993</v>
      </c>
      <c r="E1242" s="76"/>
      <c r="F1242" s="35">
        <f t="shared" si="234"/>
        <v>0.66999999999999993</v>
      </c>
      <c r="G1242" s="154"/>
      <c r="H1242" s="154"/>
      <c r="I1242" s="154"/>
      <c r="J1242" s="154"/>
      <c r="K1242" s="154"/>
      <c r="L1242" s="154"/>
      <c r="M1242" s="154"/>
      <c r="N1242" s="154"/>
      <c r="O1242" s="154"/>
      <c r="P1242" s="154"/>
      <c r="Q1242" s="154"/>
      <c r="R1242" s="154"/>
      <c r="S1242" s="154"/>
      <c r="T1242" s="154"/>
      <c r="U1242" s="154"/>
      <c r="V1242" s="154"/>
      <c r="W1242" s="154"/>
      <c r="X1242" s="154"/>
      <c r="Y1242" s="154"/>
      <c r="Z1242" s="157"/>
      <c r="AA1242" s="154"/>
      <c r="AB1242" s="154"/>
      <c r="AC1242" s="154"/>
      <c r="AD1242" s="154"/>
      <c r="AE1242" s="154"/>
      <c r="AF1242" s="154"/>
      <c r="AG1242" s="154"/>
      <c r="AH1242" s="154"/>
      <c r="AI1242" s="154"/>
      <c r="AJ1242" s="154"/>
      <c r="AK1242" s="154"/>
      <c r="AL1242" s="154"/>
      <c r="AM1242" s="154"/>
      <c r="AN1242" s="154"/>
      <c r="AO1242" s="154"/>
      <c r="AP1242" s="154"/>
      <c r="AQ1242" s="154"/>
      <c r="AR1242" s="154"/>
      <c r="AS1242" s="154"/>
      <c r="AT1242" s="154"/>
      <c r="AU1242" s="154">
        <v>0.3</v>
      </c>
      <c r="AV1242" s="154">
        <v>0.37</v>
      </c>
      <c r="AW1242" s="154"/>
      <c r="AX1242" s="154"/>
      <c r="AY1242" s="70" t="s">
        <v>235</v>
      </c>
      <c r="AZ1242" s="70"/>
      <c r="BA1242" s="47"/>
      <c r="BB1242" s="72"/>
      <c r="BI1242" s="42"/>
    </row>
    <row r="1243" spans="1:72" s="24" customFormat="1" ht="23.1" hidden="1" customHeight="1">
      <c r="A1243" s="32"/>
      <c r="B1243" s="158"/>
      <c r="C1243" s="78" t="s">
        <v>41</v>
      </c>
      <c r="D1243" s="35">
        <f>F1243+E1243</f>
        <v>0.11</v>
      </c>
      <c r="E1243" s="76"/>
      <c r="F1243" s="35">
        <f>SUM(G1243:AX1243)</f>
        <v>0.11</v>
      </c>
      <c r="G1243" s="154"/>
      <c r="H1243" s="154"/>
      <c r="I1243" s="154"/>
      <c r="J1243" s="154"/>
      <c r="K1243" s="154"/>
      <c r="L1243" s="154"/>
      <c r="M1243" s="154"/>
      <c r="N1243" s="154"/>
      <c r="O1243" s="154"/>
      <c r="P1243" s="154"/>
      <c r="Q1243" s="154"/>
      <c r="R1243" s="154"/>
      <c r="S1243" s="154"/>
      <c r="T1243" s="154"/>
      <c r="U1243" s="154"/>
      <c r="V1243" s="154"/>
      <c r="W1243" s="154"/>
      <c r="X1243" s="154"/>
      <c r="Y1243" s="154"/>
      <c r="Z1243" s="157"/>
      <c r="AA1243" s="154"/>
      <c r="AB1243" s="154"/>
      <c r="AC1243" s="154"/>
      <c r="AD1243" s="154"/>
      <c r="AE1243" s="154"/>
      <c r="AF1243" s="154"/>
      <c r="AG1243" s="154"/>
      <c r="AH1243" s="154"/>
      <c r="AI1243" s="154"/>
      <c r="AJ1243" s="154"/>
      <c r="AK1243" s="154"/>
      <c r="AL1243" s="154"/>
      <c r="AM1243" s="154"/>
      <c r="AN1243" s="154"/>
      <c r="AO1243" s="154"/>
      <c r="AP1243" s="154"/>
      <c r="AQ1243" s="154"/>
      <c r="AR1243" s="154"/>
      <c r="AS1243" s="154"/>
      <c r="AT1243" s="154"/>
      <c r="AU1243" s="154">
        <v>0.11</v>
      </c>
      <c r="AV1243" s="154"/>
      <c r="AW1243" s="154"/>
      <c r="AX1243" s="154"/>
      <c r="AY1243" s="70" t="s">
        <v>289</v>
      </c>
      <c r="AZ1243" s="70"/>
      <c r="BA1243" s="47"/>
      <c r="BB1243" s="72"/>
      <c r="BI1243" s="42"/>
    </row>
    <row r="1244" spans="1:72" s="24" customFormat="1" ht="23.1" hidden="1" customHeight="1">
      <c r="A1244" s="32"/>
      <c r="B1244" s="158"/>
      <c r="C1244" s="78" t="s">
        <v>44</v>
      </c>
      <c r="D1244" s="35">
        <f>F1244+E1244</f>
        <v>2.2600000000000002</v>
      </c>
      <c r="E1244" s="76"/>
      <c r="F1244" s="35">
        <f>SUM(G1244:AX1244)</f>
        <v>2.2600000000000002</v>
      </c>
      <c r="G1244" s="154">
        <v>0.6</v>
      </c>
      <c r="H1244" s="154"/>
      <c r="I1244" s="154">
        <v>0.08</v>
      </c>
      <c r="J1244" s="154"/>
      <c r="K1244" s="154"/>
      <c r="L1244" s="154"/>
      <c r="M1244" s="154"/>
      <c r="N1244" s="154"/>
      <c r="O1244" s="154"/>
      <c r="P1244" s="154"/>
      <c r="Q1244" s="154"/>
      <c r="R1244" s="154"/>
      <c r="S1244" s="154"/>
      <c r="T1244" s="154"/>
      <c r="U1244" s="154"/>
      <c r="V1244" s="154"/>
      <c r="W1244" s="154"/>
      <c r="X1244" s="154"/>
      <c r="Y1244" s="154"/>
      <c r="Z1244" s="157"/>
      <c r="AA1244" s="154"/>
      <c r="AB1244" s="154"/>
      <c r="AC1244" s="154"/>
      <c r="AD1244" s="154">
        <v>1.1000000000000001</v>
      </c>
      <c r="AE1244" s="154"/>
      <c r="AF1244" s="154"/>
      <c r="AG1244" s="154"/>
      <c r="AH1244" s="154"/>
      <c r="AI1244" s="154"/>
      <c r="AJ1244" s="154"/>
      <c r="AK1244" s="154">
        <v>0.08</v>
      </c>
      <c r="AL1244" s="154"/>
      <c r="AM1244" s="154"/>
      <c r="AN1244" s="154"/>
      <c r="AO1244" s="154"/>
      <c r="AP1244" s="154">
        <v>0.17</v>
      </c>
      <c r="AQ1244" s="154"/>
      <c r="AR1244" s="154"/>
      <c r="AS1244" s="154"/>
      <c r="AT1244" s="154"/>
      <c r="AU1244" s="154">
        <v>0.23</v>
      </c>
      <c r="AV1244" s="154"/>
      <c r="AW1244" s="154"/>
      <c r="AX1244" s="154"/>
      <c r="AY1244" s="70" t="s">
        <v>235</v>
      </c>
      <c r="AZ1244" s="70"/>
      <c r="BA1244" s="47"/>
      <c r="BB1244" s="72"/>
      <c r="BI1244" s="42"/>
    </row>
    <row r="1245" spans="1:72" s="24" customFormat="1" ht="23.1" hidden="1" customHeight="1">
      <c r="A1245" s="32"/>
      <c r="B1245" s="158"/>
      <c r="C1245" s="78" t="s">
        <v>44</v>
      </c>
      <c r="D1245" s="35">
        <f>F1245+E1245</f>
        <v>0.35</v>
      </c>
      <c r="E1245" s="76"/>
      <c r="F1245" s="35">
        <f>SUM(G1245:AX1245)</f>
        <v>0.35</v>
      </c>
      <c r="G1245" s="154"/>
      <c r="H1245" s="154"/>
      <c r="I1245" s="154"/>
      <c r="J1245" s="154"/>
      <c r="K1245" s="154"/>
      <c r="L1245" s="154"/>
      <c r="M1245" s="154"/>
      <c r="N1245" s="154"/>
      <c r="O1245" s="154"/>
      <c r="P1245" s="154"/>
      <c r="Q1245" s="154"/>
      <c r="R1245" s="154"/>
      <c r="S1245" s="154"/>
      <c r="T1245" s="154"/>
      <c r="U1245" s="154"/>
      <c r="V1245" s="154"/>
      <c r="W1245" s="154"/>
      <c r="X1245" s="154"/>
      <c r="Y1245" s="154"/>
      <c r="Z1245" s="157"/>
      <c r="AA1245" s="154"/>
      <c r="AB1245" s="154"/>
      <c r="AC1245" s="154"/>
      <c r="AD1245" s="154"/>
      <c r="AE1245" s="154"/>
      <c r="AF1245" s="154"/>
      <c r="AG1245" s="154"/>
      <c r="AH1245" s="154"/>
      <c r="AI1245" s="154"/>
      <c r="AJ1245" s="154"/>
      <c r="AK1245" s="154"/>
      <c r="AL1245" s="154"/>
      <c r="AM1245" s="154"/>
      <c r="AN1245" s="154"/>
      <c r="AO1245" s="154"/>
      <c r="AP1245" s="154"/>
      <c r="AQ1245" s="154">
        <v>0.35</v>
      </c>
      <c r="AR1245" s="154"/>
      <c r="AS1245" s="154"/>
      <c r="AT1245" s="154"/>
      <c r="AU1245" s="154"/>
      <c r="AV1245" s="154"/>
      <c r="AW1245" s="154"/>
      <c r="AX1245" s="154"/>
      <c r="AY1245" s="70" t="s">
        <v>289</v>
      </c>
      <c r="AZ1245" s="70"/>
      <c r="BA1245" s="47"/>
      <c r="BB1245" s="72"/>
      <c r="BI1245" s="42"/>
    </row>
    <row r="1246" spans="1:72" s="24" customFormat="1" ht="21" hidden="1" customHeight="1">
      <c r="A1246" s="32"/>
      <c r="B1246" s="158"/>
      <c r="C1246" s="78" t="s">
        <v>138</v>
      </c>
      <c r="D1246" s="35">
        <f>F1246+E1246</f>
        <v>0.82</v>
      </c>
      <c r="E1246" s="76"/>
      <c r="F1246" s="35">
        <f>SUM(G1246:AX1246)</f>
        <v>0.82</v>
      </c>
      <c r="G1246" s="154"/>
      <c r="H1246" s="154"/>
      <c r="I1246" s="154"/>
      <c r="J1246" s="154">
        <v>0.1</v>
      </c>
      <c r="K1246" s="154"/>
      <c r="L1246" s="154"/>
      <c r="M1246" s="154"/>
      <c r="N1246" s="154"/>
      <c r="O1246" s="154"/>
      <c r="P1246" s="154"/>
      <c r="Q1246" s="154"/>
      <c r="R1246" s="154"/>
      <c r="S1246" s="154"/>
      <c r="T1246" s="154"/>
      <c r="U1246" s="154"/>
      <c r="V1246" s="154"/>
      <c r="W1246" s="154"/>
      <c r="X1246" s="154"/>
      <c r="Y1246" s="154"/>
      <c r="Z1246" s="157">
        <v>0.35</v>
      </c>
      <c r="AA1246" s="154"/>
      <c r="AB1246" s="154"/>
      <c r="AC1246" s="154"/>
      <c r="AD1246" s="154">
        <v>0.21</v>
      </c>
      <c r="AE1246" s="154"/>
      <c r="AF1246" s="154"/>
      <c r="AG1246" s="154"/>
      <c r="AH1246" s="154"/>
      <c r="AI1246" s="154"/>
      <c r="AJ1246" s="154"/>
      <c r="AK1246" s="154">
        <v>0.06</v>
      </c>
      <c r="AL1246" s="154"/>
      <c r="AM1246" s="154"/>
      <c r="AN1246" s="154"/>
      <c r="AO1246" s="154"/>
      <c r="AP1246" s="154"/>
      <c r="AQ1246" s="154"/>
      <c r="AR1246" s="154"/>
      <c r="AS1246" s="154"/>
      <c r="AT1246" s="154"/>
      <c r="AU1246" s="154">
        <v>0.1</v>
      </c>
      <c r="AV1246" s="154"/>
      <c r="AW1246" s="154"/>
      <c r="AX1246" s="154"/>
      <c r="AY1246" s="70" t="s">
        <v>235</v>
      </c>
      <c r="AZ1246" s="70"/>
      <c r="BA1246" s="47"/>
      <c r="BB1246" s="72"/>
      <c r="BI1246" s="42"/>
    </row>
    <row r="1247" spans="1:72" s="24" customFormat="1" ht="21" hidden="1" customHeight="1">
      <c r="A1247" s="32"/>
      <c r="B1247" s="158"/>
      <c r="C1247" s="78" t="s">
        <v>138</v>
      </c>
      <c r="D1247" s="35">
        <f t="shared" si="222"/>
        <v>0.66999999999999971</v>
      </c>
      <c r="E1247" s="76"/>
      <c r="F1247" s="35">
        <f t="shared" si="234"/>
        <v>0.66999999999999971</v>
      </c>
      <c r="G1247" s="153">
        <f t="shared" ref="G1247:AW1247" si="235">G1237-G1238-G1239-G1240-G1242-G1244-G1241-G1243-G1246-G1245</f>
        <v>0.10999999999999999</v>
      </c>
      <c r="H1247" s="153">
        <f t="shared" si="235"/>
        <v>0</v>
      </c>
      <c r="I1247" s="153">
        <f t="shared" si="235"/>
        <v>0</v>
      </c>
      <c r="J1247" s="153">
        <f t="shared" si="235"/>
        <v>0.20000000000000004</v>
      </c>
      <c r="K1247" s="153">
        <f t="shared" si="235"/>
        <v>0</v>
      </c>
      <c r="L1247" s="153">
        <f t="shared" si="235"/>
        <v>0</v>
      </c>
      <c r="M1247" s="153">
        <f t="shared" si="235"/>
        <v>0</v>
      </c>
      <c r="N1247" s="153">
        <f t="shared" si="235"/>
        <v>0</v>
      </c>
      <c r="O1247" s="153">
        <f t="shared" si="235"/>
        <v>0</v>
      </c>
      <c r="P1247" s="153">
        <f t="shared" si="235"/>
        <v>0</v>
      </c>
      <c r="Q1247" s="153">
        <f t="shared" si="235"/>
        <v>0</v>
      </c>
      <c r="R1247" s="153">
        <f t="shared" si="235"/>
        <v>0</v>
      </c>
      <c r="S1247" s="153">
        <f t="shared" si="235"/>
        <v>0</v>
      </c>
      <c r="T1247" s="153">
        <f t="shared" si="235"/>
        <v>0</v>
      </c>
      <c r="U1247" s="153">
        <f t="shared" si="235"/>
        <v>0</v>
      </c>
      <c r="V1247" s="153">
        <f t="shared" si="235"/>
        <v>0</v>
      </c>
      <c r="W1247" s="153">
        <f t="shared" si="235"/>
        <v>0</v>
      </c>
      <c r="X1247" s="153">
        <f t="shared" si="235"/>
        <v>0</v>
      </c>
      <c r="Y1247" s="153">
        <f t="shared" si="235"/>
        <v>0</v>
      </c>
      <c r="Z1247" s="153">
        <f t="shared" si="235"/>
        <v>0.10000000000000009</v>
      </c>
      <c r="AA1247" s="153">
        <f t="shared" si="235"/>
        <v>0</v>
      </c>
      <c r="AB1247" s="153">
        <f t="shared" si="235"/>
        <v>0</v>
      </c>
      <c r="AC1247" s="153">
        <f t="shared" si="235"/>
        <v>0</v>
      </c>
      <c r="AD1247" s="154">
        <f>AD1237-AD1238-AD1239-AD1240-AD1242-AD1244-AD1241-AD1243-AD1246-AD1245</f>
        <v>-5.2735593669694936E-16</v>
      </c>
      <c r="AE1247" s="153">
        <f t="shared" si="235"/>
        <v>0</v>
      </c>
      <c r="AF1247" s="153">
        <f t="shared" si="235"/>
        <v>0</v>
      </c>
      <c r="AG1247" s="153">
        <f t="shared" si="235"/>
        <v>0</v>
      </c>
      <c r="AH1247" s="153">
        <f t="shared" si="235"/>
        <v>0</v>
      </c>
      <c r="AI1247" s="153">
        <f t="shared" si="235"/>
        <v>0</v>
      </c>
      <c r="AJ1247" s="153">
        <f t="shared" si="235"/>
        <v>0</v>
      </c>
      <c r="AK1247" s="154">
        <f t="shared" si="235"/>
        <v>0</v>
      </c>
      <c r="AL1247" s="153">
        <f t="shared" si="235"/>
        <v>0</v>
      </c>
      <c r="AM1247" s="153">
        <f t="shared" si="235"/>
        <v>0</v>
      </c>
      <c r="AN1247" s="153">
        <f t="shared" si="235"/>
        <v>0</v>
      </c>
      <c r="AO1247" s="153">
        <f t="shared" si="235"/>
        <v>0</v>
      </c>
      <c r="AP1247" s="153">
        <f t="shared" si="235"/>
        <v>0</v>
      </c>
      <c r="AQ1247" s="154">
        <f t="shared" si="235"/>
        <v>0.20000000000000007</v>
      </c>
      <c r="AR1247" s="153">
        <f t="shared" si="235"/>
        <v>0</v>
      </c>
      <c r="AS1247" s="153">
        <f t="shared" si="235"/>
        <v>0</v>
      </c>
      <c r="AT1247" s="153">
        <f t="shared" si="235"/>
        <v>0</v>
      </c>
      <c r="AU1247" s="154">
        <f t="shared" si="235"/>
        <v>6.0000000000000026E-2</v>
      </c>
      <c r="AV1247" s="153">
        <f t="shared" si="235"/>
        <v>0</v>
      </c>
      <c r="AW1247" s="153">
        <f t="shared" si="235"/>
        <v>0</v>
      </c>
      <c r="AX1247" s="153">
        <f>AX1237-AX1238-AX1239-AX1240-AX1242-AX1244-AX1241-AX1243-AX1246-AX1245</f>
        <v>0</v>
      </c>
      <c r="AY1247" s="70" t="s">
        <v>289</v>
      </c>
      <c r="AZ1247" s="70"/>
      <c r="BA1247" s="47"/>
      <c r="BB1247" s="72"/>
      <c r="BI1247" s="42"/>
    </row>
    <row r="1248" spans="1:72" s="24" customFormat="1" ht="19.350000000000001" customHeight="1">
      <c r="A1248" s="32">
        <f>A1237+1</f>
        <v>773</v>
      </c>
      <c r="B1248" s="158" t="s">
        <v>186</v>
      </c>
      <c r="C1248" s="78" t="s">
        <v>1260</v>
      </c>
      <c r="D1248" s="35">
        <f t="shared" si="222"/>
        <v>0.42</v>
      </c>
      <c r="E1248" s="76"/>
      <c r="F1248" s="35">
        <f t="shared" ref="F1248:F1311" si="236">SUM(G1248:AX1248)</f>
        <v>0.42</v>
      </c>
      <c r="G1248" s="77">
        <v>0.35</v>
      </c>
      <c r="H1248" s="77"/>
      <c r="I1248" s="77">
        <v>0.05</v>
      </c>
      <c r="J1248" s="77"/>
      <c r="K1248" s="77"/>
      <c r="L1248" s="77"/>
      <c r="M1248" s="77"/>
      <c r="N1248" s="77"/>
      <c r="O1248" s="77"/>
      <c r="P1248" s="77"/>
      <c r="Q1248" s="77"/>
      <c r="R1248" s="77"/>
      <c r="S1248" s="77"/>
      <c r="T1248" s="77"/>
      <c r="U1248" s="77"/>
      <c r="V1248" s="77"/>
      <c r="W1248" s="77"/>
      <c r="X1248" s="77"/>
      <c r="Y1248" s="77"/>
      <c r="Z1248" s="77"/>
      <c r="AA1248" s="77">
        <v>0.02</v>
      </c>
      <c r="AB1248" s="77"/>
      <c r="AC1248" s="77"/>
      <c r="AD1248" s="77"/>
      <c r="AE1248" s="77"/>
      <c r="AF1248" s="77"/>
      <c r="AG1248" s="77"/>
      <c r="AH1248" s="77"/>
      <c r="AI1248" s="77"/>
      <c r="AJ1248" s="77"/>
      <c r="AK1248" s="77"/>
      <c r="AL1248" s="77"/>
      <c r="AM1248" s="77"/>
      <c r="AN1248" s="77"/>
      <c r="AO1248" s="77"/>
      <c r="AP1248" s="77"/>
      <c r="AQ1248" s="77"/>
      <c r="AR1248" s="77"/>
      <c r="AS1248" s="77"/>
      <c r="AT1248" s="77"/>
      <c r="AU1248" s="77"/>
      <c r="AV1248" s="77"/>
      <c r="AW1248" s="77"/>
      <c r="AX1248" s="77"/>
      <c r="AY1248" s="70" t="s">
        <v>235</v>
      </c>
      <c r="AZ1248" s="70" t="s">
        <v>1582</v>
      </c>
      <c r="BA1248" s="47" t="s">
        <v>298</v>
      </c>
      <c r="BB1248" s="24" t="s">
        <v>1583</v>
      </c>
      <c r="BC1248" s="24" t="s">
        <v>381</v>
      </c>
      <c r="BI1248" s="42">
        <v>1</v>
      </c>
    </row>
    <row r="1249" spans="1:61" s="24" customFormat="1" ht="19.350000000000001" hidden="1" customHeight="1">
      <c r="A1249" s="32"/>
      <c r="B1249" s="158"/>
      <c r="C1249" s="78" t="s">
        <v>59</v>
      </c>
      <c r="D1249" s="35">
        <f t="shared" si="222"/>
        <v>0.16</v>
      </c>
      <c r="E1249" s="76"/>
      <c r="F1249" s="35">
        <f t="shared" si="236"/>
        <v>0.16</v>
      </c>
      <c r="G1249" s="77">
        <v>0.16</v>
      </c>
      <c r="H1249" s="77"/>
      <c r="I1249" s="77"/>
      <c r="J1249" s="77"/>
      <c r="K1249" s="77"/>
      <c r="L1249" s="77"/>
      <c r="M1249" s="77"/>
      <c r="N1249" s="77"/>
      <c r="O1249" s="77"/>
      <c r="P1249" s="77"/>
      <c r="Q1249" s="77"/>
      <c r="R1249" s="77"/>
      <c r="S1249" s="77"/>
      <c r="T1249" s="77"/>
      <c r="U1249" s="77"/>
      <c r="V1249" s="77"/>
      <c r="W1249" s="77"/>
      <c r="X1249" s="77"/>
      <c r="Y1249" s="77"/>
      <c r="Z1249" s="77"/>
      <c r="AA1249" s="77"/>
      <c r="AB1249" s="77"/>
      <c r="AC1249" s="77"/>
      <c r="AD1249" s="77"/>
      <c r="AE1249" s="77"/>
      <c r="AF1249" s="77"/>
      <c r="AG1249" s="77"/>
      <c r="AH1249" s="77"/>
      <c r="AI1249" s="77"/>
      <c r="AJ1249" s="77"/>
      <c r="AK1249" s="77"/>
      <c r="AL1249" s="77"/>
      <c r="AM1249" s="77"/>
      <c r="AN1249" s="77"/>
      <c r="AO1249" s="77"/>
      <c r="AP1249" s="77"/>
      <c r="AQ1249" s="77"/>
      <c r="AR1249" s="77"/>
      <c r="AS1249" s="77"/>
      <c r="AT1249" s="77"/>
      <c r="AU1249" s="77"/>
      <c r="AV1249" s="77"/>
      <c r="AW1249" s="77"/>
      <c r="AX1249" s="77"/>
      <c r="AY1249" s="70" t="s">
        <v>235</v>
      </c>
      <c r="AZ1249" s="70"/>
      <c r="BA1249" s="47"/>
      <c r="BI1249" s="42"/>
    </row>
    <row r="1250" spans="1:61" s="24" customFormat="1" ht="19.350000000000001" hidden="1" customHeight="1">
      <c r="A1250" s="32"/>
      <c r="B1250" s="158"/>
      <c r="C1250" s="78" t="s">
        <v>44</v>
      </c>
      <c r="D1250" s="35">
        <f t="shared" si="222"/>
        <v>0.16999999999999998</v>
      </c>
      <c r="E1250" s="76"/>
      <c r="F1250" s="35">
        <f t="shared" si="236"/>
        <v>0.16999999999999998</v>
      </c>
      <c r="G1250" s="77">
        <v>0.12</v>
      </c>
      <c r="H1250" s="77"/>
      <c r="I1250" s="77">
        <v>0.05</v>
      </c>
      <c r="J1250" s="77"/>
      <c r="K1250" s="77"/>
      <c r="L1250" s="77"/>
      <c r="M1250" s="77"/>
      <c r="N1250" s="77"/>
      <c r="O1250" s="77"/>
      <c r="P1250" s="77"/>
      <c r="Q1250" s="77"/>
      <c r="R1250" s="77"/>
      <c r="S1250" s="77"/>
      <c r="T1250" s="77"/>
      <c r="U1250" s="77"/>
      <c r="V1250" s="77"/>
      <c r="W1250" s="77"/>
      <c r="X1250" s="77"/>
      <c r="Y1250" s="77"/>
      <c r="Z1250" s="77"/>
      <c r="AA1250" s="77"/>
      <c r="AB1250" s="77"/>
      <c r="AC1250" s="77"/>
      <c r="AD1250" s="77"/>
      <c r="AE1250" s="77"/>
      <c r="AF1250" s="77"/>
      <c r="AG1250" s="77"/>
      <c r="AH1250" s="77"/>
      <c r="AI1250" s="77"/>
      <c r="AJ1250" s="77"/>
      <c r="AK1250" s="77"/>
      <c r="AL1250" s="77"/>
      <c r="AM1250" s="77"/>
      <c r="AN1250" s="77"/>
      <c r="AO1250" s="77"/>
      <c r="AP1250" s="77"/>
      <c r="AQ1250" s="77"/>
      <c r="AR1250" s="77"/>
      <c r="AS1250" s="77"/>
      <c r="AT1250" s="77"/>
      <c r="AU1250" s="77"/>
      <c r="AV1250" s="77"/>
      <c r="AW1250" s="77"/>
      <c r="AX1250" s="77"/>
      <c r="AY1250" s="70" t="s">
        <v>235</v>
      </c>
      <c r="AZ1250" s="70"/>
      <c r="BA1250" s="47"/>
      <c r="BI1250" s="42"/>
    </row>
    <row r="1251" spans="1:61" s="24" customFormat="1" ht="19.350000000000001" hidden="1" customHeight="1">
      <c r="A1251" s="32"/>
      <c r="B1251" s="158"/>
      <c r="C1251" s="78" t="s">
        <v>138</v>
      </c>
      <c r="D1251" s="35">
        <f t="shared" si="222"/>
        <v>8.9999999999999983E-2</v>
      </c>
      <c r="E1251" s="76"/>
      <c r="F1251" s="35">
        <f t="shared" si="236"/>
        <v>8.9999999999999983E-2</v>
      </c>
      <c r="G1251" s="153">
        <f>G1248-G1249-G1250</f>
        <v>6.9999999999999979E-2</v>
      </c>
      <c r="H1251" s="153">
        <f t="shared" ref="H1251:AX1251" si="237">H1248-H1249-H1250</f>
        <v>0</v>
      </c>
      <c r="I1251" s="153">
        <f t="shared" si="237"/>
        <v>0</v>
      </c>
      <c r="J1251" s="153">
        <f t="shared" si="237"/>
        <v>0</v>
      </c>
      <c r="K1251" s="153">
        <f t="shared" si="237"/>
        <v>0</v>
      </c>
      <c r="L1251" s="153">
        <f t="shared" si="237"/>
        <v>0</v>
      </c>
      <c r="M1251" s="153">
        <f t="shared" si="237"/>
        <v>0</v>
      </c>
      <c r="N1251" s="153">
        <f t="shared" si="237"/>
        <v>0</v>
      </c>
      <c r="O1251" s="153">
        <f t="shared" si="237"/>
        <v>0</v>
      </c>
      <c r="P1251" s="153">
        <f t="shared" si="237"/>
        <v>0</v>
      </c>
      <c r="Q1251" s="153">
        <f t="shared" si="237"/>
        <v>0</v>
      </c>
      <c r="R1251" s="153">
        <f t="shared" si="237"/>
        <v>0</v>
      </c>
      <c r="S1251" s="153">
        <f t="shared" si="237"/>
        <v>0</v>
      </c>
      <c r="T1251" s="153">
        <f t="shared" si="237"/>
        <v>0</v>
      </c>
      <c r="U1251" s="153">
        <f t="shared" si="237"/>
        <v>0</v>
      </c>
      <c r="V1251" s="153">
        <f t="shared" si="237"/>
        <v>0</v>
      </c>
      <c r="W1251" s="153">
        <f t="shared" si="237"/>
        <v>0</v>
      </c>
      <c r="X1251" s="153">
        <f t="shared" si="237"/>
        <v>0</v>
      </c>
      <c r="Y1251" s="153">
        <f t="shared" si="237"/>
        <v>0</v>
      </c>
      <c r="Z1251" s="153">
        <f t="shared" si="237"/>
        <v>0</v>
      </c>
      <c r="AA1251" s="153">
        <f t="shared" si="237"/>
        <v>0.02</v>
      </c>
      <c r="AB1251" s="153">
        <f t="shared" si="237"/>
        <v>0</v>
      </c>
      <c r="AC1251" s="153">
        <f t="shared" si="237"/>
        <v>0</v>
      </c>
      <c r="AD1251" s="153">
        <f t="shared" si="237"/>
        <v>0</v>
      </c>
      <c r="AE1251" s="153">
        <f t="shared" si="237"/>
        <v>0</v>
      </c>
      <c r="AF1251" s="153">
        <f t="shared" si="237"/>
        <v>0</v>
      </c>
      <c r="AG1251" s="153">
        <f t="shared" si="237"/>
        <v>0</v>
      </c>
      <c r="AH1251" s="153">
        <f t="shared" si="237"/>
        <v>0</v>
      </c>
      <c r="AI1251" s="153">
        <f t="shared" si="237"/>
        <v>0</v>
      </c>
      <c r="AJ1251" s="153">
        <f t="shared" si="237"/>
        <v>0</v>
      </c>
      <c r="AK1251" s="153">
        <f t="shared" si="237"/>
        <v>0</v>
      </c>
      <c r="AL1251" s="153">
        <f t="shared" si="237"/>
        <v>0</v>
      </c>
      <c r="AM1251" s="153">
        <f t="shared" si="237"/>
        <v>0</v>
      </c>
      <c r="AN1251" s="153">
        <f t="shared" si="237"/>
        <v>0</v>
      </c>
      <c r="AO1251" s="153">
        <f t="shared" si="237"/>
        <v>0</v>
      </c>
      <c r="AP1251" s="153">
        <f t="shared" si="237"/>
        <v>0</v>
      </c>
      <c r="AQ1251" s="153">
        <f t="shared" si="237"/>
        <v>0</v>
      </c>
      <c r="AR1251" s="153">
        <f t="shared" si="237"/>
        <v>0</v>
      </c>
      <c r="AS1251" s="153">
        <f t="shared" si="237"/>
        <v>0</v>
      </c>
      <c r="AT1251" s="153">
        <f t="shared" si="237"/>
        <v>0</v>
      </c>
      <c r="AU1251" s="153">
        <f t="shared" si="237"/>
        <v>0</v>
      </c>
      <c r="AV1251" s="153">
        <f t="shared" si="237"/>
        <v>0</v>
      </c>
      <c r="AW1251" s="153">
        <f t="shared" si="237"/>
        <v>0</v>
      </c>
      <c r="AX1251" s="153">
        <f t="shared" si="237"/>
        <v>0</v>
      </c>
      <c r="AY1251" s="70" t="s">
        <v>235</v>
      </c>
      <c r="AZ1251" s="70"/>
      <c r="BA1251" s="47"/>
      <c r="BI1251" s="42"/>
    </row>
    <row r="1252" spans="1:61" s="24" customFormat="1" ht="19.350000000000001" customHeight="1">
      <c r="A1252" s="32">
        <f>A1248+1</f>
        <v>774</v>
      </c>
      <c r="B1252" s="158" t="s">
        <v>186</v>
      </c>
      <c r="C1252" s="78" t="s">
        <v>1260</v>
      </c>
      <c r="D1252" s="35">
        <f t="shared" si="222"/>
        <v>0.55000000000000004</v>
      </c>
      <c r="E1252" s="76"/>
      <c r="F1252" s="35">
        <f t="shared" si="236"/>
        <v>0.55000000000000004</v>
      </c>
      <c r="G1252" s="77"/>
      <c r="H1252" s="77"/>
      <c r="I1252" s="77">
        <v>0.2</v>
      </c>
      <c r="J1252" s="77">
        <v>0.35</v>
      </c>
      <c r="K1252" s="77"/>
      <c r="L1252" s="77"/>
      <c r="M1252" s="77"/>
      <c r="N1252" s="77"/>
      <c r="O1252" s="77"/>
      <c r="P1252" s="77"/>
      <c r="Q1252" s="77"/>
      <c r="R1252" s="77"/>
      <c r="S1252" s="77"/>
      <c r="T1252" s="77"/>
      <c r="U1252" s="77"/>
      <c r="V1252" s="77"/>
      <c r="W1252" s="77"/>
      <c r="X1252" s="77"/>
      <c r="Y1252" s="77"/>
      <c r="Z1252" s="77"/>
      <c r="AA1252" s="77"/>
      <c r="AB1252" s="77"/>
      <c r="AC1252" s="77"/>
      <c r="AD1252" s="77"/>
      <c r="AE1252" s="77"/>
      <c r="AF1252" s="77"/>
      <c r="AG1252" s="77"/>
      <c r="AH1252" s="77"/>
      <c r="AI1252" s="77"/>
      <c r="AJ1252" s="77"/>
      <c r="AK1252" s="77"/>
      <c r="AL1252" s="77"/>
      <c r="AM1252" s="77"/>
      <c r="AN1252" s="77"/>
      <c r="AO1252" s="77"/>
      <c r="AP1252" s="77"/>
      <c r="AQ1252" s="77"/>
      <c r="AR1252" s="77"/>
      <c r="AS1252" s="77"/>
      <c r="AT1252" s="77"/>
      <c r="AU1252" s="77"/>
      <c r="AV1252" s="77"/>
      <c r="AW1252" s="77"/>
      <c r="AX1252" s="77"/>
      <c r="AY1252" s="70" t="s">
        <v>235</v>
      </c>
      <c r="AZ1252" s="70" t="s">
        <v>308</v>
      </c>
      <c r="BA1252" s="47" t="s">
        <v>298</v>
      </c>
      <c r="BB1252" s="24" t="s">
        <v>1584</v>
      </c>
      <c r="BC1252" s="24" t="s">
        <v>381</v>
      </c>
      <c r="BG1252" s="24" t="s">
        <v>1585</v>
      </c>
      <c r="BI1252" s="42">
        <v>1</v>
      </c>
    </row>
    <row r="1253" spans="1:61" s="24" customFormat="1" ht="19.350000000000001" hidden="1" customHeight="1">
      <c r="A1253" s="32"/>
      <c r="B1253" s="158"/>
      <c r="C1253" s="78" t="s">
        <v>59</v>
      </c>
      <c r="D1253" s="35">
        <f t="shared" si="222"/>
        <v>0.21</v>
      </c>
      <c r="E1253" s="76"/>
      <c r="F1253" s="35">
        <f t="shared" si="236"/>
        <v>0.21</v>
      </c>
      <c r="G1253" s="77"/>
      <c r="H1253" s="77"/>
      <c r="I1253" s="77"/>
      <c r="J1253" s="77">
        <v>0.21</v>
      </c>
      <c r="K1253" s="77"/>
      <c r="L1253" s="77"/>
      <c r="M1253" s="77"/>
      <c r="N1253" s="77"/>
      <c r="O1253" s="77"/>
      <c r="P1253" s="77"/>
      <c r="Q1253" s="77"/>
      <c r="R1253" s="77"/>
      <c r="S1253" s="77"/>
      <c r="T1253" s="77"/>
      <c r="U1253" s="77"/>
      <c r="V1253" s="77"/>
      <c r="W1253" s="77"/>
      <c r="X1253" s="77"/>
      <c r="Y1253" s="77"/>
      <c r="Z1253" s="77"/>
      <c r="AA1253" s="77"/>
      <c r="AB1253" s="77"/>
      <c r="AC1253" s="77"/>
      <c r="AD1253" s="77"/>
      <c r="AE1253" s="77"/>
      <c r="AF1253" s="77"/>
      <c r="AG1253" s="77"/>
      <c r="AH1253" s="77"/>
      <c r="AI1253" s="77"/>
      <c r="AJ1253" s="77"/>
      <c r="AK1253" s="77"/>
      <c r="AL1253" s="77"/>
      <c r="AM1253" s="77"/>
      <c r="AN1253" s="77"/>
      <c r="AO1253" s="77"/>
      <c r="AP1253" s="77"/>
      <c r="AQ1253" s="77"/>
      <c r="AR1253" s="77"/>
      <c r="AS1253" s="77"/>
      <c r="AT1253" s="77"/>
      <c r="AU1253" s="77"/>
      <c r="AV1253" s="77"/>
      <c r="AW1253" s="77"/>
      <c r="AX1253" s="77"/>
      <c r="AY1253" s="70" t="s">
        <v>235</v>
      </c>
      <c r="AZ1253" s="70"/>
      <c r="BA1253" s="47"/>
      <c r="BI1253" s="42"/>
    </row>
    <row r="1254" spans="1:61" s="24" customFormat="1" ht="19.350000000000001" hidden="1" customHeight="1">
      <c r="A1254" s="32"/>
      <c r="B1254" s="158"/>
      <c r="C1254" s="78" t="s">
        <v>44</v>
      </c>
      <c r="D1254" s="35">
        <f t="shared" si="222"/>
        <v>0.22</v>
      </c>
      <c r="E1254" s="76"/>
      <c r="F1254" s="35">
        <f t="shared" si="236"/>
        <v>0.22</v>
      </c>
      <c r="G1254" s="77"/>
      <c r="H1254" s="77"/>
      <c r="I1254" s="77">
        <v>0.1</v>
      </c>
      <c r="J1254" s="77">
        <v>0.12</v>
      </c>
      <c r="K1254" s="77"/>
      <c r="L1254" s="77"/>
      <c r="M1254" s="77"/>
      <c r="N1254" s="77"/>
      <c r="O1254" s="77"/>
      <c r="P1254" s="77"/>
      <c r="Q1254" s="77"/>
      <c r="R1254" s="77"/>
      <c r="S1254" s="77"/>
      <c r="T1254" s="77"/>
      <c r="U1254" s="77"/>
      <c r="V1254" s="77"/>
      <c r="W1254" s="77"/>
      <c r="X1254" s="77"/>
      <c r="Y1254" s="77"/>
      <c r="Z1254" s="77"/>
      <c r="AA1254" s="77"/>
      <c r="AB1254" s="77"/>
      <c r="AC1254" s="77"/>
      <c r="AD1254" s="77"/>
      <c r="AE1254" s="77"/>
      <c r="AF1254" s="77"/>
      <c r="AG1254" s="77"/>
      <c r="AH1254" s="77"/>
      <c r="AI1254" s="77"/>
      <c r="AJ1254" s="77"/>
      <c r="AK1254" s="77"/>
      <c r="AL1254" s="77"/>
      <c r="AM1254" s="77"/>
      <c r="AN1254" s="77"/>
      <c r="AO1254" s="77"/>
      <c r="AP1254" s="77"/>
      <c r="AQ1254" s="77"/>
      <c r="AR1254" s="77"/>
      <c r="AS1254" s="77"/>
      <c r="AT1254" s="77"/>
      <c r="AU1254" s="77"/>
      <c r="AV1254" s="77"/>
      <c r="AW1254" s="77"/>
      <c r="AX1254" s="77"/>
      <c r="AY1254" s="70" t="s">
        <v>235</v>
      </c>
      <c r="AZ1254" s="70"/>
      <c r="BA1254" s="47"/>
      <c r="BI1254" s="42"/>
    </row>
    <row r="1255" spans="1:61" s="24" customFormat="1" ht="19.350000000000001" hidden="1" customHeight="1">
      <c r="A1255" s="32"/>
      <c r="B1255" s="158"/>
      <c r="C1255" s="78" t="s">
        <v>138</v>
      </c>
      <c r="D1255" s="35">
        <f t="shared" si="222"/>
        <v>0.12</v>
      </c>
      <c r="E1255" s="76"/>
      <c r="F1255" s="35">
        <f t="shared" si="236"/>
        <v>0.12</v>
      </c>
      <c r="G1255" s="153">
        <f t="shared" ref="G1255:AW1255" si="238">G1252-G1253-G1254</f>
        <v>0</v>
      </c>
      <c r="H1255" s="153">
        <f t="shared" si="238"/>
        <v>0</v>
      </c>
      <c r="I1255" s="153">
        <f t="shared" si="238"/>
        <v>0.1</v>
      </c>
      <c r="J1255" s="153">
        <f t="shared" si="238"/>
        <v>1.999999999999999E-2</v>
      </c>
      <c r="K1255" s="153">
        <f t="shared" si="238"/>
        <v>0</v>
      </c>
      <c r="L1255" s="153">
        <f t="shared" si="238"/>
        <v>0</v>
      </c>
      <c r="M1255" s="153">
        <f t="shared" si="238"/>
        <v>0</v>
      </c>
      <c r="N1255" s="153">
        <f t="shared" si="238"/>
        <v>0</v>
      </c>
      <c r="O1255" s="153">
        <f t="shared" si="238"/>
        <v>0</v>
      </c>
      <c r="P1255" s="153">
        <f t="shared" si="238"/>
        <v>0</v>
      </c>
      <c r="Q1255" s="153">
        <f t="shared" si="238"/>
        <v>0</v>
      </c>
      <c r="R1255" s="153">
        <f t="shared" si="238"/>
        <v>0</v>
      </c>
      <c r="S1255" s="153">
        <f t="shared" si="238"/>
        <v>0</v>
      </c>
      <c r="T1255" s="153">
        <f t="shared" si="238"/>
        <v>0</v>
      </c>
      <c r="U1255" s="153">
        <f t="shared" si="238"/>
        <v>0</v>
      </c>
      <c r="V1255" s="153">
        <f t="shared" si="238"/>
        <v>0</v>
      </c>
      <c r="W1255" s="153">
        <f t="shared" si="238"/>
        <v>0</v>
      </c>
      <c r="X1255" s="153">
        <f t="shared" si="238"/>
        <v>0</v>
      </c>
      <c r="Y1255" s="153">
        <f t="shared" si="238"/>
        <v>0</v>
      </c>
      <c r="Z1255" s="153">
        <f t="shared" si="238"/>
        <v>0</v>
      </c>
      <c r="AA1255" s="153">
        <f t="shared" si="238"/>
        <v>0</v>
      </c>
      <c r="AB1255" s="153">
        <f t="shared" si="238"/>
        <v>0</v>
      </c>
      <c r="AC1255" s="153">
        <f t="shared" si="238"/>
        <v>0</v>
      </c>
      <c r="AD1255" s="153">
        <f t="shared" si="238"/>
        <v>0</v>
      </c>
      <c r="AE1255" s="153">
        <f t="shared" si="238"/>
        <v>0</v>
      </c>
      <c r="AF1255" s="153">
        <f t="shared" si="238"/>
        <v>0</v>
      </c>
      <c r="AG1255" s="153">
        <f t="shared" si="238"/>
        <v>0</v>
      </c>
      <c r="AH1255" s="153">
        <f t="shared" si="238"/>
        <v>0</v>
      </c>
      <c r="AI1255" s="153">
        <f t="shared" si="238"/>
        <v>0</v>
      </c>
      <c r="AJ1255" s="153">
        <f t="shared" si="238"/>
        <v>0</v>
      </c>
      <c r="AK1255" s="153">
        <f t="shared" si="238"/>
        <v>0</v>
      </c>
      <c r="AL1255" s="153">
        <f t="shared" si="238"/>
        <v>0</v>
      </c>
      <c r="AM1255" s="153">
        <f t="shared" si="238"/>
        <v>0</v>
      </c>
      <c r="AN1255" s="153">
        <f t="shared" si="238"/>
        <v>0</v>
      </c>
      <c r="AO1255" s="153">
        <f t="shared" si="238"/>
        <v>0</v>
      </c>
      <c r="AP1255" s="153">
        <f t="shared" si="238"/>
        <v>0</v>
      </c>
      <c r="AQ1255" s="153">
        <f t="shared" si="238"/>
        <v>0</v>
      </c>
      <c r="AR1255" s="153">
        <f t="shared" si="238"/>
        <v>0</v>
      </c>
      <c r="AS1255" s="153">
        <f t="shared" si="238"/>
        <v>0</v>
      </c>
      <c r="AT1255" s="153">
        <f t="shared" si="238"/>
        <v>0</v>
      </c>
      <c r="AU1255" s="153">
        <f t="shared" si="238"/>
        <v>0</v>
      </c>
      <c r="AV1255" s="153">
        <f t="shared" si="238"/>
        <v>0</v>
      </c>
      <c r="AW1255" s="153">
        <f t="shared" si="238"/>
        <v>0</v>
      </c>
      <c r="AX1255" s="153">
        <f>AX1252-AX1253-AX1254</f>
        <v>0</v>
      </c>
      <c r="AY1255" s="70" t="s">
        <v>235</v>
      </c>
      <c r="AZ1255" s="70"/>
      <c r="BA1255" s="47"/>
      <c r="BI1255" s="42"/>
    </row>
    <row r="1256" spans="1:61" s="24" customFormat="1" ht="32.1" customHeight="1">
      <c r="A1256" s="32">
        <f>A1252+1</f>
        <v>775</v>
      </c>
      <c r="B1256" s="158" t="s">
        <v>186</v>
      </c>
      <c r="C1256" s="78" t="s">
        <v>1260</v>
      </c>
      <c r="D1256" s="35">
        <f t="shared" si="222"/>
        <v>0.47</v>
      </c>
      <c r="E1256" s="76"/>
      <c r="F1256" s="35">
        <f t="shared" si="236"/>
        <v>0.47</v>
      </c>
      <c r="G1256" s="77">
        <v>0.47</v>
      </c>
      <c r="H1256" s="77"/>
      <c r="I1256" s="77"/>
      <c r="J1256" s="77"/>
      <c r="K1256" s="77"/>
      <c r="L1256" s="77"/>
      <c r="M1256" s="77"/>
      <c r="N1256" s="77"/>
      <c r="O1256" s="77"/>
      <c r="P1256" s="77"/>
      <c r="Q1256" s="77"/>
      <c r="R1256" s="77"/>
      <c r="S1256" s="77"/>
      <c r="T1256" s="77"/>
      <c r="U1256" s="77"/>
      <c r="V1256" s="77"/>
      <c r="W1256" s="77"/>
      <c r="X1256" s="77"/>
      <c r="Y1256" s="77"/>
      <c r="Z1256" s="77"/>
      <c r="AA1256" s="77"/>
      <c r="AB1256" s="77"/>
      <c r="AC1256" s="77"/>
      <c r="AD1256" s="77"/>
      <c r="AE1256" s="77"/>
      <c r="AF1256" s="77"/>
      <c r="AG1256" s="77"/>
      <c r="AH1256" s="77"/>
      <c r="AI1256" s="77"/>
      <c r="AJ1256" s="77"/>
      <c r="AK1256" s="77"/>
      <c r="AL1256" s="77"/>
      <c r="AM1256" s="77"/>
      <c r="AN1256" s="77"/>
      <c r="AO1256" s="77"/>
      <c r="AP1256" s="77"/>
      <c r="AQ1256" s="77"/>
      <c r="AR1256" s="77"/>
      <c r="AS1256" s="77"/>
      <c r="AT1256" s="77"/>
      <c r="AU1256" s="77"/>
      <c r="AV1256" s="77"/>
      <c r="AW1256" s="77"/>
      <c r="AX1256" s="77"/>
      <c r="AY1256" s="70" t="s">
        <v>235</v>
      </c>
      <c r="AZ1256" s="70" t="s">
        <v>1586</v>
      </c>
      <c r="BA1256" s="47" t="s">
        <v>298</v>
      </c>
      <c r="BB1256" s="72"/>
      <c r="BC1256" s="24" t="s">
        <v>381</v>
      </c>
      <c r="BI1256" s="42">
        <v>1</v>
      </c>
    </row>
    <row r="1257" spans="1:61" s="24" customFormat="1" ht="14.1" hidden="1" customHeight="1">
      <c r="A1257" s="32"/>
      <c r="B1257" s="158"/>
      <c r="C1257" s="78" t="s">
        <v>59</v>
      </c>
      <c r="D1257" s="35">
        <f t="shared" si="222"/>
        <v>0.19</v>
      </c>
      <c r="E1257" s="76"/>
      <c r="F1257" s="35">
        <f t="shared" si="236"/>
        <v>0.19</v>
      </c>
      <c r="G1257" s="77">
        <v>0.19</v>
      </c>
      <c r="H1257" s="77"/>
      <c r="I1257" s="77"/>
      <c r="J1257" s="77"/>
      <c r="K1257" s="77"/>
      <c r="L1257" s="77"/>
      <c r="M1257" s="77"/>
      <c r="N1257" s="77"/>
      <c r="O1257" s="77"/>
      <c r="P1257" s="77"/>
      <c r="Q1257" s="77"/>
      <c r="R1257" s="77"/>
      <c r="S1257" s="77"/>
      <c r="T1257" s="77"/>
      <c r="U1257" s="77"/>
      <c r="V1257" s="77"/>
      <c r="W1257" s="77"/>
      <c r="X1257" s="77"/>
      <c r="Y1257" s="77"/>
      <c r="Z1257" s="77"/>
      <c r="AA1257" s="77"/>
      <c r="AB1257" s="77"/>
      <c r="AC1257" s="77"/>
      <c r="AD1257" s="77"/>
      <c r="AE1257" s="77"/>
      <c r="AF1257" s="77"/>
      <c r="AG1257" s="77"/>
      <c r="AH1257" s="77"/>
      <c r="AI1257" s="77"/>
      <c r="AJ1257" s="77"/>
      <c r="AK1257" s="77"/>
      <c r="AL1257" s="77"/>
      <c r="AM1257" s="77"/>
      <c r="AN1257" s="77"/>
      <c r="AO1257" s="77"/>
      <c r="AP1257" s="77"/>
      <c r="AQ1257" s="77"/>
      <c r="AR1257" s="77"/>
      <c r="AS1257" s="77"/>
      <c r="AT1257" s="77"/>
      <c r="AU1257" s="77"/>
      <c r="AV1257" s="77"/>
      <c r="AW1257" s="77"/>
      <c r="AX1257" s="77"/>
      <c r="AY1257" s="70" t="s">
        <v>235</v>
      </c>
      <c r="AZ1257" s="70"/>
      <c r="BA1257" s="47"/>
      <c r="BB1257" s="72"/>
      <c r="BI1257" s="42"/>
    </row>
    <row r="1258" spans="1:61" s="24" customFormat="1" ht="14.1" hidden="1" customHeight="1">
      <c r="A1258" s="32"/>
      <c r="B1258" s="158"/>
      <c r="C1258" s="78" t="s">
        <v>44</v>
      </c>
      <c r="D1258" s="35">
        <f t="shared" si="222"/>
        <v>0.19</v>
      </c>
      <c r="E1258" s="76"/>
      <c r="F1258" s="35">
        <f t="shared" si="236"/>
        <v>0.19</v>
      </c>
      <c r="G1258" s="77">
        <v>0.19</v>
      </c>
      <c r="H1258" s="77"/>
      <c r="I1258" s="77"/>
      <c r="J1258" s="77"/>
      <c r="K1258" s="77"/>
      <c r="L1258" s="77"/>
      <c r="M1258" s="77"/>
      <c r="N1258" s="77"/>
      <c r="O1258" s="77"/>
      <c r="P1258" s="77"/>
      <c r="Q1258" s="77"/>
      <c r="R1258" s="77"/>
      <c r="S1258" s="77"/>
      <c r="T1258" s="77"/>
      <c r="U1258" s="77"/>
      <c r="V1258" s="77"/>
      <c r="W1258" s="77"/>
      <c r="X1258" s="77"/>
      <c r="Y1258" s="77"/>
      <c r="Z1258" s="77"/>
      <c r="AA1258" s="77"/>
      <c r="AB1258" s="77"/>
      <c r="AC1258" s="77"/>
      <c r="AD1258" s="77"/>
      <c r="AE1258" s="77"/>
      <c r="AF1258" s="77"/>
      <c r="AG1258" s="77"/>
      <c r="AH1258" s="77"/>
      <c r="AI1258" s="77"/>
      <c r="AJ1258" s="77"/>
      <c r="AK1258" s="77"/>
      <c r="AL1258" s="77"/>
      <c r="AM1258" s="77"/>
      <c r="AN1258" s="77"/>
      <c r="AO1258" s="77"/>
      <c r="AP1258" s="77"/>
      <c r="AQ1258" s="77"/>
      <c r="AR1258" s="77"/>
      <c r="AS1258" s="77"/>
      <c r="AT1258" s="77"/>
      <c r="AU1258" s="77"/>
      <c r="AV1258" s="77"/>
      <c r="AW1258" s="77"/>
      <c r="AX1258" s="77"/>
      <c r="AY1258" s="70" t="s">
        <v>235</v>
      </c>
      <c r="AZ1258" s="70"/>
      <c r="BA1258" s="47"/>
      <c r="BB1258" s="72"/>
      <c r="BI1258" s="42"/>
    </row>
    <row r="1259" spans="1:61" s="24" customFormat="1" ht="14.1" hidden="1" customHeight="1">
      <c r="A1259" s="32"/>
      <c r="B1259" s="158"/>
      <c r="C1259" s="78" t="s">
        <v>138</v>
      </c>
      <c r="D1259" s="35">
        <f t="shared" ref="D1259:D1292" si="239">F1259+E1259</f>
        <v>8.9999999999999969E-2</v>
      </c>
      <c r="E1259" s="76"/>
      <c r="F1259" s="35">
        <f t="shared" si="236"/>
        <v>8.9999999999999969E-2</v>
      </c>
      <c r="G1259" s="153">
        <f>G1256-G1257-G1258</f>
        <v>8.9999999999999969E-2</v>
      </c>
      <c r="H1259" s="153">
        <f t="shared" ref="H1259:AX1259" si="240">H1256-H1257-H1258</f>
        <v>0</v>
      </c>
      <c r="I1259" s="153">
        <f t="shared" si="240"/>
        <v>0</v>
      </c>
      <c r="J1259" s="153">
        <f t="shared" si="240"/>
        <v>0</v>
      </c>
      <c r="K1259" s="153">
        <f t="shared" si="240"/>
        <v>0</v>
      </c>
      <c r="L1259" s="153">
        <f t="shared" si="240"/>
        <v>0</v>
      </c>
      <c r="M1259" s="153">
        <f t="shared" si="240"/>
        <v>0</v>
      </c>
      <c r="N1259" s="153">
        <f t="shared" si="240"/>
        <v>0</v>
      </c>
      <c r="O1259" s="153">
        <f t="shared" si="240"/>
        <v>0</v>
      </c>
      <c r="P1259" s="153">
        <f t="shared" si="240"/>
        <v>0</v>
      </c>
      <c r="Q1259" s="153">
        <f t="shared" si="240"/>
        <v>0</v>
      </c>
      <c r="R1259" s="153">
        <f t="shared" si="240"/>
        <v>0</v>
      </c>
      <c r="S1259" s="153">
        <f t="shared" si="240"/>
        <v>0</v>
      </c>
      <c r="T1259" s="153">
        <f t="shared" si="240"/>
        <v>0</v>
      </c>
      <c r="U1259" s="153">
        <f t="shared" si="240"/>
        <v>0</v>
      </c>
      <c r="V1259" s="153">
        <f t="shared" si="240"/>
        <v>0</v>
      </c>
      <c r="W1259" s="153">
        <f t="shared" si="240"/>
        <v>0</v>
      </c>
      <c r="X1259" s="153">
        <f t="shared" si="240"/>
        <v>0</v>
      </c>
      <c r="Y1259" s="153">
        <f t="shared" si="240"/>
        <v>0</v>
      </c>
      <c r="Z1259" s="153">
        <f t="shared" si="240"/>
        <v>0</v>
      </c>
      <c r="AA1259" s="153">
        <f t="shared" si="240"/>
        <v>0</v>
      </c>
      <c r="AB1259" s="153">
        <f t="shared" si="240"/>
        <v>0</v>
      </c>
      <c r="AC1259" s="153">
        <f t="shared" si="240"/>
        <v>0</v>
      </c>
      <c r="AD1259" s="153">
        <f t="shared" si="240"/>
        <v>0</v>
      </c>
      <c r="AE1259" s="153">
        <f t="shared" si="240"/>
        <v>0</v>
      </c>
      <c r="AF1259" s="153">
        <f t="shared" si="240"/>
        <v>0</v>
      </c>
      <c r="AG1259" s="153">
        <f t="shared" si="240"/>
        <v>0</v>
      </c>
      <c r="AH1259" s="153">
        <f t="shared" si="240"/>
        <v>0</v>
      </c>
      <c r="AI1259" s="153">
        <f t="shared" si="240"/>
        <v>0</v>
      </c>
      <c r="AJ1259" s="153">
        <f t="shared" si="240"/>
        <v>0</v>
      </c>
      <c r="AK1259" s="153">
        <f t="shared" si="240"/>
        <v>0</v>
      </c>
      <c r="AL1259" s="153">
        <f t="shared" si="240"/>
        <v>0</v>
      </c>
      <c r="AM1259" s="153">
        <f t="shared" si="240"/>
        <v>0</v>
      </c>
      <c r="AN1259" s="153">
        <f t="shared" si="240"/>
        <v>0</v>
      </c>
      <c r="AO1259" s="153">
        <f t="shared" si="240"/>
        <v>0</v>
      </c>
      <c r="AP1259" s="153">
        <f t="shared" si="240"/>
        <v>0</v>
      </c>
      <c r="AQ1259" s="153">
        <f t="shared" si="240"/>
        <v>0</v>
      </c>
      <c r="AR1259" s="153">
        <f t="shared" si="240"/>
        <v>0</v>
      </c>
      <c r="AS1259" s="153">
        <f t="shared" si="240"/>
        <v>0</v>
      </c>
      <c r="AT1259" s="153">
        <f t="shared" si="240"/>
        <v>0</v>
      </c>
      <c r="AU1259" s="153">
        <f t="shared" si="240"/>
        <v>0</v>
      </c>
      <c r="AV1259" s="153">
        <f t="shared" si="240"/>
        <v>0</v>
      </c>
      <c r="AW1259" s="153">
        <f t="shared" si="240"/>
        <v>0</v>
      </c>
      <c r="AX1259" s="153">
        <f t="shared" si="240"/>
        <v>0</v>
      </c>
      <c r="AY1259" s="70" t="s">
        <v>235</v>
      </c>
      <c r="AZ1259" s="70"/>
      <c r="BA1259" s="47"/>
      <c r="BB1259" s="72"/>
      <c r="BI1259" s="42"/>
    </row>
    <row r="1260" spans="1:61" s="24" customFormat="1" ht="19.350000000000001" customHeight="1">
      <c r="A1260" s="32">
        <f>A1256+1</f>
        <v>776</v>
      </c>
      <c r="B1260" s="158" t="s">
        <v>186</v>
      </c>
      <c r="C1260" s="78" t="s">
        <v>1260</v>
      </c>
      <c r="D1260" s="35">
        <f t="shared" si="239"/>
        <v>2.2399999999999998</v>
      </c>
      <c r="E1260" s="76"/>
      <c r="F1260" s="35">
        <f t="shared" si="236"/>
        <v>2.2399999999999998</v>
      </c>
      <c r="G1260" s="77"/>
      <c r="H1260" s="77">
        <v>1.82</v>
      </c>
      <c r="I1260" s="77">
        <v>0.37</v>
      </c>
      <c r="J1260" s="77"/>
      <c r="K1260" s="77"/>
      <c r="L1260" s="77"/>
      <c r="M1260" s="77"/>
      <c r="N1260" s="77"/>
      <c r="O1260" s="77"/>
      <c r="P1260" s="77"/>
      <c r="Q1260" s="77"/>
      <c r="R1260" s="77"/>
      <c r="S1260" s="77"/>
      <c r="T1260" s="77"/>
      <c r="U1260" s="77"/>
      <c r="V1260" s="77"/>
      <c r="W1260" s="77"/>
      <c r="X1260" s="77"/>
      <c r="Y1260" s="77"/>
      <c r="Z1260" s="77"/>
      <c r="AA1260" s="77">
        <v>0.05</v>
      </c>
      <c r="AB1260" s="77"/>
      <c r="AC1260" s="77"/>
      <c r="AD1260" s="77"/>
      <c r="AE1260" s="77"/>
      <c r="AF1260" s="77"/>
      <c r="AG1260" s="77"/>
      <c r="AH1260" s="77"/>
      <c r="AI1260" s="77"/>
      <c r="AJ1260" s="77"/>
      <c r="AK1260" s="77"/>
      <c r="AL1260" s="77"/>
      <c r="AM1260" s="77"/>
      <c r="AN1260" s="77"/>
      <c r="AO1260" s="77"/>
      <c r="AP1260" s="77"/>
      <c r="AQ1260" s="77"/>
      <c r="AR1260" s="77"/>
      <c r="AS1260" s="77"/>
      <c r="AT1260" s="77"/>
      <c r="AU1260" s="77"/>
      <c r="AV1260" s="77"/>
      <c r="AW1260" s="77"/>
      <c r="AX1260" s="77"/>
      <c r="AY1260" s="70" t="s">
        <v>235</v>
      </c>
      <c r="AZ1260" s="70" t="s">
        <v>1587</v>
      </c>
      <c r="BA1260" s="47" t="s">
        <v>298</v>
      </c>
      <c r="BB1260" s="24" t="s">
        <v>1588</v>
      </c>
      <c r="BC1260" s="24" t="s">
        <v>381</v>
      </c>
      <c r="BG1260" s="24" t="s">
        <v>1589</v>
      </c>
      <c r="BI1260" s="42">
        <v>1</v>
      </c>
    </row>
    <row r="1261" spans="1:61" s="24" customFormat="1" ht="19.350000000000001" hidden="1" customHeight="1">
      <c r="A1261" s="32"/>
      <c r="B1261" s="158"/>
      <c r="C1261" s="78" t="s">
        <v>59</v>
      </c>
      <c r="D1261" s="35">
        <f t="shared" si="239"/>
        <v>0.78</v>
      </c>
      <c r="E1261" s="76"/>
      <c r="F1261" s="35">
        <f t="shared" si="236"/>
        <v>0.78</v>
      </c>
      <c r="G1261" s="77"/>
      <c r="H1261" s="77">
        <v>0.68</v>
      </c>
      <c r="I1261" s="77">
        <v>0.1</v>
      </c>
      <c r="J1261" s="77"/>
      <c r="K1261" s="77"/>
      <c r="L1261" s="77"/>
      <c r="M1261" s="77"/>
      <c r="N1261" s="77"/>
      <c r="O1261" s="77"/>
      <c r="P1261" s="77"/>
      <c r="Q1261" s="77"/>
      <c r="R1261" s="77"/>
      <c r="S1261" s="77"/>
      <c r="T1261" s="77"/>
      <c r="U1261" s="77"/>
      <c r="V1261" s="77"/>
      <c r="W1261" s="77"/>
      <c r="X1261" s="77"/>
      <c r="Y1261" s="77"/>
      <c r="Z1261" s="77"/>
      <c r="AA1261" s="77"/>
      <c r="AB1261" s="77"/>
      <c r="AC1261" s="77"/>
      <c r="AD1261" s="77"/>
      <c r="AE1261" s="77"/>
      <c r="AF1261" s="77"/>
      <c r="AG1261" s="77"/>
      <c r="AH1261" s="77"/>
      <c r="AI1261" s="77"/>
      <c r="AJ1261" s="77"/>
      <c r="AK1261" s="77"/>
      <c r="AL1261" s="77"/>
      <c r="AM1261" s="77"/>
      <c r="AN1261" s="77"/>
      <c r="AO1261" s="77"/>
      <c r="AP1261" s="77"/>
      <c r="AQ1261" s="77"/>
      <c r="AR1261" s="77"/>
      <c r="AS1261" s="77"/>
      <c r="AT1261" s="77"/>
      <c r="AU1261" s="77"/>
      <c r="AV1261" s="77"/>
      <c r="AW1261" s="77"/>
      <c r="AX1261" s="77"/>
      <c r="AY1261" s="70" t="s">
        <v>235</v>
      </c>
      <c r="AZ1261" s="70"/>
      <c r="BA1261" s="47"/>
      <c r="BI1261" s="42"/>
    </row>
    <row r="1262" spans="1:61" s="24" customFormat="1" ht="19.350000000000001" hidden="1" customHeight="1">
      <c r="A1262" s="32"/>
      <c r="B1262" s="158"/>
      <c r="C1262" s="78" t="s">
        <v>44</v>
      </c>
      <c r="D1262" s="35">
        <f t="shared" si="239"/>
        <v>0.83000000000000007</v>
      </c>
      <c r="E1262" s="76"/>
      <c r="F1262" s="35">
        <f t="shared" si="236"/>
        <v>0.83000000000000007</v>
      </c>
      <c r="G1262" s="77"/>
      <c r="H1262" s="77">
        <v>0.68</v>
      </c>
      <c r="I1262" s="77">
        <v>0.1</v>
      </c>
      <c r="J1262" s="77"/>
      <c r="K1262" s="77"/>
      <c r="L1262" s="77"/>
      <c r="M1262" s="77"/>
      <c r="N1262" s="77"/>
      <c r="O1262" s="77"/>
      <c r="P1262" s="77"/>
      <c r="Q1262" s="77"/>
      <c r="R1262" s="77"/>
      <c r="S1262" s="77"/>
      <c r="T1262" s="77"/>
      <c r="U1262" s="77"/>
      <c r="V1262" s="77"/>
      <c r="W1262" s="77"/>
      <c r="X1262" s="77"/>
      <c r="Y1262" s="77"/>
      <c r="Z1262" s="77"/>
      <c r="AA1262" s="77">
        <v>0.05</v>
      </c>
      <c r="AB1262" s="77"/>
      <c r="AC1262" s="77"/>
      <c r="AD1262" s="77"/>
      <c r="AE1262" s="77"/>
      <c r="AF1262" s="77"/>
      <c r="AG1262" s="77"/>
      <c r="AH1262" s="77"/>
      <c r="AI1262" s="77"/>
      <c r="AJ1262" s="77"/>
      <c r="AK1262" s="77"/>
      <c r="AL1262" s="77"/>
      <c r="AM1262" s="77"/>
      <c r="AN1262" s="77"/>
      <c r="AO1262" s="77"/>
      <c r="AP1262" s="77"/>
      <c r="AQ1262" s="77"/>
      <c r="AR1262" s="77"/>
      <c r="AS1262" s="77"/>
      <c r="AT1262" s="77"/>
      <c r="AU1262" s="77"/>
      <c r="AV1262" s="77"/>
      <c r="AW1262" s="77"/>
      <c r="AX1262" s="77"/>
      <c r="AY1262" s="70" t="s">
        <v>235</v>
      </c>
      <c r="AZ1262" s="70"/>
      <c r="BA1262" s="47"/>
      <c r="BI1262" s="42"/>
    </row>
    <row r="1263" spans="1:61" s="24" customFormat="1" ht="19.350000000000001" hidden="1" customHeight="1">
      <c r="A1263" s="32"/>
      <c r="B1263" s="158"/>
      <c r="C1263" s="78" t="s">
        <v>45</v>
      </c>
      <c r="D1263" s="35">
        <f t="shared" si="239"/>
        <v>0.22</v>
      </c>
      <c r="E1263" s="76"/>
      <c r="F1263" s="35">
        <f t="shared" si="236"/>
        <v>0.22</v>
      </c>
      <c r="G1263" s="77"/>
      <c r="H1263" s="77">
        <v>0.15</v>
      </c>
      <c r="I1263" s="77">
        <v>7.0000000000000007E-2</v>
      </c>
      <c r="J1263" s="77"/>
      <c r="K1263" s="77"/>
      <c r="L1263" s="77"/>
      <c r="M1263" s="77"/>
      <c r="N1263" s="77"/>
      <c r="O1263" s="77"/>
      <c r="P1263" s="77"/>
      <c r="Q1263" s="77"/>
      <c r="R1263" s="77"/>
      <c r="S1263" s="77"/>
      <c r="T1263" s="77"/>
      <c r="U1263" s="77"/>
      <c r="V1263" s="77"/>
      <c r="W1263" s="77"/>
      <c r="X1263" s="77"/>
      <c r="Y1263" s="77"/>
      <c r="Z1263" s="77"/>
      <c r="AA1263" s="77"/>
      <c r="AB1263" s="77"/>
      <c r="AC1263" s="77"/>
      <c r="AD1263" s="77"/>
      <c r="AE1263" s="77"/>
      <c r="AF1263" s="77"/>
      <c r="AG1263" s="77"/>
      <c r="AH1263" s="77"/>
      <c r="AI1263" s="77"/>
      <c r="AJ1263" s="77"/>
      <c r="AK1263" s="77"/>
      <c r="AL1263" s="77"/>
      <c r="AM1263" s="77"/>
      <c r="AN1263" s="77"/>
      <c r="AO1263" s="77"/>
      <c r="AP1263" s="77"/>
      <c r="AQ1263" s="77"/>
      <c r="AR1263" s="77"/>
      <c r="AS1263" s="77"/>
      <c r="AT1263" s="77"/>
      <c r="AU1263" s="77"/>
      <c r="AV1263" s="77"/>
      <c r="AW1263" s="77"/>
      <c r="AX1263" s="77"/>
      <c r="AY1263" s="70" t="s">
        <v>235</v>
      </c>
      <c r="AZ1263" s="70"/>
      <c r="BA1263" s="47"/>
      <c r="BI1263" s="42"/>
    </row>
    <row r="1264" spans="1:61" s="24" customFormat="1" ht="19.350000000000001" hidden="1" customHeight="1">
      <c r="A1264" s="32"/>
      <c r="B1264" s="158"/>
      <c r="C1264" s="78" t="s">
        <v>138</v>
      </c>
      <c r="D1264" s="35">
        <f t="shared" si="239"/>
        <v>0.41000000000000003</v>
      </c>
      <c r="E1264" s="76"/>
      <c r="F1264" s="35">
        <f t="shared" si="236"/>
        <v>0.41000000000000003</v>
      </c>
      <c r="G1264" s="153">
        <f>G1260-G1261-G1262-G1263</f>
        <v>0</v>
      </c>
      <c r="H1264" s="153">
        <f t="shared" ref="H1264:AX1264" si="241">H1260-H1261-H1262-H1263</f>
        <v>0.31000000000000005</v>
      </c>
      <c r="I1264" s="153">
        <f t="shared" si="241"/>
        <v>0.1</v>
      </c>
      <c r="J1264" s="153">
        <f t="shared" si="241"/>
        <v>0</v>
      </c>
      <c r="K1264" s="153">
        <f t="shared" si="241"/>
        <v>0</v>
      </c>
      <c r="L1264" s="153">
        <f t="shared" si="241"/>
        <v>0</v>
      </c>
      <c r="M1264" s="153">
        <f t="shared" si="241"/>
        <v>0</v>
      </c>
      <c r="N1264" s="153">
        <f t="shared" si="241"/>
        <v>0</v>
      </c>
      <c r="O1264" s="153">
        <f t="shared" si="241"/>
        <v>0</v>
      </c>
      <c r="P1264" s="153">
        <f t="shared" si="241"/>
        <v>0</v>
      </c>
      <c r="Q1264" s="153">
        <f t="shared" si="241"/>
        <v>0</v>
      </c>
      <c r="R1264" s="153">
        <f t="shared" si="241"/>
        <v>0</v>
      </c>
      <c r="S1264" s="153">
        <f t="shared" si="241"/>
        <v>0</v>
      </c>
      <c r="T1264" s="153">
        <f t="shared" si="241"/>
        <v>0</v>
      </c>
      <c r="U1264" s="153">
        <f t="shared" si="241"/>
        <v>0</v>
      </c>
      <c r="V1264" s="153">
        <f t="shared" si="241"/>
        <v>0</v>
      </c>
      <c r="W1264" s="153">
        <f t="shared" si="241"/>
        <v>0</v>
      </c>
      <c r="X1264" s="153">
        <f t="shared" si="241"/>
        <v>0</v>
      </c>
      <c r="Y1264" s="153">
        <f t="shared" si="241"/>
        <v>0</v>
      </c>
      <c r="Z1264" s="153">
        <f t="shared" si="241"/>
        <v>0</v>
      </c>
      <c r="AA1264" s="153">
        <f t="shared" si="241"/>
        <v>0</v>
      </c>
      <c r="AB1264" s="153">
        <f t="shared" si="241"/>
        <v>0</v>
      </c>
      <c r="AC1264" s="153">
        <f t="shared" si="241"/>
        <v>0</v>
      </c>
      <c r="AD1264" s="153">
        <f t="shared" si="241"/>
        <v>0</v>
      </c>
      <c r="AE1264" s="153">
        <f t="shared" si="241"/>
        <v>0</v>
      </c>
      <c r="AF1264" s="153">
        <f t="shared" si="241"/>
        <v>0</v>
      </c>
      <c r="AG1264" s="153">
        <f t="shared" si="241"/>
        <v>0</v>
      </c>
      <c r="AH1264" s="153">
        <f t="shared" si="241"/>
        <v>0</v>
      </c>
      <c r="AI1264" s="153">
        <f t="shared" si="241"/>
        <v>0</v>
      </c>
      <c r="AJ1264" s="153">
        <f t="shared" si="241"/>
        <v>0</v>
      </c>
      <c r="AK1264" s="153">
        <f t="shared" si="241"/>
        <v>0</v>
      </c>
      <c r="AL1264" s="153">
        <f t="shared" si="241"/>
        <v>0</v>
      </c>
      <c r="AM1264" s="153">
        <f t="shared" si="241"/>
        <v>0</v>
      </c>
      <c r="AN1264" s="153">
        <f t="shared" si="241"/>
        <v>0</v>
      </c>
      <c r="AO1264" s="153">
        <f t="shared" si="241"/>
        <v>0</v>
      </c>
      <c r="AP1264" s="153">
        <f t="shared" si="241"/>
        <v>0</v>
      </c>
      <c r="AQ1264" s="153">
        <f t="shared" si="241"/>
        <v>0</v>
      </c>
      <c r="AR1264" s="153">
        <f t="shared" si="241"/>
        <v>0</v>
      </c>
      <c r="AS1264" s="153">
        <f t="shared" si="241"/>
        <v>0</v>
      </c>
      <c r="AT1264" s="153">
        <f t="shared" si="241"/>
        <v>0</v>
      </c>
      <c r="AU1264" s="153">
        <f t="shared" si="241"/>
        <v>0</v>
      </c>
      <c r="AV1264" s="153">
        <f t="shared" si="241"/>
        <v>0</v>
      </c>
      <c r="AW1264" s="153">
        <f t="shared" si="241"/>
        <v>0</v>
      </c>
      <c r="AX1264" s="153">
        <f t="shared" si="241"/>
        <v>0</v>
      </c>
      <c r="AY1264" s="70" t="s">
        <v>235</v>
      </c>
      <c r="AZ1264" s="70"/>
      <c r="BA1264" s="47"/>
      <c r="BI1264" s="42"/>
    </row>
    <row r="1265" spans="1:61" s="24" customFormat="1" ht="19.350000000000001" customHeight="1">
      <c r="A1265" s="32">
        <f>A1260+1</f>
        <v>777</v>
      </c>
      <c r="B1265" s="158" t="s">
        <v>186</v>
      </c>
      <c r="C1265" s="78" t="s">
        <v>59</v>
      </c>
      <c r="D1265" s="35">
        <f t="shared" si="239"/>
        <v>0.09</v>
      </c>
      <c r="E1265" s="76"/>
      <c r="F1265" s="35">
        <f t="shared" si="236"/>
        <v>0.09</v>
      </c>
      <c r="G1265" s="77">
        <v>0.09</v>
      </c>
      <c r="H1265" s="77"/>
      <c r="I1265" s="77"/>
      <c r="J1265" s="77"/>
      <c r="K1265" s="77"/>
      <c r="L1265" s="77"/>
      <c r="M1265" s="77"/>
      <c r="N1265" s="77"/>
      <c r="O1265" s="77"/>
      <c r="P1265" s="77"/>
      <c r="Q1265" s="77"/>
      <c r="R1265" s="77"/>
      <c r="S1265" s="77"/>
      <c r="T1265" s="77"/>
      <c r="U1265" s="77"/>
      <c r="V1265" s="77"/>
      <c r="W1265" s="77"/>
      <c r="X1265" s="77"/>
      <c r="Y1265" s="77"/>
      <c r="Z1265" s="77"/>
      <c r="AA1265" s="77"/>
      <c r="AB1265" s="77"/>
      <c r="AC1265" s="77"/>
      <c r="AD1265" s="77"/>
      <c r="AE1265" s="77"/>
      <c r="AF1265" s="77"/>
      <c r="AG1265" s="77"/>
      <c r="AH1265" s="77"/>
      <c r="AI1265" s="77"/>
      <c r="AJ1265" s="77"/>
      <c r="AK1265" s="77"/>
      <c r="AL1265" s="77"/>
      <c r="AM1265" s="77"/>
      <c r="AN1265" s="77"/>
      <c r="AO1265" s="77"/>
      <c r="AP1265" s="77"/>
      <c r="AQ1265" s="77"/>
      <c r="AR1265" s="77"/>
      <c r="AS1265" s="77"/>
      <c r="AT1265" s="77"/>
      <c r="AU1265" s="77"/>
      <c r="AV1265" s="77"/>
      <c r="AW1265" s="77"/>
      <c r="AX1265" s="77"/>
      <c r="AY1265" s="70" t="s">
        <v>235</v>
      </c>
      <c r="AZ1265" s="70" t="s">
        <v>1590</v>
      </c>
      <c r="BA1265" s="47" t="s">
        <v>298</v>
      </c>
      <c r="BB1265" s="24" t="s">
        <v>1591</v>
      </c>
      <c r="BC1265" s="24" t="s">
        <v>381</v>
      </c>
      <c r="BI1265" s="42">
        <v>1</v>
      </c>
    </row>
    <row r="1266" spans="1:61" s="24" customFormat="1" ht="19.350000000000001" customHeight="1">
      <c r="A1266" s="32">
        <f>A1265+1</f>
        <v>778</v>
      </c>
      <c r="B1266" s="158" t="s">
        <v>186</v>
      </c>
      <c r="C1266" s="78" t="s">
        <v>1260</v>
      </c>
      <c r="D1266" s="35">
        <f t="shared" si="239"/>
        <v>0.26</v>
      </c>
      <c r="E1266" s="76"/>
      <c r="F1266" s="35">
        <f t="shared" si="236"/>
        <v>0.26</v>
      </c>
      <c r="G1266" s="77">
        <v>0.2</v>
      </c>
      <c r="H1266" s="77"/>
      <c r="I1266" s="77">
        <v>0.06</v>
      </c>
      <c r="J1266" s="77"/>
      <c r="K1266" s="77"/>
      <c r="L1266" s="77"/>
      <c r="M1266" s="77"/>
      <c r="N1266" s="77"/>
      <c r="O1266" s="77"/>
      <c r="P1266" s="77"/>
      <c r="Q1266" s="77"/>
      <c r="R1266" s="77"/>
      <c r="S1266" s="77"/>
      <c r="T1266" s="77"/>
      <c r="U1266" s="77"/>
      <c r="V1266" s="77"/>
      <c r="W1266" s="77"/>
      <c r="X1266" s="77"/>
      <c r="Y1266" s="77"/>
      <c r="Z1266" s="77"/>
      <c r="AA1266" s="77"/>
      <c r="AB1266" s="77"/>
      <c r="AC1266" s="77"/>
      <c r="AD1266" s="77"/>
      <c r="AE1266" s="77"/>
      <c r="AF1266" s="77"/>
      <c r="AG1266" s="77"/>
      <c r="AH1266" s="77"/>
      <c r="AI1266" s="77"/>
      <c r="AJ1266" s="77"/>
      <c r="AK1266" s="77"/>
      <c r="AL1266" s="77"/>
      <c r="AM1266" s="77"/>
      <c r="AN1266" s="77"/>
      <c r="AO1266" s="77"/>
      <c r="AP1266" s="77"/>
      <c r="AQ1266" s="77"/>
      <c r="AR1266" s="77"/>
      <c r="AS1266" s="77"/>
      <c r="AT1266" s="77"/>
      <c r="AU1266" s="77"/>
      <c r="AV1266" s="77"/>
      <c r="AW1266" s="77"/>
      <c r="AX1266" s="77"/>
      <c r="AY1266" s="70" t="s">
        <v>235</v>
      </c>
      <c r="AZ1266" s="70" t="s">
        <v>1592</v>
      </c>
      <c r="BA1266" s="118" t="s">
        <v>291</v>
      </c>
      <c r="BB1266" s="72"/>
      <c r="BI1266" s="42">
        <v>1</v>
      </c>
    </row>
    <row r="1267" spans="1:61" s="24" customFormat="1" ht="19.350000000000001" hidden="1" customHeight="1">
      <c r="A1267" s="32"/>
      <c r="B1267" s="158"/>
      <c r="C1267" s="78" t="s">
        <v>59</v>
      </c>
      <c r="D1267" s="35">
        <f t="shared" si="239"/>
        <v>0.1</v>
      </c>
      <c r="E1267" s="76"/>
      <c r="F1267" s="35">
        <f t="shared" si="236"/>
        <v>0.1</v>
      </c>
      <c r="G1267" s="77">
        <v>0.1</v>
      </c>
      <c r="H1267" s="77"/>
      <c r="I1267" s="77"/>
      <c r="J1267" s="77"/>
      <c r="K1267" s="77"/>
      <c r="L1267" s="77"/>
      <c r="M1267" s="77"/>
      <c r="N1267" s="77"/>
      <c r="O1267" s="77"/>
      <c r="P1267" s="77"/>
      <c r="Q1267" s="77"/>
      <c r="R1267" s="77"/>
      <c r="S1267" s="77"/>
      <c r="T1267" s="77"/>
      <c r="U1267" s="77"/>
      <c r="V1267" s="77"/>
      <c r="W1267" s="77"/>
      <c r="X1267" s="77"/>
      <c r="Y1267" s="77"/>
      <c r="Z1267" s="77"/>
      <c r="AA1267" s="77"/>
      <c r="AB1267" s="77"/>
      <c r="AC1267" s="77"/>
      <c r="AD1267" s="77"/>
      <c r="AE1267" s="77"/>
      <c r="AF1267" s="77"/>
      <c r="AG1267" s="77"/>
      <c r="AH1267" s="77"/>
      <c r="AI1267" s="77"/>
      <c r="AJ1267" s="77"/>
      <c r="AK1267" s="77"/>
      <c r="AL1267" s="77"/>
      <c r="AM1267" s="77"/>
      <c r="AN1267" s="77"/>
      <c r="AO1267" s="77"/>
      <c r="AP1267" s="77"/>
      <c r="AQ1267" s="77"/>
      <c r="AR1267" s="77"/>
      <c r="AS1267" s="77"/>
      <c r="AT1267" s="77"/>
      <c r="AU1267" s="77"/>
      <c r="AV1267" s="77"/>
      <c r="AW1267" s="77"/>
      <c r="AX1267" s="77"/>
      <c r="AY1267" s="70" t="s">
        <v>235</v>
      </c>
      <c r="AZ1267" s="70"/>
      <c r="BA1267" s="118"/>
      <c r="BB1267" s="72"/>
      <c r="BI1267" s="42"/>
    </row>
    <row r="1268" spans="1:61" s="24" customFormat="1" ht="19.350000000000001" hidden="1" customHeight="1">
      <c r="A1268" s="32"/>
      <c r="B1268" s="158"/>
      <c r="C1268" s="78" t="s">
        <v>44</v>
      </c>
      <c r="D1268" s="35">
        <f t="shared" si="239"/>
        <v>0.09</v>
      </c>
      <c r="E1268" s="76"/>
      <c r="F1268" s="35">
        <f t="shared" si="236"/>
        <v>0.09</v>
      </c>
      <c r="G1268" s="77">
        <v>0.09</v>
      </c>
      <c r="H1268" s="77"/>
      <c r="I1268" s="77"/>
      <c r="J1268" s="77"/>
      <c r="K1268" s="77"/>
      <c r="L1268" s="77"/>
      <c r="M1268" s="77"/>
      <c r="N1268" s="77"/>
      <c r="O1268" s="77"/>
      <c r="P1268" s="77"/>
      <c r="Q1268" s="77"/>
      <c r="R1268" s="77"/>
      <c r="S1268" s="77"/>
      <c r="T1268" s="77"/>
      <c r="U1268" s="77"/>
      <c r="V1268" s="77"/>
      <c r="W1268" s="77"/>
      <c r="X1268" s="77"/>
      <c r="Y1268" s="77"/>
      <c r="Z1268" s="77"/>
      <c r="AA1268" s="77"/>
      <c r="AB1268" s="77"/>
      <c r="AC1268" s="77"/>
      <c r="AD1268" s="77"/>
      <c r="AE1268" s="77"/>
      <c r="AF1268" s="77"/>
      <c r="AG1268" s="77"/>
      <c r="AH1268" s="77"/>
      <c r="AI1268" s="77"/>
      <c r="AJ1268" s="77"/>
      <c r="AK1268" s="77"/>
      <c r="AL1268" s="77"/>
      <c r="AM1268" s="77"/>
      <c r="AN1268" s="77"/>
      <c r="AO1268" s="77"/>
      <c r="AP1268" s="77"/>
      <c r="AQ1268" s="77"/>
      <c r="AR1268" s="77"/>
      <c r="AS1268" s="77"/>
      <c r="AT1268" s="77"/>
      <c r="AU1268" s="77"/>
      <c r="AV1268" s="77"/>
      <c r="AW1268" s="77"/>
      <c r="AX1268" s="77"/>
      <c r="AY1268" s="70" t="s">
        <v>235</v>
      </c>
      <c r="AZ1268" s="70"/>
      <c r="BA1268" s="118"/>
      <c r="BB1268" s="72"/>
      <c r="BI1268" s="42"/>
    </row>
    <row r="1269" spans="1:61" s="24" customFormat="1" ht="19.350000000000001" hidden="1" customHeight="1">
      <c r="A1269" s="32"/>
      <c r="B1269" s="158"/>
      <c r="C1269" s="78" t="s">
        <v>138</v>
      </c>
      <c r="D1269" s="35">
        <f t="shared" si="239"/>
        <v>7.0000000000000007E-2</v>
      </c>
      <c r="E1269" s="76"/>
      <c r="F1269" s="35">
        <f t="shared" si="236"/>
        <v>7.0000000000000007E-2</v>
      </c>
      <c r="G1269" s="153">
        <f>G1266-G1267-G1268</f>
        <v>1.0000000000000009E-2</v>
      </c>
      <c r="H1269" s="153">
        <f t="shared" ref="H1269:AX1269" si="242">H1266-H1267-H1268</f>
        <v>0</v>
      </c>
      <c r="I1269" s="153">
        <f t="shared" si="242"/>
        <v>0.06</v>
      </c>
      <c r="J1269" s="153">
        <f t="shared" si="242"/>
        <v>0</v>
      </c>
      <c r="K1269" s="153">
        <f t="shared" si="242"/>
        <v>0</v>
      </c>
      <c r="L1269" s="153">
        <f t="shared" si="242"/>
        <v>0</v>
      </c>
      <c r="M1269" s="153">
        <f t="shared" si="242"/>
        <v>0</v>
      </c>
      <c r="N1269" s="153">
        <f t="shared" si="242"/>
        <v>0</v>
      </c>
      <c r="O1269" s="153">
        <f t="shared" si="242"/>
        <v>0</v>
      </c>
      <c r="P1269" s="153">
        <f t="shared" si="242"/>
        <v>0</v>
      </c>
      <c r="Q1269" s="153">
        <f t="shared" si="242"/>
        <v>0</v>
      </c>
      <c r="R1269" s="153">
        <f t="shared" si="242"/>
        <v>0</v>
      </c>
      <c r="S1269" s="153">
        <f t="shared" si="242"/>
        <v>0</v>
      </c>
      <c r="T1269" s="153">
        <f t="shared" si="242"/>
        <v>0</v>
      </c>
      <c r="U1269" s="153">
        <f t="shared" si="242"/>
        <v>0</v>
      </c>
      <c r="V1269" s="153">
        <f t="shared" si="242"/>
        <v>0</v>
      </c>
      <c r="W1269" s="153">
        <f t="shared" si="242"/>
        <v>0</v>
      </c>
      <c r="X1269" s="153">
        <f t="shared" si="242"/>
        <v>0</v>
      </c>
      <c r="Y1269" s="153">
        <f t="shared" si="242"/>
        <v>0</v>
      </c>
      <c r="Z1269" s="153">
        <f t="shared" si="242"/>
        <v>0</v>
      </c>
      <c r="AA1269" s="153">
        <f t="shared" si="242"/>
        <v>0</v>
      </c>
      <c r="AB1269" s="153">
        <f t="shared" si="242"/>
        <v>0</v>
      </c>
      <c r="AC1269" s="153">
        <f t="shared" si="242"/>
        <v>0</v>
      </c>
      <c r="AD1269" s="153">
        <f t="shared" si="242"/>
        <v>0</v>
      </c>
      <c r="AE1269" s="153">
        <f t="shared" si="242"/>
        <v>0</v>
      </c>
      <c r="AF1269" s="153">
        <f t="shared" si="242"/>
        <v>0</v>
      </c>
      <c r="AG1269" s="153">
        <f t="shared" si="242"/>
        <v>0</v>
      </c>
      <c r="AH1269" s="153">
        <f t="shared" si="242"/>
        <v>0</v>
      </c>
      <c r="AI1269" s="153">
        <f t="shared" si="242"/>
        <v>0</v>
      </c>
      <c r="AJ1269" s="153">
        <f t="shared" si="242"/>
        <v>0</v>
      </c>
      <c r="AK1269" s="153">
        <f t="shared" si="242"/>
        <v>0</v>
      </c>
      <c r="AL1269" s="153">
        <f t="shared" si="242"/>
        <v>0</v>
      </c>
      <c r="AM1269" s="153">
        <f t="shared" si="242"/>
        <v>0</v>
      </c>
      <c r="AN1269" s="153">
        <f t="shared" si="242"/>
        <v>0</v>
      </c>
      <c r="AO1269" s="153">
        <f t="shared" si="242"/>
        <v>0</v>
      </c>
      <c r="AP1269" s="153">
        <f t="shared" si="242"/>
        <v>0</v>
      </c>
      <c r="AQ1269" s="153">
        <f t="shared" si="242"/>
        <v>0</v>
      </c>
      <c r="AR1269" s="153">
        <f t="shared" si="242"/>
        <v>0</v>
      </c>
      <c r="AS1269" s="153">
        <f t="shared" si="242"/>
        <v>0</v>
      </c>
      <c r="AT1269" s="153">
        <f t="shared" si="242"/>
        <v>0</v>
      </c>
      <c r="AU1269" s="153">
        <f t="shared" si="242"/>
        <v>0</v>
      </c>
      <c r="AV1269" s="153">
        <f t="shared" si="242"/>
        <v>0</v>
      </c>
      <c r="AW1269" s="153">
        <f t="shared" si="242"/>
        <v>0</v>
      </c>
      <c r="AX1269" s="153">
        <f t="shared" si="242"/>
        <v>0</v>
      </c>
      <c r="AY1269" s="70" t="s">
        <v>235</v>
      </c>
      <c r="AZ1269" s="70"/>
      <c r="BA1269" s="118"/>
      <c r="BB1269" s="72"/>
      <c r="BI1269" s="42"/>
    </row>
    <row r="1270" spans="1:61" s="24" customFormat="1" ht="19.350000000000001" customHeight="1">
      <c r="A1270" s="32">
        <f>A1266+1</f>
        <v>779</v>
      </c>
      <c r="B1270" s="158" t="s">
        <v>186</v>
      </c>
      <c r="C1270" s="78" t="s">
        <v>1260</v>
      </c>
      <c r="D1270" s="35">
        <f t="shared" si="239"/>
        <v>0.56000000000000005</v>
      </c>
      <c r="E1270" s="76"/>
      <c r="F1270" s="35">
        <f t="shared" si="236"/>
        <v>0.56000000000000005</v>
      </c>
      <c r="G1270" s="77">
        <v>0.39</v>
      </c>
      <c r="H1270" s="77"/>
      <c r="I1270" s="77"/>
      <c r="J1270" s="77"/>
      <c r="K1270" s="77"/>
      <c r="L1270" s="77"/>
      <c r="M1270" s="77"/>
      <c r="N1270" s="77"/>
      <c r="O1270" s="77"/>
      <c r="P1270" s="77">
        <v>0.17</v>
      </c>
      <c r="Q1270" s="77"/>
      <c r="R1270" s="77"/>
      <c r="S1270" s="77"/>
      <c r="T1270" s="77"/>
      <c r="U1270" s="77"/>
      <c r="V1270" s="77"/>
      <c r="W1270" s="77"/>
      <c r="X1270" s="77"/>
      <c r="Y1270" s="77"/>
      <c r="Z1270" s="77"/>
      <c r="AA1270" s="77"/>
      <c r="AB1270" s="77"/>
      <c r="AC1270" s="77"/>
      <c r="AD1270" s="77"/>
      <c r="AE1270" s="77"/>
      <c r="AF1270" s="77"/>
      <c r="AG1270" s="77"/>
      <c r="AH1270" s="77"/>
      <c r="AI1270" s="77"/>
      <c r="AJ1270" s="77"/>
      <c r="AK1270" s="77"/>
      <c r="AL1270" s="77"/>
      <c r="AM1270" s="77"/>
      <c r="AN1270" s="77"/>
      <c r="AO1270" s="77"/>
      <c r="AP1270" s="77"/>
      <c r="AQ1270" s="77"/>
      <c r="AR1270" s="77"/>
      <c r="AS1270" s="77"/>
      <c r="AT1270" s="77"/>
      <c r="AU1270" s="77"/>
      <c r="AV1270" s="77"/>
      <c r="AW1270" s="77"/>
      <c r="AX1270" s="77"/>
      <c r="AY1270" s="70" t="s">
        <v>235</v>
      </c>
      <c r="AZ1270" s="70" t="s">
        <v>305</v>
      </c>
      <c r="BA1270" s="47" t="s">
        <v>298</v>
      </c>
      <c r="BB1270" s="48"/>
      <c r="BI1270" s="42">
        <v>1</v>
      </c>
    </row>
    <row r="1271" spans="1:61" s="24" customFormat="1" ht="19.350000000000001" hidden="1" customHeight="1">
      <c r="A1271" s="32"/>
      <c r="B1271" s="158"/>
      <c r="C1271" s="78" t="s">
        <v>59</v>
      </c>
      <c r="D1271" s="35">
        <f t="shared" si="239"/>
        <v>0.21000000000000002</v>
      </c>
      <c r="E1271" s="76"/>
      <c r="F1271" s="35">
        <f t="shared" si="236"/>
        <v>0.21000000000000002</v>
      </c>
      <c r="G1271" s="77">
        <v>0.1</v>
      </c>
      <c r="H1271" s="77"/>
      <c r="I1271" s="77"/>
      <c r="J1271" s="77"/>
      <c r="K1271" s="77"/>
      <c r="L1271" s="77"/>
      <c r="M1271" s="77"/>
      <c r="N1271" s="77"/>
      <c r="O1271" s="77"/>
      <c r="P1271" s="77">
        <v>0.11</v>
      </c>
      <c r="Q1271" s="77"/>
      <c r="R1271" s="77"/>
      <c r="S1271" s="77"/>
      <c r="T1271" s="77"/>
      <c r="U1271" s="77"/>
      <c r="V1271" s="77"/>
      <c r="W1271" s="77"/>
      <c r="X1271" s="77"/>
      <c r="Y1271" s="77"/>
      <c r="Z1271" s="77"/>
      <c r="AA1271" s="77"/>
      <c r="AB1271" s="77"/>
      <c r="AC1271" s="77"/>
      <c r="AD1271" s="77"/>
      <c r="AE1271" s="77"/>
      <c r="AF1271" s="77"/>
      <c r="AG1271" s="77"/>
      <c r="AH1271" s="77"/>
      <c r="AI1271" s="77"/>
      <c r="AJ1271" s="77"/>
      <c r="AK1271" s="77"/>
      <c r="AL1271" s="77"/>
      <c r="AM1271" s="77"/>
      <c r="AN1271" s="77"/>
      <c r="AO1271" s="77"/>
      <c r="AP1271" s="77"/>
      <c r="AQ1271" s="77"/>
      <c r="AR1271" s="77"/>
      <c r="AS1271" s="77"/>
      <c r="AT1271" s="77"/>
      <c r="AU1271" s="77"/>
      <c r="AV1271" s="77"/>
      <c r="AW1271" s="77"/>
      <c r="AX1271" s="77"/>
      <c r="AY1271" s="70" t="s">
        <v>235</v>
      </c>
      <c r="AZ1271" s="70"/>
      <c r="BA1271" s="47"/>
      <c r="BB1271" s="48"/>
      <c r="BI1271" s="42"/>
    </row>
    <row r="1272" spans="1:61" s="24" customFormat="1" ht="19.350000000000001" hidden="1" customHeight="1">
      <c r="A1272" s="32"/>
      <c r="B1272" s="158"/>
      <c r="C1272" s="78" t="s">
        <v>44</v>
      </c>
      <c r="D1272" s="35">
        <f t="shared" si="239"/>
        <v>0.21</v>
      </c>
      <c r="E1272" s="76"/>
      <c r="F1272" s="35">
        <f t="shared" si="236"/>
        <v>0.21</v>
      </c>
      <c r="G1272" s="77">
        <v>0.21</v>
      </c>
      <c r="H1272" s="77"/>
      <c r="I1272" s="77"/>
      <c r="J1272" s="77"/>
      <c r="K1272" s="77"/>
      <c r="L1272" s="77"/>
      <c r="M1272" s="77"/>
      <c r="N1272" s="77"/>
      <c r="O1272" s="77"/>
      <c r="P1272" s="77"/>
      <c r="Q1272" s="77"/>
      <c r="R1272" s="77"/>
      <c r="S1272" s="77"/>
      <c r="T1272" s="77"/>
      <c r="U1272" s="77"/>
      <c r="V1272" s="77"/>
      <c r="W1272" s="77"/>
      <c r="X1272" s="77"/>
      <c r="Y1272" s="77"/>
      <c r="Z1272" s="77"/>
      <c r="AA1272" s="77"/>
      <c r="AB1272" s="77"/>
      <c r="AC1272" s="77"/>
      <c r="AD1272" s="77"/>
      <c r="AE1272" s="77"/>
      <c r="AF1272" s="77"/>
      <c r="AG1272" s="77"/>
      <c r="AH1272" s="77"/>
      <c r="AI1272" s="77"/>
      <c r="AJ1272" s="77"/>
      <c r="AK1272" s="77"/>
      <c r="AL1272" s="77"/>
      <c r="AM1272" s="77"/>
      <c r="AN1272" s="77"/>
      <c r="AO1272" s="77"/>
      <c r="AP1272" s="77"/>
      <c r="AQ1272" s="77"/>
      <c r="AR1272" s="77"/>
      <c r="AS1272" s="77"/>
      <c r="AT1272" s="77"/>
      <c r="AU1272" s="77"/>
      <c r="AV1272" s="77"/>
      <c r="AW1272" s="77"/>
      <c r="AX1272" s="77"/>
      <c r="AY1272" s="70" t="s">
        <v>235</v>
      </c>
      <c r="AZ1272" s="70"/>
      <c r="BA1272" s="47"/>
      <c r="BB1272" s="48"/>
      <c r="BI1272" s="42"/>
    </row>
    <row r="1273" spans="1:61" s="24" customFormat="1" ht="19.350000000000001" hidden="1" customHeight="1">
      <c r="A1273" s="32"/>
      <c r="B1273" s="158"/>
      <c r="C1273" s="78" t="s">
        <v>138</v>
      </c>
      <c r="D1273" s="35">
        <f t="shared" si="239"/>
        <v>0.14000000000000007</v>
      </c>
      <c r="E1273" s="76"/>
      <c r="F1273" s="35">
        <f t="shared" si="236"/>
        <v>0.14000000000000007</v>
      </c>
      <c r="G1273" s="153">
        <f t="shared" ref="G1273:AW1273" si="243">G1270-G1271-G1272</f>
        <v>8.0000000000000043E-2</v>
      </c>
      <c r="H1273" s="153">
        <f t="shared" si="243"/>
        <v>0</v>
      </c>
      <c r="I1273" s="153">
        <f t="shared" si="243"/>
        <v>0</v>
      </c>
      <c r="J1273" s="153">
        <f t="shared" si="243"/>
        <v>0</v>
      </c>
      <c r="K1273" s="153">
        <f t="shared" si="243"/>
        <v>0</v>
      </c>
      <c r="L1273" s="153">
        <f t="shared" si="243"/>
        <v>0</v>
      </c>
      <c r="M1273" s="153">
        <f t="shared" si="243"/>
        <v>0</v>
      </c>
      <c r="N1273" s="153">
        <f t="shared" si="243"/>
        <v>0</v>
      </c>
      <c r="O1273" s="153">
        <f t="shared" si="243"/>
        <v>0</v>
      </c>
      <c r="P1273" s="154">
        <f t="shared" si="243"/>
        <v>6.0000000000000012E-2</v>
      </c>
      <c r="Q1273" s="153">
        <f t="shared" si="243"/>
        <v>0</v>
      </c>
      <c r="R1273" s="153">
        <f t="shared" si="243"/>
        <v>0</v>
      </c>
      <c r="S1273" s="153">
        <f t="shared" si="243"/>
        <v>0</v>
      </c>
      <c r="T1273" s="153">
        <f t="shared" si="243"/>
        <v>0</v>
      </c>
      <c r="U1273" s="153">
        <f t="shared" si="243"/>
        <v>0</v>
      </c>
      <c r="V1273" s="153">
        <f t="shared" si="243"/>
        <v>0</v>
      </c>
      <c r="W1273" s="153">
        <f t="shared" si="243"/>
        <v>0</v>
      </c>
      <c r="X1273" s="153">
        <f t="shared" si="243"/>
        <v>0</v>
      </c>
      <c r="Y1273" s="153">
        <f t="shared" si="243"/>
        <v>0</v>
      </c>
      <c r="Z1273" s="153">
        <f t="shared" si="243"/>
        <v>0</v>
      </c>
      <c r="AA1273" s="153">
        <f t="shared" si="243"/>
        <v>0</v>
      </c>
      <c r="AB1273" s="153">
        <f t="shared" si="243"/>
        <v>0</v>
      </c>
      <c r="AC1273" s="153">
        <f t="shared" si="243"/>
        <v>0</v>
      </c>
      <c r="AD1273" s="153">
        <f t="shared" si="243"/>
        <v>0</v>
      </c>
      <c r="AE1273" s="153">
        <f t="shared" si="243"/>
        <v>0</v>
      </c>
      <c r="AF1273" s="153">
        <f t="shared" si="243"/>
        <v>0</v>
      </c>
      <c r="AG1273" s="153">
        <f t="shared" si="243"/>
        <v>0</v>
      </c>
      <c r="AH1273" s="153">
        <f t="shared" si="243"/>
        <v>0</v>
      </c>
      <c r="AI1273" s="153">
        <f t="shared" si="243"/>
        <v>0</v>
      </c>
      <c r="AJ1273" s="153">
        <f t="shared" si="243"/>
        <v>0</v>
      </c>
      <c r="AK1273" s="153">
        <f t="shared" si="243"/>
        <v>0</v>
      </c>
      <c r="AL1273" s="153">
        <f t="shared" si="243"/>
        <v>0</v>
      </c>
      <c r="AM1273" s="153">
        <f t="shared" si="243"/>
        <v>0</v>
      </c>
      <c r="AN1273" s="153">
        <f t="shared" si="243"/>
        <v>0</v>
      </c>
      <c r="AO1273" s="153">
        <f t="shared" si="243"/>
        <v>0</v>
      </c>
      <c r="AP1273" s="153">
        <f t="shared" si="243"/>
        <v>0</v>
      </c>
      <c r="AQ1273" s="153">
        <f t="shared" si="243"/>
        <v>0</v>
      </c>
      <c r="AR1273" s="153">
        <f t="shared" si="243"/>
        <v>0</v>
      </c>
      <c r="AS1273" s="153">
        <f t="shared" si="243"/>
        <v>0</v>
      </c>
      <c r="AT1273" s="153">
        <f t="shared" si="243"/>
        <v>0</v>
      </c>
      <c r="AU1273" s="153">
        <f t="shared" si="243"/>
        <v>0</v>
      </c>
      <c r="AV1273" s="153">
        <f t="shared" si="243"/>
        <v>0</v>
      </c>
      <c r="AW1273" s="153">
        <f t="shared" si="243"/>
        <v>0</v>
      </c>
      <c r="AX1273" s="153">
        <f>AX1270-AX1271-AX1272</f>
        <v>0</v>
      </c>
      <c r="AY1273" s="70" t="s">
        <v>235</v>
      </c>
      <c r="AZ1273" s="70"/>
      <c r="BA1273" s="47"/>
      <c r="BB1273" s="48"/>
      <c r="BI1273" s="42"/>
    </row>
    <row r="1274" spans="1:61" s="24" customFormat="1" ht="19.350000000000001" customHeight="1">
      <c r="A1274" s="32">
        <f>A1270+1</f>
        <v>780</v>
      </c>
      <c r="B1274" s="158" t="s">
        <v>186</v>
      </c>
      <c r="C1274" s="78" t="s">
        <v>1260</v>
      </c>
      <c r="D1274" s="35">
        <f t="shared" si="239"/>
        <v>0.5</v>
      </c>
      <c r="E1274" s="76"/>
      <c r="F1274" s="35">
        <f t="shared" si="236"/>
        <v>0.5</v>
      </c>
      <c r="G1274" s="77">
        <v>0.47</v>
      </c>
      <c r="H1274" s="77"/>
      <c r="I1274" s="77"/>
      <c r="J1274" s="77"/>
      <c r="K1274" s="77"/>
      <c r="L1274" s="77"/>
      <c r="M1274" s="77"/>
      <c r="N1274" s="77"/>
      <c r="O1274" s="77"/>
      <c r="P1274" s="77"/>
      <c r="Q1274" s="77"/>
      <c r="R1274" s="77"/>
      <c r="S1274" s="77"/>
      <c r="T1274" s="77"/>
      <c r="U1274" s="77"/>
      <c r="V1274" s="77"/>
      <c r="W1274" s="77"/>
      <c r="X1274" s="77"/>
      <c r="Y1274" s="77"/>
      <c r="Z1274" s="77"/>
      <c r="AA1274" s="77">
        <v>0.03</v>
      </c>
      <c r="AB1274" s="77"/>
      <c r="AC1274" s="77"/>
      <c r="AD1274" s="77"/>
      <c r="AE1274" s="77"/>
      <c r="AF1274" s="77"/>
      <c r="AG1274" s="77"/>
      <c r="AH1274" s="77"/>
      <c r="AI1274" s="77"/>
      <c r="AJ1274" s="77"/>
      <c r="AK1274" s="77"/>
      <c r="AL1274" s="77"/>
      <c r="AM1274" s="77"/>
      <c r="AN1274" s="77"/>
      <c r="AO1274" s="77"/>
      <c r="AP1274" s="77"/>
      <c r="AQ1274" s="77"/>
      <c r="AR1274" s="77"/>
      <c r="AS1274" s="77"/>
      <c r="AT1274" s="77"/>
      <c r="AU1274" s="77"/>
      <c r="AV1274" s="77"/>
      <c r="AW1274" s="77"/>
      <c r="AX1274" s="77"/>
      <c r="AY1274" s="70" t="s">
        <v>1593</v>
      </c>
      <c r="AZ1274" s="70" t="s">
        <v>417</v>
      </c>
      <c r="BA1274" s="118" t="s">
        <v>291</v>
      </c>
      <c r="BB1274" s="24" t="s">
        <v>1594</v>
      </c>
      <c r="BC1274" s="66" t="s">
        <v>1512</v>
      </c>
      <c r="BI1274" s="42">
        <v>1</v>
      </c>
    </row>
    <row r="1275" spans="1:61" s="24" customFormat="1" ht="19.350000000000001" hidden="1" customHeight="1">
      <c r="A1275" s="32"/>
      <c r="B1275" s="66"/>
      <c r="C1275" s="78" t="s">
        <v>59</v>
      </c>
      <c r="D1275" s="35">
        <f t="shared" si="239"/>
        <v>0.2</v>
      </c>
      <c r="E1275" s="76"/>
      <c r="F1275" s="35">
        <f t="shared" si="236"/>
        <v>0.2</v>
      </c>
      <c r="G1275" s="77">
        <v>0.17</v>
      </c>
      <c r="H1275" s="77"/>
      <c r="I1275" s="77"/>
      <c r="J1275" s="77"/>
      <c r="K1275" s="77"/>
      <c r="L1275" s="77"/>
      <c r="M1275" s="77"/>
      <c r="N1275" s="77"/>
      <c r="O1275" s="77"/>
      <c r="P1275" s="77"/>
      <c r="Q1275" s="77"/>
      <c r="R1275" s="77"/>
      <c r="S1275" s="77"/>
      <c r="T1275" s="77"/>
      <c r="U1275" s="77"/>
      <c r="V1275" s="77"/>
      <c r="W1275" s="77"/>
      <c r="X1275" s="77"/>
      <c r="Y1275" s="77"/>
      <c r="Z1275" s="77"/>
      <c r="AA1275" s="77">
        <v>0.03</v>
      </c>
      <c r="AB1275" s="77"/>
      <c r="AC1275" s="77"/>
      <c r="AD1275" s="77"/>
      <c r="AE1275" s="77"/>
      <c r="AF1275" s="77"/>
      <c r="AG1275" s="77"/>
      <c r="AH1275" s="77"/>
      <c r="AI1275" s="77"/>
      <c r="AJ1275" s="77"/>
      <c r="AK1275" s="77"/>
      <c r="AL1275" s="77"/>
      <c r="AM1275" s="77"/>
      <c r="AN1275" s="77"/>
      <c r="AO1275" s="77"/>
      <c r="AP1275" s="77"/>
      <c r="AQ1275" s="77"/>
      <c r="AR1275" s="77"/>
      <c r="AS1275" s="77"/>
      <c r="AT1275" s="77"/>
      <c r="AU1275" s="77"/>
      <c r="AV1275" s="77"/>
      <c r="AW1275" s="77"/>
      <c r="AX1275" s="77"/>
      <c r="AY1275" s="70" t="s">
        <v>235</v>
      </c>
      <c r="AZ1275" s="70"/>
      <c r="BA1275" s="118"/>
      <c r="BC1275" s="160"/>
      <c r="BI1275" s="42"/>
    </row>
    <row r="1276" spans="1:61" s="24" customFormat="1" ht="19.350000000000001" hidden="1" customHeight="1">
      <c r="A1276" s="32"/>
      <c r="B1276" s="66"/>
      <c r="C1276" s="78" t="s">
        <v>44</v>
      </c>
      <c r="D1276" s="35">
        <f t="shared" si="239"/>
        <v>0.2</v>
      </c>
      <c r="E1276" s="76"/>
      <c r="F1276" s="35">
        <f t="shared" si="236"/>
        <v>0.2</v>
      </c>
      <c r="G1276" s="77">
        <v>0.2</v>
      </c>
      <c r="H1276" s="77"/>
      <c r="I1276" s="77"/>
      <c r="J1276" s="77"/>
      <c r="K1276" s="77"/>
      <c r="L1276" s="77"/>
      <c r="M1276" s="77"/>
      <c r="N1276" s="77"/>
      <c r="O1276" s="77"/>
      <c r="P1276" s="77"/>
      <c r="Q1276" s="77"/>
      <c r="R1276" s="77"/>
      <c r="S1276" s="77"/>
      <c r="T1276" s="77"/>
      <c r="U1276" s="77"/>
      <c r="V1276" s="77"/>
      <c r="W1276" s="77"/>
      <c r="X1276" s="77"/>
      <c r="Y1276" s="77"/>
      <c r="Z1276" s="77"/>
      <c r="AA1276" s="77"/>
      <c r="AB1276" s="77"/>
      <c r="AC1276" s="77"/>
      <c r="AD1276" s="77"/>
      <c r="AE1276" s="77"/>
      <c r="AF1276" s="77"/>
      <c r="AG1276" s="77"/>
      <c r="AH1276" s="77"/>
      <c r="AI1276" s="77"/>
      <c r="AJ1276" s="77"/>
      <c r="AK1276" s="77"/>
      <c r="AL1276" s="77"/>
      <c r="AM1276" s="77"/>
      <c r="AN1276" s="77"/>
      <c r="AO1276" s="77"/>
      <c r="AP1276" s="77"/>
      <c r="AQ1276" s="77"/>
      <c r="AR1276" s="77"/>
      <c r="AS1276" s="77"/>
      <c r="AT1276" s="77"/>
      <c r="AU1276" s="77"/>
      <c r="AV1276" s="77"/>
      <c r="AW1276" s="77"/>
      <c r="AX1276" s="77"/>
      <c r="AY1276" s="70" t="s">
        <v>235</v>
      </c>
      <c r="AZ1276" s="70"/>
      <c r="BA1276" s="118"/>
      <c r="BC1276" s="160"/>
      <c r="BI1276" s="42"/>
    </row>
    <row r="1277" spans="1:61" s="24" customFormat="1" ht="19.350000000000001" hidden="1" customHeight="1">
      <c r="A1277" s="32"/>
      <c r="B1277" s="66"/>
      <c r="C1277" s="78" t="s">
        <v>138</v>
      </c>
      <c r="D1277" s="35">
        <f t="shared" si="239"/>
        <v>9.9999999999999922E-2</v>
      </c>
      <c r="E1277" s="76"/>
      <c r="F1277" s="35">
        <f t="shared" si="236"/>
        <v>9.9999999999999922E-2</v>
      </c>
      <c r="G1277" s="153">
        <f>G1274-G1275-G1276</f>
        <v>9.9999999999999922E-2</v>
      </c>
      <c r="H1277" s="153">
        <f t="shared" ref="H1277:AX1277" si="244">H1274-H1275-H1276</f>
        <v>0</v>
      </c>
      <c r="I1277" s="153">
        <f t="shared" si="244"/>
        <v>0</v>
      </c>
      <c r="J1277" s="153">
        <f t="shared" si="244"/>
        <v>0</v>
      </c>
      <c r="K1277" s="153">
        <f t="shared" si="244"/>
        <v>0</v>
      </c>
      <c r="L1277" s="153">
        <f t="shared" si="244"/>
        <v>0</v>
      </c>
      <c r="M1277" s="153">
        <f t="shared" si="244"/>
        <v>0</v>
      </c>
      <c r="N1277" s="153">
        <f t="shared" si="244"/>
        <v>0</v>
      </c>
      <c r="O1277" s="153">
        <f t="shared" si="244"/>
        <v>0</v>
      </c>
      <c r="P1277" s="153">
        <f t="shared" si="244"/>
        <v>0</v>
      </c>
      <c r="Q1277" s="153">
        <f t="shared" si="244"/>
        <v>0</v>
      </c>
      <c r="R1277" s="153">
        <f t="shared" si="244"/>
        <v>0</v>
      </c>
      <c r="S1277" s="153">
        <f t="shared" si="244"/>
        <v>0</v>
      </c>
      <c r="T1277" s="153">
        <f t="shared" si="244"/>
        <v>0</v>
      </c>
      <c r="U1277" s="153">
        <f t="shared" si="244"/>
        <v>0</v>
      </c>
      <c r="V1277" s="153">
        <f t="shared" si="244"/>
        <v>0</v>
      </c>
      <c r="W1277" s="153">
        <f t="shared" si="244"/>
        <v>0</v>
      </c>
      <c r="X1277" s="153">
        <f t="shared" si="244"/>
        <v>0</v>
      </c>
      <c r="Y1277" s="153">
        <f t="shared" si="244"/>
        <v>0</v>
      </c>
      <c r="Z1277" s="153">
        <f t="shared" si="244"/>
        <v>0</v>
      </c>
      <c r="AA1277" s="153">
        <f t="shared" si="244"/>
        <v>0</v>
      </c>
      <c r="AB1277" s="153">
        <f t="shared" si="244"/>
        <v>0</v>
      </c>
      <c r="AC1277" s="153">
        <f t="shared" si="244"/>
        <v>0</v>
      </c>
      <c r="AD1277" s="153">
        <f t="shared" si="244"/>
        <v>0</v>
      </c>
      <c r="AE1277" s="153">
        <f t="shared" si="244"/>
        <v>0</v>
      </c>
      <c r="AF1277" s="153">
        <f t="shared" si="244"/>
        <v>0</v>
      </c>
      <c r="AG1277" s="153">
        <f t="shared" si="244"/>
        <v>0</v>
      </c>
      <c r="AH1277" s="153">
        <f t="shared" si="244"/>
        <v>0</v>
      </c>
      <c r="AI1277" s="153">
        <f t="shared" si="244"/>
        <v>0</v>
      </c>
      <c r="AJ1277" s="153">
        <f t="shared" si="244"/>
        <v>0</v>
      </c>
      <c r="AK1277" s="153">
        <f t="shared" si="244"/>
        <v>0</v>
      </c>
      <c r="AL1277" s="153">
        <f t="shared" si="244"/>
        <v>0</v>
      </c>
      <c r="AM1277" s="153">
        <f t="shared" si="244"/>
        <v>0</v>
      </c>
      <c r="AN1277" s="153">
        <f t="shared" si="244"/>
        <v>0</v>
      </c>
      <c r="AO1277" s="153">
        <f t="shared" si="244"/>
        <v>0</v>
      </c>
      <c r="AP1277" s="153">
        <f t="shared" si="244"/>
        <v>0</v>
      </c>
      <c r="AQ1277" s="153">
        <f t="shared" si="244"/>
        <v>0</v>
      </c>
      <c r="AR1277" s="153">
        <f t="shared" si="244"/>
        <v>0</v>
      </c>
      <c r="AS1277" s="153">
        <f t="shared" si="244"/>
        <v>0</v>
      </c>
      <c r="AT1277" s="153">
        <f t="shared" si="244"/>
        <v>0</v>
      </c>
      <c r="AU1277" s="153">
        <f t="shared" si="244"/>
        <v>0</v>
      </c>
      <c r="AV1277" s="153">
        <f t="shared" si="244"/>
        <v>0</v>
      </c>
      <c r="AW1277" s="153">
        <f t="shared" si="244"/>
        <v>0</v>
      </c>
      <c r="AX1277" s="153">
        <f t="shared" si="244"/>
        <v>0</v>
      </c>
      <c r="AY1277" s="70" t="s">
        <v>235</v>
      </c>
      <c r="AZ1277" s="70"/>
      <c r="BA1277" s="118"/>
      <c r="BC1277" s="160"/>
      <c r="BI1277" s="42"/>
    </row>
    <row r="1278" spans="1:61" s="24" customFormat="1" ht="31.5">
      <c r="A1278" s="32">
        <f>A1274+1</f>
        <v>781</v>
      </c>
      <c r="B1278" s="158" t="s">
        <v>186</v>
      </c>
      <c r="C1278" s="78" t="s">
        <v>1260</v>
      </c>
      <c r="D1278" s="35">
        <f t="shared" si="239"/>
        <v>0.45</v>
      </c>
      <c r="E1278" s="76"/>
      <c r="F1278" s="35">
        <f t="shared" si="236"/>
        <v>0.45</v>
      </c>
      <c r="G1278" s="77"/>
      <c r="H1278" s="77"/>
      <c r="I1278" s="77"/>
      <c r="J1278" s="77"/>
      <c r="K1278" s="77"/>
      <c r="L1278" s="77"/>
      <c r="M1278" s="77"/>
      <c r="N1278" s="77"/>
      <c r="O1278" s="77"/>
      <c r="P1278" s="77">
        <v>0.45</v>
      </c>
      <c r="Q1278" s="77"/>
      <c r="R1278" s="77"/>
      <c r="S1278" s="77"/>
      <c r="T1278" s="77"/>
      <c r="U1278" s="77"/>
      <c r="V1278" s="77"/>
      <c r="W1278" s="77"/>
      <c r="X1278" s="77"/>
      <c r="Y1278" s="77"/>
      <c r="Z1278" s="77"/>
      <c r="AA1278" s="77"/>
      <c r="AB1278" s="77"/>
      <c r="AC1278" s="77"/>
      <c r="AD1278" s="77"/>
      <c r="AE1278" s="77"/>
      <c r="AF1278" s="77"/>
      <c r="AG1278" s="77"/>
      <c r="AH1278" s="77"/>
      <c r="AI1278" s="77"/>
      <c r="AJ1278" s="77"/>
      <c r="AK1278" s="77"/>
      <c r="AL1278" s="77"/>
      <c r="AM1278" s="77"/>
      <c r="AN1278" s="77"/>
      <c r="AO1278" s="77"/>
      <c r="AP1278" s="77"/>
      <c r="AQ1278" s="77"/>
      <c r="AR1278" s="77"/>
      <c r="AS1278" s="77"/>
      <c r="AT1278" s="77"/>
      <c r="AU1278" s="77"/>
      <c r="AV1278" s="77"/>
      <c r="AW1278" s="77"/>
      <c r="AX1278" s="77"/>
      <c r="AY1278" s="70" t="s">
        <v>235</v>
      </c>
      <c r="AZ1278" s="70" t="s">
        <v>1595</v>
      </c>
      <c r="BA1278" s="118" t="s">
        <v>291</v>
      </c>
      <c r="BB1278" s="72"/>
      <c r="BI1278" s="42">
        <v>1</v>
      </c>
    </row>
    <row r="1279" spans="1:61" s="24" customFormat="1" hidden="1">
      <c r="A1279" s="32"/>
      <c r="B1279" s="158"/>
      <c r="C1279" s="78" t="s">
        <v>59</v>
      </c>
      <c r="D1279" s="35">
        <f t="shared" si="239"/>
        <v>0.18</v>
      </c>
      <c r="E1279" s="76"/>
      <c r="F1279" s="35">
        <f t="shared" si="236"/>
        <v>0.18</v>
      </c>
      <c r="G1279" s="77"/>
      <c r="H1279" s="77"/>
      <c r="I1279" s="77"/>
      <c r="J1279" s="77"/>
      <c r="K1279" s="77"/>
      <c r="L1279" s="77"/>
      <c r="M1279" s="77"/>
      <c r="N1279" s="77"/>
      <c r="O1279" s="77"/>
      <c r="P1279" s="77">
        <v>0.18</v>
      </c>
      <c r="Q1279" s="77"/>
      <c r="R1279" s="77"/>
      <c r="S1279" s="77"/>
      <c r="T1279" s="77"/>
      <c r="U1279" s="77"/>
      <c r="V1279" s="77"/>
      <c r="W1279" s="77"/>
      <c r="X1279" s="77"/>
      <c r="Y1279" s="77"/>
      <c r="Z1279" s="77"/>
      <c r="AA1279" s="77"/>
      <c r="AB1279" s="77"/>
      <c r="AC1279" s="77"/>
      <c r="AD1279" s="77"/>
      <c r="AE1279" s="77"/>
      <c r="AF1279" s="77"/>
      <c r="AG1279" s="77"/>
      <c r="AH1279" s="77"/>
      <c r="AI1279" s="77"/>
      <c r="AJ1279" s="77"/>
      <c r="AK1279" s="77"/>
      <c r="AL1279" s="77"/>
      <c r="AM1279" s="77"/>
      <c r="AN1279" s="77"/>
      <c r="AO1279" s="77"/>
      <c r="AP1279" s="77"/>
      <c r="AQ1279" s="77"/>
      <c r="AR1279" s="77"/>
      <c r="AS1279" s="77"/>
      <c r="AT1279" s="77"/>
      <c r="AU1279" s="77"/>
      <c r="AV1279" s="77"/>
      <c r="AW1279" s="77"/>
      <c r="AX1279" s="77"/>
      <c r="AY1279" s="70" t="s">
        <v>235</v>
      </c>
      <c r="AZ1279" s="70"/>
      <c r="BA1279" s="118"/>
      <c r="BB1279" s="72"/>
      <c r="BI1279" s="42"/>
    </row>
    <row r="1280" spans="1:61" s="24" customFormat="1" hidden="1">
      <c r="A1280" s="32"/>
      <c r="B1280" s="158"/>
      <c r="C1280" s="78" t="s">
        <v>44</v>
      </c>
      <c r="D1280" s="35">
        <f t="shared" si="239"/>
        <v>0.18</v>
      </c>
      <c r="E1280" s="76"/>
      <c r="F1280" s="35">
        <f t="shared" si="236"/>
        <v>0.18</v>
      </c>
      <c r="G1280" s="77"/>
      <c r="H1280" s="77"/>
      <c r="I1280" s="77"/>
      <c r="J1280" s="77"/>
      <c r="K1280" s="77"/>
      <c r="L1280" s="77"/>
      <c r="M1280" s="77"/>
      <c r="N1280" s="77"/>
      <c r="O1280" s="77"/>
      <c r="P1280" s="77">
        <v>0.18</v>
      </c>
      <c r="Q1280" s="77"/>
      <c r="R1280" s="77"/>
      <c r="S1280" s="77"/>
      <c r="T1280" s="77"/>
      <c r="U1280" s="77"/>
      <c r="V1280" s="77"/>
      <c r="W1280" s="77"/>
      <c r="X1280" s="77"/>
      <c r="Y1280" s="77"/>
      <c r="Z1280" s="77"/>
      <c r="AA1280" s="77"/>
      <c r="AB1280" s="77"/>
      <c r="AC1280" s="77"/>
      <c r="AD1280" s="77"/>
      <c r="AE1280" s="77"/>
      <c r="AF1280" s="77"/>
      <c r="AG1280" s="77"/>
      <c r="AH1280" s="77"/>
      <c r="AI1280" s="77"/>
      <c r="AJ1280" s="77"/>
      <c r="AK1280" s="77"/>
      <c r="AL1280" s="77"/>
      <c r="AM1280" s="77"/>
      <c r="AN1280" s="77"/>
      <c r="AO1280" s="77"/>
      <c r="AP1280" s="77"/>
      <c r="AQ1280" s="77"/>
      <c r="AR1280" s="77"/>
      <c r="AS1280" s="77"/>
      <c r="AT1280" s="77"/>
      <c r="AU1280" s="77"/>
      <c r="AV1280" s="77"/>
      <c r="AW1280" s="77"/>
      <c r="AX1280" s="77"/>
      <c r="AY1280" s="70" t="s">
        <v>235</v>
      </c>
      <c r="AZ1280" s="70"/>
      <c r="BA1280" s="118"/>
      <c r="BB1280" s="72"/>
      <c r="BI1280" s="42"/>
    </row>
    <row r="1281" spans="1:63" s="24" customFormat="1" hidden="1">
      <c r="A1281" s="32"/>
      <c r="B1281" s="158"/>
      <c r="C1281" s="78" t="s">
        <v>138</v>
      </c>
      <c r="D1281" s="35">
        <f t="shared" si="239"/>
        <v>9.0000000000000024E-2</v>
      </c>
      <c r="E1281" s="76"/>
      <c r="F1281" s="35">
        <f t="shared" si="236"/>
        <v>9.0000000000000024E-2</v>
      </c>
      <c r="G1281" s="153">
        <f>G1278-G1279-G1280</f>
        <v>0</v>
      </c>
      <c r="H1281" s="153">
        <f t="shared" ref="H1281:AX1281" si="245">H1278-H1279-H1280</f>
        <v>0</v>
      </c>
      <c r="I1281" s="153">
        <f t="shared" si="245"/>
        <v>0</v>
      </c>
      <c r="J1281" s="153">
        <f t="shared" si="245"/>
        <v>0</v>
      </c>
      <c r="K1281" s="153">
        <f t="shared" si="245"/>
        <v>0</v>
      </c>
      <c r="L1281" s="153">
        <f t="shared" si="245"/>
        <v>0</v>
      </c>
      <c r="M1281" s="153">
        <f t="shared" si="245"/>
        <v>0</v>
      </c>
      <c r="N1281" s="153">
        <f t="shared" si="245"/>
        <v>0</v>
      </c>
      <c r="O1281" s="153">
        <f t="shared" si="245"/>
        <v>0</v>
      </c>
      <c r="P1281" s="154">
        <f t="shared" si="245"/>
        <v>9.0000000000000024E-2</v>
      </c>
      <c r="Q1281" s="153">
        <f t="shared" si="245"/>
        <v>0</v>
      </c>
      <c r="R1281" s="153">
        <f t="shared" si="245"/>
        <v>0</v>
      </c>
      <c r="S1281" s="153">
        <f t="shared" si="245"/>
        <v>0</v>
      </c>
      <c r="T1281" s="153">
        <f t="shared" si="245"/>
        <v>0</v>
      </c>
      <c r="U1281" s="153">
        <f t="shared" si="245"/>
        <v>0</v>
      </c>
      <c r="V1281" s="153">
        <f t="shared" si="245"/>
        <v>0</v>
      </c>
      <c r="W1281" s="153">
        <f t="shared" si="245"/>
        <v>0</v>
      </c>
      <c r="X1281" s="153">
        <f t="shared" si="245"/>
        <v>0</v>
      </c>
      <c r="Y1281" s="153">
        <f t="shared" si="245"/>
        <v>0</v>
      </c>
      <c r="Z1281" s="153">
        <f t="shared" si="245"/>
        <v>0</v>
      </c>
      <c r="AA1281" s="153">
        <f t="shared" si="245"/>
        <v>0</v>
      </c>
      <c r="AB1281" s="153">
        <f t="shared" si="245"/>
        <v>0</v>
      </c>
      <c r="AC1281" s="153">
        <f t="shared" si="245"/>
        <v>0</v>
      </c>
      <c r="AD1281" s="153">
        <f t="shared" si="245"/>
        <v>0</v>
      </c>
      <c r="AE1281" s="153">
        <f t="shared" si="245"/>
        <v>0</v>
      </c>
      <c r="AF1281" s="153">
        <f t="shared" si="245"/>
        <v>0</v>
      </c>
      <c r="AG1281" s="153">
        <f t="shared" si="245"/>
        <v>0</v>
      </c>
      <c r="AH1281" s="153">
        <f t="shared" si="245"/>
        <v>0</v>
      </c>
      <c r="AI1281" s="153">
        <f t="shared" si="245"/>
        <v>0</v>
      </c>
      <c r="AJ1281" s="153">
        <f t="shared" si="245"/>
        <v>0</v>
      </c>
      <c r="AK1281" s="153">
        <f t="shared" si="245"/>
        <v>0</v>
      </c>
      <c r="AL1281" s="153">
        <f t="shared" si="245"/>
        <v>0</v>
      </c>
      <c r="AM1281" s="153">
        <f t="shared" si="245"/>
        <v>0</v>
      </c>
      <c r="AN1281" s="153">
        <f t="shared" si="245"/>
        <v>0</v>
      </c>
      <c r="AO1281" s="153">
        <f t="shared" si="245"/>
        <v>0</v>
      </c>
      <c r="AP1281" s="153">
        <f t="shared" si="245"/>
        <v>0</v>
      </c>
      <c r="AQ1281" s="153">
        <f t="shared" si="245"/>
        <v>0</v>
      </c>
      <c r="AR1281" s="153">
        <f t="shared" si="245"/>
        <v>0</v>
      </c>
      <c r="AS1281" s="153">
        <f t="shared" si="245"/>
        <v>0</v>
      </c>
      <c r="AT1281" s="153">
        <f t="shared" si="245"/>
        <v>0</v>
      </c>
      <c r="AU1281" s="153">
        <f t="shared" si="245"/>
        <v>0</v>
      </c>
      <c r="AV1281" s="153">
        <f t="shared" si="245"/>
        <v>0</v>
      </c>
      <c r="AW1281" s="153">
        <f t="shared" si="245"/>
        <v>0</v>
      </c>
      <c r="AX1281" s="153">
        <f t="shared" si="245"/>
        <v>0</v>
      </c>
      <c r="AY1281" s="70" t="s">
        <v>235</v>
      </c>
      <c r="AZ1281" s="70"/>
      <c r="BA1281" s="118"/>
      <c r="BB1281" s="72"/>
      <c r="BI1281" s="42"/>
    </row>
    <row r="1282" spans="1:63" s="24" customFormat="1" ht="31.5">
      <c r="A1282" s="32">
        <f>A1278+1</f>
        <v>782</v>
      </c>
      <c r="B1282" s="66" t="s">
        <v>1596</v>
      </c>
      <c r="C1282" s="78" t="s">
        <v>1260</v>
      </c>
      <c r="D1282" s="35">
        <f t="shared" si="239"/>
        <v>0.62000000000000011</v>
      </c>
      <c r="E1282" s="76"/>
      <c r="F1282" s="35">
        <f t="shared" si="236"/>
        <v>0.62000000000000011</v>
      </c>
      <c r="G1282" s="77">
        <v>0.13</v>
      </c>
      <c r="H1282" s="77">
        <v>0.23000000000000004</v>
      </c>
      <c r="I1282" s="77">
        <v>0.19</v>
      </c>
      <c r="J1282" s="77"/>
      <c r="K1282" s="77"/>
      <c r="L1282" s="77"/>
      <c r="M1282" s="77"/>
      <c r="N1282" s="77"/>
      <c r="O1282" s="77"/>
      <c r="P1282" s="77"/>
      <c r="Q1282" s="77"/>
      <c r="R1282" s="77"/>
      <c r="S1282" s="77"/>
      <c r="T1282" s="77"/>
      <c r="U1282" s="77"/>
      <c r="V1282" s="77"/>
      <c r="W1282" s="77"/>
      <c r="X1282" s="77"/>
      <c r="Y1282" s="77"/>
      <c r="Z1282" s="77">
        <v>0.03</v>
      </c>
      <c r="AA1282" s="77">
        <v>0.04</v>
      </c>
      <c r="AB1282" s="77"/>
      <c r="AC1282" s="77"/>
      <c r="AD1282" s="77"/>
      <c r="AE1282" s="77"/>
      <c r="AF1282" s="77"/>
      <c r="AG1282" s="77"/>
      <c r="AH1282" s="77"/>
      <c r="AI1282" s="77"/>
      <c r="AJ1282" s="77"/>
      <c r="AK1282" s="77"/>
      <c r="AL1282" s="77"/>
      <c r="AM1282" s="77"/>
      <c r="AN1282" s="77"/>
      <c r="AO1282" s="77"/>
      <c r="AP1282" s="77"/>
      <c r="AQ1282" s="77"/>
      <c r="AR1282" s="77"/>
      <c r="AS1282" s="77"/>
      <c r="AT1282" s="77"/>
      <c r="AU1282" s="77"/>
      <c r="AV1282" s="77"/>
      <c r="AW1282" s="77"/>
      <c r="AX1282" s="77"/>
      <c r="AY1282" s="70" t="s">
        <v>235</v>
      </c>
      <c r="AZ1282" s="70" t="s">
        <v>1597</v>
      </c>
      <c r="BA1282" s="118" t="s">
        <v>291</v>
      </c>
      <c r="BB1282" s="72"/>
      <c r="BI1282" s="42">
        <v>1</v>
      </c>
    </row>
    <row r="1283" spans="1:63" s="24" customFormat="1" hidden="1">
      <c r="A1283" s="32"/>
      <c r="B1283" s="66"/>
      <c r="C1283" s="78" t="s">
        <v>59</v>
      </c>
      <c r="D1283" s="35">
        <f t="shared" si="239"/>
        <v>0.23</v>
      </c>
      <c r="E1283" s="76"/>
      <c r="F1283" s="35">
        <f t="shared" si="236"/>
        <v>0.23</v>
      </c>
      <c r="G1283" s="77"/>
      <c r="H1283" s="77">
        <v>0.2</v>
      </c>
      <c r="I1283" s="77"/>
      <c r="J1283" s="77"/>
      <c r="K1283" s="77"/>
      <c r="L1283" s="77"/>
      <c r="M1283" s="77"/>
      <c r="N1283" s="77"/>
      <c r="O1283" s="77"/>
      <c r="P1283" s="77"/>
      <c r="Q1283" s="77"/>
      <c r="R1283" s="77"/>
      <c r="S1283" s="77"/>
      <c r="T1283" s="77"/>
      <c r="U1283" s="77"/>
      <c r="V1283" s="77"/>
      <c r="W1283" s="77"/>
      <c r="X1283" s="77"/>
      <c r="Y1283" s="77"/>
      <c r="Z1283" s="77">
        <v>0.03</v>
      </c>
      <c r="AA1283" s="77"/>
      <c r="AB1283" s="77"/>
      <c r="AC1283" s="77"/>
      <c r="AD1283" s="77"/>
      <c r="AE1283" s="77"/>
      <c r="AF1283" s="77"/>
      <c r="AG1283" s="77"/>
      <c r="AH1283" s="77"/>
      <c r="AI1283" s="77"/>
      <c r="AJ1283" s="77"/>
      <c r="AK1283" s="77"/>
      <c r="AL1283" s="77"/>
      <c r="AM1283" s="77"/>
      <c r="AN1283" s="77"/>
      <c r="AO1283" s="77"/>
      <c r="AP1283" s="77"/>
      <c r="AQ1283" s="77"/>
      <c r="AR1283" s="77"/>
      <c r="AS1283" s="77"/>
      <c r="AT1283" s="77"/>
      <c r="AU1283" s="77"/>
      <c r="AV1283" s="77"/>
      <c r="AW1283" s="77"/>
      <c r="AX1283" s="77"/>
      <c r="AY1283" s="70" t="s">
        <v>235</v>
      </c>
      <c r="AZ1283" s="70"/>
      <c r="BA1283" s="118"/>
      <c r="BB1283" s="72"/>
      <c r="BI1283" s="42"/>
    </row>
    <row r="1284" spans="1:63" s="24" customFormat="1" hidden="1">
      <c r="A1284" s="32"/>
      <c r="B1284" s="66"/>
      <c r="C1284" s="78" t="s">
        <v>44</v>
      </c>
      <c r="D1284" s="35">
        <f t="shared" si="239"/>
        <v>0.25</v>
      </c>
      <c r="E1284" s="76"/>
      <c r="F1284" s="35">
        <f t="shared" si="236"/>
        <v>0.25</v>
      </c>
      <c r="G1284" s="77">
        <v>0.06</v>
      </c>
      <c r="H1284" s="77"/>
      <c r="I1284" s="77">
        <v>0.19</v>
      </c>
      <c r="J1284" s="77"/>
      <c r="K1284" s="77"/>
      <c r="L1284" s="77"/>
      <c r="M1284" s="77"/>
      <c r="N1284" s="77"/>
      <c r="O1284" s="77"/>
      <c r="P1284" s="77"/>
      <c r="Q1284" s="77"/>
      <c r="R1284" s="77"/>
      <c r="S1284" s="77"/>
      <c r="T1284" s="77"/>
      <c r="U1284" s="77"/>
      <c r="V1284" s="77"/>
      <c r="W1284" s="77"/>
      <c r="X1284" s="77"/>
      <c r="Y1284" s="77"/>
      <c r="Z1284" s="77"/>
      <c r="AA1284" s="77"/>
      <c r="AB1284" s="77"/>
      <c r="AC1284" s="77"/>
      <c r="AD1284" s="77"/>
      <c r="AE1284" s="77"/>
      <c r="AF1284" s="77"/>
      <c r="AG1284" s="77"/>
      <c r="AH1284" s="77"/>
      <c r="AI1284" s="77"/>
      <c r="AJ1284" s="77"/>
      <c r="AK1284" s="77"/>
      <c r="AL1284" s="77"/>
      <c r="AM1284" s="77"/>
      <c r="AN1284" s="77"/>
      <c r="AO1284" s="77"/>
      <c r="AP1284" s="77"/>
      <c r="AQ1284" s="77"/>
      <c r="AR1284" s="77"/>
      <c r="AS1284" s="77"/>
      <c r="AT1284" s="77"/>
      <c r="AU1284" s="77"/>
      <c r="AV1284" s="77"/>
      <c r="AW1284" s="77"/>
      <c r="AX1284" s="77"/>
      <c r="AY1284" s="70" t="s">
        <v>235</v>
      </c>
      <c r="AZ1284" s="70"/>
      <c r="BA1284" s="118"/>
      <c r="BB1284" s="72"/>
      <c r="BI1284" s="42"/>
    </row>
    <row r="1285" spans="1:63" s="24" customFormat="1" hidden="1">
      <c r="A1285" s="32"/>
      <c r="B1285" s="66"/>
      <c r="C1285" s="78" t="s">
        <v>138</v>
      </c>
      <c r="D1285" s="35">
        <f t="shared" si="239"/>
        <v>0.14000000000000004</v>
      </c>
      <c r="E1285" s="76"/>
      <c r="F1285" s="35">
        <f t="shared" si="236"/>
        <v>0.14000000000000004</v>
      </c>
      <c r="G1285" s="153">
        <f t="shared" ref="G1285:AW1285" si="246">G1282-G1283-G1284</f>
        <v>7.0000000000000007E-2</v>
      </c>
      <c r="H1285" s="153">
        <f t="shared" si="246"/>
        <v>3.0000000000000027E-2</v>
      </c>
      <c r="I1285" s="153">
        <f t="shared" si="246"/>
        <v>0</v>
      </c>
      <c r="J1285" s="153">
        <f t="shared" si="246"/>
        <v>0</v>
      </c>
      <c r="K1285" s="153">
        <f t="shared" si="246"/>
        <v>0</v>
      </c>
      <c r="L1285" s="153">
        <f t="shared" si="246"/>
        <v>0</v>
      </c>
      <c r="M1285" s="153">
        <f t="shared" si="246"/>
        <v>0</v>
      </c>
      <c r="N1285" s="153">
        <f t="shared" si="246"/>
        <v>0</v>
      </c>
      <c r="O1285" s="153">
        <f t="shared" si="246"/>
        <v>0</v>
      </c>
      <c r="P1285" s="153">
        <f t="shared" si="246"/>
        <v>0</v>
      </c>
      <c r="Q1285" s="153">
        <f t="shared" si="246"/>
        <v>0</v>
      </c>
      <c r="R1285" s="153">
        <f t="shared" si="246"/>
        <v>0</v>
      </c>
      <c r="S1285" s="153">
        <f t="shared" si="246"/>
        <v>0</v>
      </c>
      <c r="T1285" s="153">
        <f t="shared" si="246"/>
        <v>0</v>
      </c>
      <c r="U1285" s="153">
        <f t="shared" si="246"/>
        <v>0</v>
      </c>
      <c r="V1285" s="153">
        <f t="shared" si="246"/>
        <v>0</v>
      </c>
      <c r="W1285" s="153">
        <f t="shared" si="246"/>
        <v>0</v>
      </c>
      <c r="X1285" s="153">
        <f t="shared" si="246"/>
        <v>0</v>
      </c>
      <c r="Y1285" s="153">
        <f t="shared" si="246"/>
        <v>0</v>
      </c>
      <c r="Z1285" s="153">
        <f t="shared" si="246"/>
        <v>0</v>
      </c>
      <c r="AA1285" s="153">
        <f t="shared" si="246"/>
        <v>0.04</v>
      </c>
      <c r="AB1285" s="153">
        <f t="shared" si="246"/>
        <v>0</v>
      </c>
      <c r="AC1285" s="153">
        <f t="shared" si="246"/>
        <v>0</v>
      </c>
      <c r="AD1285" s="153">
        <f t="shared" si="246"/>
        <v>0</v>
      </c>
      <c r="AE1285" s="153">
        <f t="shared" si="246"/>
        <v>0</v>
      </c>
      <c r="AF1285" s="153">
        <f t="shared" si="246"/>
        <v>0</v>
      </c>
      <c r="AG1285" s="153">
        <f t="shared" si="246"/>
        <v>0</v>
      </c>
      <c r="AH1285" s="153">
        <f t="shared" si="246"/>
        <v>0</v>
      </c>
      <c r="AI1285" s="153">
        <f t="shared" si="246"/>
        <v>0</v>
      </c>
      <c r="AJ1285" s="153">
        <f t="shared" si="246"/>
        <v>0</v>
      </c>
      <c r="AK1285" s="153">
        <f t="shared" si="246"/>
        <v>0</v>
      </c>
      <c r="AL1285" s="153">
        <f t="shared" si="246"/>
        <v>0</v>
      </c>
      <c r="AM1285" s="153">
        <f t="shared" si="246"/>
        <v>0</v>
      </c>
      <c r="AN1285" s="153">
        <f t="shared" si="246"/>
        <v>0</v>
      </c>
      <c r="AO1285" s="153">
        <f t="shared" si="246"/>
        <v>0</v>
      </c>
      <c r="AP1285" s="153">
        <f t="shared" si="246"/>
        <v>0</v>
      </c>
      <c r="AQ1285" s="153">
        <f t="shared" si="246"/>
        <v>0</v>
      </c>
      <c r="AR1285" s="153">
        <f t="shared" si="246"/>
        <v>0</v>
      </c>
      <c r="AS1285" s="153">
        <f t="shared" si="246"/>
        <v>0</v>
      </c>
      <c r="AT1285" s="153">
        <f t="shared" si="246"/>
        <v>0</v>
      </c>
      <c r="AU1285" s="153">
        <f t="shared" si="246"/>
        <v>0</v>
      </c>
      <c r="AV1285" s="153">
        <f t="shared" si="246"/>
        <v>0</v>
      </c>
      <c r="AW1285" s="153">
        <f t="shared" si="246"/>
        <v>0</v>
      </c>
      <c r="AX1285" s="153">
        <f>AX1282-AX1283-AX1284</f>
        <v>0</v>
      </c>
      <c r="AY1285" s="70" t="s">
        <v>235</v>
      </c>
      <c r="AZ1285" s="70"/>
      <c r="BA1285" s="118"/>
      <c r="BB1285" s="72"/>
      <c r="BI1285" s="42"/>
    </row>
    <row r="1286" spans="1:63" s="24" customFormat="1" ht="47.25">
      <c r="A1286" s="32">
        <f>A1282+1</f>
        <v>783</v>
      </c>
      <c r="B1286" s="66" t="s">
        <v>1598</v>
      </c>
      <c r="C1286" s="78" t="s">
        <v>1260</v>
      </c>
      <c r="D1286" s="35">
        <f t="shared" si="239"/>
        <v>0.32</v>
      </c>
      <c r="E1286" s="76"/>
      <c r="F1286" s="35">
        <f t="shared" si="236"/>
        <v>0.32</v>
      </c>
      <c r="G1286" s="77">
        <v>4.9999999999999989E-2</v>
      </c>
      <c r="H1286" s="77"/>
      <c r="I1286" s="77">
        <v>0.27</v>
      </c>
      <c r="J1286" s="77"/>
      <c r="K1286" s="77"/>
      <c r="L1286" s="77"/>
      <c r="M1286" s="77"/>
      <c r="N1286" s="77"/>
      <c r="O1286" s="77"/>
      <c r="P1286" s="77"/>
      <c r="Q1286" s="77"/>
      <c r="R1286" s="77"/>
      <c r="S1286" s="77"/>
      <c r="T1286" s="77"/>
      <c r="U1286" s="77"/>
      <c r="V1286" s="77"/>
      <c r="W1286" s="77"/>
      <c r="X1286" s="77"/>
      <c r="Y1286" s="77"/>
      <c r="Z1286" s="77"/>
      <c r="AA1286" s="77"/>
      <c r="AB1286" s="77"/>
      <c r="AC1286" s="77"/>
      <c r="AD1286" s="77"/>
      <c r="AE1286" s="77"/>
      <c r="AF1286" s="77"/>
      <c r="AG1286" s="77"/>
      <c r="AH1286" s="77"/>
      <c r="AI1286" s="77"/>
      <c r="AJ1286" s="77"/>
      <c r="AK1286" s="77"/>
      <c r="AL1286" s="77"/>
      <c r="AM1286" s="77"/>
      <c r="AN1286" s="77"/>
      <c r="AO1286" s="77"/>
      <c r="AP1286" s="77"/>
      <c r="AQ1286" s="77"/>
      <c r="AR1286" s="77"/>
      <c r="AS1286" s="77"/>
      <c r="AT1286" s="77"/>
      <c r="AU1286" s="77"/>
      <c r="AV1286" s="77"/>
      <c r="AW1286" s="77"/>
      <c r="AX1286" s="77"/>
      <c r="AY1286" s="70" t="s">
        <v>235</v>
      </c>
      <c r="AZ1286" s="70" t="s">
        <v>328</v>
      </c>
      <c r="BA1286" s="118" t="s">
        <v>291</v>
      </c>
      <c r="BB1286" s="72"/>
      <c r="BI1286" s="42">
        <v>1</v>
      </c>
    </row>
    <row r="1287" spans="1:63" s="24" customFormat="1" hidden="1">
      <c r="A1287" s="32"/>
      <c r="B1287" s="66"/>
      <c r="C1287" s="78" t="s">
        <v>59</v>
      </c>
      <c r="D1287" s="35">
        <f t="shared" si="239"/>
        <v>0.13</v>
      </c>
      <c r="E1287" s="76"/>
      <c r="F1287" s="35">
        <f t="shared" si="236"/>
        <v>0.13</v>
      </c>
      <c r="G1287" s="77"/>
      <c r="H1287" s="77"/>
      <c r="I1287" s="77">
        <v>0.13</v>
      </c>
      <c r="J1287" s="77"/>
      <c r="K1287" s="77"/>
      <c r="L1287" s="77"/>
      <c r="M1287" s="77"/>
      <c r="N1287" s="77"/>
      <c r="O1287" s="77"/>
      <c r="P1287" s="77"/>
      <c r="Q1287" s="77"/>
      <c r="R1287" s="77"/>
      <c r="S1287" s="77"/>
      <c r="T1287" s="77"/>
      <c r="U1287" s="77"/>
      <c r="V1287" s="77"/>
      <c r="W1287" s="77"/>
      <c r="X1287" s="77"/>
      <c r="Y1287" s="77"/>
      <c r="Z1287" s="77"/>
      <c r="AA1287" s="77"/>
      <c r="AB1287" s="77"/>
      <c r="AC1287" s="77"/>
      <c r="AD1287" s="77"/>
      <c r="AE1287" s="77"/>
      <c r="AF1287" s="77"/>
      <c r="AG1287" s="77"/>
      <c r="AH1287" s="77"/>
      <c r="AI1287" s="77"/>
      <c r="AJ1287" s="77"/>
      <c r="AK1287" s="77"/>
      <c r="AL1287" s="77"/>
      <c r="AM1287" s="77"/>
      <c r="AN1287" s="77"/>
      <c r="AO1287" s="77"/>
      <c r="AP1287" s="77"/>
      <c r="AQ1287" s="77"/>
      <c r="AR1287" s="77"/>
      <c r="AS1287" s="77"/>
      <c r="AT1287" s="77"/>
      <c r="AU1287" s="77"/>
      <c r="AV1287" s="77"/>
      <c r="AW1287" s="77"/>
      <c r="AX1287" s="77"/>
      <c r="AY1287" s="70" t="s">
        <v>235</v>
      </c>
      <c r="AZ1287" s="70"/>
      <c r="BA1287" s="118"/>
      <c r="BB1287" s="72"/>
      <c r="BI1287" s="42"/>
    </row>
    <row r="1288" spans="1:63" s="24" customFormat="1" hidden="1">
      <c r="A1288" s="32"/>
      <c r="B1288" s="66"/>
      <c r="C1288" s="78" t="s">
        <v>44</v>
      </c>
      <c r="D1288" s="35">
        <f t="shared" si="239"/>
        <v>0.12</v>
      </c>
      <c r="E1288" s="76"/>
      <c r="F1288" s="35">
        <f t="shared" si="236"/>
        <v>0.12</v>
      </c>
      <c r="G1288" s="77"/>
      <c r="H1288" s="77"/>
      <c r="I1288" s="77">
        <v>0.12</v>
      </c>
      <c r="J1288" s="77"/>
      <c r="K1288" s="77"/>
      <c r="L1288" s="77"/>
      <c r="M1288" s="77"/>
      <c r="N1288" s="77"/>
      <c r="O1288" s="77"/>
      <c r="P1288" s="77"/>
      <c r="Q1288" s="77"/>
      <c r="R1288" s="77"/>
      <c r="S1288" s="77"/>
      <c r="T1288" s="77"/>
      <c r="U1288" s="77"/>
      <c r="V1288" s="77"/>
      <c r="W1288" s="77"/>
      <c r="X1288" s="77"/>
      <c r="Y1288" s="77"/>
      <c r="Z1288" s="77"/>
      <c r="AA1288" s="77"/>
      <c r="AB1288" s="77"/>
      <c r="AC1288" s="77"/>
      <c r="AD1288" s="77"/>
      <c r="AE1288" s="77"/>
      <c r="AF1288" s="77"/>
      <c r="AG1288" s="77"/>
      <c r="AH1288" s="77"/>
      <c r="AI1288" s="77"/>
      <c r="AJ1288" s="77"/>
      <c r="AK1288" s="77"/>
      <c r="AL1288" s="77"/>
      <c r="AM1288" s="77"/>
      <c r="AN1288" s="77"/>
      <c r="AO1288" s="77"/>
      <c r="AP1288" s="77"/>
      <c r="AQ1288" s="77"/>
      <c r="AR1288" s="77"/>
      <c r="AS1288" s="77"/>
      <c r="AT1288" s="77"/>
      <c r="AU1288" s="77"/>
      <c r="AV1288" s="77"/>
      <c r="AW1288" s="77"/>
      <c r="AX1288" s="77"/>
      <c r="AY1288" s="70" t="s">
        <v>235</v>
      </c>
      <c r="AZ1288" s="70"/>
      <c r="BA1288" s="118"/>
      <c r="BB1288" s="72"/>
      <c r="BI1288" s="42"/>
    </row>
    <row r="1289" spans="1:63" s="24" customFormat="1" hidden="1">
      <c r="A1289" s="32"/>
      <c r="B1289" s="66"/>
      <c r="C1289" s="78" t="s">
        <v>138</v>
      </c>
      <c r="D1289" s="35">
        <f t="shared" si="239"/>
        <v>7.0000000000000007E-2</v>
      </c>
      <c r="E1289" s="76"/>
      <c r="F1289" s="35">
        <f t="shared" si="236"/>
        <v>7.0000000000000007E-2</v>
      </c>
      <c r="G1289" s="153">
        <f>G1286-G1287-G1288</f>
        <v>4.9999999999999989E-2</v>
      </c>
      <c r="H1289" s="153">
        <f t="shared" ref="H1289:AX1289" si="247">H1286-H1287-H1288</f>
        <v>0</v>
      </c>
      <c r="I1289" s="153">
        <f t="shared" si="247"/>
        <v>2.0000000000000018E-2</v>
      </c>
      <c r="J1289" s="153">
        <f t="shared" si="247"/>
        <v>0</v>
      </c>
      <c r="K1289" s="153">
        <f t="shared" si="247"/>
        <v>0</v>
      </c>
      <c r="L1289" s="153">
        <f t="shared" si="247"/>
        <v>0</v>
      </c>
      <c r="M1289" s="153">
        <f t="shared" si="247"/>
        <v>0</v>
      </c>
      <c r="N1289" s="153">
        <f t="shared" si="247"/>
        <v>0</v>
      </c>
      <c r="O1289" s="153">
        <f t="shared" si="247"/>
        <v>0</v>
      </c>
      <c r="P1289" s="153">
        <f t="shared" si="247"/>
        <v>0</v>
      </c>
      <c r="Q1289" s="153">
        <f t="shared" si="247"/>
        <v>0</v>
      </c>
      <c r="R1289" s="153">
        <f t="shared" si="247"/>
        <v>0</v>
      </c>
      <c r="S1289" s="153">
        <f t="shared" si="247"/>
        <v>0</v>
      </c>
      <c r="T1289" s="153">
        <f t="shared" si="247"/>
        <v>0</v>
      </c>
      <c r="U1289" s="153">
        <f t="shared" si="247"/>
        <v>0</v>
      </c>
      <c r="V1289" s="153">
        <f t="shared" si="247"/>
        <v>0</v>
      </c>
      <c r="W1289" s="153">
        <f t="shared" si="247"/>
        <v>0</v>
      </c>
      <c r="X1289" s="153">
        <f t="shared" si="247"/>
        <v>0</v>
      </c>
      <c r="Y1289" s="153">
        <f t="shared" si="247"/>
        <v>0</v>
      </c>
      <c r="Z1289" s="153">
        <f t="shared" si="247"/>
        <v>0</v>
      </c>
      <c r="AA1289" s="153">
        <f t="shared" si="247"/>
        <v>0</v>
      </c>
      <c r="AB1289" s="153">
        <f t="shared" si="247"/>
        <v>0</v>
      </c>
      <c r="AC1289" s="153">
        <f t="shared" si="247"/>
        <v>0</v>
      </c>
      <c r="AD1289" s="153">
        <f t="shared" si="247"/>
        <v>0</v>
      </c>
      <c r="AE1289" s="153">
        <f t="shared" si="247"/>
        <v>0</v>
      </c>
      <c r="AF1289" s="153">
        <f t="shared" si="247"/>
        <v>0</v>
      </c>
      <c r="AG1289" s="153">
        <f t="shared" si="247"/>
        <v>0</v>
      </c>
      <c r="AH1289" s="153">
        <f t="shared" si="247"/>
        <v>0</v>
      </c>
      <c r="AI1289" s="153">
        <f t="shared" si="247"/>
        <v>0</v>
      </c>
      <c r="AJ1289" s="153">
        <f t="shared" si="247"/>
        <v>0</v>
      </c>
      <c r="AK1289" s="153">
        <f t="shared" si="247"/>
        <v>0</v>
      </c>
      <c r="AL1289" s="153">
        <f t="shared" si="247"/>
        <v>0</v>
      </c>
      <c r="AM1289" s="153">
        <f t="shared" si="247"/>
        <v>0</v>
      </c>
      <c r="AN1289" s="153">
        <f t="shared" si="247"/>
        <v>0</v>
      </c>
      <c r="AO1289" s="153">
        <f t="shared" si="247"/>
        <v>0</v>
      </c>
      <c r="AP1289" s="153">
        <f t="shared" si="247"/>
        <v>0</v>
      </c>
      <c r="AQ1289" s="153">
        <f t="shared" si="247"/>
        <v>0</v>
      </c>
      <c r="AR1289" s="153">
        <f t="shared" si="247"/>
        <v>0</v>
      </c>
      <c r="AS1289" s="153">
        <f t="shared" si="247"/>
        <v>0</v>
      </c>
      <c r="AT1289" s="153">
        <f t="shared" si="247"/>
        <v>0</v>
      </c>
      <c r="AU1289" s="153">
        <f t="shared" si="247"/>
        <v>0</v>
      </c>
      <c r="AV1289" s="153">
        <f t="shared" si="247"/>
        <v>0</v>
      </c>
      <c r="AW1289" s="153">
        <f t="shared" si="247"/>
        <v>0</v>
      </c>
      <c r="AX1289" s="153">
        <f t="shared" si="247"/>
        <v>0</v>
      </c>
      <c r="AY1289" s="70" t="s">
        <v>235</v>
      </c>
      <c r="AZ1289" s="70"/>
      <c r="BA1289" s="118"/>
      <c r="BB1289" s="72"/>
      <c r="BI1289" s="42"/>
    </row>
    <row r="1290" spans="1:63" s="24" customFormat="1" ht="63">
      <c r="A1290" s="32">
        <f>A1286+1</f>
        <v>784</v>
      </c>
      <c r="B1290" s="66" t="s">
        <v>1599</v>
      </c>
      <c r="C1290" s="78" t="s">
        <v>59</v>
      </c>
      <c r="D1290" s="35">
        <f t="shared" si="239"/>
        <v>0.03</v>
      </c>
      <c r="E1290" s="76"/>
      <c r="F1290" s="35">
        <f t="shared" si="236"/>
        <v>0.03</v>
      </c>
      <c r="G1290" s="77">
        <v>0.03</v>
      </c>
      <c r="H1290" s="77"/>
      <c r="I1290" s="77"/>
      <c r="J1290" s="77"/>
      <c r="K1290" s="77"/>
      <c r="L1290" s="77"/>
      <c r="M1290" s="77"/>
      <c r="N1290" s="77"/>
      <c r="O1290" s="77"/>
      <c r="P1290" s="77"/>
      <c r="Q1290" s="77"/>
      <c r="R1290" s="77"/>
      <c r="S1290" s="77"/>
      <c r="T1290" s="77"/>
      <c r="U1290" s="77"/>
      <c r="V1290" s="77"/>
      <c r="W1290" s="77"/>
      <c r="X1290" s="77"/>
      <c r="Y1290" s="77"/>
      <c r="Z1290" s="77"/>
      <c r="AA1290" s="77"/>
      <c r="AB1290" s="77"/>
      <c r="AC1290" s="77"/>
      <c r="AD1290" s="77"/>
      <c r="AE1290" s="77"/>
      <c r="AF1290" s="77"/>
      <c r="AG1290" s="77"/>
      <c r="AH1290" s="77"/>
      <c r="AI1290" s="77"/>
      <c r="AJ1290" s="77"/>
      <c r="AK1290" s="77"/>
      <c r="AL1290" s="77"/>
      <c r="AM1290" s="77"/>
      <c r="AN1290" s="77"/>
      <c r="AO1290" s="77"/>
      <c r="AP1290" s="77"/>
      <c r="AQ1290" s="77"/>
      <c r="AR1290" s="77"/>
      <c r="AS1290" s="77"/>
      <c r="AT1290" s="77"/>
      <c r="AU1290" s="77"/>
      <c r="AV1290" s="77"/>
      <c r="AW1290" s="77"/>
      <c r="AX1290" s="77"/>
      <c r="AY1290" s="70" t="s">
        <v>235</v>
      </c>
      <c r="AZ1290" s="70" t="s">
        <v>471</v>
      </c>
      <c r="BA1290" s="118" t="s">
        <v>291</v>
      </c>
      <c r="BB1290" s="72"/>
      <c r="BC1290" s="24" t="s">
        <v>1600</v>
      </c>
      <c r="BI1290" s="42">
        <v>1</v>
      </c>
    </row>
    <row r="1291" spans="1:63" s="24" customFormat="1" ht="47.25">
      <c r="A1291" s="32">
        <f t="shared" ref="A1291:A1297" si="248">A1290+1</f>
        <v>785</v>
      </c>
      <c r="B1291" s="66" t="s">
        <v>1601</v>
      </c>
      <c r="C1291" s="78" t="s">
        <v>59</v>
      </c>
      <c r="D1291" s="35">
        <f t="shared" si="239"/>
        <v>0.09</v>
      </c>
      <c r="E1291" s="76"/>
      <c r="F1291" s="35">
        <f t="shared" si="236"/>
        <v>0.09</v>
      </c>
      <c r="G1291" s="77"/>
      <c r="H1291" s="77"/>
      <c r="I1291" s="77">
        <v>0.09</v>
      </c>
      <c r="J1291" s="77"/>
      <c r="K1291" s="77"/>
      <c r="L1291" s="77"/>
      <c r="M1291" s="77"/>
      <c r="N1291" s="77"/>
      <c r="O1291" s="77"/>
      <c r="P1291" s="77"/>
      <c r="Q1291" s="77"/>
      <c r="R1291" s="77"/>
      <c r="S1291" s="77"/>
      <c r="T1291" s="77"/>
      <c r="U1291" s="77"/>
      <c r="V1291" s="77"/>
      <c r="W1291" s="77"/>
      <c r="X1291" s="77"/>
      <c r="Y1291" s="77"/>
      <c r="Z1291" s="77"/>
      <c r="AA1291" s="77"/>
      <c r="AB1291" s="77"/>
      <c r="AC1291" s="77"/>
      <c r="AD1291" s="77"/>
      <c r="AE1291" s="77"/>
      <c r="AF1291" s="77"/>
      <c r="AG1291" s="77"/>
      <c r="AH1291" s="77"/>
      <c r="AI1291" s="77"/>
      <c r="AJ1291" s="77"/>
      <c r="AK1291" s="77"/>
      <c r="AL1291" s="77"/>
      <c r="AM1291" s="77"/>
      <c r="AN1291" s="77"/>
      <c r="AO1291" s="77"/>
      <c r="AP1291" s="77"/>
      <c r="AQ1291" s="77"/>
      <c r="AR1291" s="77"/>
      <c r="AS1291" s="77"/>
      <c r="AT1291" s="77"/>
      <c r="AU1291" s="77"/>
      <c r="AV1291" s="77"/>
      <c r="AW1291" s="77"/>
      <c r="AX1291" s="77"/>
      <c r="AY1291" s="70" t="s">
        <v>235</v>
      </c>
      <c r="AZ1291" s="70" t="s">
        <v>417</v>
      </c>
      <c r="BA1291" s="118" t="s">
        <v>291</v>
      </c>
      <c r="BB1291" s="72"/>
      <c r="BC1291" s="24" t="s">
        <v>1602</v>
      </c>
      <c r="BI1291" s="42">
        <v>1</v>
      </c>
    </row>
    <row r="1292" spans="1:63" s="24" customFormat="1" ht="33" customHeight="1">
      <c r="A1292" s="32">
        <f t="shared" si="248"/>
        <v>786</v>
      </c>
      <c r="B1292" s="66" t="s">
        <v>1603</v>
      </c>
      <c r="C1292" s="78" t="s">
        <v>59</v>
      </c>
      <c r="D1292" s="35">
        <f t="shared" si="239"/>
        <v>0.03</v>
      </c>
      <c r="E1292" s="76"/>
      <c r="F1292" s="35">
        <f t="shared" si="236"/>
        <v>0.03</v>
      </c>
      <c r="G1292" s="77"/>
      <c r="H1292" s="77"/>
      <c r="I1292" s="77"/>
      <c r="J1292" s="77"/>
      <c r="K1292" s="77"/>
      <c r="L1292" s="77"/>
      <c r="M1292" s="77"/>
      <c r="N1292" s="77"/>
      <c r="O1292" s="77"/>
      <c r="P1292" s="77"/>
      <c r="Q1292" s="77"/>
      <c r="R1292" s="77"/>
      <c r="S1292" s="77"/>
      <c r="T1292" s="77"/>
      <c r="U1292" s="77"/>
      <c r="V1292" s="77"/>
      <c r="W1292" s="77"/>
      <c r="X1292" s="77"/>
      <c r="Y1292" s="77"/>
      <c r="Z1292" s="77"/>
      <c r="AA1292" s="77"/>
      <c r="AB1292" s="77"/>
      <c r="AC1292" s="77"/>
      <c r="AD1292" s="77"/>
      <c r="AE1292" s="77"/>
      <c r="AF1292" s="77"/>
      <c r="AG1292" s="77"/>
      <c r="AH1292" s="77"/>
      <c r="AI1292" s="77"/>
      <c r="AJ1292" s="77"/>
      <c r="AK1292" s="77"/>
      <c r="AL1292" s="77"/>
      <c r="AM1292" s="77"/>
      <c r="AN1292" s="77"/>
      <c r="AO1292" s="77"/>
      <c r="AP1292" s="77"/>
      <c r="AQ1292" s="77"/>
      <c r="AR1292" s="77">
        <v>0.03</v>
      </c>
      <c r="AS1292" s="77"/>
      <c r="AT1292" s="77"/>
      <c r="AU1292" s="77"/>
      <c r="AV1292" s="77"/>
      <c r="AW1292" s="77"/>
      <c r="AX1292" s="77"/>
      <c r="AY1292" s="70" t="s">
        <v>235</v>
      </c>
      <c r="AZ1292" s="70" t="s">
        <v>1604</v>
      </c>
      <c r="BA1292" s="118" t="s">
        <v>291</v>
      </c>
      <c r="BB1292" s="72"/>
      <c r="BI1292" s="42">
        <v>1</v>
      </c>
    </row>
    <row r="1293" spans="1:63" s="71" customFormat="1" ht="21" customHeight="1">
      <c r="A1293" s="32">
        <f t="shared" si="248"/>
        <v>787</v>
      </c>
      <c r="B1293" s="158" t="s">
        <v>186</v>
      </c>
      <c r="C1293" s="78" t="s">
        <v>59</v>
      </c>
      <c r="D1293" s="35">
        <f>E1293+F1293</f>
        <v>0.14000000000000001</v>
      </c>
      <c r="E1293" s="76"/>
      <c r="F1293" s="35">
        <f t="shared" si="236"/>
        <v>0.14000000000000001</v>
      </c>
      <c r="G1293" s="77">
        <v>0.14000000000000001</v>
      </c>
      <c r="H1293" s="77"/>
      <c r="I1293" s="77"/>
      <c r="J1293" s="77"/>
      <c r="K1293" s="77"/>
      <c r="L1293" s="77"/>
      <c r="M1293" s="77"/>
      <c r="N1293" s="77"/>
      <c r="O1293" s="77"/>
      <c r="P1293" s="77"/>
      <c r="Q1293" s="77"/>
      <c r="R1293" s="77"/>
      <c r="S1293" s="77"/>
      <c r="T1293" s="77"/>
      <c r="U1293" s="77"/>
      <c r="V1293" s="77"/>
      <c r="W1293" s="77"/>
      <c r="X1293" s="77"/>
      <c r="Y1293" s="77"/>
      <c r="Z1293" s="77"/>
      <c r="AA1293" s="77"/>
      <c r="AB1293" s="77"/>
      <c r="AC1293" s="77"/>
      <c r="AD1293" s="77"/>
      <c r="AE1293" s="77"/>
      <c r="AF1293" s="77"/>
      <c r="AG1293" s="77"/>
      <c r="AH1293" s="77"/>
      <c r="AI1293" s="77"/>
      <c r="AJ1293" s="77"/>
      <c r="AK1293" s="77"/>
      <c r="AL1293" s="77"/>
      <c r="AM1293" s="77"/>
      <c r="AN1293" s="77"/>
      <c r="AO1293" s="77"/>
      <c r="AP1293" s="77"/>
      <c r="AQ1293" s="77"/>
      <c r="AR1293" s="77"/>
      <c r="AS1293" s="77"/>
      <c r="AT1293" s="77"/>
      <c r="AU1293" s="77"/>
      <c r="AV1293" s="77"/>
      <c r="AW1293" s="77"/>
      <c r="AX1293" s="77"/>
      <c r="AY1293" s="70" t="s">
        <v>235</v>
      </c>
      <c r="AZ1293" s="70" t="s">
        <v>417</v>
      </c>
      <c r="BA1293" s="47" t="s">
        <v>298</v>
      </c>
      <c r="BB1293" s="48"/>
      <c r="BC1293" s="71" t="s">
        <v>1605</v>
      </c>
      <c r="BI1293" s="42">
        <v>1</v>
      </c>
      <c r="BK1293" s="72"/>
    </row>
    <row r="1294" spans="1:63" s="71" customFormat="1" ht="21" customHeight="1">
      <c r="A1294" s="32">
        <f t="shared" si="248"/>
        <v>788</v>
      </c>
      <c r="B1294" s="158" t="s">
        <v>186</v>
      </c>
      <c r="C1294" s="78" t="s">
        <v>59</v>
      </c>
      <c r="D1294" s="35">
        <f>E1294+F1294</f>
        <v>0.22</v>
      </c>
      <c r="E1294" s="76"/>
      <c r="F1294" s="35">
        <f t="shared" si="236"/>
        <v>0.22</v>
      </c>
      <c r="G1294" s="77"/>
      <c r="H1294" s="77"/>
      <c r="I1294" s="77"/>
      <c r="J1294" s="77">
        <v>0.22</v>
      </c>
      <c r="K1294" s="77"/>
      <c r="L1294" s="77"/>
      <c r="M1294" s="77"/>
      <c r="N1294" s="77"/>
      <c r="O1294" s="77"/>
      <c r="P1294" s="77"/>
      <c r="Q1294" s="77"/>
      <c r="R1294" s="77"/>
      <c r="S1294" s="77"/>
      <c r="T1294" s="77"/>
      <c r="U1294" s="77"/>
      <c r="V1294" s="77"/>
      <c r="W1294" s="77"/>
      <c r="X1294" s="77"/>
      <c r="Y1294" s="77"/>
      <c r="Z1294" s="77"/>
      <c r="AA1294" s="77"/>
      <c r="AB1294" s="77"/>
      <c r="AC1294" s="77"/>
      <c r="AD1294" s="77"/>
      <c r="AE1294" s="77"/>
      <c r="AF1294" s="77"/>
      <c r="AG1294" s="77"/>
      <c r="AH1294" s="77"/>
      <c r="AI1294" s="77"/>
      <c r="AJ1294" s="77"/>
      <c r="AK1294" s="77"/>
      <c r="AL1294" s="77"/>
      <c r="AM1294" s="77"/>
      <c r="AN1294" s="77"/>
      <c r="AO1294" s="77"/>
      <c r="AP1294" s="77"/>
      <c r="AQ1294" s="77"/>
      <c r="AR1294" s="77"/>
      <c r="AS1294" s="77"/>
      <c r="AT1294" s="77"/>
      <c r="AU1294" s="77"/>
      <c r="AV1294" s="77"/>
      <c r="AW1294" s="77"/>
      <c r="AX1294" s="77"/>
      <c r="AY1294" s="70" t="s">
        <v>235</v>
      </c>
      <c r="AZ1294" s="70" t="s">
        <v>425</v>
      </c>
      <c r="BA1294" s="47" t="s">
        <v>298</v>
      </c>
      <c r="BB1294" s="72" t="s">
        <v>1606</v>
      </c>
      <c r="BC1294" s="71" t="s">
        <v>381</v>
      </c>
      <c r="BI1294" s="42">
        <v>1</v>
      </c>
      <c r="BK1294" s="72"/>
    </row>
    <row r="1295" spans="1:63" s="71" customFormat="1" ht="21" customHeight="1">
      <c r="A1295" s="32">
        <f t="shared" si="248"/>
        <v>789</v>
      </c>
      <c r="B1295" s="158" t="s">
        <v>186</v>
      </c>
      <c r="C1295" s="78" t="s">
        <v>59</v>
      </c>
      <c r="D1295" s="165">
        <f>E1295+F1295</f>
        <v>0.27</v>
      </c>
      <c r="E1295" s="76"/>
      <c r="F1295" s="165">
        <f t="shared" si="236"/>
        <v>0.27</v>
      </c>
      <c r="G1295" s="77"/>
      <c r="H1295" s="77"/>
      <c r="I1295" s="77"/>
      <c r="J1295" s="77"/>
      <c r="K1295" s="77"/>
      <c r="L1295" s="77"/>
      <c r="M1295" s="77"/>
      <c r="N1295" s="77"/>
      <c r="O1295" s="77"/>
      <c r="P1295" s="77"/>
      <c r="Q1295" s="77"/>
      <c r="R1295" s="77"/>
      <c r="S1295" s="77"/>
      <c r="T1295" s="77"/>
      <c r="U1295" s="77"/>
      <c r="V1295" s="77"/>
      <c r="W1295" s="77"/>
      <c r="X1295" s="77"/>
      <c r="Y1295" s="77"/>
      <c r="Z1295" s="77"/>
      <c r="AA1295" s="77"/>
      <c r="AB1295" s="77"/>
      <c r="AC1295" s="77"/>
      <c r="AD1295" s="77"/>
      <c r="AE1295" s="77"/>
      <c r="AF1295" s="77"/>
      <c r="AG1295" s="77"/>
      <c r="AH1295" s="77"/>
      <c r="AI1295" s="77"/>
      <c r="AJ1295" s="77"/>
      <c r="AK1295" s="77"/>
      <c r="AL1295" s="77"/>
      <c r="AM1295" s="77"/>
      <c r="AN1295" s="77"/>
      <c r="AO1295" s="77"/>
      <c r="AP1295" s="77"/>
      <c r="AQ1295" s="77"/>
      <c r="AR1295" s="77"/>
      <c r="AS1295" s="77"/>
      <c r="AT1295" s="77"/>
      <c r="AU1295" s="77"/>
      <c r="AV1295" s="77">
        <v>0.27</v>
      </c>
      <c r="AW1295" s="77"/>
      <c r="AX1295" s="77"/>
      <c r="AY1295" s="70" t="s">
        <v>235</v>
      </c>
      <c r="AZ1295" s="70" t="s">
        <v>417</v>
      </c>
      <c r="BA1295" s="47" t="s">
        <v>298</v>
      </c>
      <c r="BB1295" s="72" t="s">
        <v>1607</v>
      </c>
      <c r="BI1295" s="42">
        <v>1</v>
      </c>
      <c r="BK1295" s="72"/>
    </row>
    <row r="1296" spans="1:63" s="71" customFormat="1" ht="21" customHeight="1">
      <c r="A1296" s="32">
        <f t="shared" si="248"/>
        <v>790</v>
      </c>
      <c r="B1296" s="158" t="s">
        <v>186</v>
      </c>
      <c r="C1296" s="78" t="s">
        <v>59</v>
      </c>
      <c r="D1296" s="165">
        <f>E1296+F1296</f>
        <v>0.22000000000000003</v>
      </c>
      <c r="E1296" s="76"/>
      <c r="F1296" s="165">
        <f>SUM(G1296:AX1296)</f>
        <v>0.22000000000000003</v>
      </c>
      <c r="G1296" s="77"/>
      <c r="H1296" s="77"/>
      <c r="I1296" s="77"/>
      <c r="J1296" s="77">
        <v>0.08</v>
      </c>
      <c r="K1296" s="77"/>
      <c r="L1296" s="77"/>
      <c r="M1296" s="77"/>
      <c r="N1296" s="77"/>
      <c r="O1296" s="77"/>
      <c r="P1296" s="77"/>
      <c r="Q1296" s="77"/>
      <c r="R1296" s="77"/>
      <c r="S1296" s="77"/>
      <c r="T1296" s="77"/>
      <c r="U1296" s="77"/>
      <c r="V1296" s="77">
        <v>0.14000000000000001</v>
      </c>
      <c r="W1296" s="77"/>
      <c r="X1296" s="77"/>
      <c r="Y1296" s="77"/>
      <c r="Z1296" s="77"/>
      <c r="AA1296" s="77"/>
      <c r="AB1296" s="77"/>
      <c r="AC1296" s="77"/>
      <c r="AD1296" s="77"/>
      <c r="AE1296" s="77"/>
      <c r="AF1296" s="77"/>
      <c r="AG1296" s="77"/>
      <c r="AH1296" s="77"/>
      <c r="AI1296" s="77"/>
      <c r="AJ1296" s="77"/>
      <c r="AK1296" s="77"/>
      <c r="AL1296" s="77"/>
      <c r="AM1296" s="77"/>
      <c r="AN1296" s="77"/>
      <c r="AO1296" s="77"/>
      <c r="AP1296" s="77"/>
      <c r="AQ1296" s="77"/>
      <c r="AR1296" s="77"/>
      <c r="AS1296" s="77"/>
      <c r="AT1296" s="77"/>
      <c r="AU1296" s="77"/>
      <c r="AV1296" s="77"/>
      <c r="AW1296" s="77"/>
      <c r="AX1296" s="77"/>
      <c r="AY1296" s="70" t="s">
        <v>235</v>
      </c>
      <c r="AZ1296" s="70" t="s">
        <v>389</v>
      </c>
      <c r="BA1296" s="47" t="s">
        <v>298</v>
      </c>
      <c r="BB1296" s="72"/>
      <c r="BI1296" s="42"/>
      <c r="BJ1296" s="71" t="s">
        <v>311</v>
      </c>
      <c r="BK1296" s="72"/>
    </row>
    <row r="1297" spans="1:63" s="71" customFormat="1" ht="34.35" customHeight="1">
      <c r="A1297" s="32">
        <f t="shared" si="248"/>
        <v>791</v>
      </c>
      <c r="B1297" s="158" t="s">
        <v>186</v>
      </c>
      <c r="C1297" s="78" t="s">
        <v>1260</v>
      </c>
      <c r="D1297" s="165">
        <f>E1297+F1297</f>
        <v>0.51</v>
      </c>
      <c r="E1297" s="76"/>
      <c r="F1297" s="165">
        <f t="shared" si="236"/>
        <v>0.51</v>
      </c>
      <c r="G1297" s="77"/>
      <c r="H1297" s="77"/>
      <c r="I1297" s="77"/>
      <c r="J1297" s="77">
        <v>0.51</v>
      </c>
      <c r="K1297" s="77"/>
      <c r="L1297" s="77"/>
      <c r="M1297" s="77"/>
      <c r="N1297" s="77"/>
      <c r="O1297" s="77"/>
      <c r="P1297" s="77"/>
      <c r="Q1297" s="77"/>
      <c r="R1297" s="77"/>
      <c r="S1297" s="77"/>
      <c r="T1297" s="77"/>
      <c r="U1297" s="77"/>
      <c r="V1297" s="77"/>
      <c r="W1297" s="77"/>
      <c r="X1297" s="77"/>
      <c r="Y1297" s="77"/>
      <c r="Z1297" s="77"/>
      <c r="AA1297" s="77"/>
      <c r="AB1297" s="77"/>
      <c r="AC1297" s="77"/>
      <c r="AD1297" s="77"/>
      <c r="AE1297" s="77"/>
      <c r="AF1297" s="77"/>
      <c r="AG1297" s="77"/>
      <c r="AH1297" s="77"/>
      <c r="AI1297" s="77"/>
      <c r="AJ1297" s="77"/>
      <c r="AK1297" s="77"/>
      <c r="AL1297" s="77"/>
      <c r="AM1297" s="77"/>
      <c r="AN1297" s="77"/>
      <c r="AO1297" s="77"/>
      <c r="AP1297" s="77"/>
      <c r="AQ1297" s="77"/>
      <c r="AR1297" s="77"/>
      <c r="AS1297" s="77"/>
      <c r="AT1297" s="77"/>
      <c r="AU1297" s="77"/>
      <c r="AV1297" s="77"/>
      <c r="AW1297" s="77"/>
      <c r="AX1297" s="77"/>
      <c r="AY1297" s="70" t="s">
        <v>235</v>
      </c>
      <c r="AZ1297" s="70" t="s">
        <v>1608</v>
      </c>
      <c r="BA1297" s="47" t="s">
        <v>298</v>
      </c>
      <c r="BB1297" s="72" t="s">
        <v>1607</v>
      </c>
      <c r="BI1297" s="42">
        <v>1</v>
      </c>
      <c r="BK1297" s="72"/>
    </row>
    <row r="1298" spans="1:63" s="71" customFormat="1" ht="21" hidden="1" customHeight="1">
      <c r="A1298" s="32"/>
      <c r="B1298" s="158"/>
      <c r="C1298" s="78" t="s">
        <v>59</v>
      </c>
      <c r="D1298" s="35">
        <f>F1298+E1298</f>
        <v>0.2</v>
      </c>
      <c r="E1298" s="76"/>
      <c r="F1298" s="35">
        <f t="shared" si="236"/>
        <v>0.2</v>
      </c>
      <c r="G1298" s="77"/>
      <c r="H1298" s="77"/>
      <c r="I1298" s="77"/>
      <c r="J1298" s="77">
        <v>0.2</v>
      </c>
      <c r="K1298" s="77"/>
      <c r="L1298" s="77"/>
      <c r="M1298" s="77"/>
      <c r="N1298" s="77"/>
      <c r="O1298" s="77"/>
      <c r="P1298" s="77"/>
      <c r="Q1298" s="77"/>
      <c r="R1298" s="77"/>
      <c r="S1298" s="77"/>
      <c r="T1298" s="77"/>
      <c r="U1298" s="77"/>
      <c r="V1298" s="77"/>
      <c r="W1298" s="77"/>
      <c r="X1298" s="77"/>
      <c r="Y1298" s="77"/>
      <c r="Z1298" s="77"/>
      <c r="AA1298" s="77"/>
      <c r="AB1298" s="77"/>
      <c r="AC1298" s="77"/>
      <c r="AD1298" s="77"/>
      <c r="AE1298" s="77"/>
      <c r="AF1298" s="77"/>
      <c r="AG1298" s="77"/>
      <c r="AH1298" s="77"/>
      <c r="AI1298" s="77"/>
      <c r="AJ1298" s="77"/>
      <c r="AK1298" s="77"/>
      <c r="AL1298" s="77"/>
      <c r="AM1298" s="77"/>
      <c r="AN1298" s="77"/>
      <c r="AO1298" s="77"/>
      <c r="AP1298" s="77"/>
      <c r="AQ1298" s="77"/>
      <c r="AR1298" s="77"/>
      <c r="AS1298" s="77"/>
      <c r="AT1298" s="77"/>
      <c r="AU1298" s="77"/>
      <c r="AV1298" s="77"/>
      <c r="AW1298" s="77"/>
      <c r="AX1298" s="77"/>
      <c r="AY1298" s="70" t="s">
        <v>235</v>
      </c>
      <c r="AZ1298" s="70"/>
      <c r="BA1298" s="47"/>
      <c r="BB1298" s="72"/>
      <c r="BI1298" s="42"/>
      <c r="BK1298" s="72"/>
    </row>
    <row r="1299" spans="1:63" s="71" customFormat="1" ht="21" hidden="1" customHeight="1">
      <c r="A1299" s="32"/>
      <c r="B1299" s="158"/>
      <c r="C1299" s="78" t="s">
        <v>44</v>
      </c>
      <c r="D1299" s="35">
        <f>F1299+E1299</f>
        <v>0.2</v>
      </c>
      <c r="E1299" s="76"/>
      <c r="F1299" s="35">
        <f t="shared" si="236"/>
        <v>0.2</v>
      </c>
      <c r="G1299" s="77"/>
      <c r="H1299" s="77"/>
      <c r="I1299" s="77"/>
      <c r="J1299" s="77">
        <v>0.2</v>
      </c>
      <c r="K1299" s="77"/>
      <c r="L1299" s="77"/>
      <c r="M1299" s="77"/>
      <c r="N1299" s="77"/>
      <c r="O1299" s="77"/>
      <c r="P1299" s="77"/>
      <c r="Q1299" s="77"/>
      <c r="R1299" s="77"/>
      <c r="S1299" s="77"/>
      <c r="T1299" s="77"/>
      <c r="U1299" s="77"/>
      <c r="V1299" s="77"/>
      <c r="W1299" s="77"/>
      <c r="X1299" s="77"/>
      <c r="Y1299" s="77"/>
      <c r="Z1299" s="77"/>
      <c r="AA1299" s="77"/>
      <c r="AB1299" s="77"/>
      <c r="AC1299" s="77"/>
      <c r="AD1299" s="77"/>
      <c r="AE1299" s="77"/>
      <c r="AF1299" s="77"/>
      <c r="AG1299" s="77"/>
      <c r="AH1299" s="77"/>
      <c r="AI1299" s="77"/>
      <c r="AJ1299" s="77"/>
      <c r="AK1299" s="77"/>
      <c r="AL1299" s="77"/>
      <c r="AM1299" s="77"/>
      <c r="AN1299" s="77"/>
      <c r="AO1299" s="77"/>
      <c r="AP1299" s="77"/>
      <c r="AQ1299" s="77"/>
      <c r="AR1299" s="77"/>
      <c r="AS1299" s="77"/>
      <c r="AT1299" s="77"/>
      <c r="AU1299" s="77"/>
      <c r="AV1299" s="77"/>
      <c r="AW1299" s="77"/>
      <c r="AX1299" s="77"/>
      <c r="AY1299" s="70" t="s">
        <v>235</v>
      </c>
      <c r="AZ1299" s="70"/>
      <c r="BA1299" s="47"/>
      <c r="BB1299" s="72"/>
      <c r="BI1299" s="42"/>
      <c r="BK1299" s="72"/>
    </row>
    <row r="1300" spans="1:63" s="71" customFormat="1" ht="21" hidden="1" customHeight="1">
      <c r="A1300" s="32"/>
      <c r="B1300" s="158"/>
      <c r="C1300" s="78" t="s">
        <v>138</v>
      </c>
      <c r="D1300" s="35">
        <f>F1300+E1300</f>
        <v>0.10999999999999999</v>
      </c>
      <c r="E1300" s="76"/>
      <c r="F1300" s="35">
        <f t="shared" si="236"/>
        <v>0.10999999999999999</v>
      </c>
      <c r="G1300" s="153">
        <f>G1297-G1298-G1299</f>
        <v>0</v>
      </c>
      <c r="H1300" s="153">
        <f t="shared" ref="H1300:AX1300" si="249">H1297-H1298-H1299</f>
        <v>0</v>
      </c>
      <c r="I1300" s="153">
        <f t="shared" si="249"/>
        <v>0</v>
      </c>
      <c r="J1300" s="153">
        <f t="shared" si="249"/>
        <v>0.10999999999999999</v>
      </c>
      <c r="K1300" s="153">
        <f t="shared" si="249"/>
        <v>0</v>
      </c>
      <c r="L1300" s="153">
        <f t="shared" si="249"/>
        <v>0</v>
      </c>
      <c r="M1300" s="153">
        <f t="shared" si="249"/>
        <v>0</v>
      </c>
      <c r="N1300" s="153">
        <f t="shared" si="249"/>
        <v>0</v>
      </c>
      <c r="O1300" s="153">
        <f t="shared" si="249"/>
        <v>0</v>
      </c>
      <c r="P1300" s="153">
        <f t="shared" si="249"/>
        <v>0</v>
      </c>
      <c r="Q1300" s="153">
        <f t="shared" si="249"/>
        <v>0</v>
      </c>
      <c r="R1300" s="153">
        <f t="shared" si="249"/>
        <v>0</v>
      </c>
      <c r="S1300" s="153">
        <f t="shared" si="249"/>
        <v>0</v>
      </c>
      <c r="T1300" s="153">
        <f t="shared" si="249"/>
        <v>0</v>
      </c>
      <c r="U1300" s="153">
        <f t="shared" si="249"/>
        <v>0</v>
      </c>
      <c r="V1300" s="153">
        <f t="shared" si="249"/>
        <v>0</v>
      </c>
      <c r="W1300" s="153">
        <f t="shared" si="249"/>
        <v>0</v>
      </c>
      <c r="X1300" s="153">
        <f t="shared" si="249"/>
        <v>0</v>
      </c>
      <c r="Y1300" s="153">
        <f t="shared" si="249"/>
        <v>0</v>
      </c>
      <c r="Z1300" s="153">
        <f t="shared" si="249"/>
        <v>0</v>
      </c>
      <c r="AA1300" s="153">
        <f t="shared" si="249"/>
        <v>0</v>
      </c>
      <c r="AB1300" s="153">
        <f t="shared" si="249"/>
        <v>0</v>
      </c>
      <c r="AC1300" s="153">
        <f t="shared" si="249"/>
        <v>0</v>
      </c>
      <c r="AD1300" s="153">
        <f t="shared" si="249"/>
        <v>0</v>
      </c>
      <c r="AE1300" s="153">
        <f t="shared" si="249"/>
        <v>0</v>
      </c>
      <c r="AF1300" s="153">
        <f t="shared" si="249"/>
        <v>0</v>
      </c>
      <c r="AG1300" s="153">
        <f t="shared" si="249"/>
        <v>0</v>
      </c>
      <c r="AH1300" s="153">
        <f t="shared" si="249"/>
        <v>0</v>
      </c>
      <c r="AI1300" s="153">
        <f t="shared" si="249"/>
        <v>0</v>
      </c>
      <c r="AJ1300" s="153">
        <f t="shared" si="249"/>
        <v>0</v>
      </c>
      <c r="AK1300" s="153">
        <f t="shared" si="249"/>
        <v>0</v>
      </c>
      <c r="AL1300" s="153">
        <f t="shared" si="249"/>
        <v>0</v>
      </c>
      <c r="AM1300" s="153">
        <f t="shared" si="249"/>
        <v>0</v>
      </c>
      <c r="AN1300" s="153">
        <f t="shared" si="249"/>
        <v>0</v>
      </c>
      <c r="AO1300" s="153">
        <f t="shared" si="249"/>
        <v>0</v>
      </c>
      <c r="AP1300" s="153">
        <f t="shared" si="249"/>
        <v>0</v>
      </c>
      <c r="AQ1300" s="153">
        <f t="shared" si="249"/>
        <v>0</v>
      </c>
      <c r="AR1300" s="153">
        <f t="shared" si="249"/>
        <v>0</v>
      </c>
      <c r="AS1300" s="153">
        <f t="shared" si="249"/>
        <v>0</v>
      </c>
      <c r="AT1300" s="153">
        <f t="shared" si="249"/>
        <v>0</v>
      </c>
      <c r="AU1300" s="153">
        <f t="shared" si="249"/>
        <v>0</v>
      </c>
      <c r="AV1300" s="153">
        <f t="shared" si="249"/>
        <v>0</v>
      </c>
      <c r="AW1300" s="153">
        <f t="shared" si="249"/>
        <v>0</v>
      </c>
      <c r="AX1300" s="153">
        <f t="shared" si="249"/>
        <v>0</v>
      </c>
      <c r="AY1300" s="70" t="s">
        <v>235</v>
      </c>
      <c r="AZ1300" s="70"/>
      <c r="BA1300" s="47"/>
      <c r="BB1300" s="72"/>
      <c r="BI1300" s="42"/>
      <c r="BK1300" s="72"/>
    </row>
    <row r="1301" spans="1:63" s="24" customFormat="1" ht="23.1" customHeight="1">
      <c r="A1301" s="32">
        <f>A1297+1</f>
        <v>792</v>
      </c>
      <c r="B1301" s="60" t="s">
        <v>1299</v>
      </c>
      <c r="C1301" s="78" t="s">
        <v>59</v>
      </c>
      <c r="D1301" s="35">
        <f t="shared" ref="D1301:D1415" si="250">F1301+E1301</f>
        <v>1</v>
      </c>
      <c r="E1301" s="76"/>
      <c r="F1301" s="35">
        <f t="shared" si="236"/>
        <v>1</v>
      </c>
      <c r="G1301" s="77"/>
      <c r="H1301" s="77"/>
      <c r="I1301" s="77"/>
      <c r="J1301" s="77">
        <v>1</v>
      </c>
      <c r="K1301" s="77"/>
      <c r="L1301" s="77"/>
      <c r="M1301" s="77"/>
      <c r="N1301" s="77"/>
      <c r="O1301" s="77"/>
      <c r="P1301" s="77"/>
      <c r="Q1301" s="77"/>
      <c r="R1301" s="77"/>
      <c r="S1301" s="77"/>
      <c r="T1301" s="77"/>
      <c r="U1301" s="77"/>
      <c r="V1301" s="77"/>
      <c r="W1301" s="77"/>
      <c r="X1301" s="77"/>
      <c r="Y1301" s="77"/>
      <c r="Z1301" s="77"/>
      <c r="AA1301" s="77"/>
      <c r="AB1301" s="77"/>
      <c r="AC1301" s="77"/>
      <c r="AD1301" s="77"/>
      <c r="AE1301" s="77"/>
      <c r="AF1301" s="77"/>
      <c r="AG1301" s="77"/>
      <c r="AH1301" s="77"/>
      <c r="AI1301" s="77"/>
      <c r="AJ1301" s="77"/>
      <c r="AK1301" s="77"/>
      <c r="AL1301" s="77"/>
      <c r="AM1301" s="77"/>
      <c r="AN1301" s="77"/>
      <c r="AO1301" s="77"/>
      <c r="AP1301" s="77"/>
      <c r="AQ1301" s="77"/>
      <c r="AR1301" s="77"/>
      <c r="AS1301" s="77"/>
      <c r="AT1301" s="77"/>
      <c r="AU1301" s="77"/>
      <c r="AV1301" s="77"/>
      <c r="AW1301" s="77"/>
      <c r="AX1301" s="77"/>
      <c r="AY1301" s="70" t="s">
        <v>235</v>
      </c>
      <c r="AZ1301" s="70" t="s">
        <v>615</v>
      </c>
      <c r="BA1301" s="118" t="s">
        <v>291</v>
      </c>
      <c r="BB1301" s="72"/>
      <c r="BI1301" s="42">
        <v>1</v>
      </c>
    </row>
    <row r="1302" spans="1:63" s="24" customFormat="1" ht="23.1" customHeight="1">
      <c r="A1302" s="32" t="s">
        <v>1609</v>
      </c>
      <c r="B1302" s="158" t="s">
        <v>186</v>
      </c>
      <c r="C1302" s="78" t="s">
        <v>1260</v>
      </c>
      <c r="D1302" s="35">
        <f>E1302+F1302</f>
        <v>9.0399999999999991</v>
      </c>
      <c r="E1302" s="89">
        <f>E1303+E1308+E1313+E1318+E1319+E1323+E1327</f>
        <v>0</v>
      </c>
      <c r="F1302" s="141">
        <f>F1303+F1308+F1313+F1318+F1319+F1323+F1327</f>
        <v>9.0399999999999991</v>
      </c>
      <c r="G1302" s="141">
        <f t="shared" ref="G1302:AX1302" si="251">G1303+G1308+G1313+G1318+G1319+G1323+G1327</f>
        <v>6.74</v>
      </c>
      <c r="H1302" s="141">
        <f t="shared" si="251"/>
        <v>0</v>
      </c>
      <c r="I1302" s="141">
        <f t="shared" si="251"/>
        <v>0.26</v>
      </c>
      <c r="J1302" s="141">
        <f t="shared" si="251"/>
        <v>1.6800000000000002</v>
      </c>
      <c r="K1302" s="141">
        <f t="shared" si="251"/>
        <v>0</v>
      </c>
      <c r="L1302" s="141">
        <f t="shared" si="251"/>
        <v>0</v>
      </c>
      <c r="M1302" s="141">
        <f t="shared" si="251"/>
        <v>0</v>
      </c>
      <c r="N1302" s="141">
        <f t="shared" si="251"/>
        <v>0</v>
      </c>
      <c r="O1302" s="141">
        <f t="shared" si="251"/>
        <v>0</v>
      </c>
      <c r="P1302" s="141">
        <f t="shared" si="251"/>
        <v>0.04</v>
      </c>
      <c r="Q1302" s="141">
        <f t="shared" si="251"/>
        <v>0</v>
      </c>
      <c r="R1302" s="141">
        <f t="shared" si="251"/>
        <v>0</v>
      </c>
      <c r="S1302" s="141">
        <f t="shared" si="251"/>
        <v>0</v>
      </c>
      <c r="T1302" s="141">
        <f t="shared" si="251"/>
        <v>0</v>
      </c>
      <c r="U1302" s="141">
        <f t="shared" si="251"/>
        <v>0</v>
      </c>
      <c r="V1302" s="141">
        <f t="shared" si="251"/>
        <v>0</v>
      </c>
      <c r="W1302" s="141">
        <f t="shared" si="251"/>
        <v>0</v>
      </c>
      <c r="X1302" s="141">
        <f t="shared" si="251"/>
        <v>0</v>
      </c>
      <c r="Y1302" s="141">
        <f t="shared" si="251"/>
        <v>0</v>
      </c>
      <c r="Z1302" s="141">
        <f t="shared" si="251"/>
        <v>0</v>
      </c>
      <c r="AA1302" s="141">
        <f t="shared" si="251"/>
        <v>0.32</v>
      </c>
      <c r="AB1302" s="141">
        <f t="shared" si="251"/>
        <v>0</v>
      </c>
      <c r="AC1302" s="141">
        <f t="shared" si="251"/>
        <v>0</v>
      </c>
      <c r="AD1302" s="141">
        <f t="shared" si="251"/>
        <v>0</v>
      </c>
      <c r="AE1302" s="141">
        <f t="shared" si="251"/>
        <v>0</v>
      </c>
      <c r="AF1302" s="141">
        <f t="shared" si="251"/>
        <v>0</v>
      </c>
      <c r="AG1302" s="141">
        <f t="shared" si="251"/>
        <v>0</v>
      </c>
      <c r="AH1302" s="141">
        <f t="shared" si="251"/>
        <v>0</v>
      </c>
      <c r="AI1302" s="141">
        <f t="shared" si="251"/>
        <v>0</v>
      </c>
      <c r="AJ1302" s="141">
        <f t="shared" si="251"/>
        <v>0</v>
      </c>
      <c r="AK1302" s="141">
        <f t="shared" si="251"/>
        <v>0</v>
      </c>
      <c r="AL1302" s="141">
        <f t="shared" si="251"/>
        <v>0</v>
      </c>
      <c r="AM1302" s="141">
        <f t="shared" si="251"/>
        <v>0</v>
      </c>
      <c r="AN1302" s="141">
        <f t="shared" si="251"/>
        <v>0</v>
      </c>
      <c r="AO1302" s="141">
        <f t="shared" si="251"/>
        <v>0</v>
      </c>
      <c r="AP1302" s="141">
        <f t="shared" si="251"/>
        <v>0</v>
      </c>
      <c r="AQ1302" s="141">
        <f t="shared" si="251"/>
        <v>0</v>
      </c>
      <c r="AR1302" s="141">
        <f t="shared" si="251"/>
        <v>0</v>
      </c>
      <c r="AS1302" s="141">
        <f t="shared" si="251"/>
        <v>0</v>
      </c>
      <c r="AT1302" s="141">
        <f t="shared" si="251"/>
        <v>0</v>
      </c>
      <c r="AU1302" s="141">
        <f t="shared" si="251"/>
        <v>0</v>
      </c>
      <c r="AV1302" s="141">
        <f t="shared" si="251"/>
        <v>0</v>
      </c>
      <c r="AW1302" s="141">
        <f t="shared" si="251"/>
        <v>0</v>
      </c>
      <c r="AX1302" s="141">
        <f t="shared" si="251"/>
        <v>0</v>
      </c>
      <c r="AY1302" s="34" t="s">
        <v>429</v>
      </c>
      <c r="AZ1302" s="70"/>
      <c r="BA1302" s="118"/>
      <c r="BB1302" s="72"/>
      <c r="BI1302" s="42"/>
    </row>
    <row r="1303" spans="1:63" s="24" customFormat="1" ht="31.5">
      <c r="A1303" s="32">
        <f>A1301+1</f>
        <v>793</v>
      </c>
      <c r="B1303" s="158" t="s">
        <v>186</v>
      </c>
      <c r="C1303" s="78" t="s">
        <v>1260</v>
      </c>
      <c r="D1303" s="35">
        <f t="shared" si="250"/>
        <v>2.61</v>
      </c>
      <c r="E1303" s="35"/>
      <c r="F1303" s="35">
        <f t="shared" si="236"/>
        <v>2.61</v>
      </c>
      <c r="G1303" s="109">
        <v>2.13</v>
      </c>
      <c r="H1303" s="109"/>
      <c r="I1303" s="109"/>
      <c r="J1303" s="109">
        <v>0.48</v>
      </c>
      <c r="K1303" s="109"/>
      <c r="L1303" s="109"/>
      <c r="M1303" s="109"/>
      <c r="N1303" s="109"/>
      <c r="O1303" s="109"/>
      <c r="P1303" s="109"/>
      <c r="Q1303" s="109"/>
      <c r="R1303" s="109"/>
      <c r="S1303" s="109"/>
      <c r="T1303" s="109"/>
      <c r="U1303" s="109"/>
      <c r="V1303" s="109"/>
      <c r="W1303" s="109"/>
      <c r="X1303" s="109"/>
      <c r="Y1303" s="109"/>
      <c r="Z1303" s="109"/>
      <c r="AA1303" s="109"/>
      <c r="AB1303" s="109"/>
      <c r="AC1303" s="109"/>
      <c r="AD1303" s="109"/>
      <c r="AE1303" s="109"/>
      <c r="AF1303" s="109"/>
      <c r="AG1303" s="109"/>
      <c r="AH1303" s="109"/>
      <c r="AI1303" s="109"/>
      <c r="AJ1303" s="109"/>
      <c r="AK1303" s="109"/>
      <c r="AL1303" s="109"/>
      <c r="AM1303" s="109"/>
      <c r="AN1303" s="109"/>
      <c r="AO1303" s="109"/>
      <c r="AP1303" s="109"/>
      <c r="AQ1303" s="109"/>
      <c r="AR1303" s="109"/>
      <c r="AS1303" s="109"/>
      <c r="AT1303" s="109"/>
      <c r="AU1303" s="109"/>
      <c r="AV1303" s="109"/>
      <c r="AW1303" s="109"/>
      <c r="AX1303" s="109"/>
      <c r="AY1303" s="34" t="s">
        <v>429</v>
      </c>
      <c r="AZ1303" s="34" t="s">
        <v>1610</v>
      </c>
      <c r="BA1303" s="47" t="s">
        <v>298</v>
      </c>
      <c r="BB1303" s="48"/>
      <c r="BI1303" s="42">
        <v>1</v>
      </c>
    </row>
    <row r="1304" spans="1:63" s="24" customFormat="1" hidden="1">
      <c r="A1304" s="32"/>
      <c r="B1304" s="158"/>
      <c r="C1304" s="78" t="s">
        <v>59</v>
      </c>
      <c r="D1304" s="35">
        <f t="shared" si="250"/>
        <v>0.91</v>
      </c>
      <c r="E1304" s="76"/>
      <c r="F1304" s="35">
        <f t="shared" si="236"/>
        <v>0.91</v>
      </c>
      <c r="G1304" s="109">
        <v>0.91</v>
      </c>
      <c r="H1304" s="109"/>
      <c r="I1304" s="109"/>
      <c r="J1304" s="109"/>
      <c r="K1304" s="109"/>
      <c r="L1304" s="109"/>
      <c r="M1304" s="109"/>
      <c r="N1304" s="109"/>
      <c r="O1304" s="109"/>
      <c r="P1304" s="109"/>
      <c r="Q1304" s="109"/>
      <c r="R1304" s="109"/>
      <c r="S1304" s="109"/>
      <c r="T1304" s="109"/>
      <c r="U1304" s="109"/>
      <c r="V1304" s="109"/>
      <c r="W1304" s="109"/>
      <c r="X1304" s="109"/>
      <c r="Y1304" s="109"/>
      <c r="Z1304" s="109"/>
      <c r="AA1304" s="109"/>
      <c r="AB1304" s="109"/>
      <c r="AC1304" s="109"/>
      <c r="AD1304" s="109"/>
      <c r="AE1304" s="109"/>
      <c r="AF1304" s="109"/>
      <c r="AG1304" s="109"/>
      <c r="AH1304" s="109"/>
      <c r="AI1304" s="109"/>
      <c r="AJ1304" s="109"/>
      <c r="AK1304" s="109"/>
      <c r="AL1304" s="109"/>
      <c r="AM1304" s="109"/>
      <c r="AN1304" s="109"/>
      <c r="AO1304" s="109"/>
      <c r="AP1304" s="109"/>
      <c r="AQ1304" s="109"/>
      <c r="AR1304" s="109"/>
      <c r="AS1304" s="109"/>
      <c r="AT1304" s="109"/>
      <c r="AU1304" s="109"/>
      <c r="AV1304" s="109"/>
      <c r="AW1304" s="109"/>
      <c r="AX1304" s="109"/>
      <c r="AY1304" s="34" t="s">
        <v>429</v>
      </c>
      <c r="AZ1304" s="34"/>
      <c r="BA1304" s="47"/>
      <c r="BB1304" s="48"/>
      <c r="BI1304" s="42"/>
    </row>
    <row r="1305" spans="1:63" s="24" customFormat="1" hidden="1">
      <c r="A1305" s="32"/>
      <c r="B1305" s="158"/>
      <c r="C1305" s="78" t="s">
        <v>44</v>
      </c>
      <c r="D1305" s="35">
        <f>F1305+E1305</f>
        <v>0.90999999999999992</v>
      </c>
      <c r="E1305" s="76"/>
      <c r="F1305" s="35">
        <f t="shared" si="236"/>
        <v>0.90999999999999992</v>
      </c>
      <c r="G1305" s="109">
        <v>0.7</v>
      </c>
      <c r="H1305" s="109"/>
      <c r="I1305" s="109"/>
      <c r="J1305" s="109">
        <v>0.21</v>
      </c>
      <c r="K1305" s="109"/>
      <c r="L1305" s="109"/>
      <c r="M1305" s="109"/>
      <c r="N1305" s="109"/>
      <c r="O1305" s="109"/>
      <c r="P1305" s="109"/>
      <c r="Q1305" s="109"/>
      <c r="R1305" s="109"/>
      <c r="S1305" s="109"/>
      <c r="T1305" s="109"/>
      <c r="U1305" s="109"/>
      <c r="V1305" s="109"/>
      <c r="W1305" s="109"/>
      <c r="X1305" s="109"/>
      <c r="Y1305" s="109"/>
      <c r="Z1305" s="109"/>
      <c r="AA1305" s="109"/>
      <c r="AB1305" s="109"/>
      <c r="AC1305" s="109"/>
      <c r="AD1305" s="109"/>
      <c r="AE1305" s="109"/>
      <c r="AF1305" s="109"/>
      <c r="AG1305" s="109"/>
      <c r="AH1305" s="109"/>
      <c r="AI1305" s="109"/>
      <c r="AJ1305" s="109"/>
      <c r="AK1305" s="109"/>
      <c r="AL1305" s="109"/>
      <c r="AM1305" s="109"/>
      <c r="AN1305" s="109"/>
      <c r="AO1305" s="109"/>
      <c r="AP1305" s="109"/>
      <c r="AQ1305" s="109"/>
      <c r="AR1305" s="109"/>
      <c r="AS1305" s="109"/>
      <c r="AT1305" s="109"/>
      <c r="AU1305" s="109"/>
      <c r="AV1305" s="109"/>
      <c r="AW1305" s="109"/>
      <c r="AX1305" s="109"/>
      <c r="AY1305" s="34" t="s">
        <v>429</v>
      </c>
      <c r="AZ1305" s="34"/>
      <c r="BA1305" s="47"/>
      <c r="BB1305" s="48"/>
      <c r="BI1305" s="42"/>
    </row>
    <row r="1306" spans="1:63" s="24" customFormat="1" hidden="1">
      <c r="A1306" s="32"/>
      <c r="B1306" s="158"/>
      <c r="C1306" s="78" t="s">
        <v>45</v>
      </c>
      <c r="D1306" s="35">
        <f>F1306+E1306</f>
        <v>0.26</v>
      </c>
      <c r="E1306" s="76"/>
      <c r="F1306" s="35">
        <f t="shared" si="236"/>
        <v>0.26</v>
      </c>
      <c r="G1306" s="109">
        <v>0.16</v>
      </c>
      <c r="H1306" s="109"/>
      <c r="I1306" s="109"/>
      <c r="J1306" s="109">
        <v>0.1</v>
      </c>
      <c r="K1306" s="109"/>
      <c r="L1306" s="109"/>
      <c r="M1306" s="109"/>
      <c r="N1306" s="109"/>
      <c r="O1306" s="109"/>
      <c r="P1306" s="109"/>
      <c r="Q1306" s="109"/>
      <c r="R1306" s="109"/>
      <c r="S1306" s="109"/>
      <c r="T1306" s="109"/>
      <c r="U1306" s="109"/>
      <c r="V1306" s="109"/>
      <c r="W1306" s="109"/>
      <c r="X1306" s="109"/>
      <c r="Y1306" s="109"/>
      <c r="Z1306" s="109"/>
      <c r="AA1306" s="109"/>
      <c r="AB1306" s="109"/>
      <c r="AC1306" s="109"/>
      <c r="AD1306" s="109"/>
      <c r="AE1306" s="109"/>
      <c r="AF1306" s="109"/>
      <c r="AG1306" s="109"/>
      <c r="AH1306" s="109"/>
      <c r="AI1306" s="109"/>
      <c r="AJ1306" s="109"/>
      <c r="AK1306" s="109"/>
      <c r="AL1306" s="109"/>
      <c r="AM1306" s="109"/>
      <c r="AN1306" s="109"/>
      <c r="AO1306" s="109"/>
      <c r="AP1306" s="109"/>
      <c r="AQ1306" s="109"/>
      <c r="AR1306" s="109"/>
      <c r="AS1306" s="109"/>
      <c r="AT1306" s="109"/>
      <c r="AU1306" s="109"/>
      <c r="AV1306" s="109"/>
      <c r="AW1306" s="109"/>
      <c r="AX1306" s="109"/>
      <c r="AY1306" s="34" t="s">
        <v>429</v>
      </c>
      <c r="AZ1306" s="34"/>
      <c r="BA1306" s="47"/>
      <c r="BB1306" s="48"/>
      <c r="BI1306" s="42"/>
    </row>
    <row r="1307" spans="1:63" s="24" customFormat="1" hidden="1">
      <c r="A1307" s="32"/>
      <c r="B1307" s="158"/>
      <c r="C1307" s="78" t="s">
        <v>138</v>
      </c>
      <c r="D1307" s="35">
        <f>F1307+E1307</f>
        <v>0.5299999999999998</v>
      </c>
      <c r="E1307" s="76"/>
      <c r="F1307" s="35">
        <f t="shared" si="236"/>
        <v>0.5299999999999998</v>
      </c>
      <c r="G1307" s="147">
        <f>G1303-G1304-G1305-G1306</f>
        <v>0.35999999999999976</v>
      </c>
      <c r="H1307" s="147">
        <f t="shared" ref="H1307:AX1307" si="252">H1303-H1304-H1305-H1306</f>
        <v>0</v>
      </c>
      <c r="I1307" s="147">
        <f t="shared" si="252"/>
        <v>0</v>
      </c>
      <c r="J1307" s="147">
        <f t="shared" si="252"/>
        <v>0.17</v>
      </c>
      <c r="K1307" s="147">
        <f t="shared" si="252"/>
        <v>0</v>
      </c>
      <c r="L1307" s="147">
        <f t="shared" si="252"/>
        <v>0</v>
      </c>
      <c r="M1307" s="147">
        <f t="shared" si="252"/>
        <v>0</v>
      </c>
      <c r="N1307" s="147">
        <f t="shared" si="252"/>
        <v>0</v>
      </c>
      <c r="O1307" s="147">
        <f t="shared" si="252"/>
        <v>0</v>
      </c>
      <c r="P1307" s="147">
        <f t="shared" si="252"/>
        <v>0</v>
      </c>
      <c r="Q1307" s="147">
        <f t="shared" si="252"/>
        <v>0</v>
      </c>
      <c r="R1307" s="147">
        <f t="shared" si="252"/>
        <v>0</v>
      </c>
      <c r="S1307" s="147">
        <f t="shared" si="252"/>
        <v>0</v>
      </c>
      <c r="T1307" s="147">
        <f t="shared" si="252"/>
        <v>0</v>
      </c>
      <c r="U1307" s="147">
        <f t="shared" si="252"/>
        <v>0</v>
      </c>
      <c r="V1307" s="147">
        <f t="shared" si="252"/>
        <v>0</v>
      </c>
      <c r="W1307" s="147">
        <f t="shared" si="252"/>
        <v>0</v>
      </c>
      <c r="X1307" s="147">
        <f t="shared" si="252"/>
        <v>0</v>
      </c>
      <c r="Y1307" s="147">
        <f t="shared" si="252"/>
        <v>0</v>
      </c>
      <c r="Z1307" s="147">
        <f t="shared" si="252"/>
        <v>0</v>
      </c>
      <c r="AA1307" s="147">
        <f t="shared" si="252"/>
        <v>0</v>
      </c>
      <c r="AB1307" s="147">
        <f t="shared" si="252"/>
        <v>0</v>
      </c>
      <c r="AC1307" s="147">
        <f t="shared" si="252"/>
        <v>0</v>
      </c>
      <c r="AD1307" s="147">
        <f t="shared" si="252"/>
        <v>0</v>
      </c>
      <c r="AE1307" s="147">
        <f t="shared" si="252"/>
        <v>0</v>
      </c>
      <c r="AF1307" s="147">
        <f t="shared" si="252"/>
        <v>0</v>
      </c>
      <c r="AG1307" s="147">
        <f t="shared" si="252"/>
        <v>0</v>
      </c>
      <c r="AH1307" s="147">
        <f t="shared" si="252"/>
        <v>0</v>
      </c>
      <c r="AI1307" s="147">
        <f t="shared" si="252"/>
        <v>0</v>
      </c>
      <c r="AJ1307" s="147">
        <f t="shared" si="252"/>
        <v>0</v>
      </c>
      <c r="AK1307" s="147">
        <f t="shared" si="252"/>
        <v>0</v>
      </c>
      <c r="AL1307" s="147">
        <f t="shared" si="252"/>
        <v>0</v>
      </c>
      <c r="AM1307" s="147">
        <f t="shared" si="252"/>
        <v>0</v>
      </c>
      <c r="AN1307" s="147">
        <f t="shared" si="252"/>
        <v>0</v>
      </c>
      <c r="AO1307" s="147">
        <f t="shared" si="252"/>
        <v>0</v>
      </c>
      <c r="AP1307" s="147">
        <f t="shared" si="252"/>
        <v>0</v>
      </c>
      <c r="AQ1307" s="147">
        <f t="shared" si="252"/>
        <v>0</v>
      </c>
      <c r="AR1307" s="147">
        <f t="shared" si="252"/>
        <v>0</v>
      </c>
      <c r="AS1307" s="147">
        <f t="shared" si="252"/>
        <v>0</v>
      </c>
      <c r="AT1307" s="147">
        <f t="shared" si="252"/>
        <v>0</v>
      </c>
      <c r="AU1307" s="147">
        <f t="shared" si="252"/>
        <v>0</v>
      </c>
      <c r="AV1307" s="147">
        <f t="shared" si="252"/>
        <v>0</v>
      </c>
      <c r="AW1307" s="147">
        <f t="shared" si="252"/>
        <v>0</v>
      </c>
      <c r="AX1307" s="147">
        <f t="shared" si="252"/>
        <v>0</v>
      </c>
      <c r="AY1307" s="34" t="s">
        <v>429</v>
      </c>
      <c r="AZ1307" s="34"/>
      <c r="BA1307" s="47"/>
      <c r="BB1307" s="48"/>
      <c r="BI1307" s="42"/>
    </row>
    <row r="1308" spans="1:63" s="24" customFormat="1" ht="31.5">
      <c r="A1308" s="32">
        <f>A1303+1</f>
        <v>794</v>
      </c>
      <c r="B1308" s="158" t="s">
        <v>186</v>
      </c>
      <c r="C1308" s="78" t="s">
        <v>1260</v>
      </c>
      <c r="D1308" s="35">
        <f t="shared" si="250"/>
        <v>2.0699999999999998</v>
      </c>
      <c r="E1308" s="35"/>
      <c r="F1308" s="35">
        <f t="shared" si="236"/>
        <v>2.0699999999999998</v>
      </c>
      <c r="G1308" s="109">
        <v>1.73</v>
      </c>
      <c r="H1308" s="109"/>
      <c r="I1308" s="109"/>
      <c r="J1308" s="109">
        <v>0.02</v>
      </c>
      <c r="K1308" s="109"/>
      <c r="L1308" s="109"/>
      <c r="M1308" s="109"/>
      <c r="N1308" s="109"/>
      <c r="O1308" s="109"/>
      <c r="P1308" s="109"/>
      <c r="Q1308" s="109"/>
      <c r="R1308" s="109"/>
      <c r="S1308" s="109"/>
      <c r="T1308" s="109"/>
      <c r="U1308" s="109"/>
      <c r="V1308" s="109"/>
      <c r="W1308" s="109"/>
      <c r="X1308" s="109"/>
      <c r="Y1308" s="109"/>
      <c r="Z1308" s="109"/>
      <c r="AA1308" s="109">
        <v>0.32</v>
      </c>
      <c r="AB1308" s="109"/>
      <c r="AC1308" s="109"/>
      <c r="AD1308" s="109"/>
      <c r="AE1308" s="109"/>
      <c r="AF1308" s="109"/>
      <c r="AG1308" s="109"/>
      <c r="AH1308" s="109"/>
      <c r="AI1308" s="109"/>
      <c r="AJ1308" s="109"/>
      <c r="AK1308" s="109"/>
      <c r="AL1308" s="109"/>
      <c r="AM1308" s="109"/>
      <c r="AN1308" s="109"/>
      <c r="AO1308" s="109"/>
      <c r="AP1308" s="109"/>
      <c r="AQ1308" s="109"/>
      <c r="AR1308" s="109"/>
      <c r="AS1308" s="109"/>
      <c r="AT1308" s="109"/>
      <c r="AU1308" s="109"/>
      <c r="AV1308" s="109"/>
      <c r="AW1308" s="109"/>
      <c r="AX1308" s="109"/>
      <c r="AY1308" s="34" t="s">
        <v>429</v>
      </c>
      <c r="AZ1308" s="34" t="s">
        <v>1611</v>
      </c>
      <c r="BA1308" s="47" t="s">
        <v>298</v>
      </c>
      <c r="BB1308" s="48"/>
      <c r="BI1308" s="42">
        <v>1</v>
      </c>
    </row>
    <row r="1309" spans="1:63" s="24" customFormat="1" hidden="1">
      <c r="A1309" s="32"/>
      <c r="B1309" s="158"/>
      <c r="C1309" s="78" t="s">
        <v>59</v>
      </c>
      <c r="D1309" s="35">
        <f>F1309+E1309</f>
        <v>0.72</v>
      </c>
      <c r="E1309" s="76"/>
      <c r="F1309" s="35">
        <f t="shared" si="236"/>
        <v>0.72</v>
      </c>
      <c r="G1309" s="109">
        <v>0.62</v>
      </c>
      <c r="H1309" s="109"/>
      <c r="I1309" s="109"/>
      <c r="J1309" s="109"/>
      <c r="K1309" s="109"/>
      <c r="L1309" s="109"/>
      <c r="M1309" s="109"/>
      <c r="N1309" s="109"/>
      <c r="O1309" s="109"/>
      <c r="P1309" s="109"/>
      <c r="Q1309" s="109"/>
      <c r="R1309" s="109"/>
      <c r="S1309" s="109"/>
      <c r="T1309" s="109"/>
      <c r="U1309" s="109"/>
      <c r="V1309" s="109"/>
      <c r="W1309" s="109"/>
      <c r="X1309" s="109"/>
      <c r="Y1309" s="109"/>
      <c r="Z1309" s="109"/>
      <c r="AA1309" s="109">
        <v>0.1</v>
      </c>
      <c r="AB1309" s="109"/>
      <c r="AC1309" s="109"/>
      <c r="AD1309" s="109"/>
      <c r="AE1309" s="109"/>
      <c r="AF1309" s="109"/>
      <c r="AG1309" s="109"/>
      <c r="AH1309" s="109"/>
      <c r="AI1309" s="109"/>
      <c r="AJ1309" s="109"/>
      <c r="AK1309" s="109"/>
      <c r="AL1309" s="109"/>
      <c r="AM1309" s="109"/>
      <c r="AN1309" s="109"/>
      <c r="AO1309" s="109"/>
      <c r="AP1309" s="109"/>
      <c r="AQ1309" s="109"/>
      <c r="AR1309" s="109"/>
      <c r="AS1309" s="109"/>
      <c r="AT1309" s="109"/>
      <c r="AU1309" s="109"/>
      <c r="AV1309" s="109"/>
      <c r="AW1309" s="109"/>
      <c r="AX1309" s="109"/>
      <c r="AY1309" s="34" t="s">
        <v>429</v>
      </c>
      <c r="AZ1309" s="34"/>
      <c r="BA1309" s="47"/>
      <c r="BB1309" s="48"/>
      <c r="BI1309" s="42"/>
    </row>
    <row r="1310" spans="1:63" s="24" customFormat="1" hidden="1">
      <c r="A1310" s="32"/>
      <c r="B1310" s="158"/>
      <c r="C1310" s="78" t="s">
        <v>44</v>
      </c>
      <c r="D1310" s="35">
        <f>F1310+E1310</f>
        <v>0.72</v>
      </c>
      <c r="E1310" s="76"/>
      <c r="F1310" s="35">
        <f t="shared" si="236"/>
        <v>0.72</v>
      </c>
      <c r="G1310" s="109">
        <v>0.56999999999999995</v>
      </c>
      <c r="H1310" s="109"/>
      <c r="I1310" s="109"/>
      <c r="J1310" s="109"/>
      <c r="K1310" s="109"/>
      <c r="L1310" s="109"/>
      <c r="M1310" s="109"/>
      <c r="N1310" s="109"/>
      <c r="O1310" s="109"/>
      <c r="P1310" s="109"/>
      <c r="Q1310" s="109"/>
      <c r="R1310" s="109"/>
      <c r="S1310" s="109"/>
      <c r="T1310" s="109"/>
      <c r="U1310" s="109"/>
      <c r="V1310" s="109"/>
      <c r="W1310" s="109"/>
      <c r="X1310" s="109"/>
      <c r="Y1310" s="109"/>
      <c r="Z1310" s="109"/>
      <c r="AA1310" s="109">
        <v>0.15</v>
      </c>
      <c r="AB1310" s="109"/>
      <c r="AC1310" s="109"/>
      <c r="AD1310" s="109"/>
      <c r="AE1310" s="109"/>
      <c r="AF1310" s="109"/>
      <c r="AG1310" s="109"/>
      <c r="AH1310" s="109"/>
      <c r="AI1310" s="109"/>
      <c r="AJ1310" s="109"/>
      <c r="AK1310" s="109"/>
      <c r="AL1310" s="109"/>
      <c r="AM1310" s="109"/>
      <c r="AN1310" s="109"/>
      <c r="AO1310" s="109"/>
      <c r="AP1310" s="109"/>
      <c r="AQ1310" s="109"/>
      <c r="AR1310" s="109"/>
      <c r="AS1310" s="109"/>
      <c r="AT1310" s="109"/>
      <c r="AU1310" s="109"/>
      <c r="AV1310" s="109"/>
      <c r="AW1310" s="109"/>
      <c r="AX1310" s="109"/>
      <c r="AY1310" s="34" t="s">
        <v>429</v>
      </c>
      <c r="AZ1310" s="34"/>
      <c r="BA1310" s="47"/>
      <c r="BB1310" s="48"/>
      <c r="BI1310" s="42"/>
    </row>
    <row r="1311" spans="1:63" s="24" customFormat="1" hidden="1">
      <c r="A1311" s="32"/>
      <c r="B1311" s="158"/>
      <c r="C1311" s="78" t="s">
        <v>45</v>
      </c>
      <c r="D1311" s="35">
        <f>F1311+E1311</f>
        <v>0.2</v>
      </c>
      <c r="E1311" s="76"/>
      <c r="F1311" s="35">
        <f t="shared" si="236"/>
        <v>0.2</v>
      </c>
      <c r="G1311" s="109">
        <v>0.2</v>
      </c>
      <c r="H1311" s="109"/>
      <c r="I1311" s="109"/>
      <c r="J1311" s="109"/>
      <c r="K1311" s="109"/>
      <c r="L1311" s="109"/>
      <c r="M1311" s="109"/>
      <c r="N1311" s="109"/>
      <c r="O1311" s="109"/>
      <c r="P1311" s="109"/>
      <c r="Q1311" s="109"/>
      <c r="R1311" s="109"/>
      <c r="S1311" s="109"/>
      <c r="T1311" s="109"/>
      <c r="U1311" s="109"/>
      <c r="V1311" s="109"/>
      <c r="W1311" s="109"/>
      <c r="X1311" s="109"/>
      <c r="Y1311" s="109"/>
      <c r="Z1311" s="109"/>
      <c r="AA1311" s="109"/>
      <c r="AB1311" s="109"/>
      <c r="AC1311" s="109"/>
      <c r="AD1311" s="109"/>
      <c r="AE1311" s="109"/>
      <c r="AF1311" s="109"/>
      <c r="AG1311" s="109"/>
      <c r="AH1311" s="109"/>
      <c r="AI1311" s="109"/>
      <c r="AJ1311" s="109"/>
      <c r="AK1311" s="109"/>
      <c r="AL1311" s="109"/>
      <c r="AM1311" s="109"/>
      <c r="AN1311" s="109"/>
      <c r="AO1311" s="109"/>
      <c r="AP1311" s="109"/>
      <c r="AQ1311" s="109"/>
      <c r="AR1311" s="109"/>
      <c r="AS1311" s="109"/>
      <c r="AT1311" s="109"/>
      <c r="AU1311" s="109"/>
      <c r="AV1311" s="109"/>
      <c r="AW1311" s="109"/>
      <c r="AX1311" s="109"/>
      <c r="AY1311" s="34" t="s">
        <v>429</v>
      </c>
      <c r="AZ1311" s="34"/>
      <c r="BA1311" s="47"/>
      <c r="BB1311" s="48"/>
      <c r="BI1311" s="42"/>
    </row>
    <row r="1312" spans="1:63" s="24" customFormat="1" hidden="1">
      <c r="A1312" s="32"/>
      <c r="B1312" s="158"/>
      <c r="C1312" s="78" t="s">
        <v>138</v>
      </c>
      <c r="D1312" s="35">
        <f>F1312+E1312</f>
        <v>0.42999999999999994</v>
      </c>
      <c r="E1312" s="76"/>
      <c r="F1312" s="35">
        <f t="shared" ref="F1312:F1375" si="253">SUM(G1312:AX1312)</f>
        <v>0.42999999999999994</v>
      </c>
      <c r="G1312" s="147">
        <f>G1308-G1309-G1310-G1311</f>
        <v>0.33999999999999991</v>
      </c>
      <c r="H1312" s="147">
        <f t="shared" ref="H1312:AX1312" si="254">H1308-H1309-H1310-H1311</f>
        <v>0</v>
      </c>
      <c r="I1312" s="147">
        <f t="shared" si="254"/>
        <v>0</v>
      </c>
      <c r="J1312" s="147">
        <f t="shared" si="254"/>
        <v>0.02</v>
      </c>
      <c r="K1312" s="147">
        <f t="shared" si="254"/>
        <v>0</v>
      </c>
      <c r="L1312" s="147">
        <f t="shared" si="254"/>
        <v>0</v>
      </c>
      <c r="M1312" s="147">
        <f t="shared" si="254"/>
        <v>0</v>
      </c>
      <c r="N1312" s="147">
        <f t="shared" si="254"/>
        <v>0</v>
      </c>
      <c r="O1312" s="147">
        <f t="shared" si="254"/>
        <v>0</v>
      </c>
      <c r="P1312" s="147">
        <f t="shared" si="254"/>
        <v>0</v>
      </c>
      <c r="Q1312" s="147">
        <f t="shared" si="254"/>
        <v>0</v>
      </c>
      <c r="R1312" s="147">
        <f t="shared" si="254"/>
        <v>0</v>
      </c>
      <c r="S1312" s="147">
        <f t="shared" si="254"/>
        <v>0</v>
      </c>
      <c r="T1312" s="147">
        <f t="shared" si="254"/>
        <v>0</v>
      </c>
      <c r="U1312" s="147">
        <f t="shared" si="254"/>
        <v>0</v>
      </c>
      <c r="V1312" s="147">
        <f t="shared" si="254"/>
        <v>0</v>
      </c>
      <c r="W1312" s="147">
        <f t="shared" si="254"/>
        <v>0</v>
      </c>
      <c r="X1312" s="147">
        <f t="shared" si="254"/>
        <v>0</v>
      </c>
      <c r="Y1312" s="147">
        <f t="shared" si="254"/>
        <v>0</v>
      </c>
      <c r="Z1312" s="147">
        <f t="shared" si="254"/>
        <v>0</v>
      </c>
      <c r="AA1312" s="147">
        <f t="shared" si="254"/>
        <v>7.0000000000000007E-2</v>
      </c>
      <c r="AB1312" s="147">
        <f t="shared" si="254"/>
        <v>0</v>
      </c>
      <c r="AC1312" s="147">
        <f t="shared" si="254"/>
        <v>0</v>
      </c>
      <c r="AD1312" s="147">
        <f t="shared" si="254"/>
        <v>0</v>
      </c>
      <c r="AE1312" s="147">
        <f t="shared" si="254"/>
        <v>0</v>
      </c>
      <c r="AF1312" s="147">
        <f t="shared" si="254"/>
        <v>0</v>
      </c>
      <c r="AG1312" s="147">
        <f t="shared" si="254"/>
        <v>0</v>
      </c>
      <c r="AH1312" s="147">
        <f t="shared" si="254"/>
        <v>0</v>
      </c>
      <c r="AI1312" s="147">
        <f t="shared" si="254"/>
        <v>0</v>
      </c>
      <c r="AJ1312" s="147">
        <f t="shared" si="254"/>
        <v>0</v>
      </c>
      <c r="AK1312" s="147">
        <f t="shared" si="254"/>
        <v>0</v>
      </c>
      <c r="AL1312" s="147">
        <f t="shared" si="254"/>
        <v>0</v>
      </c>
      <c r="AM1312" s="147">
        <f t="shared" si="254"/>
        <v>0</v>
      </c>
      <c r="AN1312" s="147">
        <f t="shared" si="254"/>
        <v>0</v>
      </c>
      <c r="AO1312" s="147">
        <f t="shared" si="254"/>
        <v>0</v>
      </c>
      <c r="AP1312" s="147">
        <f t="shared" si="254"/>
        <v>0</v>
      </c>
      <c r="AQ1312" s="147">
        <f t="shared" si="254"/>
        <v>0</v>
      </c>
      <c r="AR1312" s="147">
        <f t="shared" si="254"/>
        <v>0</v>
      </c>
      <c r="AS1312" s="147">
        <f t="shared" si="254"/>
        <v>0</v>
      </c>
      <c r="AT1312" s="147">
        <f t="shared" si="254"/>
        <v>0</v>
      </c>
      <c r="AU1312" s="147">
        <f t="shared" si="254"/>
        <v>0</v>
      </c>
      <c r="AV1312" s="147">
        <f t="shared" si="254"/>
        <v>0</v>
      </c>
      <c r="AW1312" s="147">
        <f t="shared" si="254"/>
        <v>0</v>
      </c>
      <c r="AX1312" s="147">
        <f t="shared" si="254"/>
        <v>0</v>
      </c>
      <c r="AY1312" s="34" t="s">
        <v>429</v>
      </c>
      <c r="AZ1312" s="34"/>
      <c r="BA1312" s="47"/>
      <c r="BB1312" s="48"/>
      <c r="BI1312" s="42"/>
    </row>
    <row r="1313" spans="1:61" s="24" customFormat="1" ht="31.5">
      <c r="A1313" s="32">
        <f>A1308+1</f>
        <v>795</v>
      </c>
      <c r="B1313" s="158" t="s">
        <v>186</v>
      </c>
      <c r="C1313" s="78" t="s">
        <v>1260</v>
      </c>
      <c r="D1313" s="35">
        <f t="shared" si="250"/>
        <v>1.75</v>
      </c>
      <c r="E1313" s="35"/>
      <c r="F1313" s="35">
        <f t="shared" si="253"/>
        <v>1.75</v>
      </c>
      <c r="G1313" s="109">
        <v>1.43</v>
      </c>
      <c r="H1313" s="109"/>
      <c r="I1313" s="109">
        <v>0.2</v>
      </c>
      <c r="J1313" s="109">
        <v>0.08</v>
      </c>
      <c r="K1313" s="109"/>
      <c r="L1313" s="109"/>
      <c r="M1313" s="109"/>
      <c r="N1313" s="109"/>
      <c r="O1313" s="109"/>
      <c r="P1313" s="109">
        <v>0.04</v>
      </c>
      <c r="Q1313" s="109"/>
      <c r="R1313" s="109"/>
      <c r="S1313" s="109"/>
      <c r="T1313" s="109"/>
      <c r="U1313" s="109"/>
      <c r="V1313" s="109"/>
      <c r="W1313" s="109"/>
      <c r="X1313" s="109"/>
      <c r="Y1313" s="109"/>
      <c r="Z1313" s="109"/>
      <c r="AA1313" s="109"/>
      <c r="AB1313" s="109"/>
      <c r="AC1313" s="109"/>
      <c r="AD1313" s="109"/>
      <c r="AE1313" s="109"/>
      <c r="AF1313" s="109"/>
      <c r="AG1313" s="109"/>
      <c r="AH1313" s="109"/>
      <c r="AI1313" s="109"/>
      <c r="AJ1313" s="109"/>
      <c r="AK1313" s="109"/>
      <c r="AL1313" s="109"/>
      <c r="AM1313" s="109"/>
      <c r="AN1313" s="109"/>
      <c r="AO1313" s="109"/>
      <c r="AP1313" s="109"/>
      <c r="AQ1313" s="109"/>
      <c r="AR1313" s="109"/>
      <c r="AS1313" s="109"/>
      <c r="AT1313" s="109"/>
      <c r="AU1313" s="109"/>
      <c r="AV1313" s="109"/>
      <c r="AW1313" s="109"/>
      <c r="AX1313" s="109"/>
      <c r="AY1313" s="34" t="s">
        <v>429</v>
      </c>
      <c r="AZ1313" s="34" t="s">
        <v>794</v>
      </c>
      <c r="BA1313" s="63" t="s">
        <v>291</v>
      </c>
      <c r="BB1313" s="64"/>
      <c r="BI1313" s="42">
        <v>1</v>
      </c>
    </row>
    <row r="1314" spans="1:61" s="24" customFormat="1" hidden="1">
      <c r="A1314" s="32"/>
      <c r="B1314" s="158"/>
      <c r="C1314" s="78" t="s">
        <v>59</v>
      </c>
      <c r="D1314" s="35">
        <f t="shared" si="250"/>
        <v>0.6</v>
      </c>
      <c r="E1314" s="76"/>
      <c r="F1314" s="35">
        <f t="shared" si="253"/>
        <v>0.6</v>
      </c>
      <c r="G1314" s="109">
        <v>0.6</v>
      </c>
      <c r="H1314" s="109"/>
      <c r="I1314" s="109"/>
      <c r="J1314" s="109"/>
      <c r="K1314" s="109"/>
      <c r="L1314" s="109"/>
      <c r="M1314" s="109"/>
      <c r="N1314" s="109"/>
      <c r="O1314" s="109"/>
      <c r="P1314" s="109"/>
      <c r="Q1314" s="109"/>
      <c r="R1314" s="109"/>
      <c r="S1314" s="109"/>
      <c r="T1314" s="109"/>
      <c r="U1314" s="109"/>
      <c r="V1314" s="109"/>
      <c r="W1314" s="109"/>
      <c r="X1314" s="109"/>
      <c r="Y1314" s="109"/>
      <c r="Z1314" s="109"/>
      <c r="AA1314" s="109"/>
      <c r="AB1314" s="109"/>
      <c r="AC1314" s="109"/>
      <c r="AD1314" s="109"/>
      <c r="AE1314" s="109"/>
      <c r="AF1314" s="109"/>
      <c r="AG1314" s="109"/>
      <c r="AH1314" s="109"/>
      <c r="AI1314" s="109"/>
      <c r="AJ1314" s="109"/>
      <c r="AK1314" s="109"/>
      <c r="AL1314" s="109"/>
      <c r="AM1314" s="109"/>
      <c r="AN1314" s="109"/>
      <c r="AO1314" s="109"/>
      <c r="AP1314" s="109"/>
      <c r="AQ1314" s="109"/>
      <c r="AR1314" s="109"/>
      <c r="AS1314" s="109"/>
      <c r="AT1314" s="109"/>
      <c r="AU1314" s="109"/>
      <c r="AV1314" s="109"/>
      <c r="AW1314" s="109"/>
      <c r="AX1314" s="109"/>
      <c r="AY1314" s="34" t="s">
        <v>429</v>
      </c>
      <c r="AZ1314" s="34"/>
      <c r="BA1314" s="63"/>
      <c r="BB1314" s="64"/>
      <c r="BI1314" s="42"/>
    </row>
    <row r="1315" spans="1:61" s="24" customFormat="1" hidden="1">
      <c r="A1315" s="32"/>
      <c r="B1315" s="158"/>
      <c r="C1315" s="78" t="s">
        <v>44</v>
      </c>
      <c r="D1315" s="35">
        <f t="shared" si="250"/>
        <v>0.60000000000000009</v>
      </c>
      <c r="E1315" s="76"/>
      <c r="F1315" s="35">
        <f t="shared" si="253"/>
        <v>0.60000000000000009</v>
      </c>
      <c r="G1315" s="109">
        <v>0.4</v>
      </c>
      <c r="H1315" s="109"/>
      <c r="I1315" s="109">
        <v>0.2</v>
      </c>
      <c r="J1315" s="109"/>
      <c r="K1315" s="109"/>
      <c r="L1315" s="109"/>
      <c r="M1315" s="109"/>
      <c r="N1315" s="109"/>
      <c r="O1315" s="109"/>
      <c r="P1315" s="109"/>
      <c r="Q1315" s="109"/>
      <c r="R1315" s="109"/>
      <c r="S1315" s="109"/>
      <c r="T1315" s="109"/>
      <c r="U1315" s="109"/>
      <c r="V1315" s="109"/>
      <c r="W1315" s="109"/>
      <c r="X1315" s="109"/>
      <c r="Y1315" s="109"/>
      <c r="Z1315" s="109"/>
      <c r="AA1315" s="109"/>
      <c r="AB1315" s="109"/>
      <c r="AC1315" s="109"/>
      <c r="AD1315" s="109"/>
      <c r="AE1315" s="109"/>
      <c r="AF1315" s="109"/>
      <c r="AG1315" s="109"/>
      <c r="AH1315" s="109"/>
      <c r="AI1315" s="109"/>
      <c r="AJ1315" s="109"/>
      <c r="AK1315" s="109"/>
      <c r="AL1315" s="109"/>
      <c r="AM1315" s="109"/>
      <c r="AN1315" s="109"/>
      <c r="AO1315" s="109"/>
      <c r="AP1315" s="109"/>
      <c r="AQ1315" s="109"/>
      <c r="AR1315" s="109"/>
      <c r="AS1315" s="109"/>
      <c r="AT1315" s="109"/>
      <c r="AU1315" s="109"/>
      <c r="AV1315" s="109"/>
      <c r="AW1315" s="109"/>
      <c r="AX1315" s="109"/>
      <c r="AY1315" s="34" t="s">
        <v>429</v>
      </c>
      <c r="AZ1315" s="34"/>
      <c r="BA1315" s="63"/>
      <c r="BB1315" s="64"/>
      <c r="BI1315" s="42"/>
    </row>
    <row r="1316" spans="1:61" s="24" customFormat="1" hidden="1">
      <c r="A1316" s="32"/>
      <c r="B1316" s="158"/>
      <c r="C1316" s="78" t="s">
        <v>45</v>
      </c>
      <c r="D1316" s="35">
        <f t="shared" si="250"/>
        <v>0.17</v>
      </c>
      <c r="E1316" s="76"/>
      <c r="F1316" s="35">
        <f t="shared" si="253"/>
        <v>0.17</v>
      </c>
      <c r="G1316" s="109">
        <v>0.13</v>
      </c>
      <c r="H1316" s="109"/>
      <c r="I1316" s="109"/>
      <c r="J1316" s="109"/>
      <c r="K1316" s="109"/>
      <c r="L1316" s="109"/>
      <c r="M1316" s="109"/>
      <c r="N1316" s="109"/>
      <c r="O1316" s="109"/>
      <c r="P1316" s="109">
        <v>0.04</v>
      </c>
      <c r="Q1316" s="109"/>
      <c r="R1316" s="109"/>
      <c r="S1316" s="109"/>
      <c r="T1316" s="109"/>
      <c r="U1316" s="109"/>
      <c r="V1316" s="109"/>
      <c r="W1316" s="109"/>
      <c r="X1316" s="109"/>
      <c r="Y1316" s="109"/>
      <c r="Z1316" s="109"/>
      <c r="AA1316" s="109"/>
      <c r="AB1316" s="109"/>
      <c r="AC1316" s="109"/>
      <c r="AD1316" s="109"/>
      <c r="AE1316" s="109"/>
      <c r="AF1316" s="109"/>
      <c r="AG1316" s="109"/>
      <c r="AH1316" s="109"/>
      <c r="AI1316" s="109"/>
      <c r="AJ1316" s="109"/>
      <c r="AK1316" s="109"/>
      <c r="AL1316" s="109"/>
      <c r="AM1316" s="109"/>
      <c r="AN1316" s="109"/>
      <c r="AO1316" s="109"/>
      <c r="AP1316" s="109"/>
      <c r="AQ1316" s="109"/>
      <c r="AR1316" s="109"/>
      <c r="AS1316" s="109"/>
      <c r="AT1316" s="109"/>
      <c r="AU1316" s="109"/>
      <c r="AV1316" s="109"/>
      <c r="AW1316" s="109"/>
      <c r="AX1316" s="109"/>
      <c r="AY1316" s="34" t="s">
        <v>429</v>
      </c>
      <c r="AZ1316" s="34"/>
      <c r="BA1316" s="63"/>
      <c r="BB1316" s="64"/>
      <c r="BI1316" s="42"/>
    </row>
    <row r="1317" spans="1:61" s="24" customFormat="1" hidden="1">
      <c r="A1317" s="32"/>
      <c r="B1317" s="158"/>
      <c r="C1317" s="78" t="s">
        <v>138</v>
      </c>
      <c r="D1317" s="35">
        <f t="shared" si="250"/>
        <v>0.37999999999999995</v>
      </c>
      <c r="E1317" s="76"/>
      <c r="F1317" s="35">
        <f t="shared" si="253"/>
        <v>0.37999999999999995</v>
      </c>
      <c r="G1317" s="147">
        <f t="shared" ref="G1317:AW1317" si="255">G1313-G1314-G1315-G1316</f>
        <v>0.29999999999999993</v>
      </c>
      <c r="H1317" s="147">
        <f t="shared" si="255"/>
        <v>0</v>
      </c>
      <c r="I1317" s="147">
        <f t="shared" si="255"/>
        <v>0</v>
      </c>
      <c r="J1317" s="147">
        <f t="shared" si="255"/>
        <v>0.08</v>
      </c>
      <c r="K1317" s="147">
        <f t="shared" si="255"/>
        <v>0</v>
      </c>
      <c r="L1317" s="147">
        <f t="shared" si="255"/>
        <v>0</v>
      </c>
      <c r="M1317" s="147">
        <f t="shared" si="255"/>
        <v>0</v>
      </c>
      <c r="N1317" s="147">
        <f t="shared" si="255"/>
        <v>0</v>
      </c>
      <c r="O1317" s="147">
        <f t="shared" si="255"/>
        <v>0</v>
      </c>
      <c r="P1317" s="147">
        <f t="shared" si="255"/>
        <v>0</v>
      </c>
      <c r="Q1317" s="147">
        <f t="shared" si="255"/>
        <v>0</v>
      </c>
      <c r="R1317" s="147">
        <f t="shared" si="255"/>
        <v>0</v>
      </c>
      <c r="S1317" s="147">
        <f t="shared" si="255"/>
        <v>0</v>
      </c>
      <c r="T1317" s="147">
        <f t="shared" si="255"/>
        <v>0</v>
      </c>
      <c r="U1317" s="147">
        <f t="shared" si="255"/>
        <v>0</v>
      </c>
      <c r="V1317" s="147">
        <f t="shared" si="255"/>
        <v>0</v>
      </c>
      <c r="W1317" s="147">
        <f t="shared" si="255"/>
        <v>0</v>
      </c>
      <c r="X1317" s="147">
        <f t="shared" si="255"/>
        <v>0</v>
      </c>
      <c r="Y1317" s="147">
        <f t="shared" si="255"/>
        <v>0</v>
      </c>
      <c r="Z1317" s="147">
        <f t="shared" si="255"/>
        <v>0</v>
      </c>
      <c r="AA1317" s="147">
        <f t="shared" si="255"/>
        <v>0</v>
      </c>
      <c r="AB1317" s="147">
        <f t="shared" si="255"/>
        <v>0</v>
      </c>
      <c r="AC1317" s="147">
        <f t="shared" si="255"/>
        <v>0</v>
      </c>
      <c r="AD1317" s="147">
        <f t="shared" si="255"/>
        <v>0</v>
      </c>
      <c r="AE1317" s="147">
        <f t="shared" si="255"/>
        <v>0</v>
      </c>
      <c r="AF1317" s="147">
        <f t="shared" si="255"/>
        <v>0</v>
      </c>
      <c r="AG1317" s="147">
        <f t="shared" si="255"/>
        <v>0</v>
      </c>
      <c r="AH1317" s="147">
        <f t="shared" si="255"/>
        <v>0</v>
      </c>
      <c r="AI1317" s="147">
        <f t="shared" si="255"/>
        <v>0</v>
      </c>
      <c r="AJ1317" s="147">
        <f t="shared" si="255"/>
        <v>0</v>
      </c>
      <c r="AK1317" s="147">
        <f t="shared" si="255"/>
        <v>0</v>
      </c>
      <c r="AL1317" s="147">
        <f t="shared" si="255"/>
        <v>0</v>
      </c>
      <c r="AM1317" s="147">
        <f t="shared" si="255"/>
        <v>0</v>
      </c>
      <c r="AN1317" s="147">
        <f t="shared" si="255"/>
        <v>0</v>
      </c>
      <c r="AO1317" s="147">
        <f t="shared" si="255"/>
        <v>0</v>
      </c>
      <c r="AP1317" s="147">
        <f t="shared" si="255"/>
        <v>0</v>
      </c>
      <c r="AQ1317" s="147">
        <f t="shared" si="255"/>
        <v>0</v>
      </c>
      <c r="AR1317" s="147">
        <f t="shared" si="255"/>
        <v>0</v>
      </c>
      <c r="AS1317" s="147">
        <f t="shared" si="255"/>
        <v>0</v>
      </c>
      <c r="AT1317" s="147">
        <f t="shared" si="255"/>
        <v>0</v>
      </c>
      <c r="AU1317" s="147">
        <f t="shared" si="255"/>
        <v>0</v>
      </c>
      <c r="AV1317" s="147">
        <f t="shared" si="255"/>
        <v>0</v>
      </c>
      <c r="AW1317" s="147">
        <f t="shared" si="255"/>
        <v>0</v>
      </c>
      <c r="AX1317" s="147">
        <f>AX1313-AX1314-AX1315-AX1316</f>
        <v>0</v>
      </c>
      <c r="AY1317" s="34" t="s">
        <v>429</v>
      </c>
      <c r="AZ1317" s="34"/>
      <c r="BA1317" s="63"/>
      <c r="BB1317" s="64"/>
      <c r="BI1317" s="42"/>
    </row>
    <row r="1318" spans="1:61" s="24" customFormat="1" ht="31.5">
      <c r="A1318" s="32">
        <f>A1313+1</f>
        <v>796</v>
      </c>
      <c r="B1318" s="158" t="s">
        <v>186</v>
      </c>
      <c r="C1318" s="78" t="s">
        <v>59</v>
      </c>
      <c r="D1318" s="35">
        <f t="shared" si="250"/>
        <v>0.29000000000000004</v>
      </c>
      <c r="E1318" s="35"/>
      <c r="F1318" s="35">
        <f t="shared" si="253"/>
        <v>0.29000000000000004</v>
      </c>
      <c r="G1318" s="109">
        <v>0.23</v>
      </c>
      <c r="H1318" s="109"/>
      <c r="I1318" s="109">
        <v>0.06</v>
      </c>
      <c r="J1318" s="109"/>
      <c r="K1318" s="109"/>
      <c r="L1318" s="109"/>
      <c r="M1318" s="109"/>
      <c r="N1318" s="109"/>
      <c r="O1318" s="109"/>
      <c r="P1318" s="109"/>
      <c r="Q1318" s="109"/>
      <c r="R1318" s="109"/>
      <c r="S1318" s="109"/>
      <c r="T1318" s="109"/>
      <c r="U1318" s="109"/>
      <c r="V1318" s="109"/>
      <c r="W1318" s="109"/>
      <c r="X1318" s="109"/>
      <c r="Y1318" s="109"/>
      <c r="Z1318" s="109"/>
      <c r="AA1318" s="109"/>
      <c r="AB1318" s="109"/>
      <c r="AC1318" s="109"/>
      <c r="AD1318" s="109"/>
      <c r="AE1318" s="109"/>
      <c r="AF1318" s="109"/>
      <c r="AG1318" s="109"/>
      <c r="AH1318" s="109"/>
      <c r="AI1318" s="109"/>
      <c r="AJ1318" s="109"/>
      <c r="AK1318" s="109"/>
      <c r="AL1318" s="109"/>
      <c r="AM1318" s="109"/>
      <c r="AN1318" s="109"/>
      <c r="AO1318" s="109"/>
      <c r="AP1318" s="109"/>
      <c r="AQ1318" s="109"/>
      <c r="AR1318" s="109"/>
      <c r="AS1318" s="109"/>
      <c r="AT1318" s="109"/>
      <c r="AU1318" s="109"/>
      <c r="AV1318" s="109"/>
      <c r="AW1318" s="109"/>
      <c r="AX1318" s="109"/>
      <c r="AY1318" s="34" t="s">
        <v>429</v>
      </c>
      <c r="AZ1318" s="34" t="s">
        <v>1612</v>
      </c>
      <c r="BA1318" s="63" t="s">
        <v>291</v>
      </c>
      <c r="BB1318" s="64"/>
      <c r="BC1318" s="24" t="s">
        <v>1613</v>
      </c>
      <c r="BI1318" s="42">
        <v>1</v>
      </c>
    </row>
    <row r="1319" spans="1:61" s="24" customFormat="1" ht="31.5">
      <c r="A1319" s="32">
        <f>A1318+1</f>
        <v>797</v>
      </c>
      <c r="B1319" s="158" t="s">
        <v>186</v>
      </c>
      <c r="C1319" s="78" t="s">
        <v>1260</v>
      </c>
      <c r="D1319" s="35">
        <f t="shared" si="250"/>
        <v>0.72</v>
      </c>
      <c r="E1319" s="35"/>
      <c r="F1319" s="35">
        <f t="shared" si="253"/>
        <v>0.72</v>
      </c>
      <c r="G1319" s="109">
        <v>0.72</v>
      </c>
      <c r="H1319" s="109"/>
      <c r="I1319" s="109"/>
      <c r="J1319" s="109"/>
      <c r="K1319" s="109"/>
      <c r="L1319" s="109"/>
      <c r="M1319" s="109"/>
      <c r="N1319" s="109"/>
      <c r="O1319" s="109"/>
      <c r="P1319" s="109"/>
      <c r="Q1319" s="109"/>
      <c r="R1319" s="109"/>
      <c r="S1319" s="109"/>
      <c r="T1319" s="109"/>
      <c r="U1319" s="109"/>
      <c r="V1319" s="109"/>
      <c r="W1319" s="109"/>
      <c r="X1319" s="109"/>
      <c r="Y1319" s="109"/>
      <c r="Z1319" s="109"/>
      <c r="AA1319" s="109"/>
      <c r="AB1319" s="109"/>
      <c r="AC1319" s="109"/>
      <c r="AD1319" s="109"/>
      <c r="AE1319" s="109"/>
      <c r="AF1319" s="109"/>
      <c r="AG1319" s="109"/>
      <c r="AH1319" s="109"/>
      <c r="AI1319" s="109"/>
      <c r="AJ1319" s="109"/>
      <c r="AK1319" s="109"/>
      <c r="AL1319" s="109"/>
      <c r="AM1319" s="109"/>
      <c r="AN1319" s="109"/>
      <c r="AO1319" s="109"/>
      <c r="AP1319" s="109"/>
      <c r="AQ1319" s="109"/>
      <c r="AR1319" s="109"/>
      <c r="AS1319" s="109"/>
      <c r="AT1319" s="109"/>
      <c r="AU1319" s="109"/>
      <c r="AV1319" s="109"/>
      <c r="AW1319" s="109"/>
      <c r="AX1319" s="109"/>
      <c r="AY1319" s="34" t="s">
        <v>429</v>
      </c>
      <c r="AZ1319" s="34" t="s">
        <v>1614</v>
      </c>
      <c r="BA1319" s="63" t="s">
        <v>291</v>
      </c>
      <c r="BB1319" s="64"/>
      <c r="BI1319" s="42">
        <v>1</v>
      </c>
    </row>
    <row r="1320" spans="1:61" s="24" customFormat="1" hidden="1">
      <c r="A1320" s="32"/>
      <c r="B1320" s="158"/>
      <c r="C1320" s="78" t="s">
        <v>59</v>
      </c>
      <c r="D1320" s="35">
        <f t="shared" si="250"/>
        <v>0.25</v>
      </c>
      <c r="E1320" s="76"/>
      <c r="F1320" s="35">
        <f t="shared" si="253"/>
        <v>0.25</v>
      </c>
      <c r="G1320" s="109">
        <v>0.25</v>
      </c>
      <c r="H1320" s="109"/>
      <c r="I1320" s="109"/>
      <c r="J1320" s="109"/>
      <c r="K1320" s="109"/>
      <c r="L1320" s="109"/>
      <c r="M1320" s="109"/>
      <c r="N1320" s="109"/>
      <c r="O1320" s="109"/>
      <c r="P1320" s="109"/>
      <c r="Q1320" s="109"/>
      <c r="R1320" s="109"/>
      <c r="S1320" s="109"/>
      <c r="T1320" s="109"/>
      <c r="U1320" s="109"/>
      <c r="V1320" s="109"/>
      <c r="W1320" s="109"/>
      <c r="X1320" s="109"/>
      <c r="Y1320" s="109"/>
      <c r="Z1320" s="109"/>
      <c r="AA1320" s="109"/>
      <c r="AB1320" s="109"/>
      <c r="AC1320" s="109"/>
      <c r="AD1320" s="109"/>
      <c r="AE1320" s="109"/>
      <c r="AF1320" s="109"/>
      <c r="AG1320" s="109"/>
      <c r="AH1320" s="109"/>
      <c r="AI1320" s="109"/>
      <c r="AJ1320" s="109"/>
      <c r="AK1320" s="109"/>
      <c r="AL1320" s="109"/>
      <c r="AM1320" s="109"/>
      <c r="AN1320" s="109"/>
      <c r="AO1320" s="109"/>
      <c r="AP1320" s="109"/>
      <c r="AQ1320" s="109"/>
      <c r="AR1320" s="109"/>
      <c r="AS1320" s="109"/>
      <c r="AT1320" s="109"/>
      <c r="AU1320" s="109"/>
      <c r="AV1320" s="109"/>
      <c r="AW1320" s="109"/>
      <c r="AX1320" s="109"/>
      <c r="AY1320" s="34" t="s">
        <v>429</v>
      </c>
      <c r="AZ1320" s="34"/>
      <c r="BA1320" s="63"/>
      <c r="BB1320" s="64"/>
      <c r="BI1320" s="42"/>
    </row>
    <row r="1321" spans="1:61" s="24" customFormat="1" hidden="1">
      <c r="A1321" s="32"/>
      <c r="B1321" s="158"/>
      <c r="C1321" s="78" t="s">
        <v>44</v>
      </c>
      <c r="D1321" s="35">
        <f t="shared" si="250"/>
        <v>0.28000000000000003</v>
      </c>
      <c r="E1321" s="76"/>
      <c r="F1321" s="35">
        <f t="shared" si="253"/>
        <v>0.28000000000000003</v>
      </c>
      <c r="G1321" s="109">
        <v>0.28000000000000003</v>
      </c>
      <c r="H1321" s="109"/>
      <c r="I1321" s="109"/>
      <c r="J1321" s="109"/>
      <c r="K1321" s="109"/>
      <c r="L1321" s="109"/>
      <c r="M1321" s="109"/>
      <c r="N1321" s="109"/>
      <c r="O1321" s="109"/>
      <c r="P1321" s="109"/>
      <c r="Q1321" s="109"/>
      <c r="R1321" s="109"/>
      <c r="S1321" s="109"/>
      <c r="T1321" s="109"/>
      <c r="U1321" s="109"/>
      <c r="V1321" s="109"/>
      <c r="W1321" s="109"/>
      <c r="X1321" s="109"/>
      <c r="Y1321" s="109"/>
      <c r="Z1321" s="109"/>
      <c r="AA1321" s="109"/>
      <c r="AB1321" s="109"/>
      <c r="AC1321" s="109"/>
      <c r="AD1321" s="109"/>
      <c r="AE1321" s="109"/>
      <c r="AF1321" s="109"/>
      <c r="AG1321" s="109"/>
      <c r="AH1321" s="109"/>
      <c r="AI1321" s="109"/>
      <c r="AJ1321" s="109"/>
      <c r="AK1321" s="109"/>
      <c r="AL1321" s="109"/>
      <c r="AM1321" s="109"/>
      <c r="AN1321" s="109"/>
      <c r="AO1321" s="109"/>
      <c r="AP1321" s="109"/>
      <c r="AQ1321" s="109"/>
      <c r="AR1321" s="109"/>
      <c r="AS1321" s="109"/>
      <c r="AT1321" s="109"/>
      <c r="AU1321" s="109"/>
      <c r="AV1321" s="109"/>
      <c r="AW1321" s="109"/>
      <c r="AX1321" s="109"/>
      <c r="AY1321" s="34" t="s">
        <v>429</v>
      </c>
      <c r="AZ1321" s="34"/>
      <c r="BA1321" s="63"/>
      <c r="BB1321" s="64"/>
      <c r="BI1321" s="42"/>
    </row>
    <row r="1322" spans="1:61" s="24" customFormat="1" hidden="1">
      <c r="A1322" s="32"/>
      <c r="B1322" s="158"/>
      <c r="C1322" s="78" t="s">
        <v>138</v>
      </c>
      <c r="D1322" s="35">
        <f t="shared" si="250"/>
        <v>0.18999999999999995</v>
      </c>
      <c r="E1322" s="76"/>
      <c r="F1322" s="35">
        <f t="shared" si="253"/>
        <v>0.18999999999999995</v>
      </c>
      <c r="G1322" s="147">
        <f>G1319-G1320-G1321</f>
        <v>0.18999999999999995</v>
      </c>
      <c r="H1322" s="147">
        <f t="shared" ref="H1322:AX1322" si="256">H1319-H1320-H1321</f>
        <v>0</v>
      </c>
      <c r="I1322" s="147">
        <f t="shared" si="256"/>
        <v>0</v>
      </c>
      <c r="J1322" s="147">
        <f t="shared" si="256"/>
        <v>0</v>
      </c>
      <c r="K1322" s="147">
        <f t="shared" si="256"/>
        <v>0</v>
      </c>
      <c r="L1322" s="147">
        <f t="shared" si="256"/>
        <v>0</v>
      </c>
      <c r="M1322" s="147">
        <f t="shared" si="256"/>
        <v>0</v>
      </c>
      <c r="N1322" s="147">
        <f t="shared" si="256"/>
        <v>0</v>
      </c>
      <c r="O1322" s="147">
        <f t="shared" si="256"/>
        <v>0</v>
      </c>
      <c r="P1322" s="147">
        <f t="shared" si="256"/>
        <v>0</v>
      </c>
      <c r="Q1322" s="147">
        <f t="shared" si="256"/>
        <v>0</v>
      </c>
      <c r="R1322" s="147">
        <f t="shared" si="256"/>
        <v>0</v>
      </c>
      <c r="S1322" s="147">
        <f t="shared" si="256"/>
        <v>0</v>
      </c>
      <c r="T1322" s="147">
        <f t="shared" si="256"/>
        <v>0</v>
      </c>
      <c r="U1322" s="147">
        <f t="shared" si="256"/>
        <v>0</v>
      </c>
      <c r="V1322" s="147">
        <f t="shared" si="256"/>
        <v>0</v>
      </c>
      <c r="W1322" s="147">
        <f t="shared" si="256"/>
        <v>0</v>
      </c>
      <c r="X1322" s="147">
        <f t="shared" si="256"/>
        <v>0</v>
      </c>
      <c r="Y1322" s="147">
        <f t="shared" si="256"/>
        <v>0</v>
      </c>
      <c r="Z1322" s="147">
        <f t="shared" si="256"/>
        <v>0</v>
      </c>
      <c r="AA1322" s="147">
        <f t="shared" si="256"/>
        <v>0</v>
      </c>
      <c r="AB1322" s="147">
        <f t="shared" si="256"/>
        <v>0</v>
      </c>
      <c r="AC1322" s="147">
        <f t="shared" si="256"/>
        <v>0</v>
      </c>
      <c r="AD1322" s="147">
        <f t="shared" si="256"/>
        <v>0</v>
      </c>
      <c r="AE1322" s="147">
        <f t="shared" si="256"/>
        <v>0</v>
      </c>
      <c r="AF1322" s="147">
        <f t="shared" si="256"/>
        <v>0</v>
      </c>
      <c r="AG1322" s="147">
        <f t="shared" si="256"/>
        <v>0</v>
      </c>
      <c r="AH1322" s="147">
        <f t="shared" si="256"/>
        <v>0</v>
      </c>
      <c r="AI1322" s="147">
        <f t="shared" si="256"/>
        <v>0</v>
      </c>
      <c r="AJ1322" s="147">
        <f t="shared" si="256"/>
        <v>0</v>
      </c>
      <c r="AK1322" s="147">
        <f t="shared" si="256"/>
        <v>0</v>
      </c>
      <c r="AL1322" s="147">
        <f t="shared" si="256"/>
        <v>0</v>
      </c>
      <c r="AM1322" s="147">
        <f t="shared" si="256"/>
        <v>0</v>
      </c>
      <c r="AN1322" s="147">
        <f t="shared" si="256"/>
        <v>0</v>
      </c>
      <c r="AO1322" s="147">
        <f t="shared" si="256"/>
        <v>0</v>
      </c>
      <c r="AP1322" s="147">
        <f t="shared" si="256"/>
        <v>0</v>
      </c>
      <c r="AQ1322" s="147">
        <f t="shared" si="256"/>
        <v>0</v>
      </c>
      <c r="AR1322" s="147">
        <f t="shared" si="256"/>
        <v>0</v>
      </c>
      <c r="AS1322" s="147">
        <f t="shared" si="256"/>
        <v>0</v>
      </c>
      <c r="AT1322" s="147">
        <f t="shared" si="256"/>
        <v>0</v>
      </c>
      <c r="AU1322" s="147">
        <f t="shared" si="256"/>
        <v>0</v>
      </c>
      <c r="AV1322" s="147">
        <f t="shared" si="256"/>
        <v>0</v>
      </c>
      <c r="AW1322" s="147">
        <f t="shared" si="256"/>
        <v>0</v>
      </c>
      <c r="AX1322" s="147">
        <f t="shared" si="256"/>
        <v>0</v>
      </c>
      <c r="AY1322" s="34" t="s">
        <v>429</v>
      </c>
      <c r="AZ1322" s="34"/>
      <c r="BA1322" s="63"/>
      <c r="BB1322" s="64"/>
      <c r="BI1322" s="42"/>
    </row>
    <row r="1323" spans="1:61" s="24" customFormat="1" ht="31.5">
      <c r="A1323" s="32">
        <f>A1319+1</f>
        <v>798</v>
      </c>
      <c r="B1323" s="158" t="s">
        <v>186</v>
      </c>
      <c r="C1323" s="78" t="s">
        <v>1260</v>
      </c>
      <c r="D1323" s="35">
        <f t="shared" si="250"/>
        <v>0.5</v>
      </c>
      <c r="E1323" s="35"/>
      <c r="F1323" s="35">
        <f t="shared" si="253"/>
        <v>0.5</v>
      </c>
      <c r="G1323" s="109">
        <v>0.5</v>
      </c>
      <c r="H1323" s="109"/>
      <c r="I1323" s="109"/>
      <c r="J1323" s="109"/>
      <c r="K1323" s="109"/>
      <c r="L1323" s="109"/>
      <c r="M1323" s="109"/>
      <c r="N1323" s="109"/>
      <c r="O1323" s="109"/>
      <c r="P1323" s="109"/>
      <c r="Q1323" s="109"/>
      <c r="R1323" s="109"/>
      <c r="S1323" s="109"/>
      <c r="T1323" s="109"/>
      <c r="U1323" s="109"/>
      <c r="V1323" s="109"/>
      <c r="W1323" s="109"/>
      <c r="X1323" s="109"/>
      <c r="Y1323" s="109"/>
      <c r="Z1323" s="109"/>
      <c r="AA1323" s="109"/>
      <c r="AB1323" s="109"/>
      <c r="AC1323" s="109"/>
      <c r="AD1323" s="109"/>
      <c r="AE1323" s="109"/>
      <c r="AF1323" s="109"/>
      <c r="AG1323" s="109"/>
      <c r="AH1323" s="109"/>
      <c r="AI1323" s="109"/>
      <c r="AJ1323" s="109"/>
      <c r="AK1323" s="109"/>
      <c r="AL1323" s="109"/>
      <c r="AM1323" s="109"/>
      <c r="AN1323" s="109"/>
      <c r="AO1323" s="109"/>
      <c r="AP1323" s="109"/>
      <c r="AQ1323" s="109"/>
      <c r="AR1323" s="109"/>
      <c r="AS1323" s="109"/>
      <c r="AT1323" s="109"/>
      <c r="AU1323" s="109"/>
      <c r="AV1323" s="109"/>
      <c r="AW1323" s="109"/>
      <c r="AX1323" s="109"/>
      <c r="AY1323" s="34" t="s">
        <v>429</v>
      </c>
      <c r="AZ1323" s="34" t="s">
        <v>1615</v>
      </c>
      <c r="BA1323" s="47" t="s">
        <v>298</v>
      </c>
      <c r="BB1323" s="48"/>
      <c r="BI1323" s="42">
        <v>1</v>
      </c>
    </row>
    <row r="1324" spans="1:61" s="24" customFormat="1" hidden="1">
      <c r="A1324" s="32"/>
      <c r="B1324" s="158"/>
      <c r="C1324" s="78" t="s">
        <v>59</v>
      </c>
      <c r="D1324" s="35">
        <f>F1324+E1324</f>
        <v>0.2</v>
      </c>
      <c r="E1324" s="76"/>
      <c r="F1324" s="35">
        <f t="shared" si="253"/>
        <v>0.2</v>
      </c>
      <c r="G1324" s="109">
        <v>0.2</v>
      </c>
      <c r="H1324" s="109"/>
      <c r="I1324" s="109"/>
      <c r="J1324" s="109"/>
      <c r="K1324" s="109"/>
      <c r="L1324" s="109"/>
      <c r="M1324" s="109"/>
      <c r="N1324" s="109"/>
      <c r="O1324" s="109"/>
      <c r="P1324" s="109"/>
      <c r="Q1324" s="109"/>
      <c r="R1324" s="109"/>
      <c r="S1324" s="109"/>
      <c r="T1324" s="109"/>
      <c r="U1324" s="109"/>
      <c r="V1324" s="109"/>
      <c r="W1324" s="109"/>
      <c r="X1324" s="109"/>
      <c r="Y1324" s="109"/>
      <c r="Z1324" s="109"/>
      <c r="AA1324" s="109"/>
      <c r="AB1324" s="109"/>
      <c r="AC1324" s="109"/>
      <c r="AD1324" s="109"/>
      <c r="AE1324" s="109"/>
      <c r="AF1324" s="109"/>
      <c r="AG1324" s="109"/>
      <c r="AH1324" s="109"/>
      <c r="AI1324" s="109"/>
      <c r="AJ1324" s="109"/>
      <c r="AK1324" s="109"/>
      <c r="AL1324" s="109"/>
      <c r="AM1324" s="109"/>
      <c r="AN1324" s="109"/>
      <c r="AO1324" s="109"/>
      <c r="AP1324" s="109"/>
      <c r="AQ1324" s="109"/>
      <c r="AR1324" s="109"/>
      <c r="AS1324" s="109"/>
      <c r="AT1324" s="109"/>
      <c r="AU1324" s="109"/>
      <c r="AV1324" s="109"/>
      <c r="AW1324" s="109"/>
      <c r="AX1324" s="109"/>
      <c r="AY1324" s="34" t="s">
        <v>429</v>
      </c>
      <c r="AZ1324" s="34"/>
      <c r="BA1324" s="47"/>
      <c r="BB1324" s="48"/>
      <c r="BI1324" s="42"/>
    </row>
    <row r="1325" spans="1:61" s="24" customFormat="1" hidden="1">
      <c r="A1325" s="32"/>
      <c r="B1325" s="158"/>
      <c r="C1325" s="78" t="s">
        <v>44</v>
      </c>
      <c r="D1325" s="35">
        <f>F1325+E1325</f>
        <v>0.2</v>
      </c>
      <c r="E1325" s="76"/>
      <c r="F1325" s="35">
        <f t="shared" si="253"/>
        <v>0.2</v>
      </c>
      <c r="G1325" s="109">
        <v>0.2</v>
      </c>
      <c r="H1325" s="109"/>
      <c r="I1325" s="109"/>
      <c r="J1325" s="109"/>
      <c r="K1325" s="109"/>
      <c r="L1325" s="109"/>
      <c r="M1325" s="109"/>
      <c r="N1325" s="109"/>
      <c r="O1325" s="109"/>
      <c r="P1325" s="109"/>
      <c r="Q1325" s="109"/>
      <c r="R1325" s="109"/>
      <c r="S1325" s="109"/>
      <c r="T1325" s="109"/>
      <c r="U1325" s="109"/>
      <c r="V1325" s="109"/>
      <c r="W1325" s="109"/>
      <c r="X1325" s="109"/>
      <c r="Y1325" s="109"/>
      <c r="Z1325" s="109"/>
      <c r="AA1325" s="109"/>
      <c r="AB1325" s="109"/>
      <c r="AC1325" s="109"/>
      <c r="AD1325" s="109"/>
      <c r="AE1325" s="109"/>
      <c r="AF1325" s="109"/>
      <c r="AG1325" s="109"/>
      <c r="AH1325" s="109"/>
      <c r="AI1325" s="109"/>
      <c r="AJ1325" s="109"/>
      <c r="AK1325" s="109"/>
      <c r="AL1325" s="109"/>
      <c r="AM1325" s="109"/>
      <c r="AN1325" s="109"/>
      <c r="AO1325" s="109"/>
      <c r="AP1325" s="109"/>
      <c r="AQ1325" s="109"/>
      <c r="AR1325" s="109"/>
      <c r="AS1325" s="109"/>
      <c r="AT1325" s="109"/>
      <c r="AU1325" s="109"/>
      <c r="AV1325" s="109"/>
      <c r="AW1325" s="109"/>
      <c r="AX1325" s="109"/>
      <c r="AY1325" s="34" t="s">
        <v>429</v>
      </c>
      <c r="AZ1325" s="34"/>
      <c r="BA1325" s="47"/>
      <c r="BB1325" s="48"/>
      <c r="BI1325" s="42"/>
    </row>
    <row r="1326" spans="1:61" s="24" customFormat="1" hidden="1">
      <c r="A1326" s="32"/>
      <c r="B1326" s="158"/>
      <c r="C1326" s="78" t="s">
        <v>138</v>
      </c>
      <c r="D1326" s="35">
        <f>F1326+E1326</f>
        <v>9.9999999999999978E-2</v>
      </c>
      <c r="E1326" s="76"/>
      <c r="F1326" s="35">
        <f t="shared" si="253"/>
        <v>9.9999999999999978E-2</v>
      </c>
      <c r="G1326" s="147">
        <f t="shared" ref="G1326:AW1326" si="257">G1323-G1324-G1325</f>
        <v>9.9999999999999978E-2</v>
      </c>
      <c r="H1326" s="147">
        <f t="shared" si="257"/>
        <v>0</v>
      </c>
      <c r="I1326" s="147">
        <f t="shared" si="257"/>
        <v>0</v>
      </c>
      <c r="J1326" s="147">
        <f t="shared" si="257"/>
        <v>0</v>
      </c>
      <c r="K1326" s="147">
        <f t="shared" si="257"/>
        <v>0</v>
      </c>
      <c r="L1326" s="147">
        <f t="shared" si="257"/>
        <v>0</v>
      </c>
      <c r="M1326" s="147">
        <f t="shared" si="257"/>
        <v>0</v>
      </c>
      <c r="N1326" s="147">
        <f t="shared" si="257"/>
        <v>0</v>
      </c>
      <c r="O1326" s="147">
        <f t="shared" si="257"/>
        <v>0</v>
      </c>
      <c r="P1326" s="147">
        <f t="shared" si="257"/>
        <v>0</v>
      </c>
      <c r="Q1326" s="147">
        <f t="shared" si="257"/>
        <v>0</v>
      </c>
      <c r="R1326" s="147">
        <f t="shared" si="257"/>
        <v>0</v>
      </c>
      <c r="S1326" s="147">
        <f t="shared" si="257"/>
        <v>0</v>
      </c>
      <c r="T1326" s="147">
        <f t="shared" si="257"/>
        <v>0</v>
      </c>
      <c r="U1326" s="147">
        <f t="shared" si="257"/>
        <v>0</v>
      </c>
      <c r="V1326" s="147">
        <f t="shared" si="257"/>
        <v>0</v>
      </c>
      <c r="W1326" s="147">
        <f t="shared" si="257"/>
        <v>0</v>
      </c>
      <c r="X1326" s="147">
        <f t="shared" si="257"/>
        <v>0</v>
      </c>
      <c r="Y1326" s="147">
        <f t="shared" si="257"/>
        <v>0</v>
      </c>
      <c r="Z1326" s="147">
        <f t="shared" si="257"/>
        <v>0</v>
      </c>
      <c r="AA1326" s="147">
        <f t="shared" si="257"/>
        <v>0</v>
      </c>
      <c r="AB1326" s="147">
        <f t="shared" si="257"/>
        <v>0</v>
      </c>
      <c r="AC1326" s="147">
        <f t="shared" si="257"/>
        <v>0</v>
      </c>
      <c r="AD1326" s="147">
        <f t="shared" si="257"/>
        <v>0</v>
      </c>
      <c r="AE1326" s="147">
        <f t="shared" si="257"/>
        <v>0</v>
      </c>
      <c r="AF1326" s="147">
        <f t="shared" si="257"/>
        <v>0</v>
      </c>
      <c r="AG1326" s="147">
        <f t="shared" si="257"/>
        <v>0</v>
      </c>
      <c r="AH1326" s="147">
        <f t="shared" si="257"/>
        <v>0</v>
      </c>
      <c r="AI1326" s="147">
        <f t="shared" si="257"/>
        <v>0</v>
      </c>
      <c r="AJ1326" s="147">
        <f t="shared" si="257"/>
        <v>0</v>
      </c>
      <c r="AK1326" s="147">
        <f t="shared" si="257"/>
        <v>0</v>
      </c>
      <c r="AL1326" s="147">
        <f t="shared" si="257"/>
        <v>0</v>
      </c>
      <c r="AM1326" s="147">
        <f t="shared" si="257"/>
        <v>0</v>
      </c>
      <c r="AN1326" s="147">
        <f t="shared" si="257"/>
        <v>0</v>
      </c>
      <c r="AO1326" s="147">
        <f t="shared" si="257"/>
        <v>0</v>
      </c>
      <c r="AP1326" s="147">
        <f t="shared" si="257"/>
        <v>0</v>
      </c>
      <c r="AQ1326" s="147">
        <f t="shared" si="257"/>
        <v>0</v>
      </c>
      <c r="AR1326" s="147">
        <f t="shared" si="257"/>
        <v>0</v>
      </c>
      <c r="AS1326" s="147">
        <f t="shared" si="257"/>
        <v>0</v>
      </c>
      <c r="AT1326" s="147">
        <f t="shared" si="257"/>
        <v>0</v>
      </c>
      <c r="AU1326" s="147">
        <f t="shared" si="257"/>
        <v>0</v>
      </c>
      <c r="AV1326" s="147">
        <f t="shared" si="257"/>
        <v>0</v>
      </c>
      <c r="AW1326" s="147">
        <f t="shared" si="257"/>
        <v>0</v>
      </c>
      <c r="AX1326" s="147">
        <f>AX1323-AX1324-AX1325</f>
        <v>0</v>
      </c>
      <c r="AY1326" s="34" t="s">
        <v>429</v>
      </c>
      <c r="AZ1326" s="34"/>
      <c r="BA1326" s="47"/>
      <c r="BB1326" s="48"/>
      <c r="BI1326" s="42"/>
    </row>
    <row r="1327" spans="1:61" s="24" customFormat="1" ht="21.6" customHeight="1">
      <c r="A1327" s="32">
        <f>A1323+1</f>
        <v>799</v>
      </c>
      <c r="B1327" s="60" t="s">
        <v>1299</v>
      </c>
      <c r="C1327" s="78" t="s">
        <v>59</v>
      </c>
      <c r="D1327" s="35">
        <f t="shared" si="250"/>
        <v>1.1000000000000001</v>
      </c>
      <c r="E1327" s="108"/>
      <c r="F1327" s="35">
        <f t="shared" si="253"/>
        <v>1.1000000000000001</v>
      </c>
      <c r="G1327" s="109"/>
      <c r="H1327" s="109"/>
      <c r="I1327" s="109"/>
      <c r="J1327" s="109">
        <v>1.1000000000000001</v>
      </c>
      <c r="K1327" s="109"/>
      <c r="L1327" s="109"/>
      <c r="M1327" s="109"/>
      <c r="N1327" s="109"/>
      <c r="O1327" s="109"/>
      <c r="P1327" s="109"/>
      <c r="Q1327" s="109"/>
      <c r="R1327" s="109"/>
      <c r="S1327" s="109"/>
      <c r="T1327" s="109"/>
      <c r="U1327" s="109"/>
      <c r="V1327" s="109"/>
      <c r="W1327" s="109"/>
      <c r="X1327" s="109"/>
      <c r="Y1327" s="109"/>
      <c r="Z1327" s="109"/>
      <c r="AA1327" s="109"/>
      <c r="AB1327" s="109"/>
      <c r="AC1327" s="109"/>
      <c r="AD1327" s="109"/>
      <c r="AE1327" s="109"/>
      <c r="AF1327" s="109"/>
      <c r="AG1327" s="109"/>
      <c r="AH1327" s="109"/>
      <c r="AI1327" s="109"/>
      <c r="AJ1327" s="109"/>
      <c r="AK1327" s="109"/>
      <c r="AL1327" s="109"/>
      <c r="AM1327" s="109"/>
      <c r="AN1327" s="109"/>
      <c r="AO1327" s="109"/>
      <c r="AP1327" s="109"/>
      <c r="AQ1327" s="109"/>
      <c r="AR1327" s="109"/>
      <c r="AS1327" s="109"/>
      <c r="AT1327" s="109"/>
      <c r="AU1327" s="109"/>
      <c r="AV1327" s="109"/>
      <c r="AW1327" s="109"/>
      <c r="AX1327" s="109"/>
      <c r="AY1327" s="34" t="s">
        <v>429</v>
      </c>
      <c r="AZ1327" s="34" t="s">
        <v>615</v>
      </c>
      <c r="BA1327" s="63" t="s">
        <v>291</v>
      </c>
      <c r="BB1327" s="64"/>
      <c r="BC1327" s="24" t="s">
        <v>1616</v>
      </c>
      <c r="BI1327" s="42">
        <v>1</v>
      </c>
    </row>
    <row r="1328" spans="1:61" s="24" customFormat="1" ht="21.6" customHeight="1">
      <c r="A1328" s="32" t="s">
        <v>1617</v>
      </c>
      <c r="B1328" s="158" t="s">
        <v>186</v>
      </c>
      <c r="C1328" s="78" t="s">
        <v>1260</v>
      </c>
      <c r="D1328" s="35">
        <f>E1328+F1328</f>
        <v>7.9599999999999991</v>
      </c>
      <c r="E1328" s="89">
        <f>E1329+E1334+E1335+E1336+E1337+E1338+E1339+E1343+E1344+E1348+E1352+E1356+E1357</f>
        <v>0</v>
      </c>
      <c r="F1328" s="141">
        <f>F1329+F1334+F1335+F1336+F1337+F1338+F1339+F1343+F1344+F1348+F1352+F1356+F1357</f>
        <v>7.9599999999999991</v>
      </c>
      <c r="G1328" s="141">
        <f t="shared" ref="G1328:AX1328" si="258">G1329+G1334+G1335+G1336+G1337+G1338+G1339+G1343+G1344+G1348+G1352+G1356+G1357</f>
        <v>4.53</v>
      </c>
      <c r="H1328" s="141">
        <f t="shared" si="258"/>
        <v>0</v>
      </c>
      <c r="I1328" s="141">
        <f t="shared" si="258"/>
        <v>0.53</v>
      </c>
      <c r="J1328" s="141">
        <f t="shared" si="258"/>
        <v>2.2400000000000002</v>
      </c>
      <c r="K1328" s="141">
        <f t="shared" si="258"/>
        <v>0</v>
      </c>
      <c r="L1328" s="141">
        <f t="shared" si="258"/>
        <v>0</v>
      </c>
      <c r="M1328" s="141">
        <f t="shared" si="258"/>
        <v>0.63</v>
      </c>
      <c r="N1328" s="141">
        <f t="shared" si="258"/>
        <v>0</v>
      </c>
      <c r="O1328" s="141">
        <f t="shared" si="258"/>
        <v>0</v>
      </c>
      <c r="P1328" s="141">
        <f t="shared" si="258"/>
        <v>0.03</v>
      </c>
      <c r="Q1328" s="141">
        <f t="shared" si="258"/>
        <v>0</v>
      </c>
      <c r="R1328" s="141">
        <f t="shared" si="258"/>
        <v>0</v>
      </c>
      <c r="S1328" s="141">
        <f t="shared" si="258"/>
        <v>0</v>
      </c>
      <c r="T1328" s="141">
        <f t="shared" si="258"/>
        <v>0</v>
      </c>
      <c r="U1328" s="141">
        <f t="shared" si="258"/>
        <v>0</v>
      </c>
      <c r="V1328" s="141">
        <f t="shared" si="258"/>
        <v>0</v>
      </c>
      <c r="W1328" s="141">
        <f t="shared" si="258"/>
        <v>0</v>
      </c>
      <c r="X1328" s="141">
        <f t="shared" si="258"/>
        <v>0</v>
      </c>
      <c r="Y1328" s="141">
        <f t="shared" si="258"/>
        <v>0</v>
      </c>
      <c r="Z1328" s="141">
        <f t="shared" si="258"/>
        <v>0</v>
      </c>
      <c r="AA1328" s="141">
        <f t="shared" si="258"/>
        <v>0</v>
      </c>
      <c r="AB1328" s="141">
        <f t="shared" si="258"/>
        <v>0</v>
      </c>
      <c r="AC1328" s="141">
        <f t="shared" si="258"/>
        <v>0</v>
      </c>
      <c r="AD1328" s="141">
        <f t="shared" si="258"/>
        <v>0</v>
      </c>
      <c r="AE1328" s="141">
        <f t="shared" si="258"/>
        <v>0</v>
      </c>
      <c r="AF1328" s="141">
        <f t="shared" si="258"/>
        <v>0</v>
      </c>
      <c r="AG1328" s="141">
        <f t="shared" si="258"/>
        <v>0</v>
      </c>
      <c r="AH1328" s="141">
        <f t="shared" si="258"/>
        <v>0</v>
      </c>
      <c r="AI1328" s="141">
        <f t="shared" si="258"/>
        <v>0</v>
      </c>
      <c r="AJ1328" s="141">
        <f t="shared" si="258"/>
        <v>0</v>
      </c>
      <c r="AK1328" s="141">
        <f t="shared" si="258"/>
        <v>0</v>
      </c>
      <c r="AL1328" s="141">
        <f t="shared" si="258"/>
        <v>0</v>
      </c>
      <c r="AM1328" s="141">
        <f t="shared" si="258"/>
        <v>0</v>
      </c>
      <c r="AN1328" s="141">
        <f t="shared" si="258"/>
        <v>0</v>
      </c>
      <c r="AO1328" s="141">
        <f t="shared" si="258"/>
        <v>0</v>
      </c>
      <c r="AP1328" s="141">
        <f t="shared" si="258"/>
        <v>0</v>
      </c>
      <c r="AQ1328" s="141">
        <f t="shared" si="258"/>
        <v>0</v>
      </c>
      <c r="AR1328" s="141">
        <f t="shared" si="258"/>
        <v>0</v>
      </c>
      <c r="AS1328" s="141">
        <f t="shared" si="258"/>
        <v>0</v>
      </c>
      <c r="AT1328" s="141">
        <f t="shared" si="258"/>
        <v>0</v>
      </c>
      <c r="AU1328" s="141">
        <f t="shared" si="258"/>
        <v>0</v>
      </c>
      <c r="AV1328" s="141">
        <f t="shared" si="258"/>
        <v>0</v>
      </c>
      <c r="AW1328" s="141">
        <f t="shared" si="258"/>
        <v>0</v>
      </c>
      <c r="AX1328" s="141">
        <f t="shared" si="258"/>
        <v>0</v>
      </c>
      <c r="AY1328" s="34" t="s">
        <v>237</v>
      </c>
      <c r="AZ1328" s="34"/>
      <c r="BA1328" s="63"/>
      <c r="BB1328" s="64"/>
      <c r="BI1328" s="42"/>
    </row>
    <row r="1329" spans="1:61" s="24" customFormat="1" ht="31.5">
      <c r="A1329" s="32">
        <f>A1327+1</f>
        <v>800</v>
      </c>
      <c r="B1329" s="158" t="s">
        <v>186</v>
      </c>
      <c r="C1329" s="78" t="s">
        <v>1260</v>
      </c>
      <c r="D1329" s="35">
        <f t="shared" si="250"/>
        <v>2</v>
      </c>
      <c r="E1329" s="35"/>
      <c r="F1329" s="35">
        <f t="shared" si="253"/>
        <v>2</v>
      </c>
      <c r="G1329" s="109">
        <v>1.33</v>
      </c>
      <c r="H1329" s="109"/>
      <c r="I1329" s="109">
        <v>0.38</v>
      </c>
      <c r="J1329" s="109">
        <v>0.28999999999999998</v>
      </c>
      <c r="K1329" s="109"/>
      <c r="L1329" s="109"/>
      <c r="M1329" s="109"/>
      <c r="N1329" s="109"/>
      <c r="O1329" s="109"/>
      <c r="P1329" s="109"/>
      <c r="Q1329" s="109"/>
      <c r="R1329" s="109"/>
      <c r="S1329" s="109"/>
      <c r="T1329" s="109"/>
      <c r="U1329" s="109"/>
      <c r="V1329" s="109"/>
      <c r="W1329" s="109"/>
      <c r="X1329" s="109"/>
      <c r="Y1329" s="109"/>
      <c r="Z1329" s="109"/>
      <c r="AA1329" s="109"/>
      <c r="AB1329" s="109"/>
      <c r="AC1329" s="109"/>
      <c r="AD1329" s="109"/>
      <c r="AE1329" s="109"/>
      <c r="AF1329" s="109"/>
      <c r="AG1329" s="109"/>
      <c r="AH1329" s="109"/>
      <c r="AI1329" s="109"/>
      <c r="AJ1329" s="109"/>
      <c r="AK1329" s="109"/>
      <c r="AL1329" s="109"/>
      <c r="AM1329" s="109"/>
      <c r="AN1329" s="109"/>
      <c r="AO1329" s="109"/>
      <c r="AP1329" s="109"/>
      <c r="AQ1329" s="109"/>
      <c r="AR1329" s="109"/>
      <c r="AS1329" s="109"/>
      <c r="AT1329" s="109"/>
      <c r="AU1329" s="109"/>
      <c r="AV1329" s="109"/>
      <c r="AW1329" s="109"/>
      <c r="AX1329" s="109"/>
      <c r="AY1329" s="34" t="s">
        <v>237</v>
      </c>
      <c r="AZ1329" s="34" t="s">
        <v>1618</v>
      </c>
      <c r="BA1329" s="63" t="s">
        <v>291</v>
      </c>
      <c r="BB1329" s="63"/>
      <c r="BC1329" s="56" t="s">
        <v>1619</v>
      </c>
      <c r="BI1329" s="42">
        <v>1</v>
      </c>
    </row>
    <row r="1330" spans="1:61" s="24" customFormat="1" hidden="1">
      <c r="A1330" s="32"/>
      <c r="B1330" s="158"/>
      <c r="C1330" s="78" t="s">
        <v>59</v>
      </c>
      <c r="D1330" s="35">
        <f>F1330+E1330</f>
        <v>0.75</v>
      </c>
      <c r="E1330" s="76"/>
      <c r="F1330" s="35">
        <f t="shared" si="253"/>
        <v>0.75</v>
      </c>
      <c r="G1330" s="109">
        <v>0.75</v>
      </c>
      <c r="H1330" s="109"/>
      <c r="I1330" s="109"/>
      <c r="J1330" s="109"/>
      <c r="K1330" s="109"/>
      <c r="L1330" s="109"/>
      <c r="M1330" s="109"/>
      <c r="N1330" s="109"/>
      <c r="O1330" s="109"/>
      <c r="P1330" s="109"/>
      <c r="Q1330" s="109"/>
      <c r="R1330" s="109"/>
      <c r="S1330" s="109"/>
      <c r="T1330" s="109"/>
      <c r="U1330" s="109"/>
      <c r="V1330" s="109"/>
      <c r="W1330" s="109"/>
      <c r="X1330" s="109"/>
      <c r="Y1330" s="109"/>
      <c r="Z1330" s="109"/>
      <c r="AA1330" s="109"/>
      <c r="AB1330" s="109"/>
      <c r="AC1330" s="109"/>
      <c r="AD1330" s="109"/>
      <c r="AE1330" s="109"/>
      <c r="AF1330" s="109"/>
      <c r="AG1330" s="109"/>
      <c r="AH1330" s="109"/>
      <c r="AI1330" s="109"/>
      <c r="AJ1330" s="109"/>
      <c r="AK1330" s="109"/>
      <c r="AL1330" s="109"/>
      <c r="AM1330" s="109"/>
      <c r="AN1330" s="109"/>
      <c r="AO1330" s="109"/>
      <c r="AP1330" s="109"/>
      <c r="AQ1330" s="109"/>
      <c r="AR1330" s="109"/>
      <c r="AS1330" s="109"/>
      <c r="AT1330" s="109"/>
      <c r="AU1330" s="109"/>
      <c r="AV1330" s="109"/>
      <c r="AW1330" s="109"/>
      <c r="AX1330" s="109"/>
      <c r="AY1330" s="34" t="s">
        <v>237</v>
      </c>
      <c r="AZ1330" s="34"/>
      <c r="BA1330" s="63"/>
      <c r="BB1330" s="63"/>
      <c r="BC1330" s="56"/>
      <c r="BI1330" s="42"/>
    </row>
    <row r="1331" spans="1:61" s="24" customFormat="1" hidden="1">
      <c r="A1331" s="32"/>
      <c r="B1331" s="158"/>
      <c r="C1331" s="78" t="s">
        <v>44</v>
      </c>
      <c r="D1331" s="35">
        <f>F1331+E1331</f>
        <v>0.67999999999999994</v>
      </c>
      <c r="E1331" s="76"/>
      <c r="F1331" s="35">
        <f t="shared" si="253"/>
        <v>0.67999999999999994</v>
      </c>
      <c r="G1331" s="109">
        <v>0.3</v>
      </c>
      <c r="H1331" s="109"/>
      <c r="I1331" s="109">
        <v>0.38</v>
      </c>
      <c r="J1331" s="109"/>
      <c r="K1331" s="109"/>
      <c r="L1331" s="109"/>
      <c r="M1331" s="109"/>
      <c r="N1331" s="109"/>
      <c r="O1331" s="109"/>
      <c r="P1331" s="109"/>
      <c r="Q1331" s="109"/>
      <c r="R1331" s="109"/>
      <c r="S1331" s="109"/>
      <c r="T1331" s="109"/>
      <c r="U1331" s="109"/>
      <c r="V1331" s="109"/>
      <c r="W1331" s="109"/>
      <c r="X1331" s="109"/>
      <c r="Y1331" s="109"/>
      <c r="Z1331" s="109"/>
      <c r="AA1331" s="109"/>
      <c r="AB1331" s="109"/>
      <c r="AC1331" s="109"/>
      <c r="AD1331" s="109"/>
      <c r="AE1331" s="109"/>
      <c r="AF1331" s="109"/>
      <c r="AG1331" s="109"/>
      <c r="AH1331" s="109"/>
      <c r="AI1331" s="109"/>
      <c r="AJ1331" s="109"/>
      <c r="AK1331" s="109"/>
      <c r="AL1331" s="109"/>
      <c r="AM1331" s="109"/>
      <c r="AN1331" s="109"/>
      <c r="AO1331" s="109"/>
      <c r="AP1331" s="109"/>
      <c r="AQ1331" s="109"/>
      <c r="AR1331" s="109"/>
      <c r="AS1331" s="109"/>
      <c r="AT1331" s="109"/>
      <c r="AU1331" s="109"/>
      <c r="AV1331" s="109"/>
      <c r="AW1331" s="109"/>
      <c r="AX1331" s="109"/>
      <c r="AY1331" s="34" t="s">
        <v>237</v>
      </c>
      <c r="AZ1331" s="34"/>
      <c r="BA1331" s="63"/>
      <c r="BB1331" s="63"/>
      <c r="BC1331" s="56"/>
      <c r="BI1331" s="42"/>
    </row>
    <row r="1332" spans="1:61" s="24" customFormat="1" hidden="1">
      <c r="A1332" s="32"/>
      <c r="B1332" s="158"/>
      <c r="C1332" s="78" t="s">
        <v>45</v>
      </c>
      <c r="D1332" s="35">
        <f>F1332+E1332</f>
        <v>0.2</v>
      </c>
      <c r="E1332" s="76"/>
      <c r="F1332" s="35">
        <f t="shared" si="253"/>
        <v>0.2</v>
      </c>
      <c r="G1332" s="109">
        <v>0.1</v>
      </c>
      <c r="H1332" s="109"/>
      <c r="I1332" s="109"/>
      <c r="J1332" s="109">
        <v>0.1</v>
      </c>
      <c r="K1332" s="109"/>
      <c r="L1332" s="109"/>
      <c r="M1332" s="109"/>
      <c r="N1332" s="109"/>
      <c r="O1332" s="109"/>
      <c r="P1332" s="109"/>
      <c r="Q1332" s="109"/>
      <c r="R1332" s="109"/>
      <c r="S1332" s="109"/>
      <c r="T1332" s="109"/>
      <c r="U1332" s="109"/>
      <c r="V1332" s="109"/>
      <c r="W1332" s="109"/>
      <c r="X1332" s="109"/>
      <c r="Y1332" s="109"/>
      <c r="Z1332" s="109"/>
      <c r="AA1332" s="109"/>
      <c r="AB1332" s="109"/>
      <c r="AC1332" s="109"/>
      <c r="AD1332" s="109"/>
      <c r="AE1332" s="109"/>
      <c r="AF1332" s="109"/>
      <c r="AG1332" s="109"/>
      <c r="AH1332" s="109"/>
      <c r="AI1332" s="109"/>
      <c r="AJ1332" s="109"/>
      <c r="AK1332" s="109"/>
      <c r="AL1332" s="109"/>
      <c r="AM1332" s="109"/>
      <c r="AN1332" s="109"/>
      <c r="AO1332" s="109"/>
      <c r="AP1332" s="109"/>
      <c r="AQ1332" s="109"/>
      <c r="AR1332" s="109"/>
      <c r="AS1332" s="109"/>
      <c r="AT1332" s="109"/>
      <c r="AU1332" s="109"/>
      <c r="AV1332" s="109"/>
      <c r="AW1332" s="109"/>
      <c r="AX1332" s="109"/>
      <c r="AY1332" s="34" t="s">
        <v>237</v>
      </c>
      <c r="AZ1332" s="34"/>
      <c r="BA1332" s="63"/>
      <c r="BB1332" s="63"/>
      <c r="BC1332" s="56"/>
      <c r="BI1332" s="42"/>
    </row>
    <row r="1333" spans="1:61" s="24" customFormat="1" hidden="1">
      <c r="A1333" s="32"/>
      <c r="B1333" s="158"/>
      <c r="C1333" s="78" t="s">
        <v>138</v>
      </c>
      <c r="D1333" s="35">
        <f>F1333+E1333</f>
        <v>0.37000000000000005</v>
      </c>
      <c r="E1333" s="76"/>
      <c r="F1333" s="35">
        <f t="shared" si="253"/>
        <v>0.37000000000000005</v>
      </c>
      <c r="G1333" s="147">
        <f>G1329-G1330-G1331-G1332</f>
        <v>0.18000000000000008</v>
      </c>
      <c r="H1333" s="147">
        <f t="shared" ref="H1333:AX1333" si="259">H1329-H1330-H1331-H1332</f>
        <v>0</v>
      </c>
      <c r="I1333" s="147">
        <f t="shared" si="259"/>
        <v>0</v>
      </c>
      <c r="J1333" s="147">
        <f t="shared" si="259"/>
        <v>0.18999999999999997</v>
      </c>
      <c r="K1333" s="147">
        <f t="shared" si="259"/>
        <v>0</v>
      </c>
      <c r="L1333" s="147">
        <f t="shared" si="259"/>
        <v>0</v>
      </c>
      <c r="M1333" s="147">
        <f t="shared" si="259"/>
        <v>0</v>
      </c>
      <c r="N1333" s="147">
        <f t="shared" si="259"/>
        <v>0</v>
      </c>
      <c r="O1333" s="147">
        <f t="shared" si="259"/>
        <v>0</v>
      </c>
      <c r="P1333" s="147">
        <f t="shared" si="259"/>
        <v>0</v>
      </c>
      <c r="Q1333" s="147">
        <f t="shared" si="259"/>
        <v>0</v>
      </c>
      <c r="R1333" s="147">
        <f t="shared" si="259"/>
        <v>0</v>
      </c>
      <c r="S1333" s="147">
        <f t="shared" si="259"/>
        <v>0</v>
      </c>
      <c r="T1333" s="147">
        <f t="shared" si="259"/>
        <v>0</v>
      </c>
      <c r="U1333" s="147">
        <f t="shared" si="259"/>
        <v>0</v>
      </c>
      <c r="V1333" s="147">
        <f t="shared" si="259"/>
        <v>0</v>
      </c>
      <c r="W1333" s="147">
        <f t="shared" si="259"/>
        <v>0</v>
      </c>
      <c r="X1333" s="147">
        <f t="shared" si="259"/>
        <v>0</v>
      </c>
      <c r="Y1333" s="147">
        <f t="shared" si="259"/>
        <v>0</v>
      </c>
      <c r="Z1333" s="147">
        <f t="shared" si="259"/>
        <v>0</v>
      </c>
      <c r="AA1333" s="147">
        <f t="shared" si="259"/>
        <v>0</v>
      </c>
      <c r="AB1333" s="147">
        <f t="shared" si="259"/>
        <v>0</v>
      </c>
      <c r="AC1333" s="147">
        <f t="shared" si="259"/>
        <v>0</v>
      </c>
      <c r="AD1333" s="147">
        <f t="shared" si="259"/>
        <v>0</v>
      </c>
      <c r="AE1333" s="147">
        <f t="shared" si="259"/>
        <v>0</v>
      </c>
      <c r="AF1333" s="147">
        <f t="shared" si="259"/>
        <v>0</v>
      </c>
      <c r="AG1333" s="147">
        <f t="shared" si="259"/>
        <v>0</v>
      </c>
      <c r="AH1333" s="147">
        <f t="shared" si="259"/>
        <v>0</v>
      </c>
      <c r="AI1333" s="147">
        <f t="shared" si="259"/>
        <v>0</v>
      </c>
      <c r="AJ1333" s="147">
        <f t="shared" si="259"/>
        <v>0</v>
      </c>
      <c r="AK1333" s="147">
        <f t="shared" si="259"/>
        <v>0</v>
      </c>
      <c r="AL1333" s="147">
        <f t="shared" si="259"/>
        <v>0</v>
      </c>
      <c r="AM1333" s="147">
        <f t="shared" si="259"/>
        <v>0</v>
      </c>
      <c r="AN1333" s="147">
        <f t="shared" si="259"/>
        <v>0</v>
      </c>
      <c r="AO1333" s="147">
        <f t="shared" si="259"/>
        <v>0</v>
      </c>
      <c r="AP1333" s="147">
        <f t="shared" si="259"/>
        <v>0</v>
      </c>
      <c r="AQ1333" s="147">
        <f t="shared" si="259"/>
        <v>0</v>
      </c>
      <c r="AR1333" s="147">
        <f t="shared" si="259"/>
        <v>0</v>
      </c>
      <c r="AS1333" s="147">
        <f t="shared" si="259"/>
        <v>0</v>
      </c>
      <c r="AT1333" s="147">
        <f t="shared" si="259"/>
        <v>0</v>
      </c>
      <c r="AU1333" s="147">
        <f t="shared" si="259"/>
        <v>0</v>
      </c>
      <c r="AV1333" s="147">
        <f t="shared" si="259"/>
        <v>0</v>
      </c>
      <c r="AW1333" s="147">
        <f t="shared" si="259"/>
        <v>0</v>
      </c>
      <c r="AX1333" s="147">
        <f t="shared" si="259"/>
        <v>0</v>
      </c>
      <c r="AY1333" s="34" t="s">
        <v>237</v>
      </c>
      <c r="AZ1333" s="34"/>
      <c r="BA1333" s="63"/>
      <c r="BB1333" s="63"/>
      <c r="BC1333" s="56"/>
      <c r="BI1333" s="42"/>
    </row>
    <row r="1334" spans="1:61" s="24" customFormat="1" ht="21" customHeight="1">
      <c r="A1334" s="32">
        <f>A1329+1</f>
        <v>801</v>
      </c>
      <c r="B1334" s="158" t="s">
        <v>186</v>
      </c>
      <c r="C1334" s="78" t="s">
        <v>59</v>
      </c>
      <c r="D1334" s="35">
        <f t="shared" si="250"/>
        <v>0.14999999999999997</v>
      </c>
      <c r="E1334" s="35"/>
      <c r="F1334" s="35">
        <f t="shared" si="253"/>
        <v>0.14999999999999997</v>
      </c>
      <c r="G1334" s="109"/>
      <c r="H1334" s="109"/>
      <c r="I1334" s="109"/>
      <c r="J1334" s="109">
        <v>0.14999999999999997</v>
      </c>
      <c r="K1334" s="109"/>
      <c r="L1334" s="109"/>
      <c r="M1334" s="109"/>
      <c r="N1334" s="109"/>
      <c r="O1334" s="109"/>
      <c r="P1334" s="109"/>
      <c r="Q1334" s="109"/>
      <c r="R1334" s="109"/>
      <c r="S1334" s="109"/>
      <c r="T1334" s="109"/>
      <c r="U1334" s="109"/>
      <c r="V1334" s="109"/>
      <c r="W1334" s="109"/>
      <c r="X1334" s="109"/>
      <c r="Y1334" s="109"/>
      <c r="Z1334" s="109"/>
      <c r="AA1334" s="109"/>
      <c r="AB1334" s="109"/>
      <c r="AC1334" s="109"/>
      <c r="AD1334" s="109"/>
      <c r="AE1334" s="109"/>
      <c r="AF1334" s="109"/>
      <c r="AG1334" s="109"/>
      <c r="AH1334" s="109"/>
      <c r="AI1334" s="109"/>
      <c r="AJ1334" s="109"/>
      <c r="AK1334" s="109"/>
      <c r="AL1334" s="109"/>
      <c r="AM1334" s="109"/>
      <c r="AN1334" s="109"/>
      <c r="AO1334" s="109"/>
      <c r="AP1334" s="109"/>
      <c r="AQ1334" s="109"/>
      <c r="AR1334" s="109"/>
      <c r="AS1334" s="109"/>
      <c r="AT1334" s="109"/>
      <c r="AU1334" s="109"/>
      <c r="AV1334" s="109"/>
      <c r="AW1334" s="109"/>
      <c r="AX1334" s="109"/>
      <c r="AY1334" s="34" t="s">
        <v>237</v>
      </c>
      <c r="AZ1334" s="34" t="s">
        <v>1620</v>
      </c>
      <c r="BA1334" s="34" t="s">
        <v>291</v>
      </c>
      <c r="BB1334" s="34"/>
      <c r="BC1334" s="56" t="s">
        <v>1621</v>
      </c>
      <c r="BI1334" s="42">
        <v>1</v>
      </c>
    </row>
    <row r="1335" spans="1:61" s="24" customFormat="1" ht="30.6" customHeight="1">
      <c r="A1335" s="32">
        <f>A1334+1</f>
        <v>802</v>
      </c>
      <c r="B1335" s="158" t="s">
        <v>186</v>
      </c>
      <c r="C1335" s="78" t="s">
        <v>59</v>
      </c>
      <c r="D1335" s="35">
        <f t="shared" si="250"/>
        <v>0.35</v>
      </c>
      <c r="E1335" s="35"/>
      <c r="F1335" s="35">
        <f t="shared" si="253"/>
        <v>0.35</v>
      </c>
      <c r="G1335" s="109">
        <v>0.15</v>
      </c>
      <c r="H1335" s="109"/>
      <c r="I1335" s="109"/>
      <c r="J1335" s="109">
        <v>0.2</v>
      </c>
      <c r="K1335" s="109"/>
      <c r="L1335" s="109"/>
      <c r="M1335" s="109"/>
      <c r="N1335" s="109"/>
      <c r="O1335" s="109"/>
      <c r="P1335" s="109"/>
      <c r="Q1335" s="109"/>
      <c r="R1335" s="109"/>
      <c r="S1335" s="109"/>
      <c r="T1335" s="109"/>
      <c r="U1335" s="109"/>
      <c r="V1335" s="109"/>
      <c r="W1335" s="109"/>
      <c r="X1335" s="109"/>
      <c r="Y1335" s="109"/>
      <c r="Z1335" s="109"/>
      <c r="AA1335" s="109"/>
      <c r="AB1335" s="109"/>
      <c r="AC1335" s="109"/>
      <c r="AD1335" s="109"/>
      <c r="AE1335" s="109"/>
      <c r="AF1335" s="109"/>
      <c r="AG1335" s="109"/>
      <c r="AH1335" s="109"/>
      <c r="AI1335" s="109"/>
      <c r="AJ1335" s="109"/>
      <c r="AK1335" s="109"/>
      <c r="AL1335" s="109"/>
      <c r="AM1335" s="109"/>
      <c r="AN1335" s="109"/>
      <c r="AO1335" s="109"/>
      <c r="AP1335" s="109"/>
      <c r="AQ1335" s="109"/>
      <c r="AR1335" s="109"/>
      <c r="AS1335" s="109"/>
      <c r="AT1335" s="109"/>
      <c r="AU1335" s="109"/>
      <c r="AV1335" s="109"/>
      <c r="AW1335" s="109"/>
      <c r="AX1335" s="109"/>
      <c r="AY1335" s="34" t="s">
        <v>237</v>
      </c>
      <c r="AZ1335" s="34" t="s">
        <v>471</v>
      </c>
      <c r="BA1335" s="63" t="s">
        <v>291</v>
      </c>
      <c r="BB1335" s="63"/>
      <c r="BC1335" s="56" t="s">
        <v>1622</v>
      </c>
      <c r="BI1335" s="42">
        <v>1</v>
      </c>
    </row>
    <row r="1336" spans="1:61" s="24" customFormat="1" ht="21" customHeight="1">
      <c r="A1336" s="32">
        <f>A1335+1</f>
        <v>803</v>
      </c>
      <c r="B1336" s="158" t="s">
        <v>186</v>
      </c>
      <c r="C1336" s="78" t="s">
        <v>59</v>
      </c>
      <c r="D1336" s="35">
        <f t="shared" si="250"/>
        <v>0.2</v>
      </c>
      <c r="E1336" s="35"/>
      <c r="F1336" s="35">
        <f t="shared" si="253"/>
        <v>0.2</v>
      </c>
      <c r="G1336" s="109"/>
      <c r="H1336" s="109"/>
      <c r="I1336" s="109"/>
      <c r="J1336" s="109">
        <v>0.2</v>
      </c>
      <c r="K1336" s="109"/>
      <c r="L1336" s="109"/>
      <c r="M1336" s="109"/>
      <c r="N1336" s="109"/>
      <c r="O1336" s="109"/>
      <c r="P1336" s="109"/>
      <c r="Q1336" s="109"/>
      <c r="R1336" s="109"/>
      <c r="S1336" s="109"/>
      <c r="T1336" s="109"/>
      <c r="U1336" s="109"/>
      <c r="V1336" s="109"/>
      <c r="W1336" s="109"/>
      <c r="X1336" s="109"/>
      <c r="Y1336" s="109"/>
      <c r="Z1336" s="109"/>
      <c r="AA1336" s="109"/>
      <c r="AB1336" s="109"/>
      <c r="AC1336" s="109"/>
      <c r="AD1336" s="109"/>
      <c r="AE1336" s="109"/>
      <c r="AF1336" s="109"/>
      <c r="AG1336" s="109"/>
      <c r="AH1336" s="109"/>
      <c r="AI1336" s="109"/>
      <c r="AJ1336" s="109"/>
      <c r="AK1336" s="109"/>
      <c r="AL1336" s="109"/>
      <c r="AM1336" s="109"/>
      <c r="AN1336" s="109"/>
      <c r="AO1336" s="109"/>
      <c r="AP1336" s="109"/>
      <c r="AQ1336" s="109"/>
      <c r="AR1336" s="109"/>
      <c r="AS1336" s="109"/>
      <c r="AT1336" s="109"/>
      <c r="AU1336" s="109"/>
      <c r="AV1336" s="109"/>
      <c r="AW1336" s="109"/>
      <c r="AX1336" s="109"/>
      <c r="AY1336" s="34" t="s">
        <v>237</v>
      </c>
      <c r="AZ1336" s="34" t="s">
        <v>1623</v>
      </c>
      <c r="BA1336" s="63" t="s">
        <v>291</v>
      </c>
      <c r="BB1336" s="64"/>
      <c r="BC1336" s="24" t="s">
        <v>381</v>
      </c>
      <c r="BI1336" s="42">
        <v>1</v>
      </c>
    </row>
    <row r="1337" spans="1:61" s="24" customFormat="1" ht="23.1" customHeight="1">
      <c r="A1337" s="32">
        <f>A1336+1</f>
        <v>804</v>
      </c>
      <c r="B1337" s="158" t="s">
        <v>186</v>
      </c>
      <c r="C1337" s="78" t="s">
        <v>59</v>
      </c>
      <c r="D1337" s="35">
        <f t="shared" si="250"/>
        <v>0.2</v>
      </c>
      <c r="E1337" s="35"/>
      <c r="F1337" s="35">
        <f t="shared" si="253"/>
        <v>0.2</v>
      </c>
      <c r="G1337" s="109">
        <v>0.2</v>
      </c>
      <c r="H1337" s="109"/>
      <c r="I1337" s="109"/>
      <c r="J1337" s="109"/>
      <c r="K1337" s="109"/>
      <c r="L1337" s="109"/>
      <c r="M1337" s="109"/>
      <c r="N1337" s="109"/>
      <c r="O1337" s="109"/>
      <c r="P1337" s="109"/>
      <c r="Q1337" s="109"/>
      <c r="R1337" s="109"/>
      <c r="S1337" s="109"/>
      <c r="T1337" s="109"/>
      <c r="U1337" s="109"/>
      <c r="V1337" s="109"/>
      <c r="W1337" s="109"/>
      <c r="X1337" s="109"/>
      <c r="Y1337" s="109"/>
      <c r="Z1337" s="109"/>
      <c r="AA1337" s="109"/>
      <c r="AB1337" s="109"/>
      <c r="AC1337" s="109"/>
      <c r="AD1337" s="109"/>
      <c r="AE1337" s="109"/>
      <c r="AF1337" s="109"/>
      <c r="AG1337" s="109"/>
      <c r="AH1337" s="109"/>
      <c r="AI1337" s="109"/>
      <c r="AJ1337" s="109"/>
      <c r="AK1337" s="109"/>
      <c r="AL1337" s="109"/>
      <c r="AM1337" s="109"/>
      <c r="AN1337" s="109"/>
      <c r="AO1337" s="109"/>
      <c r="AP1337" s="109"/>
      <c r="AQ1337" s="109"/>
      <c r="AR1337" s="109"/>
      <c r="AS1337" s="109"/>
      <c r="AT1337" s="109"/>
      <c r="AU1337" s="109"/>
      <c r="AV1337" s="109"/>
      <c r="AW1337" s="109"/>
      <c r="AX1337" s="109"/>
      <c r="AY1337" s="34" t="s">
        <v>237</v>
      </c>
      <c r="AZ1337" s="34" t="s">
        <v>1624</v>
      </c>
      <c r="BA1337" s="63" t="s">
        <v>291</v>
      </c>
      <c r="BB1337" s="64"/>
      <c r="BI1337" s="42">
        <v>1</v>
      </c>
    </row>
    <row r="1338" spans="1:61" s="24" customFormat="1" ht="31.5">
      <c r="A1338" s="32">
        <f>A1337+1</f>
        <v>805</v>
      </c>
      <c r="B1338" s="158" t="s">
        <v>186</v>
      </c>
      <c r="C1338" s="78" t="s">
        <v>59</v>
      </c>
      <c r="D1338" s="35">
        <f t="shared" si="250"/>
        <v>0.15</v>
      </c>
      <c r="E1338" s="35"/>
      <c r="F1338" s="35">
        <f t="shared" si="253"/>
        <v>0.15</v>
      </c>
      <c r="G1338" s="109"/>
      <c r="H1338" s="109"/>
      <c r="I1338" s="109"/>
      <c r="J1338" s="109">
        <v>0.15</v>
      </c>
      <c r="K1338" s="109"/>
      <c r="L1338" s="109"/>
      <c r="M1338" s="109"/>
      <c r="N1338" s="109"/>
      <c r="O1338" s="109"/>
      <c r="P1338" s="109"/>
      <c r="Q1338" s="109"/>
      <c r="R1338" s="109"/>
      <c r="S1338" s="109"/>
      <c r="T1338" s="109"/>
      <c r="U1338" s="109"/>
      <c r="V1338" s="109"/>
      <c r="W1338" s="109"/>
      <c r="X1338" s="109"/>
      <c r="Y1338" s="109"/>
      <c r="Z1338" s="109"/>
      <c r="AA1338" s="109"/>
      <c r="AB1338" s="109"/>
      <c r="AC1338" s="109"/>
      <c r="AD1338" s="109"/>
      <c r="AE1338" s="109"/>
      <c r="AF1338" s="109"/>
      <c r="AG1338" s="109"/>
      <c r="AH1338" s="109"/>
      <c r="AI1338" s="109"/>
      <c r="AJ1338" s="109"/>
      <c r="AK1338" s="109"/>
      <c r="AL1338" s="109"/>
      <c r="AM1338" s="109"/>
      <c r="AN1338" s="109"/>
      <c r="AO1338" s="109"/>
      <c r="AP1338" s="109"/>
      <c r="AQ1338" s="109"/>
      <c r="AR1338" s="109"/>
      <c r="AS1338" s="109"/>
      <c r="AT1338" s="109"/>
      <c r="AU1338" s="109"/>
      <c r="AV1338" s="109"/>
      <c r="AW1338" s="109"/>
      <c r="AX1338" s="109"/>
      <c r="AY1338" s="34" t="s">
        <v>237</v>
      </c>
      <c r="AZ1338" s="34" t="s">
        <v>1625</v>
      </c>
      <c r="BA1338" s="63" t="s">
        <v>291</v>
      </c>
      <c r="BB1338" s="63"/>
      <c r="BC1338" s="56" t="s">
        <v>1626</v>
      </c>
      <c r="BI1338" s="42">
        <v>1</v>
      </c>
    </row>
    <row r="1339" spans="1:61" s="24" customFormat="1" ht="22.35" customHeight="1">
      <c r="A1339" s="32">
        <f>A1338+1</f>
        <v>806</v>
      </c>
      <c r="B1339" s="158" t="s">
        <v>186</v>
      </c>
      <c r="C1339" s="78" t="s">
        <v>1260</v>
      </c>
      <c r="D1339" s="35">
        <f t="shared" si="250"/>
        <v>0.6</v>
      </c>
      <c r="E1339" s="35"/>
      <c r="F1339" s="35">
        <f t="shared" si="253"/>
        <v>0.6</v>
      </c>
      <c r="G1339" s="109"/>
      <c r="H1339" s="109"/>
      <c r="I1339" s="109"/>
      <c r="J1339" s="109"/>
      <c r="K1339" s="109"/>
      <c r="L1339" s="109"/>
      <c r="M1339" s="109">
        <v>0.6</v>
      </c>
      <c r="N1339" s="109"/>
      <c r="O1339" s="109"/>
      <c r="P1339" s="109"/>
      <c r="Q1339" s="109"/>
      <c r="R1339" s="109"/>
      <c r="S1339" s="109"/>
      <c r="T1339" s="109"/>
      <c r="U1339" s="109"/>
      <c r="V1339" s="109"/>
      <c r="W1339" s="109"/>
      <c r="X1339" s="109"/>
      <c r="Y1339" s="109"/>
      <c r="Z1339" s="109"/>
      <c r="AA1339" s="109"/>
      <c r="AB1339" s="109"/>
      <c r="AC1339" s="109"/>
      <c r="AD1339" s="109"/>
      <c r="AE1339" s="109"/>
      <c r="AF1339" s="109"/>
      <c r="AG1339" s="109"/>
      <c r="AH1339" s="109"/>
      <c r="AI1339" s="109"/>
      <c r="AJ1339" s="109"/>
      <c r="AK1339" s="109"/>
      <c r="AL1339" s="109"/>
      <c r="AM1339" s="109"/>
      <c r="AN1339" s="109"/>
      <c r="AO1339" s="109"/>
      <c r="AP1339" s="109"/>
      <c r="AQ1339" s="109"/>
      <c r="AR1339" s="109"/>
      <c r="AS1339" s="109"/>
      <c r="AT1339" s="109"/>
      <c r="AU1339" s="109"/>
      <c r="AV1339" s="109"/>
      <c r="AW1339" s="109"/>
      <c r="AX1339" s="109"/>
      <c r="AY1339" s="34" t="s">
        <v>237</v>
      </c>
      <c r="AZ1339" s="34" t="s">
        <v>387</v>
      </c>
      <c r="BA1339" s="63" t="s">
        <v>291</v>
      </c>
      <c r="BB1339" s="63"/>
      <c r="BC1339" s="56" t="s">
        <v>1627</v>
      </c>
      <c r="BI1339" s="42">
        <v>1</v>
      </c>
    </row>
    <row r="1340" spans="1:61" s="24" customFormat="1" ht="22.35" hidden="1" customHeight="1">
      <c r="A1340" s="32"/>
      <c r="B1340" s="158"/>
      <c r="C1340" s="78" t="s">
        <v>59</v>
      </c>
      <c r="D1340" s="35">
        <f t="shared" si="250"/>
        <v>0.21</v>
      </c>
      <c r="E1340" s="76"/>
      <c r="F1340" s="35">
        <f t="shared" si="253"/>
        <v>0.21</v>
      </c>
      <c r="G1340" s="109"/>
      <c r="H1340" s="109"/>
      <c r="I1340" s="109"/>
      <c r="J1340" s="109"/>
      <c r="K1340" s="109"/>
      <c r="L1340" s="109"/>
      <c r="M1340" s="109">
        <v>0.21</v>
      </c>
      <c r="N1340" s="109"/>
      <c r="O1340" s="109"/>
      <c r="P1340" s="109"/>
      <c r="Q1340" s="109"/>
      <c r="R1340" s="109"/>
      <c r="S1340" s="109"/>
      <c r="T1340" s="109"/>
      <c r="U1340" s="109"/>
      <c r="V1340" s="109"/>
      <c r="W1340" s="109"/>
      <c r="X1340" s="109"/>
      <c r="Y1340" s="109"/>
      <c r="Z1340" s="109"/>
      <c r="AA1340" s="109"/>
      <c r="AB1340" s="109"/>
      <c r="AC1340" s="109"/>
      <c r="AD1340" s="109"/>
      <c r="AE1340" s="109"/>
      <c r="AF1340" s="109"/>
      <c r="AG1340" s="109"/>
      <c r="AH1340" s="109"/>
      <c r="AI1340" s="109"/>
      <c r="AJ1340" s="109"/>
      <c r="AK1340" s="109"/>
      <c r="AL1340" s="109"/>
      <c r="AM1340" s="109"/>
      <c r="AN1340" s="109"/>
      <c r="AO1340" s="109"/>
      <c r="AP1340" s="109"/>
      <c r="AQ1340" s="109"/>
      <c r="AR1340" s="109"/>
      <c r="AS1340" s="109"/>
      <c r="AT1340" s="109"/>
      <c r="AU1340" s="109"/>
      <c r="AV1340" s="109"/>
      <c r="AW1340" s="109"/>
      <c r="AX1340" s="109"/>
      <c r="AY1340" s="34" t="s">
        <v>237</v>
      </c>
      <c r="AZ1340" s="34"/>
      <c r="BA1340" s="63"/>
      <c r="BB1340" s="64"/>
      <c r="BC1340" s="56"/>
      <c r="BI1340" s="42"/>
    </row>
    <row r="1341" spans="1:61" s="24" customFormat="1" ht="22.35" hidden="1" customHeight="1">
      <c r="A1341" s="32"/>
      <c r="B1341" s="158"/>
      <c r="C1341" s="78" t="s">
        <v>44</v>
      </c>
      <c r="D1341" s="35">
        <f t="shared" si="250"/>
        <v>0.24</v>
      </c>
      <c r="E1341" s="76"/>
      <c r="F1341" s="35">
        <f t="shared" si="253"/>
        <v>0.24</v>
      </c>
      <c r="G1341" s="109"/>
      <c r="H1341" s="109"/>
      <c r="I1341" s="109"/>
      <c r="J1341" s="109"/>
      <c r="K1341" s="109"/>
      <c r="L1341" s="109"/>
      <c r="M1341" s="109">
        <v>0.24</v>
      </c>
      <c r="N1341" s="109"/>
      <c r="O1341" s="109"/>
      <c r="P1341" s="109"/>
      <c r="Q1341" s="109"/>
      <c r="R1341" s="109"/>
      <c r="S1341" s="109"/>
      <c r="T1341" s="109"/>
      <c r="U1341" s="109"/>
      <c r="V1341" s="109"/>
      <c r="W1341" s="109"/>
      <c r="X1341" s="109"/>
      <c r="Y1341" s="109"/>
      <c r="Z1341" s="109"/>
      <c r="AA1341" s="109"/>
      <c r="AB1341" s="109"/>
      <c r="AC1341" s="109"/>
      <c r="AD1341" s="109"/>
      <c r="AE1341" s="109"/>
      <c r="AF1341" s="109"/>
      <c r="AG1341" s="109"/>
      <c r="AH1341" s="109"/>
      <c r="AI1341" s="109"/>
      <c r="AJ1341" s="109"/>
      <c r="AK1341" s="109"/>
      <c r="AL1341" s="109"/>
      <c r="AM1341" s="109"/>
      <c r="AN1341" s="109"/>
      <c r="AO1341" s="109"/>
      <c r="AP1341" s="109"/>
      <c r="AQ1341" s="109"/>
      <c r="AR1341" s="109"/>
      <c r="AS1341" s="109"/>
      <c r="AT1341" s="109"/>
      <c r="AU1341" s="109"/>
      <c r="AV1341" s="109"/>
      <c r="AW1341" s="109"/>
      <c r="AX1341" s="109"/>
      <c r="AY1341" s="34" t="s">
        <v>237</v>
      </c>
      <c r="AZ1341" s="34"/>
      <c r="BA1341" s="63"/>
      <c r="BB1341" s="64"/>
      <c r="BC1341" s="56"/>
      <c r="BI1341" s="42"/>
    </row>
    <row r="1342" spans="1:61" s="24" customFormat="1" ht="22.35" hidden="1" customHeight="1">
      <c r="A1342" s="32"/>
      <c r="B1342" s="158"/>
      <c r="C1342" s="78" t="s">
        <v>138</v>
      </c>
      <c r="D1342" s="35">
        <f t="shared" si="250"/>
        <v>0.15000000000000002</v>
      </c>
      <c r="E1342" s="76"/>
      <c r="F1342" s="35">
        <f t="shared" si="253"/>
        <v>0.15000000000000002</v>
      </c>
      <c r="G1342" s="147">
        <f>G1339-G1340-G1341</f>
        <v>0</v>
      </c>
      <c r="H1342" s="147">
        <f t="shared" ref="H1342:AX1342" si="260">H1339-H1340-H1341</f>
        <v>0</v>
      </c>
      <c r="I1342" s="147">
        <f t="shared" si="260"/>
        <v>0</v>
      </c>
      <c r="J1342" s="147">
        <f t="shared" si="260"/>
        <v>0</v>
      </c>
      <c r="K1342" s="147">
        <f t="shared" si="260"/>
        <v>0</v>
      </c>
      <c r="L1342" s="147">
        <f t="shared" si="260"/>
        <v>0</v>
      </c>
      <c r="M1342" s="147">
        <f t="shared" si="260"/>
        <v>0.15000000000000002</v>
      </c>
      <c r="N1342" s="147">
        <f t="shared" si="260"/>
        <v>0</v>
      </c>
      <c r="O1342" s="147">
        <f t="shared" si="260"/>
        <v>0</v>
      </c>
      <c r="P1342" s="147">
        <f t="shared" si="260"/>
        <v>0</v>
      </c>
      <c r="Q1342" s="147">
        <f t="shared" si="260"/>
        <v>0</v>
      </c>
      <c r="R1342" s="147">
        <f t="shared" si="260"/>
        <v>0</v>
      </c>
      <c r="S1342" s="147">
        <f t="shared" si="260"/>
        <v>0</v>
      </c>
      <c r="T1342" s="147">
        <f t="shared" si="260"/>
        <v>0</v>
      </c>
      <c r="U1342" s="147">
        <f t="shared" si="260"/>
        <v>0</v>
      </c>
      <c r="V1342" s="147">
        <f t="shared" si="260"/>
        <v>0</v>
      </c>
      <c r="W1342" s="147">
        <f t="shared" si="260"/>
        <v>0</v>
      </c>
      <c r="X1342" s="147">
        <f t="shared" si="260"/>
        <v>0</v>
      </c>
      <c r="Y1342" s="147">
        <f t="shared" si="260"/>
        <v>0</v>
      </c>
      <c r="Z1342" s="147">
        <f t="shared" si="260"/>
        <v>0</v>
      </c>
      <c r="AA1342" s="147">
        <f t="shared" si="260"/>
        <v>0</v>
      </c>
      <c r="AB1342" s="147">
        <f t="shared" si="260"/>
        <v>0</v>
      </c>
      <c r="AC1342" s="147">
        <f t="shared" si="260"/>
        <v>0</v>
      </c>
      <c r="AD1342" s="147">
        <f t="shared" si="260"/>
        <v>0</v>
      </c>
      <c r="AE1342" s="147">
        <f t="shared" si="260"/>
        <v>0</v>
      </c>
      <c r="AF1342" s="147">
        <f t="shared" si="260"/>
        <v>0</v>
      </c>
      <c r="AG1342" s="147">
        <f t="shared" si="260"/>
        <v>0</v>
      </c>
      <c r="AH1342" s="147">
        <f t="shared" si="260"/>
        <v>0</v>
      </c>
      <c r="AI1342" s="147">
        <f t="shared" si="260"/>
        <v>0</v>
      </c>
      <c r="AJ1342" s="147">
        <f t="shared" si="260"/>
        <v>0</v>
      </c>
      <c r="AK1342" s="147">
        <f t="shared" si="260"/>
        <v>0</v>
      </c>
      <c r="AL1342" s="147">
        <f t="shared" si="260"/>
        <v>0</v>
      </c>
      <c r="AM1342" s="147">
        <f t="shared" si="260"/>
        <v>0</v>
      </c>
      <c r="AN1342" s="147">
        <f t="shared" si="260"/>
        <v>0</v>
      </c>
      <c r="AO1342" s="147">
        <f t="shared" si="260"/>
        <v>0</v>
      </c>
      <c r="AP1342" s="147">
        <f t="shared" si="260"/>
        <v>0</v>
      </c>
      <c r="AQ1342" s="147">
        <f t="shared" si="260"/>
        <v>0</v>
      </c>
      <c r="AR1342" s="147">
        <f t="shared" si="260"/>
        <v>0</v>
      </c>
      <c r="AS1342" s="147">
        <f t="shared" si="260"/>
        <v>0</v>
      </c>
      <c r="AT1342" s="147">
        <f t="shared" si="260"/>
        <v>0</v>
      </c>
      <c r="AU1342" s="147">
        <f t="shared" si="260"/>
        <v>0</v>
      </c>
      <c r="AV1342" s="147">
        <f t="shared" si="260"/>
        <v>0</v>
      </c>
      <c r="AW1342" s="147">
        <f t="shared" si="260"/>
        <v>0</v>
      </c>
      <c r="AX1342" s="147">
        <f t="shared" si="260"/>
        <v>0</v>
      </c>
      <c r="AY1342" s="34" t="s">
        <v>237</v>
      </c>
      <c r="AZ1342" s="34"/>
      <c r="BA1342" s="63"/>
      <c r="BB1342" s="64"/>
      <c r="BC1342" s="56"/>
      <c r="BI1342" s="42"/>
    </row>
    <row r="1343" spans="1:61" s="24" customFormat="1" ht="47.25">
      <c r="A1343" s="32">
        <f>A1339+1</f>
        <v>807</v>
      </c>
      <c r="B1343" s="158" t="s">
        <v>186</v>
      </c>
      <c r="C1343" s="78" t="s">
        <v>59</v>
      </c>
      <c r="D1343" s="35">
        <f t="shared" si="250"/>
        <v>7.0000000000000007E-2</v>
      </c>
      <c r="E1343" s="35"/>
      <c r="F1343" s="35">
        <f t="shared" si="253"/>
        <v>7.0000000000000007E-2</v>
      </c>
      <c r="G1343" s="109">
        <v>7.0000000000000007E-2</v>
      </c>
      <c r="H1343" s="109"/>
      <c r="I1343" s="109"/>
      <c r="J1343" s="109"/>
      <c r="K1343" s="109"/>
      <c r="L1343" s="109"/>
      <c r="M1343" s="109"/>
      <c r="N1343" s="109"/>
      <c r="O1343" s="109"/>
      <c r="P1343" s="109"/>
      <c r="Q1343" s="109"/>
      <c r="R1343" s="109"/>
      <c r="S1343" s="109"/>
      <c r="T1343" s="109"/>
      <c r="U1343" s="109"/>
      <c r="V1343" s="109"/>
      <c r="W1343" s="109"/>
      <c r="X1343" s="109"/>
      <c r="Y1343" s="109"/>
      <c r="Z1343" s="109"/>
      <c r="AA1343" s="109"/>
      <c r="AB1343" s="109"/>
      <c r="AC1343" s="109"/>
      <c r="AD1343" s="109"/>
      <c r="AE1343" s="109"/>
      <c r="AF1343" s="109"/>
      <c r="AG1343" s="109"/>
      <c r="AH1343" s="109"/>
      <c r="AI1343" s="109"/>
      <c r="AJ1343" s="109"/>
      <c r="AK1343" s="109"/>
      <c r="AL1343" s="109"/>
      <c r="AM1343" s="109"/>
      <c r="AN1343" s="109"/>
      <c r="AO1343" s="109"/>
      <c r="AP1343" s="109"/>
      <c r="AQ1343" s="109"/>
      <c r="AR1343" s="109"/>
      <c r="AS1343" s="109"/>
      <c r="AT1343" s="109"/>
      <c r="AU1343" s="109"/>
      <c r="AV1343" s="109"/>
      <c r="AW1343" s="109"/>
      <c r="AX1343" s="109"/>
      <c r="AY1343" s="34" t="s">
        <v>237</v>
      </c>
      <c r="AZ1343" s="34" t="s">
        <v>1628</v>
      </c>
      <c r="BA1343" s="47" t="s">
        <v>291</v>
      </c>
      <c r="BB1343" s="135" t="s">
        <v>1629</v>
      </c>
      <c r="BC1343" s="56" t="s">
        <v>1512</v>
      </c>
      <c r="BI1343" s="42">
        <v>1</v>
      </c>
    </row>
    <row r="1344" spans="1:61" s="24" customFormat="1" ht="34.35" customHeight="1">
      <c r="A1344" s="1675">
        <f>A1343+1</f>
        <v>808</v>
      </c>
      <c r="B1344" s="1678" t="s">
        <v>1630</v>
      </c>
      <c r="C1344" s="78" t="s">
        <v>1260</v>
      </c>
      <c r="D1344" s="35">
        <f t="shared" si="250"/>
        <v>1.32</v>
      </c>
      <c r="E1344" s="35"/>
      <c r="F1344" s="35">
        <f t="shared" si="253"/>
        <v>1.32</v>
      </c>
      <c r="G1344" s="109">
        <v>1.0900000000000001</v>
      </c>
      <c r="H1344" s="109"/>
      <c r="I1344" s="109"/>
      <c r="J1344" s="109">
        <v>0.23</v>
      </c>
      <c r="K1344" s="109"/>
      <c r="L1344" s="109"/>
      <c r="M1344" s="109"/>
      <c r="N1344" s="109"/>
      <c r="O1344" s="109"/>
      <c r="P1344" s="109"/>
      <c r="Q1344" s="109"/>
      <c r="R1344" s="109"/>
      <c r="S1344" s="109"/>
      <c r="T1344" s="109"/>
      <c r="U1344" s="109"/>
      <c r="V1344" s="109"/>
      <c r="W1344" s="109"/>
      <c r="X1344" s="109"/>
      <c r="Y1344" s="109"/>
      <c r="Z1344" s="109"/>
      <c r="AA1344" s="109"/>
      <c r="AB1344" s="109"/>
      <c r="AC1344" s="109"/>
      <c r="AD1344" s="109"/>
      <c r="AE1344" s="109"/>
      <c r="AF1344" s="109"/>
      <c r="AG1344" s="109"/>
      <c r="AH1344" s="109"/>
      <c r="AI1344" s="109"/>
      <c r="AJ1344" s="109"/>
      <c r="AK1344" s="109"/>
      <c r="AL1344" s="109"/>
      <c r="AM1344" s="109"/>
      <c r="AN1344" s="109"/>
      <c r="AO1344" s="109"/>
      <c r="AP1344" s="109"/>
      <c r="AQ1344" s="109"/>
      <c r="AR1344" s="109"/>
      <c r="AS1344" s="109"/>
      <c r="AT1344" s="109"/>
      <c r="AU1344" s="109"/>
      <c r="AV1344" s="109"/>
      <c r="AW1344" s="109"/>
      <c r="AX1344" s="109"/>
      <c r="AY1344" s="34" t="s">
        <v>237</v>
      </c>
      <c r="AZ1344" s="34" t="s">
        <v>1631</v>
      </c>
      <c r="BA1344" s="1681" t="s">
        <v>298</v>
      </c>
      <c r="BB1344" s="48"/>
      <c r="BI1344" s="42">
        <v>1</v>
      </c>
    </row>
    <row r="1345" spans="1:61" s="24" customFormat="1" ht="26.1" hidden="1" customHeight="1">
      <c r="A1345" s="1676"/>
      <c r="B1345" s="1679"/>
      <c r="C1345" s="78" t="s">
        <v>59</v>
      </c>
      <c r="D1345" s="35">
        <f>F1345+E1345</f>
        <v>0.43</v>
      </c>
      <c r="E1345" s="35"/>
      <c r="F1345" s="35">
        <f t="shared" si="253"/>
        <v>0.43</v>
      </c>
      <c r="G1345" s="109">
        <v>0.43</v>
      </c>
      <c r="H1345" s="109"/>
      <c r="I1345" s="109"/>
      <c r="J1345" s="109"/>
      <c r="K1345" s="109"/>
      <c r="L1345" s="109"/>
      <c r="M1345" s="109"/>
      <c r="N1345" s="109"/>
      <c r="O1345" s="109"/>
      <c r="P1345" s="109"/>
      <c r="Q1345" s="109"/>
      <c r="R1345" s="109"/>
      <c r="S1345" s="109"/>
      <c r="T1345" s="109"/>
      <c r="U1345" s="109"/>
      <c r="V1345" s="109"/>
      <c r="W1345" s="109"/>
      <c r="X1345" s="109"/>
      <c r="Y1345" s="109"/>
      <c r="Z1345" s="109"/>
      <c r="AA1345" s="109"/>
      <c r="AB1345" s="109"/>
      <c r="AC1345" s="109"/>
      <c r="AD1345" s="109"/>
      <c r="AE1345" s="109"/>
      <c r="AF1345" s="109"/>
      <c r="AG1345" s="109"/>
      <c r="AH1345" s="109"/>
      <c r="AI1345" s="109"/>
      <c r="AJ1345" s="109"/>
      <c r="AK1345" s="109"/>
      <c r="AL1345" s="109"/>
      <c r="AM1345" s="109"/>
      <c r="AN1345" s="109"/>
      <c r="AO1345" s="109"/>
      <c r="AP1345" s="109"/>
      <c r="AQ1345" s="109"/>
      <c r="AR1345" s="109"/>
      <c r="AS1345" s="109"/>
      <c r="AT1345" s="109"/>
      <c r="AU1345" s="109"/>
      <c r="AV1345" s="109"/>
      <c r="AW1345" s="109"/>
      <c r="AX1345" s="109"/>
      <c r="AY1345" s="34" t="s">
        <v>237</v>
      </c>
      <c r="AZ1345" s="34"/>
      <c r="BA1345" s="1682"/>
      <c r="BB1345" s="48"/>
      <c r="BI1345" s="42"/>
    </row>
    <row r="1346" spans="1:61" s="24" customFormat="1" ht="26.1" hidden="1" customHeight="1">
      <c r="A1346" s="1676"/>
      <c r="B1346" s="1679"/>
      <c r="C1346" s="78" t="s">
        <v>44</v>
      </c>
      <c r="D1346" s="35">
        <f>F1346+E1346</f>
        <v>0.61</v>
      </c>
      <c r="E1346" s="35"/>
      <c r="F1346" s="35">
        <f t="shared" si="253"/>
        <v>0.61</v>
      </c>
      <c r="G1346" s="109">
        <v>0.38</v>
      </c>
      <c r="H1346" s="109"/>
      <c r="I1346" s="109"/>
      <c r="J1346" s="109">
        <v>0.23</v>
      </c>
      <c r="K1346" s="109"/>
      <c r="L1346" s="109"/>
      <c r="M1346" s="109"/>
      <c r="N1346" s="109"/>
      <c r="O1346" s="109"/>
      <c r="P1346" s="109"/>
      <c r="Q1346" s="109"/>
      <c r="R1346" s="109"/>
      <c r="S1346" s="109"/>
      <c r="T1346" s="109"/>
      <c r="U1346" s="109"/>
      <c r="V1346" s="109"/>
      <c r="W1346" s="109"/>
      <c r="X1346" s="109"/>
      <c r="Y1346" s="109"/>
      <c r="Z1346" s="109"/>
      <c r="AA1346" s="109"/>
      <c r="AB1346" s="109"/>
      <c r="AC1346" s="109"/>
      <c r="AD1346" s="109"/>
      <c r="AE1346" s="109"/>
      <c r="AF1346" s="109"/>
      <c r="AG1346" s="109"/>
      <c r="AH1346" s="109"/>
      <c r="AI1346" s="109"/>
      <c r="AJ1346" s="109"/>
      <c r="AK1346" s="109"/>
      <c r="AL1346" s="109"/>
      <c r="AM1346" s="109"/>
      <c r="AN1346" s="109"/>
      <c r="AO1346" s="109"/>
      <c r="AP1346" s="109"/>
      <c r="AQ1346" s="109"/>
      <c r="AR1346" s="109"/>
      <c r="AS1346" s="109"/>
      <c r="AT1346" s="109"/>
      <c r="AU1346" s="109"/>
      <c r="AV1346" s="109"/>
      <c r="AW1346" s="109"/>
      <c r="AX1346" s="109"/>
      <c r="AY1346" s="34" t="s">
        <v>237</v>
      </c>
      <c r="AZ1346" s="34"/>
      <c r="BA1346" s="1682"/>
      <c r="BB1346" s="48"/>
      <c r="BI1346" s="42"/>
    </row>
    <row r="1347" spans="1:61" s="24" customFormat="1" ht="26.1" hidden="1" customHeight="1">
      <c r="A1347" s="1676"/>
      <c r="B1347" s="1679"/>
      <c r="C1347" s="78" t="s">
        <v>138</v>
      </c>
      <c r="D1347" s="35">
        <f>F1347+E1347</f>
        <v>0.28000000000000014</v>
      </c>
      <c r="E1347" s="35"/>
      <c r="F1347" s="35">
        <f t="shared" si="253"/>
        <v>0.28000000000000014</v>
      </c>
      <c r="G1347" s="147">
        <f>G1344-G1345-G1346</f>
        <v>0.28000000000000014</v>
      </c>
      <c r="H1347" s="147">
        <f t="shared" ref="H1347:AX1347" si="261">H1344-H1345-H1346</f>
        <v>0</v>
      </c>
      <c r="I1347" s="147">
        <f t="shared" si="261"/>
        <v>0</v>
      </c>
      <c r="J1347" s="147">
        <f t="shared" si="261"/>
        <v>0</v>
      </c>
      <c r="K1347" s="147">
        <f t="shared" si="261"/>
        <v>0</v>
      </c>
      <c r="L1347" s="147">
        <f t="shared" si="261"/>
        <v>0</v>
      </c>
      <c r="M1347" s="147">
        <f t="shared" si="261"/>
        <v>0</v>
      </c>
      <c r="N1347" s="147">
        <f t="shared" si="261"/>
        <v>0</v>
      </c>
      <c r="O1347" s="147">
        <f t="shared" si="261"/>
        <v>0</v>
      </c>
      <c r="P1347" s="147">
        <f t="shared" si="261"/>
        <v>0</v>
      </c>
      <c r="Q1347" s="147">
        <f t="shared" si="261"/>
        <v>0</v>
      </c>
      <c r="R1347" s="147">
        <f t="shared" si="261"/>
        <v>0</v>
      </c>
      <c r="S1347" s="147">
        <f t="shared" si="261"/>
        <v>0</v>
      </c>
      <c r="T1347" s="147">
        <f t="shared" si="261"/>
        <v>0</v>
      </c>
      <c r="U1347" s="147">
        <f t="shared" si="261"/>
        <v>0</v>
      </c>
      <c r="V1347" s="147">
        <f t="shared" si="261"/>
        <v>0</v>
      </c>
      <c r="W1347" s="147">
        <f t="shared" si="261"/>
        <v>0</v>
      </c>
      <c r="X1347" s="147">
        <f t="shared" si="261"/>
        <v>0</v>
      </c>
      <c r="Y1347" s="147">
        <f t="shared" si="261"/>
        <v>0</v>
      </c>
      <c r="Z1347" s="147">
        <f t="shared" si="261"/>
        <v>0</v>
      </c>
      <c r="AA1347" s="147">
        <f t="shared" si="261"/>
        <v>0</v>
      </c>
      <c r="AB1347" s="147">
        <f t="shared" si="261"/>
        <v>0</v>
      </c>
      <c r="AC1347" s="147">
        <f t="shared" si="261"/>
        <v>0</v>
      </c>
      <c r="AD1347" s="147">
        <f t="shared" si="261"/>
        <v>0</v>
      </c>
      <c r="AE1347" s="147">
        <f t="shared" si="261"/>
        <v>0</v>
      </c>
      <c r="AF1347" s="147">
        <f t="shared" si="261"/>
        <v>0</v>
      </c>
      <c r="AG1347" s="147">
        <f t="shared" si="261"/>
        <v>0</v>
      </c>
      <c r="AH1347" s="147">
        <f t="shared" si="261"/>
        <v>0</v>
      </c>
      <c r="AI1347" s="147">
        <f t="shared" si="261"/>
        <v>0</v>
      </c>
      <c r="AJ1347" s="147">
        <f t="shared" si="261"/>
        <v>0</v>
      </c>
      <c r="AK1347" s="147">
        <f t="shared" si="261"/>
        <v>0</v>
      </c>
      <c r="AL1347" s="147">
        <f t="shared" si="261"/>
        <v>0</v>
      </c>
      <c r="AM1347" s="147">
        <f t="shared" si="261"/>
        <v>0</v>
      </c>
      <c r="AN1347" s="147">
        <f t="shared" si="261"/>
        <v>0</v>
      </c>
      <c r="AO1347" s="147">
        <f t="shared" si="261"/>
        <v>0</v>
      </c>
      <c r="AP1347" s="147">
        <f t="shared" si="261"/>
        <v>0</v>
      </c>
      <c r="AQ1347" s="147">
        <f t="shared" si="261"/>
        <v>0</v>
      </c>
      <c r="AR1347" s="147">
        <f t="shared" si="261"/>
        <v>0</v>
      </c>
      <c r="AS1347" s="147">
        <f t="shared" si="261"/>
        <v>0</v>
      </c>
      <c r="AT1347" s="147">
        <f t="shared" si="261"/>
        <v>0</v>
      </c>
      <c r="AU1347" s="147">
        <f t="shared" si="261"/>
        <v>0</v>
      </c>
      <c r="AV1347" s="147">
        <f t="shared" si="261"/>
        <v>0</v>
      </c>
      <c r="AW1347" s="147">
        <f t="shared" si="261"/>
        <v>0</v>
      </c>
      <c r="AX1347" s="147">
        <f t="shared" si="261"/>
        <v>0</v>
      </c>
      <c r="AY1347" s="34" t="s">
        <v>237</v>
      </c>
      <c r="AZ1347" s="34"/>
      <c r="BA1347" s="1682"/>
      <c r="BB1347" s="48"/>
      <c r="BI1347" s="42"/>
    </row>
    <row r="1348" spans="1:61" s="24" customFormat="1" ht="32.450000000000003" customHeight="1">
      <c r="A1348" s="1676"/>
      <c r="B1348" s="1679"/>
      <c r="C1348" s="78" t="s">
        <v>1260</v>
      </c>
      <c r="D1348" s="35">
        <f t="shared" si="250"/>
        <v>1.31</v>
      </c>
      <c r="E1348" s="35"/>
      <c r="F1348" s="35">
        <f t="shared" si="253"/>
        <v>1.31</v>
      </c>
      <c r="G1348" s="109">
        <v>1.31</v>
      </c>
      <c r="H1348" s="109"/>
      <c r="I1348" s="109"/>
      <c r="J1348" s="109"/>
      <c r="K1348" s="109"/>
      <c r="L1348" s="109"/>
      <c r="M1348" s="109"/>
      <c r="N1348" s="109"/>
      <c r="O1348" s="109"/>
      <c r="P1348" s="109"/>
      <c r="Q1348" s="109"/>
      <c r="R1348" s="109"/>
      <c r="S1348" s="109"/>
      <c r="T1348" s="109"/>
      <c r="U1348" s="109"/>
      <c r="V1348" s="109"/>
      <c r="W1348" s="109"/>
      <c r="X1348" s="109"/>
      <c r="Y1348" s="109"/>
      <c r="Z1348" s="109"/>
      <c r="AA1348" s="109"/>
      <c r="AB1348" s="109"/>
      <c r="AC1348" s="109"/>
      <c r="AD1348" s="109"/>
      <c r="AE1348" s="109"/>
      <c r="AF1348" s="109"/>
      <c r="AG1348" s="109"/>
      <c r="AH1348" s="109"/>
      <c r="AI1348" s="109"/>
      <c r="AJ1348" s="109"/>
      <c r="AK1348" s="109"/>
      <c r="AL1348" s="109"/>
      <c r="AM1348" s="109"/>
      <c r="AN1348" s="109"/>
      <c r="AO1348" s="109"/>
      <c r="AP1348" s="109"/>
      <c r="AQ1348" s="109"/>
      <c r="AR1348" s="109"/>
      <c r="AS1348" s="109"/>
      <c r="AT1348" s="109"/>
      <c r="AU1348" s="109"/>
      <c r="AV1348" s="109"/>
      <c r="AW1348" s="109"/>
      <c r="AX1348" s="109"/>
      <c r="AY1348" s="34" t="s">
        <v>237</v>
      </c>
      <c r="AZ1348" s="34" t="s">
        <v>1632</v>
      </c>
      <c r="BA1348" s="1682"/>
      <c r="BB1348" s="48"/>
      <c r="BI1348" s="42"/>
    </row>
    <row r="1349" spans="1:61" s="24" customFormat="1" ht="15.6" hidden="1" customHeight="1">
      <c r="A1349" s="1676"/>
      <c r="B1349" s="1679"/>
      <c r="C1349" s="78" t="s">
        <v>59</v>
      </c>
      <c r="D1349" s="35">
        <f>F1349+E1349</f>
        <v>0.57999999999999996</v>
      </c>
      <c r="E1349" s="35"/>
      <c r="F1349" s="35">
        <f t="shared" si="253"/>
        <v>0.57999999999999996</v>
      </c>
      <c r="G1349" s="109">
        <v>0.57999999999999996</v>
      </c>
      <c r="H1349" s="109"/>
      <c r="I1349" s="109"/>
      <c r="J1349" s="109"/>
      <c r="K1349" s="109"/>
      <c r="L1349" s="109"/>
      <c r="M1349" s="109"/>
      <c r="N1349" s="109"/>
      <c r="O1349" s="109"/>
      <c r="P1349" s="109"/>
      <c r="Q1349" s="109"/>
      <c r="R1349" s="109"/>
      <c r="S1349" s="109"/>
      <c r="T1349" s="109"/>
      <c r="U1349" s="109"/>
      <c r="V1349" s="109"/>
      <c r="W1349" s="109"/>
      <c r="X1349" s="109"/>
      <c r="Y1349" s="109"/>
      <c r="Z1349" s="109"/>
      <c r="AA1349" s="109"/>
      <c r="AB1349" s="109"/>
      <c r="AC1349" s="109"/>
      <c r="AD1349" s="109"/>
      <c r="AE1349" s="109"/>
      <c r="AF1349" s="109"/>
      <c r="AG1349" s="109"/>
      <c r="AH1349" s="109"/>
      <c r="AI1349" s="109"/>
      <c r="AJ1349" s="109"/>
      <c r="AK1349" s="109"/>
      <c r="AL1349" s="109"/>
      <c r="AM1349" s="109"/>
      <c r="AN1349" s="109"/>
      <c r="AO1349" s="109"/>
      <c r="AP1349" s="109"/>
      <c r="AQ1349" s="109"/>
      <c r="AR1349" s="109"/>
      <c r="AS1349" s="109"/>
      <c r="AT1349" s="109"/>
      <c r="AU1349" s="109"/>
      <c r="AV1349" s="109"/>
      <c r="AW1349" s="109"/>
      <c r="AX1349" s="109"/>
      <c r="AY1349" s="34" t="s">
        <v>237</v>
      </c>
      <c r="AZ1349" s="34"/>
      <c r="BA1349" s="1682"/>
      <c r="BB1349" s="48"/>
      <c r="BI1349" s="42"/>
    </row>
    <row r="1350" spans="1:61" s="24" customFormat="1" ht="15.6" hidden="1" customHeight="1">
      <c r="A1350" s="1676"/>
      <c r="B1350" s="1679"/>
      <c r="C1350" s="78" t="s">
        <v>44</v>
      </c>
      <c r="D1350" s="35">
        <f>F1350+E1350</f>
        <v>0.53</v>
      </c>
      <c r="E1350" s="35"/>
      <c r="F1350" s="35">
        <f t="shared" si="253"/>
        <v>0.53</v>
      </c>
      <c r="G1350" s="109">
        <v>0.53</v>
      </c>
      <c r="H1350" s="109"/>
      <c r="I1350" s="109"/>
      <c r="J1350" s="109"/>
      <c r="K1350" s="109"/>
      <c r="L1350" s="109"/>
      <c r="M1350" s="109"/>
      <c r="N1350" s="109"/>
      <c r="O1350" s="109"/>
      <c r="P1350" s="109"/>
      <c r="Q1350" s="109"/>
      <c r="R1350" s="109"/>
      <c r="S1350" s="109"/>
      <c r="T1350" s="109"/>
      <c r="U1350" s="109"/>
      <c r="V1350" s="109"/>
      <c r="W1350" s="109"/>
      <c r="X1350" s="109"/>
      <c r="Y1350" s="109"/>
      <c r="Z1350" s="109"/>
      <c r="AA1350" s="109"/>
      <c r="AB1350" s="109"/>
      <c r="AC1350" s="109"/>
      <c r="AD1350" s="109"/>
      <c r="AE1350" s="109"/>
      <c r="AF1350" s="109"/>
      <c r="AG1350" s="109"/>
      <c r="AH1350" s="109"/>
      <c r="AI1350" s="109"/>
      <c r="AJ1350" s="109"/>
      <c r="AK1350" s="109"/>
      <c r="AL1350" s="109"/>
      <c r="AM1350" s="109"/>
      <c r="AN1350" s="109"/>
      <c r="AO1350" s="109"/>
      <c r="AP1350" s="109"/>
      <c r="AQ1350" s="109"/>
      <c r="AR1350" s="109"/>
      <c r="AS1350" s="109"/>
      <c r="AT1350" s="109"/>
      <c r="AU1350" s="109"/>
      <c r="AV1350" s="109"/>
      <c r="AW1350" s="109"/>
      <c r="AX1350" s="109"/>
      <c r="AY1350" s="34" t="s">
        <v>237</v>
      </c>
      <c r="AZ1350" s="34"/>
      <c r="BA1350" s="1682"/>
      <c r="BB1350" s="48"/>
      <c r="BI1350" s="42"/>
    </row>
    <row r="1351" spans="1:61" s="24" customFormat="1" ht="15.6" hidden="1" customHeight="1">
      <c r="A1351" s="1676"/>
      <c r="B1351" s="1679"/>
      <c r="C1351" s="78" t="s">
        <v>138</v>
      </c>
      <c r="D1351" s="35">
        <f>F1351+E1351</f>
        <v>0.20000000000000007</v>
      </c>
      <c r="E1351" s="35"/>
      <c r="F1351" s="35">
        <f t="shared" si="253"/>
        <v>0.20000000000000007</v>
      </c>
      <c r="G1351" s="147">
        <f>G1348-G1349-G1350</f>
        <v>0.20000000000000007</v>
      </c>
      <c r="H1351" s="147">
        <f t="shared" ref="H1351:AX1351" si="262">H1348-H1349-H1350</f>
        <v>0</v>
      </c>
      <c r="I1351" s="147">
        <f t="shared" si="262"/>
        <v>0</v>
      </c>
      <c r="J1351" s="147">
        <f t="shared" si="262"/>
        <v>0</v>
      </c>
      <c r="K1351" s="147">
        <f t="shared" si="262"/>
        <v>0</v>
      </c>
      <c r="L1351" s="147">
        <f t="shared" si="262"/>
        <v>0</v>
      </c>
      <c r="M1351" s="147">
        <f t="shared" si="262"/>
        <v>0</v>
      </c>
      <c r="N1351" s="147">
        <f t="shared" si="262"/>
        <v>0</v>
      </c>
      <c r="O1351" s="147">
        <f t="shared" si="262"/>
        <v>0</v>
      </c>
      <c r="P1351" s="147">
        <f t="shared" si="262"/>
        <v>0</v>
      </c>
      <c r="Q1351" s="147">
        <f t="shared" si="262"/>
        <v>0</v>
      </c>
      <c r="R1351" s="147">
        <f t="shared" si="262"/>
        <v>0</v>
      </c>
      <c r="S1351" s="147">
        <f t="shared" si="262"/>
        <v>0</v>
      </c>
      <c r="T1351" s="147">
        <f t="shared" si="262"/>
        <v>0</v>
      </c>
      <c r="U1351" s="147">
        <f t="shared" si="262"/>
        <v>0</v>
      </c>
      <c r="V1351" s="147">
        <f t="shared" si="262"/>
        <v>0</v>
      </c>
      <c r="W1351" s="147">
        <f t="shared" si="262"/>
        <v>0</v>
      </c>
      <c r="X1351" s="147">
        <f t="shared" si="262"/>
        <v>0</v>
      </c>
      <c r="Y1351" s="147">
        <f t="shared" si="262"/>
        <v>0</v>
      </c>
      <c r="Z1351" s="147">
        <f t="shared" si="262"/>
        <v>0</v>
      </c>
      <c r="AA1351" s="147">
        <f t="shared" si="262"/>
        <v>0</v>
      </c>
      <c r="AB1351" s="147">
        <f t="shared" si="262"/>
        <v>0</v>
      </c>
      <c r="AC1351" s="147">
        <f t="shared" si="262"/>
        <v>0</v>
      </c>
      <c r="AD1351" s="147">
        <f t="shared" si="262"/>
        <v>0</v>
      </c>
      <c r="AE1351" s="147">
        <f t="shared" si="262"/>
        <v>0</v>
      </c>
      <c r="AF1351" s="147">
        <f t="shared" si="262"/>
        <v>0</v>
      </c>
      <c r="AG1351" s="147">
        <f t="shared" si="262"/>
        <v>0</v>
      </c>
      <c r="AH1351" s="147">
        <f t="shared" si="262"/>
        <v>0</v>
      </c>
      <c r="AI1351" s="147">
        <f t="shared" si="262"/>
        <v>0</v>
      </c>
      <c r="AJ1351" s="147">
        <f t="shared" si="262"/>
        <v>0</v>
      </c>
      <c r="AK1351" s="147">
        <f t="shared" si="262"/>
        <v>0</v>
      </c>
      <c r="AL1351" s="147">
        <f t="shared" si="262"/>
        <v>0</v>
      </c>
      <c r="AM1351" s="147">
        <f t="shared" si="262"/>
        <v>0</v>
      </c>
      <c r="AN1351" s="147">
        <f t="shared" si="262"/>
        <v>0</v>
      </c>
      <c r="AO1351" s="147">
        <f t="shared" si="262"/>
        <v>0</v>
      </c>
      <c r="AP1351" s="147">
        <f t="shared" si="262"/>
        <v>0</v>
      </c>
      <c r="AQ1351" s="147">
        <f t="shared" si="262"/>
        <v>0</v>
      </c>
      <c r="AR1351" s="147">
        <f t="shared" si="262"/>
        <v>0</v>
      </c>
      <c r="AS1351" s="147">
        <f t="shared" si="262"/>
        <v>0</v>
      </c>
      <c r="AT1351" s="147">
        <f t="shared" si="262"/>
        <v>0</v>
      </c>
      <c r="AU1351" s="147">
        <f t="shared" si="262"/>
        <v>0</v>
      </c>
      <c r="AV1351" s="147">
        <f t="shared" si="262"/>
        <v>0</v>
      </c>
      <c r="AW1351" s="147">
        <f t="shared" si="262"/>
        <v>0</v>
      </c>
      <c r="AX1351" s="147">
        <f t="shared" si="262"/>
        <v>0</v>
      </c>
      <c r="AY1351" s="34" t="s">
        <v>237</v>
      </c>
      <c r="AZ1351" s="34"/>
      <c r="BA1351" s="1682"/>
      <c r="BB1351" s="48"/>
      <c r="BI1351" s="42"/>
    </row>
    <row r="1352" spans="1:61" s="24" customFormat="1" ht="17.45" customHeight="1">
      <c r="A1352" s="1676"/>
      <c r="B1352" s="1679"/>
      <c r="C1352" s="78" t="s">
        <v>1260</v>
      </c>
      <c r="D1352" s="35">
        <f t="shared" si="250"/>
        <v>0.38</v>
      </c>
      <c r="E1352" s="35"/>
      <c r="F1352" s="35">
        <f t="shared" si="253"/>
        <v>0.38</v>
      </c>
      <c r="G1352" s="109">
        <v>0.38</v>
      </c>
      <c r="H1352" s="109"/>
      <c r="I1352" s="109"/>
      <c r="J1352" s="109"/>
      <c r="K1352" s="109"/>
      <c r="L1352" s="109"/>
      <c r="M1352" s="109"/>
      <c r="N1352" s="109"/>
      <c r="O1352" s="109"/>
      <c r="P1352" s="109"/>
      <c r="Q1352" s="109"/>
      <c r="R1352" s="109"/>
      <c r="S1352" s="109"/>
      <c r="T1352" s="109"/>
      <c r="U1352" s="109"/>
      <c r="V1352" s="109"/>
      <c r="W1352" s="109"/>
      <c r="X1352" s="109"/>
      <c r="Y1352" s="109"/>
      <c r="Z1352" s="109"/>
      <c r="AA1352" s="109"/>
      <c r="AB1352" s="109"/>
      <c r="AC1352" s="109"/>
      <c r="AD1352" s="109"/>
      <c r="AE1352" s="109"/>
      <c r="AF1352" s="109"/>
      <c r="AG1352" s="109"/>
      <c r="AH1352" s="109"/>
      <c r="AI1352" s="109"/>
      <c r="AJ1352" s="109"/>
      <c r="AK1352" s="109"/>
      <c r="AL1352" s="109"/>
      <c r="AM1352" s="109"/>
      <c r="AN1352" s="109"/>
      <c r="AO1352" s="109"/>
      <c r="AP1352" s="109"/>
      <c r="AQ1352" s="109"/>
      <c r="AR1352" s="109"/>
      <c r="AS1352" s="109"/>
      <c r="AT1352" s="109"/>
      <c r="AU1352" s="109"/>
      <c r="AV1352" s="109"/>
      <c r="AW1352" s="109"/>
      <c r="AX1352" s="109"/>
      <c r="AY1352" s="34" t="s">
        <v>237</v>
      </c>
      <c r="AZ1352" s="34" t="s">
        <v>1633</v>
      </c>
      <c r="BA1352" s="1683"/>
      <c r="BB1352" s="48"/>
      <c r="BI1352" s="42"/>
    </row>
    <row r="1353" spans="1:61" s="24" customFormat="1" hidden="1">
      <c r="A1353" s="1676"/>
      <c r="B1353" s="1679"/>
      <c r="C1353" s="78" t="s">
        <v>59</v>
      </c>
      <c r="D1353" s="35">
        <f>F1353+E1353</f>
        <v>0.17</v>
      </c>
      <c r="E1353" s="35"/>
      <c r="F1353" s="35">
        <f t="shared" si="253"/>
        <v>0.17</v>
      </c>
      <c r="G1353" s="109">
        <v>0.17</v>
      </c>
      <c r="H1353" s="109"/>
      <c r="I1353" s="109"/>
      <c r="J1353" s="109"/>
      <c r="K1353" s="109"/>
      <c r="L1353" s="109"/>
      <c r="M1353" s="109"/>
      <c r="N1353" s="109"/>
      <c r="O1353" s="109"/>
      <c r="P1353" s="109"/>
      <c r="Q1353" s="109"/>
      <c r="R1353" s="109"/>
      <c r="S1353" s="109"/>
      <c r="T1353" s="109"/>
      <c r="U1353" s="109"/>
      <c r="V1353" s="109"/>
      <c r="W1353" s="109"/>
      <c r="X1353" s="109"/>
      <c r="Y1353" s="109"/>
      <c r="Z1353" s="109"/>
      <c r="AA1353" s="109"/>
      <c r="AB1353" s="109"/>
      <c r="AC1353" s="109"/>
      <c r="AD1353" s="109"/>
      <c r="AE1353" s="109"/>
      <c r="AF1353" s="109"/>
      <c r="AG1353" s="109"/>
      <c r="AH1353" s="109"/>
      <c r="AI1353" s="109"/>
      <c r="AJ1353" s="109"/>
      <c r="AK1353" s="109"/>
      <c r="AL1353" s="109"/>
      <c r="AM1353" s="109"/>
      <c r="AN1353" s="109"/>
      <c r="AO1353" s="109"/>
      <c r="AP1353" s="109"/>
      <c r="AQ1353" s="109"/>
      <c r="AR1353" s="109"/>
      <c r="AS1353" s="109"/>
      <c r="AT1353" s="109"/>
      <c r="AU1353" s="109"/>
      <c r="AV1353" s="109"/>
      <c r="AW1353" s="109"/>
      <c r="AX1353" s="109"/>
      <c r="AY1353" s="34" t="s">
        <v>237</v>
      </c>
      <c r="AZ1353" s="34"/>
      <c r="BA1353" s="47"/>
      <c r="BB1353" s="48"/>
      <c r="BI1353" s="42"/>
    </row>
    <row r="1354" spans="1:61" s="24" customFormat="1" hidden="1">
      <c r="A1354" s="1676"/>
      <c r="B1354" s="1679"/>
      <c r="C1354" s="78" t="s">
        <v>44</v>
      </c>
      <c r="D1354" s="35">
        <f>F1354+E1354</f>
        <v>0.14000000000000001</v>
      </c>
      <c r="E1354" s="35"/>
      <c r="F1354" s="35">
        <f t="shared" si="253"/>
        <v>0.14000000000000001</v>
      </c>
      <c r="G1354" s="109">
        <v>0.14000000000000001</v>
      </c>
      <c r="H1354" s="109"/>
      <c r="I1354" s="109"/>
      <c r="J1354" s="109"/>
      <c r="K1354" s="109"/>
      <c r="L1354" s="109"/>
      <c r="M1354" s="109"/>
      <c r="N1354" s="109"/>
      <c r="O1354" s="109"/>
      <c r="P1354" s="109"/>
      <c r="Q1354" s="109"/>
      <c r="R1354" s="109"/>
      <c r="S1354" s="109"/>
      <c r="T1354" s="109"/>
      <c r="U1354" s="109"/>
      <c r="V1354" s="109"/>
      <c r="W1354" s="109"/>
      <c r="X1354" s="109"/>
      <c r="Y1354" s="109"/>
      <c r="Z1354" s="109"/>
      <c r="AA1354" s="109"/>
      <c r="AB1354" s="109"/>
      <c r="AC1354" s="109"/>
      <c r="AD1354" s="109"/>
      <c r="AE1354" s="109"/>
      <c r="AF1354" s="109"/>
      <c r="AG1354" s="109"/>
      <c r="AH1354" s="109"/>
      <c r="AI1354" s="109"/>
      <c r="AJ1354" s="109"/>
      <c r="AK1354" s="109"/>
      <c r="AL1354" s="109"/>
      <c r="AM1354" s="109"/>
      <c r="AN1354" s="109"/>
      <c r="AO1354" s="109"/>
      <c r="AP1354" s="109"/>
      <c r="AQ1354" s="109"/>
      <c r="AR1354" s="109"/>
      <c r="AS1354" s="109"/>
      <c r="AT1354" s="109"/>
      <c r="AU1354" s="109"/>
      <c r="AV1354" s="109"/>
      <c r="AW1354" s="109"/>
      <c r="AX1354" s="109"/>
      <c r="AY1354" s="34" t="s">
        <v>237</v>
      </c>
      <c r="AZ1354" s="34"/>
      <c r="BA1354" s="47"/>
      <c r="BB1354" s="48"/>
      <c r="BI1354" s="42"/>
    </row>
    <row r="1355" spans="1:61" s="24" customFormat="1" hidden="1">
      <c r="A1355" s="1677"/>
      <c r="B1355" s="1680"/>
      <c r="C1355" s="78" t="s">
        <v>138</v>
      </c>
      <c r="D1355" s="35">
        <f>F1355+E1355</f>
        <v>6.9999999999999979E-2</v>
      </c>
      <c r="E1355" s="35"/>
      <c r="F1355" s="35">
        <f t="shared" si="253"/>
        <v>6.9999999999999979E-2</v>
      </c>
      <c r="G1355" s="147">
        <f>G1352-G1353-G1354</f>
        <v>6.9999999999999979E-2</v>
      </c>
      <c r="H1355" s="147">
        <f t="shared" ref="H1355:AX1355" si="263">H1352-H1353-H1354</f>
        <v>0</v>
      </c>
      <c r="I1355" s="147">
        <f t="shared" si="263"/>
        <v>0</v>
      </c>
      <c r="J1355" s="147">
        <f t="shared" si="263"/>
        <v>0</v>
      </c>
      <c r="K1355" s="147">
        <f t="shared" si="263"/>
        <v>0</v>
      </c>
      <c r="L1355" s="147">
        <f t="shared" si="263"/>
        <v>0</v>
      </c>
      <c r="M1355" s="147">
        <f t="shared" si="263"/>
        <v>0</v>
      </c>
      <c r="N1355" s="147">
        <f t="shared" si="263"/>
        <v>0</v>
      </c>
      <c r="O1355" s="147">
        <f t="shared" si="263"/>
        <v>0</v>
      </c>
      <c r="P1355" s="147">
        <f t="shared" si="263"/>
        <v>0</v>
      </c>
      <c r="Q1355" s="147">
        <f t="shared" si="263"/>
        <v>0</v>
      </c>
      <c r="R1355" s="147">
        <f t="shared" si="263"/>
        <v>0</v>
      </c>
      <c r="S1355" s="147">
        <f t="shared" si="263"/>
        <v>0</v>
      </c>
      <c r="T1355" s="147">
        <f t="shared" si="263"/>
        <v>0</v>
      </c>
      <c r="U1355" s="147">
        <f t="shared" si="263"/>
        <v>0</v>
      </c>
      <c r="V1355" s="147">
        <f t="shared" si="263"/>
        <v>0</v>
      </c>
      <c r="W1355" s="147">
        <f t="shared" si="263"/>
        <v>0</v>
      </c>
      <c r="X1355" s="147">
        <f t="shared" si="263"/>
        <v>0</v>
      </c>
      <c r="Y1355" s="147">
        <f t="shared" si="263"/>
        <v>0</v>
      </c>
      <c r="Z1355" s="147">
        <f t="shared" si="263"/>
        <v>0</v>
      </c>
      <c r="AA1355" s="147">
        <f t="shared" si="263"/>
        <v>0</v>
      </c>
      <c r="AB1355" s="147">
        <f t="shared" si="263"/>
        <v>0</v>
      </c>
      <c r="AC1355" s="147">
        <f t="shared" si="263"/>
        <v>0</v>
      </c>
      <c r="AD1355" s="147">
        <f t="shared" si="263"/>
        <v>0</v>
      </c>
      <c r="AE1355" s="147">
        <f t="shared" si="263"/>
        <v>0</v>
      </c>
      <c r="AF1355" s="147">
        <f t="shared" si="263"/>
        <v>0</v>
      </c>
      <c r="AG1355" s="147">
        <f t="shared" si="263"/>
        <v>0</v>
      </c>
      <c r="AH1355" s="147">
        <f t="shared" si="263"/>
        <v>0</v>
      </c>
      <c r="AI1355" s="147">
        <f t="shared" si="263"/>
        <v>0</v>
      </c>
      <c r="AJ1355" s="147">
        <f t="shared" si="263"/>
        <v>0</v>
      </c>
      <c r="AK1355" s="147">
        <f t="shared" si="263"/>
        <v>0</v>
      </c>
      <c r="AL1355" s="147">
        <f t="shared" si="263"/>
        <v>0</v>
      </c>
      <c r="AM1355" s="147">
        <f t="shared" si="263"/>
        <v>0</v>
      </c>
      <c r="AN1355" s="147">
        <f t="shared" si="263"/>
        <v>0</v>
      </c>
      <c r="AO1355" s="147">
        <f t="shared" si="263"/>
        <v>0</v>
      </c>
      <c r="AP1355" s="147">
        <f t="shared" si="263"/>
        <v>0</v>
      </c>
      <c r="AQ1355" s="147">
        <f t="shared" si="263"/>
        <v>0</v>
      </c>
      <c r="AR1355" s="147">
        <f t="shared" si="263"/>
        <v>0</v>
      </c>
      <c r="AS1355" s="147">
        <f t="shared" si="263"/>
        <v>0</v>
      </c>
      <c r="AT1355" s="147">
        <f t="shared" si="263"/>
        <v>0</v>
      </c>
      <c r="AU1355" s="147">
        <f t="shared" si="263"/>
        <v>0</v>
      </c>
      <c r="AV1355" s="147">
        <f t="shared" si="263"/>
        <v>0</v>
      </c>
      <c r="AW1355" s="147">
        <f t="shared" si="263"/>
        <v>0</v>
      </c>
      <c r="AX1355" s="147">
        <f t="shared" si="263"/>
        <v>0</v>
      </c>
      <c r="AY1355" s="34" t="s">
        <v>237</v>
      </c>
      <c r="AZ1355" s="34"/>
      <c r="BA1355" s="47"/>
      <c r="BB1355" s="48"/>
      <c r="BI1355" s="42"/>
    </row>
    <row r="1356" spans="1:61" s="24" customFormat="1" ht="63.6" customHeight="1">
      <c r="A1356" s="32">
        <f>A1344+1</f>
        <v>809</v>
      </c>
      <c r="B1356" s="56" t="s">
        <v>1534</v>
      </c>
      <c r="C1356" s="78" t="s">
        <v>59</v>
      </c>
      <c r="D1356" s="35">
        <f t="shared" si="250"/>
        <v>0.08</v>
      </c>
      <c r="E1356" s="35"/>
      <c r="F1356" s="35">
        <f t="shared" si="253"/>
        <v>0.08</v>
      </c>
      <c r="G1356" s="109"/>
      <c r="H1356" s="109"/>
      <c r="I1356" s="109"/>
      <c r="J1356" s="109">
        <v>0.02</v>
      </c>
      <c r="K1356" s="109"/>
      <c r="L1356" s="109"/>
      <c r="M1356" s="109">
        <v>0.03</v>
      </c>
      <c r="N1356" s="109"/>
      <c r="O1356" s="109"/>
      <c r="P1356" s="109">
        <v>0.03</v>
      </c>
      <c r="Q1356" s="109"/>
      <c r="R1356" s="109"/>
      <c r="S1356" s="109"/>
      <c r="T1356" s="109"/>
      <c r="U1356" s="109"/>
      <c r="V1356" s="109"/>
      <c r="W1356" s="109"/>
      <c r="X1356" s="109"/>
      <c r="Y1356" s="109"/>
      <c r="Z1356" s="109"/>
      <c r="AA1356" s="109"/>
      <c r="AB1356" s="109"/>
      <c r="AC1356" s="109"/>
      <c r="AD1356" s="109"/>
      <c r="AE1356" s="109"/>
      <c r="AF1356" s="109"/>
      <c r="AG1356" s="109"/>
      <c r="AH1356" s="109"/>
      <c r="AI1356" s="109"/>
      <c r="AJ1356" s="109"/>
      <c r="AK1356" s="109"/>
      <c r="AL1356" s="109"/>
      <c r="AM1356" s="109"/>
      <c r="AN1356" s="109"/>
      <c r="AO1356" s="109"/>
      <c r="AP1356" s="109"/>
      <c r="AQ1356" s="109"/>
      <c r="AR1356" s="109"/>
      <c r="AS1356" s="109"/>
      <c r="AT1356" s="109"/>
      <c r="AU1356" s="109"/>
      <c r="AV1356" s="109"/>
      <c r="AW1356" s="109"/>
      <c r="AX1356" s="109"/>
      <c r="AY1356" s="34" t="s">
        <v>237</v>
      </c>
      <c r="AZ1356" s="34" t="s">
        <v>1634</v>
      </c>
      <c r="BA1356" s="63" t="s">
        <v>291</v>
      </c>
      <c r="BB1356" s="135"/>
      <c r="BI1356" s="42">
        <v>1</v>
      </c>
    </row>
    <row r="1357" spans="1:61" s="24" customFormat="1" ht="21.6" customHeight="1">
      <c r="A1357" s="32">
        <f>A1356+1</f>
        <v>810</v>
      </c>
      <c r="B1357" s="60" t="s">
        <v>1299</v>
      </c>
      <c r="C1357" s="78" t="s">
        <v>59</v>
      </c>
      <c r="D1357" s="35">
        <f t="shared" si="250"/>
        <v>1.1499999999999999</v>
      </c>
      <c r="E1357" s="108"/>
      <c r="F1357" s="35">
        <f t="shared" si="253"/>
        <v>1.1499999999999999</v>
      </c>
      <c r="G1357" s="109"/>
      <c r="H1357" s="109"/>
      <c r="I1357" s="109">
        <v>0.15</v>
      </c>
      <c r="J1357" s="109">
        <v>1</v>
      </c>
      <c r="K1357" s="109"/>
      <c r="L1357" s="109"/>
      <c r="M1357" s="109"/>
      <c r="N1357" s="109"/>
      <c r="O1357" s="109"/>
      <c r="P1357" s="109"/>
      <c r="Q1357" s="109"/>
      <c r="R1357" s="109"/>
      <c r="S1357" s="109"/>
      <c r="T1357" s="109"/>
      <c r="U1357" s="109"/>
      <c r="V1357" s="109"/>
      <c r="W1357" s="109"/>
      <c r="X1357" s="109"/>
      <c r="Y1357" s="109"/>
      <c r="Z1357" s="109"/>
      <c r="AA1357" s="109"/>
      <c r="AB1357" s="109"/>
      <c r="AC1357" s="109"/>
      <c r="AD1357" s="109"/>
      <c r="AE1357" s="109"/>
      <c r="AF1357" s="109"/>
      <c r="AG1357" s="109"/>
      <c r="AH1357" s="109"/>
      <c r="AI1357" s="109"/>
      <c r="AJ1357" s="109"/>
      <c r="AK1357" s="109"/>
      <c r="AL1357" s="109"/>
      <c r="AM1357" s="109"/>
      <c r="AN1357" s="109"/>
      <c r="AO1357" s="109"/>
      <c r="AP1357" s="109"/>
      <c r="AQ1357" s="109"/>
      <c r="AR1357" s="109"/>
      <c r="AS1357" s="109"/>
      <c r="AT1357" s="109"/>
      <c r="AU1357" s="109"/>
      <c r="AV1357" s="109"/>
      <c r="AW1357" s="109"/>
      <c r="AX1357" s="109"/>
      <c r="AY1357" s="34" t="s">
        <v>237</v>
      </c>
      <c r="AZ1357" s="34" t="s">
        <v>615</v>
      </c>
      <c r="BA1357" s="63" t="s">
        <v>291</v>
      </c>
      <c r="BB1357" s="64"/>
      <c r="BI1357" s="42">
        <v>1</v>
      </c>
    </row>
    <row r="1358" spans="1:61" s="24" customFormat="1" ht="21.6" customHeight="1">
      <c r="A1358" s="32" t="s">
        <v>1635</v>
      </c>
      <c r="B1358" s="158" t="s">
        <v>186</v>
      </c>
      <c r="C1358" s="78" t="s">
        <v>1260</v>
      </c>
      <c r="D1358" s="35">
        <f>F1358+E1358</f>
        <v>10.86</v>
      </c>
      <c r="E1358" s="89">
        <f>E1359+E1363+E1364+E1365+E1366+E1367+E1368+E1369+E1373+E1374+E1375+E1376+E1377+E1378+E1382+E1383+E1387+E1391+E1392+E1393+E1401+E1402+E1406+E1410+E1414+E1415</f>
        <v>0</v>
      </c>
      <c r="F1358" s="141">
        <f>F1359+F1363+F1364+F1365+F1366+F1367+F1368+F1369+F1373+F1374+F1375+F1376+F1377+F1378+F1382+F1383+F1387+F1391+F1392+F1393+F1401+F1402+F1406+F1410+F1414+F1415+F1397</f>
        <v>10.86</v>
      </c>
      <c r="G1358" s="141">
        <f t="shared" ref="G1358:AX1358" si="264">G1359+G1363+G1364+G1365+G1366+G1367+G1368+G1369+G1373+G1374+G1375+G1376+G1377+G1378+G1382+G1383+G1387+G1391+G1392+G1393+G1401+G1402+G1406+G1410+G1414+G1415+G1397</f>
        <v>3.46</v>
      </c>
      <c r="H1358" s="141">
        <f t="shared" si="264"/>
        <v>4.12</v>
      </c>
      <c r="I1358" s="141">
        <f t="shared" si="264"/>
        <v>0.79999999999999993</v>
      </c>
      <c r="J1358" s="141">
        <f t="shared" si="264"/>
        <v>0.73</v>
      </c>
      <c r="K1358" s="141">
        <f t="shared" si="264"/>
        <v>0</v>
      </c>
      <c r="L1358" s="141">
        <f t="shared" si="264"/>
        <v>0</v>
      </c>
      <c r="M1358" s="141">
        <f t="shared" si="264"/>
        <v>1.2999999999999998</v>
      </c>
      <c r="N1358" s="141">
        <f t="shared" si="264"/>
        <v>0</v>
      </c>
      <c r="O1358" s="141">
        <f t="shared" si="264"/>
        <v>0</v>
      </c>
      <c r="P1358" s="141">
        <f t="shared" si="264"/>
        <v>0</v>
      </c>
      <c r="Q1358" s="141">
        <f t="shared" si="264"/>
        <v>0</v>
      </c>
      <c r="R1358" s="141">
        <f t="shared" si="264"/>
        <v>0</v>
      </c>
      <c r="S1358" s="141">
        <f t="shared" si="264"/>
        <v>0</v>
      </c>
      <c r="T1358" s="141">
        <f t="shared" si="264"/>
        <v>0</v>
      </c>
      <c r="U1358" s="141">
        <f t="shared" si="264"/>
        <v>0</v>
      </c>
      <c r="V1358" s="141">
        <f t="shared" si="264"/>
        <v>0</v>
      </c>
      <c r="W1358" s="141">
        <f t="shared" si="264"/>
        <v>0</v>
      </c>
      <c r="X1358" s="141">
        <f t="shared" si="264"/>
        <v>0</v>
      </c>
      <c r="Y1358" s="141">
        <f t="shared" si="264"/>
        <v>0</v>
      </c>
      <c r="Z1358" s="141">
        <f t="shared" si="264"/>
        <v>0.30000000000000004</v>
      </c>
      <c r="AA1358" s="141">
        <f t="shared" si="264"/>
        <v>0</v>
      </c>
      <c r="AB1358" s="141">
        <f t="shared" si="264"/>
        <v>0</v>
      </c>
      <c r="AC1358" s="141">
        <f t="shared" si="264"/>
        <v>0</v>
      </c>
      <c r="AD1358" s="141">
        <f t="shared" si="264"/>
        <v>0</v>
      </c>
      <c r="AE1358" s="141">
        <f t="shared" si="264"/>
        <v>0</v>
      </c>
      <c r="AF1358" s="141">
        <f t="shared" si="264"/>
        <v>0</v>
      </c>
      <c r="AG1358" s="141">
        <f t="shared" si="264"/>
        <v>0</v>
      </c>
      <c r="AH1358" s="141">
        <f t="shared" si="264"/>
        <v>0</v>
      </c>
      <c r="AI1358" s="141">
        <f t="shared" si="264"/>
        <v>0</v>
      </c>
      <c r="AJ1358" s="141">
        <f t="shared" si="264"/>
        <v>0</v>
      </c>
      <c r="AK1358" s="141">
        <f t="shared" si="264"/>
        <v>0</v>
      </c>
      <c r="AL1358" s="141">
        <f t="shared" si="264"/>
        <v>0</v>
      </c>
      <c r="AM1358" s="141">
        <f t="shared" si="264"/>
        <v>0</v>
      </c>
      <c r="AN1358" s="141">
        <f t="shared" si="264"/>
        <v>0</v>
      </c>
      <c r="AO1358" s="141">
        <f t="shared" si="264"/>
        <v>0</v>
      </c>
      <c r="AP1358" s="141">
        <f t="shared" si="264"/>
        <v>0.15</v>
      </c>
      <c r="AQ1358" s="141">
        <f t="shared" si="264"/>
        <v>0</v>
      </c>
      <c r="AR1358" s="141">
        <f t="shared" si="264"/>
        <v>0</v>
      </c>
      <c r="AS1358" s="141">
        <f t="shared" si="264"/>
        <v>0</v>
      </c>
      <c r="AT1358" s="141">
        <f t="shared" si="264"/>
        <v>0</v>
      </c>
      <c r="AU1358" s="141">
        <f t="shared" si="264"/>
        <v>0</v>
      </c>
      <c r="AV1358" s="141">
        <f t="shared" si="264"/>
        <v>0</v>
      </c>
      <c r="AW1358" s="141">
        <f t="shared" si="264"/>
        <v>0</v>
      </c>
      <c r="AX1358" s="141">
        <f t="shared" si="264"/>
        <v>0</v>
      </c>
      <c r="AY1358" s="47" t="s">
        <v>238</v>
      </c>
      <c r="AZ1358" s="34"/>
      <c r="BA1358" s="63"/>
      <c r="BB1358" s="64"/>
      <c r="BI1358" s="42"/>
    </row>
    <row r="1359" spans="1:61" s="24" customFormat="1" ht="23.85" customHeight="1">
      <c r="A1359" s="32">
        <f>A1357+1</f>
        <v>811</v>
      </c>
      <c r="B1359" s="158" t="s">
        <v>186</v>
      </c>
      <c r="C1359" s="78" t="s">
        <v>1260</v>
      </c>
      <c r="D1359" s="35">
        <f t="shared" si="250"/>
        <v>0.65</v>
      </c>
      <c r="E1359" s="35"/>
      <c r="F1359" s="35">
        <f t="shared" si="253"/>
        <v>0.65</v>
      </c>
      <c r="G1359" s="109"/>
      <c r="H1359" s="109"/>
      <c r="I1359" s="109"/>
      <c r="J1359" s="109"/>
      <c r="K1359" s="109"/>
      <c r="L1359" s="109"/>
      <c r="M1359" s="109">
        <v>0.65</v>
      </c>
      <c r="N1359" s="109"/>
      <c r="O1359" s="109"/>
      <c r="P1359" s="109"/>
      <c r="Q1359" s="109"/>
      <c r="R1359" s="109"/>
      <c r="S1359" s="109"/>
      <c r="T1359" s="109"/>
      <c r="U1359" s="109"/>
      <c r="V1359" s="109"/>
      <c r="W1359" s="109"/>
      <c r="X1359" s="109"/>
      <c r="Y1359" s="109"/>
      <c r="Z1359" s="109"/>
      <c r="AA1359" s="109"/>
      <c r="AB1359" s="109"/>
      <c r="AC1359" s="109"/>
      <c r="AD1359" s="109"/>
      <c r="AE1359" s="109"/>
      <c r="AF1359" s="109"/>
      <c r="AG1359" s="109"/>
      <c r="AH1359" s="109"/>
      <c r="AI1359" s="109"/>
      <c r="AJ1359" s="109"/>
      <c r="AK1359" s="109"/>
      <c r="AL1359" s="109"/>
      <c r="AM1359" s="109"/>
      <c r="AN1359" s="109"/>
      <c r="AO1359" s="109"/>
      <c r="AP1359" s="109"/>
      <c r="AQ1359" s="109"/>
      <c r="AR1359" s="109"/>
      <c r="AS1359" s="109"/>
      <c r="AT1359" s="109"/>
      <c r="AU1359" s="109"/>
      <c r="AV1359" s="109"/>
      <c r="AW1359" s="109"/>
      <c r="AX1359" s="109"/>
      <c r="AY1359" s="47" t="s">
        <v>238</v>
      </c>
      <c r="AZ1359" s="47" t="s">
        <v>1636</v>
      </c>
      <c r="BA1359" s="63" t="s">
        <v>291</v>
      </c>
      <c r="BB1359" s="63"/>
      <c r="BC1359" s="149" t="s">
        <v>1637</v>
      </c>
      <c r="BI1359" s="42">
        <v>1</v>
      </c>
    </row>
    <row r="1360" spans="1:61" s="24" customFormat="1" ht="23.85" hidden="1" customHeight="1">
      <c r="A1360" s="32"/>
      <c r="B1360" s="158"/>
      <c r="C1360" s="78" t="s">
        <v>59</v>
      </c>
      <c r="D1360" s="35">
        <f>F1360+E1360</f>
        <v>0.23</v>
      </c>
      <c r="E1360" s="76"/>
      <c r="F1360" s="35">
        <f t="shared" si="253"/>
        <v>0.23</v>
      </c>
      <c r="G1360" s="109"/>
      <c r="H1360" s="109"/>
      <c r="I1360" s="109"/>
      <c r="J1360" s="109"/>
      <c r="K1360" s="109"/>
      <c r="L1360" s="109"/>
      <c r="M1360" s="109">
        <v>0.23</v>
      </c>
      <c r="N1360" s="109"/>
      <c r="O1360" s="109"/>
      <c r="P1360" s="109"/>
      <c r="Q1360" s="109"/>
      <c r="R1360" s="109"/>
      <c r="S1360" s="109"/>
      <c r="T1360" s="109"/>
      <c r="U1360" s="109"/>
      <c r="V1360" s="109"/>
      <c r="W1360" s="109"/>
      <c r="X1360" s="109"/>
      <c r="Y1360" s="109"/>
      <c r="Z1360" s="109"/>
      <c r="AA1360" s="109"/>
      <c r="AB1360" s="109"/>
      <c r="AC1360" s="109"/>
      <c r="AD1360" s="109"/>
      <c r="AE1360" s="109"/>
      <c r="AF1360" s="109"/>
      <c r="AG1360" s="109"/>
      <c r="AH1360" s="109"/>
      <c r="AI1360" s="109"/>
      <c r="AJ1360" s="109"/>
      <c r="AK1360" s="109"/>
      <c r="AL1360" s="109"/>
      <c r="AM1360" s="109"/>
      <c r="AN1360" s="109"/>
      <c r="AO1360" s="109"/>
      <c r="AP1360" s="109"/>
      <c r="AQ1360" s="109"/>
      <c r="AR1360" s="109"/>
      <c r="AS1360" s="109"/>
      <c r="AT1360" s="109"/>
      <c r="AU1360" s="109"/>
      <c r="AV1360" s="109"/>
      <c r="AW1360" s="109"/>
      <c r="AX1360" s="109"/>
      <c r="AY1360" s="47" t="s">
        <v>238</v>
      </c>
      <c r="AZ1360" s="47"/>
      <c r="BA1360" s="63"/>
      <c r="BB1360" s="63"/>
      <c r="BC1360" s="149"/>
      <c r="BI1360" s="42"/>
    </row>
    <row r="1361" spans="1:61" s="24" customFormat="1" ht="23.85" hidden="1" customHeight="1">
      <c r="A1361" s="32"/>
      <c r="B1361" s="158"/>
      <c r="C1361" s="78" t="s">
        <v>44</v>
      </c>
      <c r="D1361" s="35">
        <f>F1361+E1361</f>
        <v>0.26</v>
      </c>
      <c r="E1361" s="76"/>
      <c r="F1361" s="35">
        <f t="shared" si="253"/>
        <v>0.26</v>
      </c>
      <c r="G1361" s="109"/>
      <c r="H1361" s="109"/>
      <c r="I1361" s="109"/>
      <c r="J1361" s="109"/>
      <c r="K1361" s="109"/>
      <c r="L1361" s="109"/>
      <c r="M1361" s="109">
        <v>0.26</v>
      </c>
      <c r="N1361" s="109"/>
      <c r="O1361" s="109"/>
      <c r="P1361" s="109"/>
      <c r="Q1361" s="109"/>
      <c r="R1361" s="109"/>
      <c r="S1361" s="109"/>
      <c r="T1361" s="109"/>
      <c r="U1361" s="109"/>
      <c r="V1361" s="109"/>
      <c r="W1361" s="109"/>
      <c r="X1361" s="109"/>
      <c r="Y1361" s="109"/>
      <c r="Z1361" s="109"/>
      <c r="AA1361" s="109"/>
      <c r="AB1361" s="109"/>
      <c r="AC1361" s="109"/>
      <c r="AD1361" s="109"/>
      <c r="AE1361" s="109"/>
      <c r="AF1361" s="109"/>
      <c r="AG1361" s="109"/>
      <c r="AH1361" s="109"/>
      <c r="AI1361" s="109"/>
      <c r="AJ1361" s="109"/>
      <c r="AK1361" s="109"/>
      <c r="AL1361" s="109"/>
      <c r="AM1361" s="109"/>
      <c r="AN1361" s="109"/>
      <c r="AO1361" s="109"/>
      <c r="AP1361" s="109"/>
      <c r="AQ1361" s="109"/>
      <c r="AR1361" s="109"/>
      <c r="AS1361" s="109"/>
      <c r="AT1361" s="109"/>
      <c r="AU1361" s="109"/>
      <c r="AV1361" s="109"/>
      <c r="AW1361" s="109"/>
      <c r="AX1361" s="109"/>
      <c r="AY1361" s="47" t="s">
        <v>238</v>
      </c>
      <c r="AZ1361" s="47"/>
      <c r="BA1361" s="63"/>
      <c r="BB1361" s="63"/>
      <c r="BC1361" s="149"/>
      <c r="BI1361" s="42"/>
    </row>
    <row r="1362" spans="1:61" s="24" customFormat="1" ht="23.85" hidden="1" customHeight="1">
      <c r="A1362" s="32"/>
      <c r="B1362" s="158"/>
      <c r="C1362" s="78" t="s">
        <v>138</v>
      </c>
      <c r="D1362" s="35">
        <f>F1362+E1362</f>
        <v>0.16000000000000003</v>
      </c>
      <c r="E1362" s="76"/>
      <c r="F1362" s="35">
        <f t="shared" si="253"/>
        <v>0.16000000000000003</v>
      </c>
      <c r="G1362" s="147">
        <f>G1359-G1360-G1361</f>
        <v>0</v>
      </c>
      <c r="H1362" s="147">
        <f t="shared" ref="H1362:AX1362" si="265">H1359-H1360-H1361</f>
        <v>0</v>
      </c>
      <c r="I1362" s="147">
        <f t="shared" si="265"/>
        <v>0</v>
      </c>
      <c r="J1362" s="147">
        <f t="shared" si="265"/>
        <v>0</v>
      </c>
      <c r="K1362" s="147">
        <f t="shared" si="265"/>
        <v>0</v>
      </c>
      <c r="L1362" s="147">
        <f t="shared" si="265"/>
        <v>0</v>
      </c>
      <c r="M1362" s="147">
        <f t="shared" si="265"/>
        <v>0.16000000000000003</v>
      </c>
      <c r="N1362" s="147">
        <f t="shared" si="265"/>
        <v>0</v>
      </c>
      <c r="O1362" s="147">
        <f t="shared" si="265"/>
        <v>0</v>
      </c>
      <c r="P1362" s="147">
        <f t="shared" si="265"/>
        <v>0</v>
      </c>
      <c r="Q1362" s="147">
        <f t="shared" si="265"/>
        <v>0</v>
      </c>
      <c r="R1362" s="147">
        <f t="shared" si="265"/>
        <v>0</v>
      </c>
      <c r="S1362" s="147">
        <f t="shared" si="265"/>
        <v>0</v>
      </c>
      <c r="T1362" s="147">
        <f t="shared" si="265"/>
        <v>0</v>
      </c>
      <c r="U1362" s="147">
        <f t="shared" si="265"/>
        <v>0</v>
      </c>
      <c r="V1362" s="147">
        <f t="shared" si="265"/>
        <v>0</v>
      </c>
      <c r="W1362" s="147">
        <f t="shared" si="265"/>
        <v>0</v>
      </c>
      <c r="X1362" s="147">
        <f t="shared" si="265"/>
        <v>0</v>
      </c>
      <c r="Y1362" s="147">
        <f t="shared" si="265"/>
        <v>0</v>
      </c>
      <c r="Z1362" s="147">
        <f t="shared" si="265"/>
        <v>0</v>
      </c>
      <c r="AA1362" s="147">
        <f t="shared" si="265"/>
        <v>0</v>
      </c>
      <c r="AB1362" s="147">
        <f t="shared" si="265"/>
        <v>0</v>
      </c>
      <c r="AC1362" s="147">
        <f t="shared" si="265"/>
        <v>0</v>
      </c>
      <c r="AD1362" s="147">
        <f t="shared" si="265"/>
        <v>0</v>
      </c>
      <c r="AE1362" s="147">
        <f t="shared" si="265"/>
        <v>0</v>
      </c>
      <c r="AF1362" s="147">
        <f t="shared" si="265"/>
        <v>0</v>
      </c>
      <c r="AG1362" s="147">
        <f t="shared" si="265"/>
        <v>0</v>
      </c>
      <c r="AH1362" s="147">
        <f t="shared" si="265"/>
        <v>0</v>
      </c>
      <c r="AI1362" s="147">
        <f t="shared" si="265"/>
        <v>0</v>
      </c>
      <c r="AJ1362" s="147">
        <f t="shared" si="265"/>
        <v>0</v>
      </c>
      <c r="AK1362" s="147">
        <f t="shared" si="265"/>
        <v>0</v>
      </c>
      <c r="AL1362" s="147">
        <f t="shared" si="265"/>
        <v>0</v>
      </c>
      <c r="AM1362" s="147">
        <f t="shared" si="265"/>
        <v>0</v>
      </c>
      <c r="AN1362" s="147">
        <f t="shared" si="265"/>
        <v>0</v>
      </c>
      <c r="AO1362" s="147">
        <f t="shared" si="265"/>
        <v>0</v>
      </c>
      <c r="AP1362" s="147">
        <f t="shared" si="265"/>
        <v>0</v>
      </c>
      <c r="AQ1362" s="147">
        <f t="shared" si="265"/>
        <v>0</v>
      </c>
      <c r="AR1362" s="147">
        <f t="shared" si="265"/>
        <v>0</v>
      </c>
      <c r="AS1362" s="147">
        <f t="shared" si="265"/>
        <v>0</v>
      </c>
      <c r="AT1362" s="147">
        <f t="shared" si="265"/>
        <v>0</v>
      </c>
      <c r="AU1362" s="147">
        <f t="shared" si="265"/>
        <v>0</v>
      </c>
      <c r="AV1362" s="147">
        <f t="shared" si="265"/>
        <v>0</v>
      </c>
      <c r="AW1362" s="147">
        <f t="shared" si="265"/>
        <v>0</v>
      </c>
      <c r="AX1362" s="147">
        <f t="shared" si="265"/>
        <v>0</v>
      </c>
      <c r="AY1362" s="47" t="s">
        <v>238</v>
      </c>
      <c r="AZ1362" s="47"/>
      <c r="BA1362" s="63"/>
      <c r="BB1362" s="63"/>
      <c r="BC1362" s="149"/>
      <c r="BI1362" s="42"/>
    </row>
    <row r="1363" spans="1:61" s="24" customFormat="1" ht="31.5">
      <c r="A1363" s="32">
        <f>A1359+1</f>
        <v>812</v>
      </c>
      <c r="B1363" s="158" t="s">
        <v>186</v>
      </c>
      <c r="C1363" s="78" t="s">
        <v>59</v>
      </c>
      <c r="D1363" s="35">
        <f t="shared" si="250"/>
        <v>0.05</v>
      </c>
      <c r="E1363" s="35"/>
      <c r="F1363" s="35">
        <f t="shared" si="253"/>
        <v>0.05</v>
      </c>
      <c r="G1363" s="109"/>
      <c r="H1363" s="109">
        <v>0.05</v>
      </c>
      <c r="I1363" s="109"/>
      <c r="J1363" s="109"/>
      <c r="K1363" s="109"/>
      <c r="L1363" s="109"/>
      <c r="M1363" s="109"/>
      <c r="N1363" s="109"/>
      <c r="O1363" s="109"/>
      <c r="P1363" s="109"/>
      <c r="Q1363" s="109"/>
      <c r="R1363" s="109"/>
      <c r="S1363" s="109"/>
      <c r="T1363" s="109"/>
      <c r="U1363" s="109"/>
      <c r="V1363" s="109"/>
      <c r="W1363" s="109"/>
      <c r="X1363" s="109"/>
      <c r="Y1363" s="109"/>
      <c r="Z1363" s="109"/>
      <c r="AA1363" s="109"/>
      <c r="AB1363" s="109"/>
      <c r="AC1363" s="109"/>
      <c r="AD1363" s="109"/>
      <c r="AE1363" s="109"/>
      <c r="AF1363" s="109"/>
      <c r="AG1363" s="109"/>
      <c r="AH1363" s="109"/>
      <c r="AI1363" s="109"/>
      <c r="AJ1363" s="109"/>
      <c r="AK1363" s="109"/>
      <c r="AL1363" s="109"/>
      <c r="AM1363" s="109"/>
      <c r="AN1363" s="109"/>
      <c r="AO1363" s="109"/>
      <c r="AP1363" s="109"/>
      <c r="AQ1363" s="109"/>
      <c r="AR1363" s="109"/>
      <c r="AS1363" s="109"/>
      <c r="AT1363" s="109"/>
      <c r="AU1363" s="109"/>
      <c r="AV1363" s="109"/>
      <c r="AW1363" s="109"/>
      <c r="AX1363" s="109"/>
      <c r="AY1363" s="47" t="s">
        <v>238</v>
      </c>
      <c r="AZ1363" s="34" t="s">
        <v>1638</v>
      </c>
      <c r="BA1363" s="63" t="s">
        <v>291</v>
      </c>
      <c r="BB1363" s="63"/>
      <c r="BC1363" s="88" t="s">
        <v>1639</v>
      </c>
      <c r="BI1363" s="42">
        <v>1</v>
      </c>
    </row>
    <row r="1364" spans="1:61" s="24" customFormat="1" ht="31.5">
      <c r="A1364" s="32">
        <f t="shared" ref="A1364:A1369" si="266">A1363+1</f>
        <v>813</v>
      </c>
      <c r="B1364" s="158" t="s">
        <v>186</v>
      </c>
      <c r="C1364" s="78" t="s">
        <v>59</v>
      </c>
      <c r="D1364" s="35">
        <f t="shared" si="250"/>
        <v>0.21</v>
      </c>
      <c r="E1364" s="35"/>
      <c r="F1364" s="35">
        <f t="shared" si="253"/>
        <v>0.21</v>
      </c>
      <c r="G1364" s="109"/>
      <c r="H1364" s="109"/>
      <c r="I1364" s="109"/>
      <c r="J1364" s="109">
        <v>0.21</v>
      </c>
      <c r="K1364" s="109"/>
      <c r="L1364" s="109"/>
      <c r="M1364" s="109"/>
      <c r="N1364" s="109"/>
      <c r="O1364" s="109"/>
      <c r="P1364" s="109"/>
      <c r="Q1364" s="109"/>
      <c r="R1364" s="109"/>
      <c r="S1364" s="109"/>
      <c r="T1364" s="109"/>
      <c r="U1364" s="109"/>
      <c r="V1364" s="109"/>
      <c r="W1364" s="109"/>
      <c r="X1364" s="109"/>
      <c r="Y1364" s="109"/>
      <c r="Z1364" s="109"/>
      <c r="AA1364" s="109"/>
      <c r="AB1364" s="109"/>
      <c r="AC1364" s="109"/>
      <c r="AD1364" s="109"/>
      <c r="AE1364" s="109"/>
      <c r="AF1364" s="109"/>
      <c r="AG1364" s="109"/>
      <c r="AH1364" s="109"/>
      <c r="AI1364" s="109"/>
      <c r="AJ1364" s="109"/>
      <c r="AK1364" s="109"/>
      <c r="AL1364" s="109"/>
      <c r="AM1364" s="109"/>
      <c r="AN1364" s="109"/>
      <c r="AO1364" s="109"/>
      <c r="AP1364" s="109"/>
      <c r="AQ1364" s="109"/>
      <c r="AR1364" s="109"/>
      <c r="AS1364" s="109"/>
      <c r="AT1364" s="109"/>
      <c r="AU1364" s="109"/>
      <c r="AV1364" s="109"/>
      <c r="AW1364" s="109"/>
      <c r="AX1364" s="109"/>
      <c r="AY1364" s="47" t="s">
        <v>238</v>
      </c>
      <c r="AZ1364" s="47" t="s">
        <v>1640</v>
      </c>
      <c r="BA1364" s="63" t="s">
        <v>291</v>
      </c>
      <c r="BB1364" s="63"/>
      <c r="BC1364" s="88" t="s">
        <v>1641</v>
      </c>
      <c r="BI1364" s="42">
        <v>1</v>
      </c>
    </row>
    <row r="1365" spans="1:61" s="24" customFormat="1" ht="31.5">
      <c r="A1365" s="32">
        <f t="shared" si="266"/>
        <v>814</v>
      </c>
      <c r="B1365" s="158" t="s">
        <v>186</v>
      </c>
      <c r="C1365" s="78" t="s">
        <v>59</v>
      </c>
      <c r="D1365" s="35">
        <f t="shared" si="250"/>
        <v>0.36</v>
      </c>
      <c r="E1365" s="35"/>
      <c r="F1365" s="35">
        <f t="shared" si="253"/>
        <v>0.36</v>
      </c>
      <c r="G1365" s="109"/>
      <c r="H1365" s="109">
        <v>0.36</v>
      </c>
      <c r="I1365" s="109"/>
      <c r="J1365" s="109"/>
      <c r="K1365" s="109"/>
      <c r="L1365" s="109"/>
      <c r="M1365" s="109"/>
      <c r="N1365" s="109"/>
      <c r="O1365" s="109"/>
      <c r="P1365" s="109"/>
      <c r="Q1365" s="109"/>
      <c r="R1365" s="109"/>
      <c r="S1365" s="109"/>
      <c r="T1365" s="109"/>
      <c r="U1365" s="109"/>
      <c r="V1365" s="109"/>
      <c r="W1365" s="109"/>
      <c r="X1365" s="109"/>
      <c r="Y1365" s="109"/>
      <c r="Z1365" s="109"/>
      <c r="AA1365" s="109"/>
      <c r="AB1365" s="109"/>
      <c r="AC1365" s="109"/>
      <c r="AD1365" s="109"/>
      <c r="AE1365" s="109"/>
      <c r="AF1365" s="109"/>
      <c r="AG1365" s="109"/>
      <c r="AH1365" s="109"/>
      <c r="AI1365" s="109"/>
      <c r="AJ1365" s="109"/>
      <c r="AK1365" s="109"/>
      <c r="AL1365" s="109"/>
      <c r="AM1365" s="109"/>
      <c r="AN1365" s="109"/>
      <c r="AO1365" s="109"/>
      <c r="AP1365" s="109"/>
      <c r="AQ1365" s="109"/>
      <c r="AR1365" s="109"/>
      <c r="AS1365" s="109"/>
      <c r="AT1365" s="109"/>
      <c r="AU1365" s="109"/>
      <c r="AV1365" s="109"/>
      <c r="AW1365" s="109"/>
      <c r="AX1365" s="109"/>
      <c r="AY1365" s="47" t="s">
        <v>238</v>
      </c>
      <c r="AZ1365" s="47" t="s">
        <v>1642</v>
      </c>
      <c r="BA1365" s="63" t="s">
        <v>291</v>
      </c>
      <c r="BB1365" s="63"/>
      <c r="BC1365" s="149" t="s">
        <v>1643</v>
      </c>
      <c r="BI1365" s="42">
        <v>1</v>
      </c>
    </row>
    <row r="1366" spans="1:61" s="24" customFormat="1" ht="31.5">
      <c r="A1366" s="32">
        <f t="shared" si="266"/>
        <v>815</v>
      </c>
      <c r="B1366" s="158" t="s">
        <v>186</v>
      </c>
      <c r="C1366" s="78" t="s">
        <v>59</v>
      </c>
      <c r="D1366" s="35">
        <f t="shared" si="250"/>
        <v>0.09</v>
      </c>
      <c r="E1366" s="35"/>
      <c r="F1366" s="35">
        <f t="shared" si="253"/>
        <v>0.09</v>
      </c>
      <c r="G1366" s="109"/>
      <c r="H1366" s="109">
        <v>0.09</v>
      </c>
      <c r="I1366" s="109"/>
      <c r="J1366" s="109"/>
      <c r="K1366" s="109"/>
      <c r="L1366" s="109"/>
      <c r="M1366" s="109"/>
      <c r="N1366" s="109"/>
      <c r="O1366" s="109"/>
      <c r="P1366" s="109"/>
      <c r="Q1366" s="109"/>
      <c r="R1366" s="109"/>
      <c r="S1366" s="109"/>
      <c r="T1366" s="109"/>
      <c r="U1366" s="109"/>
      <c r="V1366" s="109"/>
      <c r="W1366" s="109"/>
      <c r="X1366" s="109"/>
      <c r="Y1366" s="109"/>
      <c r="Z1366" s="109"/>
      <c r="AA1366" s="109"/>
      <c r="AB1366" s="109"/>
      <c r="AC1366" s="109"/>
      <c r="AD1366" s="109"/>
      <c r="AE1366" s="109"/>
      <c r="AF1366" s="109"/>
      <c r="AG1366" s="109"/>
      <c r="AH1366" s="109"/>
      <c r="AI1366" s="109"/>
      <c r="AJ1366" s="109"/>
      <c r="AK1366" s="109"/>
      <c r="AL1366" s="109"/>
      <c r="AM1366" s="109"/>
      <c r="AN1366" s="109"/>
      <c r="AO1366" s="109"/>
      <c r="AP1366" s="109"/>
      <c r="AQ1366" s="109"/>
      <c r="AR1366" s="109"/>
      <c r="AS1366" s="109"/>
      <c r="AT1366" s="109"/>
      <c r="AU1366" s="109"/>
      <c r="AV1366" s="109"/>
      <c r="AW1366" s="109"/>
      <c r="AX1366" s="109"/>
      <c r="AY1366" s="47" t="s">
        <v>238</v>
      </c>
      <c r="AZ1366" s="47" t="s">
        <v>1644</v>
      </c>
      <c r="BA1366" s="63" t="s">
        <v>291</v>
      </c>
      <c r="BB1366" s="63"/>
      <c r="BC1366" s="149" t="s">
        <v>1645</v>
      </c>
      <c r="BI1366" s="42">
        <v>1</v>
      </c>
    </row>
    <row r="1367" spans="1:61" s="24" customFormat="1" ht="31.5">
      <c r="A1367" s="32">
        <f t="shared" si="266"/>
        <v>816</v>
      </c>
      <c r="B1367" s="158" t="s">
        <v>186</v>
      </c>
      <c r="C1367" s="78" t="s">
        <v>59</v>
      </c>
      <c r="D1367" s="35">
        <f t="shared" si="250"/>
        <v>0.11</v>
      </c>
      <c r="E1367" s="35"/>
      <c r="F1367" s="35">
        <f t="shared" si="253"/>
        <v>0.11</v>
      </c>
      <c r="G1367" s="109"/>
      <c r="H1367" s="109">
        <v>0.11</v>
      </c>
      <c r="I1367" s="109"/>
      <c r="J1367" s="109"/>
      <c r="K1367" s="109"/>
      <c r="L1367" s="109"/>
      <c r="M1367" s="109"/>
      <c r="N1367" s="109"/>
      <c r="O1367" s="109"/>
      <c r="P1367" s="109"/>
      <c r="Q1367" s="109"/>
      <c r="R1367" s="109"/>
      <c r="S1367" s="109"/>
      <c r="T1367" s="109"/>
      <c r="U1367" s="109"/>
      <c r="V1367" s="109"/>
      <c r="W1367" s="109"/>
      <c r="X1367" s="109"/>
      <c r="Y1367" s="109"/>
      <c r="Z1367" s="109"/>
      <c r="AA1367" s="109"/>
      <c r="AB1367" s="109"/>
      <c r="AC1367" s="109"/>
      <c r="AD1367" s="109"/>
      <c r="AE1367" s="109"/>
      <c r="AF1367" s="109"/>
      <c r="AG1367" s="109"/>
      <c r="AH1367" s="109"/>
      <c r="AI1367" s="109"/>
      <c r="AJ1367" s="109"/>
      <c r="AK1367" s="109"/>
      <c r="AL1367" s="109"/>
      <c r="AM1367" s="109"/>
      <c r="AN1367" s="109"/>
      <c r="AO1367" s="109"/>
      <c r="AP1367" s="109"/>
      <c r="AQ1367" s="109"/>
      <c r="AR1367" s="109"/>
      <c r="AS1367" s="109"/>
      <c r="AT1367" s="109"/>
      <c r="AU1367" s="109"/>
      <c r="AV1367" s="109"/>
      <c r="AW1367" s="109"/>
      <c r="AX1367" s="109"/>
      <c r="AY1367" s="47" t="s">
        <v>238</v>
      </c>
      <c r="AZ1367" s="47" t="s">
        <v>1646</v>
      </c>
      <c r="BA1367" s="63" t="s">
        <v>291</v>
      </c>
      <c r="BB1367" s="63"/>
      <c r="BC1367" s="149" t="s">
        <v>1647</v>
      </c>
      <c r="BI1367" s="42">
        <v>1</v>
      </c>
    </row>
    <row r="1368" spans="1:61" s="24" customFormat="1" ht="31.5">
      <c r="A1368" s="32">
        <f t="shared" si="266"/>
        <v>817</v>
      </c>
      <c r="B1368" s="158" t="s">
        <v>186</v>
      </c>
      <c r="C1368" s="78" t="s">
        <v>59</v>
      </c>
      <c r="D1368" s="35">
        <f t="shared" si="250"/>
        <v>0.08</v>
      </c>
      <c r="E1368" s="35"/>
      <c r="F1368" s="35">
        <f t="shared" si="253"/>
        <v>0.08</v>
      </c>
      <c r="G1368" s="109">
        <v>0.08</v>
      </c>
      <c r="H1368" s="109"/>
      <c r="I1368" s="109"/>
      <c r="J1368" s="109"/>
      <c r="K1368" s="109"/>
      <c r="L1368" s="109"/>
      <c r="M1368" s="109"/>
      <c r="N1368" s="109"/>
      <c r="O1368" s="109"/>
      <c r="P1368" s="109"/>
      <c r="Q1368" s="109"/>
      <c r="R1368" s="109"/>
      <c r="S1368" s="109"/>
      <c r="T1368" s="109"/>
      <c r="U1368" s="109"/>
      <c r="V1368" s="109"/>
      <c r="W1368" s="109"/>
      <c r="X1368" s="109"/>
      <c r="Y1368" s="109"/>
      <c r="Z1368" s="109"/>
      <c r="AA1368" s="109"/>
      <c r="AB1368" s="109"/>
      <c r="AC1368" s="109"/>
      <c r="AD1368" s="109"/>
      <c r="AE1368" s="109"/>
      <c r="AF1368" s="109"/>
      <c r="AG1368" s="109"/>
      <c r="AH1368" s="109"/>
      <c r="AI1368" s="109"/>
      <c r="AJ1368" s="109"/>
      <c r="AK1368" s="109"/>
      <c r="AL1368" s="109"/>
      <c r="AM1368" s="109"/>
      <c r="AN1368" s="109"/>
      <c r="AO1368" s="109"/>
      <c r="AP1368" s="109"/>
      <c r="AQ1368" s="109"/>
      <c r="AR1368" s="109"/>
      <c r="AS1368" s="109"/>
      <c r="AT1368" s="109"/>
      <c r="AU1368" s="109"/>
      <c r="AV1368" s="109"/>
      <c r="AW1368" s="109"/>
      <c r="AX1368" s="109"/>
      <c r="AY1368" s="47" t="s">
        <v>238</v>
      </c>
      <c r="AZ1368" s="47" t="s">
        <v>1648</v>
      </c>
      <c r="BA1368" s="63" t="s">
        <v>291</v>
      </c>
      <c r="BB1368" s="63"/>
      <c r="BC1368" s="149" t="s">
        <v>1649</v>
      </c>
      <c r="BI1368" s="42">
        <v>1</v>
      </c>
    </row>
    <row r="1369" spans="1:61" s="24" customFormat="1" ht="31.5">
      <c r="A1369" s="32">
        <f t="shared" si="266"/>
        <v>818</v>
      </c>
      <c r="B1369" s="158" t="s">
        <v>186</v>
      </c>
      <c r="C1369" s="78" t="s">
        <v>1260</v>
      </c>
      <c r="D1369" s="35">
        <f t="shared" si="250"/>
        <v>0.4</v>
      </c>
      <c r="E1369" s="35"/>
      <c r="F1369" s="35">
        <f t="shared" si="253"/>
        <v>0.4</v>
      </c>
      <c r="G1369" s="109"/>
      <c r="H1369" s="109">
        <v>0.4</v>
      </c>
      <c r="I1369" s="109"/>
      <c r="J1369" s="109"/>
      <c r="K1369" s="109"/>
      <c r="L1369" s="109"/>
      <c r="M1369" s="109"/>
      <c r="N1369" s="109"/>
      <c r="O1369" s="109"/>
      <c r="P1369" s="109"/>
      <c r="Q1369" s="109"/>
      <c r="R1369" s="109"/>
      <c r="S1369" s="109"/>
      <c r="T1369" s="109"/>
      <c r="U1369" s="109"/>
      <c r="V1369" s="109"/>
      <c r="W1369" s="109"/>
      <c r="X1369" s="109"/>
      <c r="Y1369" s="109"/>
      <c r="Z1369" s="109"/>
      <c r="AA1369" s="109"/>
      <c r="AB1369" s="109"/>
      <c r="AC1369" s="109"/>
      <c r="AD1369" s="109"/>
      <c r="AE1369" s="109"/>
      <c r="AF1369" s="109"/>
      <c r="AG1369" s="109"/>
      <c r="AH1369" s="109"/>
      <c r="AI1369" s="109"/>
      <c r="AJ1369" s="109"/>
      <c r="AK1369" s="109"/>
      <c r="AL1369" s="109"/>
      <c r="AM1369" s="109"/>
      <c r="AN1369" s="109"/>
      <c r="AO1369" s="109"/>
      <c r="AP1369" s="109"/>
      <c r="AQ1369" s="109"/>
      <c r="AR1369" s="109"/>
      <c r="AS1369" s="109"/>
      <c r="AT1369" s="109"/>
      <c r="AU1369" s="109"/>
      <c r="AV1369" s="109"/>
      <c r="AW1369" s="109"/>
      <c r="AX1369" s="109"/>
      <c r="AY1369" s="47" t="s">
        <v>238</v>
      </c>
      <c r="AZ1369" s="47" t="s">
        <v>1650</v>
      </c>
      <c r="BA1369" s="63" t="s">
        <v>291</v>
      </c>
      <c r="BB1369" s="63"/>
      <c r="BC1369" s="149" t="s">
        <v>1651</v>
      </c>
      <c r="BI1369" s="42">
        <v>1</v>
      </c>
    </row>
    <row r="1370" spans="1:61" s="24" customFormat="1" hidden="1">
      <c r="A1370" s="32"/>
      <c r="B1370" s="158"/>
      <c r="C1370" s="78" t="s">
        <v>59</v>
      </c>
      <c r="D1370" s="35">
        <f t="shared" si="250"/>
        <v>0.16</v>
      </c>
      <c r="E1370" s="76"/>
      <c r="F1370" s="35">
        <f t="shared" si="253"/>
        <v>0.16</v>
      </c>
      <c r="G1370" s="109"/>
      <c r="H1370" s="109">
        <v>0.16</v>
      </c>
      <c r="I1370" s="109"/>
      <c r="J1370" s="109"/>
      <c r="K1370" s="109"/>
      <c r="L1370" s="109"/>
      <c r="M1370" s="109"/>
      <c r="N1370" s="109"/>
      <c r="O1370" s="109"/>
      <c r="P1370" s="109"/>
      <c r="Q1370" s="109"/>
      <c r="R1370" s="109"/>
      <c r="S1370" s="109"/>
      <c r="T1370" s="109"/>
      <c r="U1370" s="109"/>
      <c r="V1370" s="109"/>
      <c r="W1370" s="109"/>
      <c r="X1370" s="109"/>
      <c r="Y1370" s="109"/>
      <c r="Z1370" s="109"/>
      <c r="AA1370" s="109"/>
      <c r="AB1370" s="109"/>
      <c r="AC1370" s="109"/>
      <c r="AD1370" s="109"/>
      <c r="AE1370" s="109"/>
      <c r="AF1370" s="109"/>
      <c r="AG1370" s="109"/>
      <c r="AH1370" s="109"/>
      <c r="AI1370" s="109"/>
      <c r="AJ1370" s="109"/>
      <c r="AK1370" s="109"/>
      <c r="AL1370" s="109"/>
      <c r="AM1370" s="109"/>
      <c r="AN1370" s="109"/>
      <c r="AO1370" s="109"/>
      <c r="AP1370" s="109"/>
      <c r="AQ1370" s="109"/>
      <c r="AR1370" s="109"/>
      <c r="AS1370" s="109"/>
      <c r="AT1370" s="109"/>
      <c r="AU1370" s="109"/>
      <c r="AV1370" s="109"/>
      <c r="AW1370" s="109"/>
      <c r="AX1370" s="109"/>
      <c r="AY1370" s="47" t="s">
        <v>238</v>
      </c>
      <c r="AZ1370" s="47"/>
      <c r="BA1370" s="63"/>
      <c r="BB1370" s="63"/>
      <c r="BC1370" s="149"/>
      <c r="BI1370" s="42"/>
    </row>
    <row r="1371" spans="1:61" s="24" customFormat="1" hidden="1">
      <c r="A1371" s="32"/>
      <c r="B1371" s="158"/>
      <c r="C1371" s="78" t="s">
        <v>44</v>
      </c>
      <c r="D1371" s="35">
        <f t="shared" si="250"/>
        <v>0.16</v>
      </c>
      <c r="E1371" s="76"/>
      <c r="F1371" s="35">
        <f t="shared" si="253"/>
        <v>0.16</v>
      </c>
      <c r="G1371" s="109"/>
      <c r="H1371" s="109">
        <v>0.16</v>
      </c>
      <c r="I1371" s="109"/>
      <c r="J1371" s="109"/>
      <c r="K1371" s="109"/>
      <c r="L1371" s="109"/>
      <c r="M1371" s="109"/>
      <c r="N1371" s="109"/>
      <c r="O1371" s="109"/>
      <c r="P1371" s="109"/>
      <c r="Q1371" s="109"/>
      <c r="R1371" s="109"/>
      <c r="S1371" s="109"/>
      <c r="T1371" s="109"/>
      <c r="U1371" s="109"/>
      <c r="V1371" s="109"/>
      <c r="W1371" s="109"/>
      <c r="X1371" s="109"/>
      <c r="Y1371" s="109"/>
      <c r="Z1371" s="109"/>
      <c r="AA1371" s="109"/>
      <c r="AB1371" s="109"/>
      <c r="AC1371" s="109"/>
      <c r="AD1371" s="109"/>
      <c r="AE1371" s="109"/>
      <c r="AF1371" s="109"/>
      <c r="AG1371" s="109"/>
      <c r="AH1371" s="109"/>
      <c r="AI1371" s="109"/>
      <c r="AJ1371" s="109"/>
      <c r="AK1371" s="109"/>
      <c r="AL1371" s="109"/>
      <c r="AM1371" s="109"/>
      <c r="AN1371" s="109"/>
      <c r="AO1371" s="109"/>
      <c r="AP1371" s="109"/>
      <c r="AQ1371" s="109"/>
      <c r="AR1371" s="109"/>
      <c r="AS1371" s="109"/>
      <c r="AT1371" s="109"/>
      <c r="AU1371" s="109"/>
      <c r="AV1371" s="109"/>
      <c r="AW1371" s="109"/>
      <c r="AX1371" s="109"/>
      <c r="AY1371" s="47" t="s">
        <v>238</v>
      </c>
      <c r="AZ1371" s="47"/>
      <c r="BA1371" s="63"/>
      <c r="BB1371" s="63"/>
      <c r="BC1371" s="149"/>
      <c r="BI1371" s="42"/>
    </row>
    <row r="1372" spans="1:61" s="24" customFormat="1" hidden="1">
      <c r="A1372" s="32"/>
      <c r="B1372" s="158"/>
      <c r="C1372" s="78" t="s">
        <v>138</v>
      </c>
      <c r="D1372" s="35">
        <f t="shared" si="250"/>
        <v>8.0000000000000016E-2</v>
      </c>
      <c r="E1372" s="76"/>
      <c r="F1372" s="35">
        <f t="shared" si="253"/>
        <v>8.0000000000000016E-2</v>
      </c>
      <c r="G1372" s="147">
        <f>G1369-G1370-G1371</f>
        <v>0</v>
      </c>
      <c r="H1372" s="147">
        <f t="shared" ref="H1372:AX1372" si="267">H1369-H1370-H1371</f>
        <v>8.0000000000000016E-2</v>
      </c>
      <c r="I1372" s="147">
        <f t="shared" si="267"/>
        <v>0</v>
      </c>
      <c r="J1372" s="147">
        <f t="shared" si="267"/>
        <v>0</v>
      </c>
      <c r="K1372" s="147">
        <f t="shared" si="267"/>
        <v>0</v>
      </c>
      <c r="L1372" s="147">
        <f t="shared" si="267"/>
        <v>0</v>
      </c>
      <c r="M1372" s="147">
        <f t="shared" si="267"/>
        <v>0</v>
      </c>
      <c r="N1372" s="147">
        <f t="shared" si="267"/>
        <v>0</v>
      </c>
      <c r="O1372" s="147">
        <f t="shared" si="267"/>
        <v>0</v>
      </c>
      <c r="P1372" s="147">
        <f t="shared" si="267"/>
        <v>0</v>
      </c>
      <c r="Q1372" s="147">
        <f t="shared" si="267"/>
        <v>0</v>
      </c>
      <c r="R1372" s="147">
        <f t="shared" si="267"/>
        <v>0</v>
      </c>
      <c r="S1372" s="147">
        <f t="shared" si="267"/>
        <v>0</v>
      </c>
      <c r="T1372" s="147">
        <f t="shared" si="267"/>
        <v>0</v>
      </c>
      <c r="U1372" s="147">
        <f t="shared" si="267"/>
        <v>0</v>
      </c>
      <c r="V1372" s="147">
        <f t="shared" si="267"/>
        <v>0</v>
      </c>
      <c r="W1372" s="147">
        <f t="shared" si="267"/>
        <v>0</v>
      </c>
      <c r="X1372" s="147">
        <f t="shared" si="267"/>
        <v>0</v>
      </c>
      <c r="Y1372" s="147">
        <f t="shared" si="267"/>
        <v>0</v>
      </c>
      <c r="Z1372" s="147">
        <f t="shared" si="267"/>
        <v>0</v>
      </c>
      <c r="AA1372" s="147">
        <f t="shared" si="267"/>
        <v>0</v>
      </c>
      <c r="AB1372" s="147">
        <f t="shared" si="267"/>
        <v>0</v>
      </c>
      <c r="AC1372" s="147">
        <f t="shared" si="267"/>
        <v>0</v>
      </c>
      <c r="AD1372" s="147">
        <f t="shared" si="267"/>
        <v>0</v>
      </c>
      <c r="AE1372" s="147">
        <f t="shared" si="267"/>
        <v>0</v>
      </c>
      <c r="AF1372" s="147">
        <f t="shared" si="267"/>
        <v>0</v>
      </c>
      <c r="AG1372" s="147">
        <f t="shared" si="267"/>
        <v>0</v>
      </c>
      <c r="AH1372" s="147">
        <f t="shared" si="267"/>
        <v>0</v>
      </c>
      <c r="AI1372" s="147">
        <f t="shared" si="267"/>
        <v>0</v>
      </c>
      <c r="AJ1372" s="147">
        <f t="shared" si="267"/>
        <v>0</v>
      </c>
      <c r="AK1372" s="147">
        <f t="shared" si="267"/>
        <v>0</v>
      </c>
      <c r="AL1372" s="147">
        <f t="shared" si="267"/>
        <v>0</v>
      </c>
      <c r="AM1372" s="147">
        <f t="shared" si="267"/>
        <v>0</v>
      </c>
      <c r="AN1372" s="147">
        <f t="shared" si="267"/>
        <v>0</v>
      </c>
      <c r="AO1372" s="147">
        <f t="shared" si="267"/>
        <v>0</v>
      </c>
      <c r="AP1372" s="147">
        <f t="shared" si="267"/>
        <v>0</v>
      </c>
      <c r="AQ1372" s="147">
        <f t="shared" si="267"/>
        <v>0</v>
      </c>
      <c r="AR1372" s="147">
        <f t="shared" si="267"/>
        <v>0</v>
      </c>
      <c r="AS1372" s="147">
        <f t="shared" si="267"/>
        <v>0</v>
      </c>
      <c r="AT1372" s="147">
        <f t="shared" si="267"/>
        <v>0</v>
      </c>
      <c r="AU1372" s="147">
        <f t="shared" si="267"/>
        <v>0</v>
      </c>
      <c r="AV1372" s="147">
        <f t="shared" si="267"/>
        <v>0</v>
      </c>
      <c r="AW1372" s="147">
        <f t="shared" si="267"/>
        <v>0</v>
      </c>
      <c r="AX1372" s="147">
        <f t="shared" si="267"/>
        <v>0</v>
      </c>
      <c r="AY1372" s="47" t="s">
        <v>238</v>
      </c>
      <c r="AZ1372" s="47"/>
      <c r="BA1372" s="63"/>
      <c r="BB1372" s="63"/>
      <c r="BC1372" s="149"/>
      <c r="BI1372" s="42"/>
    </row>
    <row r="1373" spans="1:61" s="24" customFormat="1" ht="31.5">
      <c r="A1373" s="32">
        <f>A1369+1</f>
        <v>819</v>
      </c>
      <c r="B1373" s="158" t="s">
        <v>186</v>
      </c>
      <c r="C1373" s="78" t="s">
        <v>59</v>
      </c>
      <c r="D1373" s="35">
        <f t="shared" si="250"/>
        <v>0.25</v>
      </c>
      <c r="E1373" s="35"/>
      <c r="F1373" s="35">
        <f t="shared" si="253"/>
        <v>0.25</v>
      </c>
      <c r="G1373" s="109"/>
      <c r="H1373" s="109">
        <v>0.25</v>
      </c>
      <c r="I1373" s="109"/>
      <c r="J1373" s="109"/>
      <c r="K1373" s="109"/>
      <c r="L1373" s="109"/>
      <c r="M1373" s="109"/>
      <c r="N1373" s="109"/>
      <c r="O1373" s="109"/>
      <c r="P1373" s="109"/>
      <c r="Q1373" s="109"/>
      <c r="R1373" s="109"/>
      <c r="S1373" s="109"/>
      <c r="T1373" s="109"/>
      <c r="U1373" s="109"/>
      <c r="V1373" s="109"/>
      <c r="W1373" s="109"/>
      <c r="X1373" s="109"/>
      <c r="Y1373" s="109"/>
      <c r="Z1373" s="109"/>
      <c r="AA1373" s="109"/>
      <c r="AB1373" s="109"/>
      <c r="AC1373" s="109"/>
      <c r="AD1373" s="109"/>
      <c r="AE1373" s="109"/>
      <c r="AF1373" s="109"/>
      <c r="AG1373" s="109"/>
      <c r="AH1373" s="109"/>
      <c r="AI1373" s="109"/>
      <c r="AJ1373" s="109"/>
      <c r="AK1373" s="109"/>
      <c r="AL1373" s="109"/>
      <c r="AM1373" s="109"/>
      <c r="AN1373" s="109"/>
      <c r="AO1373" s="109"/>
      <c r="AP1373" s="109"/>
      <c r="AQ1373" s="109"/>
      <c r="AR1373" s="109"/>
      <c r="AS1373" s="109"/>
      <c r="AT1373" s="109"/>
      <c r="AU1373" s="109"/>
      <c r="AV1373" s="109"/>
      <c r="AW1373" s="109"/>
      <c r="AX1373" s="109"/>
      <c r="AY1373" s="47" t="s">
        <v>238</v>
      </c>
      <c r="AZ1373" s="47" t="s">
        <v>1652</v>
      </c>
      <c r="BA1373" s="63" t="s">
        <v>291</v>
      </c>
      <c r="BB1373" s="63"/>
      <c r="BC1373" s="149" t="s">
        <v>1653</v>
      </c>
      <c r="BI1373" s="42">
        <v>1</v>
      </c>
    </row>
    <row r="1374" spans="1:61" s="24" customFormat="1" ht="23.45" customHeight="1">
      <c r="A1374" s="32">
        <f>A1373+1</f>
        <v>820</v>
      </c>
      <c r="B1374" s="158" t="s">
        <v>186</v>
      </c>
      <c r="C1374" s="78" t="s">
        <v>59</v>
      </c>
      <c r="D1374" s="35">
        <f t="shared" si="250"/>
        <v>0.15</v>
      </c>
      <c r="E1374" s="35"/>
      <c r="F1374" s="35">
        <f t="shared" si="253"/>
        <v>0.15</v>
      </c>
      <c r="G1374" s="109"/>
      <c r="H1374" s="109"/>
      <c r="I1374" s="109">
        <v>0.15</v>
      </c>
      <c r="J1374" s="109"/>
      <c r="K1374" s="109"/>
      <c r="L1374" s="109"/>
      <c r="M1374" s="109"/>
      <c r="N1374" s="109"/>
      <c r="O1374" s="109"/>
      <c r="P1374" s="109"/>
      <c r="Q1374" s="109"/>
      <c r="R1374" s="109"/>
      <c r="S1374" s="109"/>
      <c r="T1374" s="109"/>
      <c r="U1374" s="109"/>
      <c r="V1374" s="109"/>
      <c r="W1374" s="109"/>
      <c r="X1374" s="109"/>
      <c r="Y1374" s="109"/>
      <c r="Z1374" s="109"/>
      <c r="AA1374" s="109"/>
      <c r="AB1374" s="109"/>
      <c r="AC1374" s="109"/>
      <c r="AD1374" s="109"/>
      <c r="AE1374" s="109"/>
      <c r="AF1374" s="109"/>
      <c r="AG1374" s="109"/>
      <c r="AH1374" s="109"/>
      <c r="AI1374" s="109"/>
      <c r="AJ1374" s="109"/>
      <c r="AK1374" s="109"/>
      <c r="AL1374" s="109"/>
      <c r="AM1374" s="109"/>
      <c r="AN1374" s="109"/>
      <c r="AO1374" s="109"/>
      <c r="AP1374" s="109"/>
      <c r="AQ1374" s="109"/>
      <c r="AR1374" s="109"/>
      <c r="AS1374" s="109"/>
      <c r="AT1374" s="109"/>
      <c r="AU1374" s="109"/>
      <c r="AV1374" s="109"/>
      <c r="AW1374" s="109"/>
      <c r="AX1374" s="109"/>
      <c r="AY1374" s="47" t="s">
        <v>238</v>
      </c>
      <c r="AZ1374" s="47" t="s">
        <v>1654</v>
      </c>
      <c r="BA1374" s="63" t="s">
        <v>291</v>
      </c>
      <c r="BB1374" s="63" t="s">
        <v>506</v>
      </c>
      <c r="BC1374" s="149" t="s">
        <v>1655</v>
      </c>
      <c r="BI1374" s="42">
        <v>1</v>
      </c>
    </row>
    <row r="1375" spans="1:61" s="24" customFormat="1" ht="31.5">
      <c r="A1375" s="32">
        <f>A1374+1</f>
        <v>821</v>
      </c>
      <c r="B1375" s="158" t="s">
        <v>186</v>
      </c>
      <c r="C1375" s="78" t="s">
        <v>59</v>
      </c>
      <c r="D1375" s="35">
        <f t="shared" si="250"/>
        <v>0.25</v>
      </c>
      <c r="E1375" s="35"/>
      <c r="F1375" s="35">
        <f t="shared" si="253"/>
        <v>0.25</v>
      </c>
      <c r="G1375" s="109"/>
      <c r="H1375" s="109">
        <v>0.25</v>
      </c>
      <c r="I1375" s="109"/>
      <c r="J1375" s="109"/>
      <c r="K1375" s="109"/>
      <c r="L1375" s="109"/>
      <c r="M1375" s="109"/>
      <c r="N1375" s="109"/>
      <c r="O1375" s="109"/>
      <c r="P1375" s="109"/>
      <c r="Q1375" s="109"/>
      <c r="R1375" s="109"/>
      <c r="S1375" s="109"/>
      <c r="T1375" s="109"/>
      <c r="U1375" s="109"/>
      <c r="V1375" s="109"/>
      <c r="W1375" s="109"/>
      <c r="X1375" s="109"/>
      <c r="Y1375" s="109"/>
      <c r="Z1375" s="109"/>
      <c r="AA1375" s="109"/>
      <c r="AB1375" s="109"/>
      <c r="AC1375" s="109"/>
      <c r="AD1375" s="109"/>
      <c r="AE1375" s="109"/>
      <c r="AF1375" s="109"/>
      <c r="AG1375" s="109"/>
      <c r="AH1375" s="109"/>
      <c r="AI1375" s="109"/>
      <c r="AJ1375" s="109"/>
      <c r="AK1375" s="109"/>
      <c r="AL1375" s="109"/>
      <c r="AM1375" s="109"/>
      <c r="AN1375" s="109"/>
      <c r="AO1375" s="109"/>
      <c r="AP1375" s="109"/>
      <c r="AQ1375" s="109"/>
      <c r="AR1375" s="109"/>
      <c r="AS1375" s="109"/>
      <c r="AT1375" s="109"/>
      <c r="AU1375" s="109"/>
      <c r="AV1375" s="109"/>
      <c r="AW1375" s="109"/>
      <c r="AX1375" s="109"/>
      <c r="AY1375" s="47" t="s">
        <v>238</v>
      </c>
      <c r="AZ1375" s="47" t="s">
        <v>1656</v>
      </c>
      <c r="BA1375" s="63" t="s">
        <v>291</v>
      </c>
      <c r="BB1375" s="63"/>
      <c r="BC1375" s="149" t="s">
        <v>1657</v>
      </c>
      <c r="BI1375" s="42">
        <v>1</v>
      </c>
    </row>
    <row r="1376" spans="1:61" s="24" customFormat="1" ht="31.5">
      <c r="A1376" s="32">
        <f>A1375+1</f>
        <v>822</v>
      </c>
      <c r="B1376" s="158" t="s">
        <v>186</v>
      </c>
      <c r="C1376" s="78" t="s">
        <v>59</v>
      </c>
      <c r="D1376" s="35">
        <f t="shared" si="250"/>
        <v>0.05</v>
      </c>
      <c r="E1376" s="35"/>
      <c r="F1376" s="35">
        <f t="shared" ref="F1376:F1418" si="268">SUM(G1376:AX1376)</f>
        <v>0.05</v>
      </c>
      <c r="G1376" s="109"/>
      <c r="H1376" s="109">
        <v>0.05</v>
      </c>
      <c r="I1376" s="109"/>
      <c r="J1376" s="109"/>
      <c r="K1376" s="109"/>
      <c r="L1376" s="109"/>
      <c r="M1376" s="109"/>
      <c r="N1376" s="109"/>
      <c r="O1376" s="109"/>
      <c r="P1376" s="109"/>
      <c r="Q1376" s="109"/>
      <c r="R1376" s="109"/>
      <c r="S1376" s="109"/>
      <c r="T1376" s="109"/>
      <c r="U1376" s="109"/>
      <c r="V1376" s="109"/>
      <c r="W1376" s="109"/>
      <c r="X1376" s="109"/>
      <c r="Y1376" s="109"/>
      <c r="Z1376" s="109"/>
      <c r="AA1376" s="109"/>
      <c r="AB1376" s="109"/>
      <c r="AC1376" s="109"/>
      <c r="AD1376" s="109"/>
      <c r="AE1376" s="109"/>
      <c r="AF1376" s="109"/>
      <c r="AG1376" s="109"/>
      <c r="AH1376" s="109"/>
      <c r="AI1376" s="109"/>
      <c r="AJ1376" s="109"/>
      <c r="AK1376" s="109"/>
      <c r="AL1376" s="109"/>
      <c r="AM1376" s="109"/>
      <c r="AN1376" s="109"/>
      <c r="AO1376" s="109"/>
      <c r="AP1376" s="109"/>
      <c r="AQ1376" s="109"/>
      <c r="AR1376" s="109"/>
      <c r="AS1376" s="109"/>
      <c r="AT1376" s="109"/>
      <c r="AU1376" s="109"/>
      <c r="AV1376" s="109"/>
      <c r="AW1376" s="109"/>
      <c r="AX1376" s="109"/>
      <c r="AY1376" s="47" t="s">
        <v>238</v>
      </c>
      <c r="AZ1376" s="47" t="s">
        <v>1658</v>
      </c>
      <c r="BA1376" s="63" t="s">
        <v>291</v>
      </c>
      <c r="BB1376" s="63"/>
      <c r="BC1376" s="149" t="s">
        <v>1659</v>
      </c>
      <c r="BI1376" s="42">
        <v>1</v>
      </c>
    </row>
    <row r="1377" spans="1:61" s="24" customFormat="1" ht="47.25">
      <c r="A1377" s="32">
        <f>A1376+1</f>
        <v>823</v>
      </c>
      <c r="B1377" s="158" t="s">
        <v>186</v>
      </c>
      <c r="C1377" s="78" t="s">
        <v>59</v>
      </c>
      <c r="D1377" s="35">
        <f t="shared" si="250"/>
        <v>0.18</v>
      </c>
      <c r="E1377" s="35"/>
      <c r="F1377" s="35">
        <f t="shared" si="268"/>
        <v>0.18</v>
      </c>
      <c r="G1377" s="109"/>
      <c r="H1377" s="109">
        <v>0.18</v>
      </c>
      <c r="I1377" s="109"/>
      <c r="J1377" s="109"/>
      <c r="K1377" s="109"/>
      <c r="L1377" s="109"/>
      <c r="M1377" s="109"/>
      <c r="N1377" s="109"/>
      <c r="O1377" s="109"/>
      <c r="P1377" s="109"/>
      <c r="Q1377" s="109"/>
      <c r="R1377" s="109"/>
      <c r="S1377" s="109"/>
      <c r="T1377" s="109"/>
      <c r="U1377" s="109"/>
      <c r="V1377" s="109"/>
      <c r="W1377" s="109"/>
      <c r="X1377" s="109"/>
      <c r="Y1377" s="109"/>
      <c r="Z1377" s="109"/>
      <c r="AA1377" s="109"/>
      <c r="AB1377" s="109"/>
      <c r="AC1377" s="109"/>
      <c r="AD1377" s="109"/>
      <c r="AE1377" s="109"/>
      <c r="AF1377" s="109"/>
      <c r="AG1377" s="109"/>
      <c r="AH1377" s="109"/>
      <c r="AI1377" s="109"/>
      <c r="AJ1377" s="109"/>
      <c r="AK1377" s="109"/>
      <c r="AL1377" s="109"/>
      <c r="AM1377" s="109"/>
      <c r="AN1377" s="109"/>
      <c r="AO1377" s="109"/>
      <c r="AP1377" s="109"/>
      <c r="AQ1377" s="109"/>
      <c r="AR1377" s="109"/>
      <c r="AS1377" s="109"/>
      <c r="AT1377" s="109"/>
      <c r="AU1377" s="109"/>
      <c r="AV1377" s="109"/>
      <c r="AW1377" s="109"/>
      <c r="AX1377" s="109"/>
      <c r="AY1377" s="47" t="s">
        <v>238</v>
      </c>
      <c r="AZ1377" s="47" t="s">
        <v>1660</v>
      </c>
      <c r="BA1377" s="63" t="s">
        <v>291</v>
      </c>
      <c r="BB1377" s="63"/>
      <c r="BC1377" s="149" t="s">
        <v>1661</v>
      </c>
      <c r="BI1377" s="42">
        <v>1</v>
      </c>
    </row>
    <row r="1378" spans="1:61" s="24" customFormat="1" ht="18.600000000000001" customHeight="1">
      <c r="A1378" s="32">
        <f>A1377+1</f>
        <v>824</v>
      </c>
      <c r="B1378" s="158" t="s">
        <v>186</v>
      </c>
      <c r="C1378" s="78" t="s">
        <v>1260</v>
      </c>
      <c r="D1378" s="35">
        <f t="shared" si="250"/>
        <v>1.8</v>
      </c>
      <c r="E1378" s="35"/>
      <c r="F1378" s="35">
        <f t="shared" si="268"/>
        <v>1.8</v>
      </c>
      <c r="G1378" s="109"/>
      <c r="H1378" s="109">
        <v>1.5</v>
      </c>
      <c r="I1378" s="109"/>
      <c r="J1378" s="109"/>
      <c r="K1378" s="109"/>
      <c r="L1378" s="109"/>
      <c r="M1378" s="109"/>
      <c r="N1378" s="109"/>
      <c r="O1378" s="109"/>
      <c r="P1378" s="109"/>
      <c r="Q1378" s="109"/>
      <c r="R1378" s="109"/>
      <c r="S1378" s="109"/>
      <c r="T1378" s="109"/>
      <c r="U1378" s="109"/>
      <c r="V1378" s="109"/>
      <c r="W1378" s="109"/>
      <c r="X1378" s="109"/>
      <c r="Y1378" s="109"/>
      <c r="Z1378" s="109">
        <f>0.21+0.01+0.01+0.02+0.03+0.02</f>
        <v>0.30000000000000004</v>
      </c>
      <c r="AA1378" s="109"/>
      <c r="AB1378" s="109"/>
      <c r="AC1378" s="109"/>
      <c r="AD1378" s="109"/>
      <c r="AE1378" s="109"/>
      <c r="AF1378" s="109"/>
      <c r="AG1378" s="109"/>
      <c r="AH1378" s="109"/>
      <c r="AI1378" s="109"/>
      <c r="AJ1378" s="109"/>
      <c r="AK1378" s="109"/>
      <c r="AL1378" s="109"/>
      <c r="AM1378" s="109"/>
      <c r="AN1378" s="109"/>
      <c r="AO1378" s="109"/>
      <c r="AP1378" s="109"/>
      <c r="AQ1378" s="109"/>
      <c r="AR1378" s="109"/>
      <c r="AS1378" s="109"/>
      <c r="AT1378" s="109"/>
      <c r="AU1378" s="109"/>
      <c r="AV1378" s="109"/>
      <c r="AW1378" s="109"/>
      <c r="AX1378" s="109"/>
      <c r="AY1378" s="47" t="s">
        <v>238</v>
      </c>
      <c r="AZ1378" s="47" t="s">
        <v>1662</v>
      </c>
      <c r="BA1378" s="63" t="s">
        <v>291</v>
      </c>
      <c r="BB1378" s="63"/>
      <c r="BC1378" s="149" t="s">
        <v>1663</v>
      </c>
      <c r="BI1378" s="42">
        <v>1</v>
      </c>
    </row>
    <row r="1379" spans="1:61" s="24" customFormat="1" ht="18.600000000000001" hidden="1" customHeight="1">
      <c r="A1379" s="32"/>
      <c r="B1379" s="158"/>
      <c r="C1379" s="78" t="s">
        <v>59</v>
      </c>
      <c r="D1379" s="35">
        <f>F1379+E1379</f>
        <v>0.57000000000000006</v>
      </c>
      <c r="E1379" s="35"/>
      <c r="F1379" s="35">
        <f t="shared" si="268"/>
        <v>0.57000000000000006</v>
      </c>
      <c r="G1379" s="109"/>
      <c r="H1379" s="109">
        <v>0.52</v>
      </c>
      <c r="I1379" s="109"/>
      <c r="J1379" s="109"/>
      <c r="K1379" s="109"/>
      <c r="L1379" s="109"/>
      <c r="M1379" s="109"/>
      <c r="N1379" s="109"/>
      <c r="O1379" s="109"/>
      <c r="P1379" s="109"/>
      <c r="Q1379" s="109"/>
      <c r="R1379" s="109"/>
      <c r="S1379" s="109"/>
      <c r="T1379" s="109"/>
      <c r="U1379" s="109"/>
      <c r="V1379" s="109"/>
      <c r="W1379" s="109"/>
      <c r="X1379" s="109"/>
      <c r="Y1379" s="109"/>
      <c r="Z1379" s="109">
        <v>0.05</v>
      </c>
      <c r="AA1379" s="109"/>
      <c r="AB1379" s="109"/>
      <c r="AC1379" s="109"/>
      <c r="AD1379" s="109"/>
      <c r="AE1379" s="109"/>
      <c r="AF1379" s="109"/>
      <c r="AG1379" s="109"/>
      <c r="AH1379" s="109"/>
      <c r="AI1379" s="109"/>
      <c r="AJ1379" s="109"/>
      <c r="AK1379" s="109"/>
      <c r="AL1379" s="109"/>
      <c r="AM1379" s="109"/>
      <c r="AN1379" s="109"/>
      <c r="AO1379" s="109"/>
      <c r="AP1379" s="109"/>
      <c r="AQ1379" s="109"/>
      <c r="AR1379" s="109"/>
      <c r="AS1379" s="109"/>
      <c r="AT1379" s="109"/>
      <c r="AU1379" s="109"/>
      <c r="AV1379" s="109"/>
      <c r="AW1379" s="109"/>
      <c r="AX1379" s="109"/>
      <c r="AY1379" s="47" t="s">
        <v>238</v>
      </c>
      <c r="AZ1379" s="47"/>
      <c r="BA1379" s="63"/>
      <c r="BB1379" s="63"/>
      <c r="BC1379" s="149"/>
      <c r="BI1379" s="42"/>
    </row>
    <row r="1380" spans="1:61" s="24" customFormat="1" ht="18.600000000000001" hidden="1" customHeight="1">
      <c r="A1380" s="32"/>
      <c r="B1380" s="158"/>
      <c r="C1380" s="78" t="s">
        <v>44</v>
      </c>
      <c r="D1380" s="35">
        <f>F1380+E1380</f>
        <v>1.03</v>
      </c>
      <c r="E1380" s="35"/>
      <c r="F1380" s="35">
        <f t="shared" si="268"/>
        <v>1.03</v>
      </c>
      <c r="G1380" s="109"/>
      <c r="H1380" s="109">
        <v>0.78</v>
      </c>
      <c r="I1380" s="109"/>
      <c r="J1380" s="109"/>
      <c r="K1380" s="109"/>
      <c r="L1380" s="109"/>
      <c r="M1380" s="109"/>
      <c r="N1380" s="109"/>
      <c r="O1380" s="109"/>
      <c r="P1380" s="109"/>
      <c r="Q1380" s="109"/>
      <c r="R1380" s="109"/>
      <c r="S1380" s="109"/>
      <c r="T1380" s="109"/>
      <c r="U1380" s="109"/>
      <c r="V1380" s="109"/>
      <c r="W1380" s="109"/>
      <c r="X1380" s="109"/>
      <c r="Y1380" s="109"/>
      <c r="Z1380" s="109">
        <v>0.25</v>
      </c>
      <c r="AA1380" s="109"/>
      <c r="AB1380" s="109"/>
      <c r="AC1380" s="109"/>
      <c r="AD1380" s="109"/>
      <c r="AE1380" s="109"/>
      <c r="AF1380" s="109"/>
      <c r="AG1380" s="109"/>
      <c r="AH1380" s="109"/>
      <c r="AI1380" s="109"/>
      <c r="AJ1380" s="109"/>
      <c r="AK1380" s="109"/>
      <c r="AL1380" s="109"/>
      <c r="AM1380" s="109"/>
      <c r="AN1380" s="109"/>
      <c r="AO1380" s="109"/>
      <c r="AP1380" s="109"/>
      <c r="AQ1380" s="109"/>
      <c r="AR1380" s="109"/>
      <c r="AS1380" s="109"/>
      <c r="AT1380" s="109"/>
      <c r="AU1380" s="109"/>
      <c r="AV1380" s="109"/>
      <c r="AW1380" s="109"/>
      <c r="AX1380" s="109"/>
      <c r="AY1380" s="47" t="s">
        <v>238</v>
      </c>
      <c r="AZ1380" s="47"/>
      <c r="BA1380" s="63"/>
      <c r="BB1380" s="63"/>
      <c r="BC1380" s="149"/>
      <c r="BI1380" s="42"/>
    </row>
    <row r="1381" spans="1:61" s="24" customFormat="1" ht="18.600000000000001" hidden="1" customHeight="1">
      <c r="A1381" s="32"/>
      <c r="B1381" s="158"/>
      <c r="C1381" s="78" t="s">
        <v>138</v>
      </c>
      <c r="D1381" s="35">
        <f>F1381+E1381</f>
        <v>0.19999999999999996</v>
      </c>
      <c r="E1381" s="35"/>
      <c r="F1381" s="35">
        <f t="shared" si="268"/>
        <v>0.19999999999999996</v>
      </c>
      <c r="G1381" s="147">
        <f>G1378-G1379-G1380</f>
        <v>0</v>
      </c>
      <c r="H1381" s="147">
        <f t="shared" ref="H1381:AX1381" si="269">H1378-H1379-H1380</f>
        <v>0.19999999999999996</v>
      </c>
      <c r="I1381" s="147">
        <f t="shared" si="269"/>
        <v>0</v>
      </c>
      <c r="J1381" s="147">
        <f t="shared" si="269"/>
        <v>0</v>
      </c>
      <c r="K1381" s="147">
        <f t="shared" si="269"/>
        <v>0</v>
      </c>
      <c r="L1381" s="147">
        <f t="shared" si="269"/>
        <v>0</v>
      </c>
      <c r="M1381" s="147">
        <f t="shared" si="269"/>
        <v>0</v>
      </c>
      <c r="N1381" s="147">
        <f t="shared" si="269"/>
        <v>0</v>
      </c>
      <c r="O1381" s="147">
        <f t="shared" si="269"/>
        <v>0</v>
      </c>
      <c r="P1381" s="147">
        <f t="shared" si="269"/>
        <v>0</v>
      </c>
      <c r="Q1381" s="147">
        <f t="shared" si="269"/>
        <v>0</v>
      </c>
      <c r="R1381" s="147">
        <f t="shared" si="269"/>
        <v>0</v>
      </c>
      <c r="S1381" s="147">
        <f t="shared" si="269"/>
        <v>0</v>
      </c>
      <c r="T1381" s="147">
        <f t="shared" si="269"/>
        <v>0</v>
      </c>
      <c r="U1381" s="147">
        <f t="shared" si="269"/>
        <v>0</v>
      </c>
      <c r="V1381" s="147">
        <f t="shared" si="269"/>
        <v>0</v>
      </c>
      <c r="W1381" s="147">
        <f t="shared" si="269"/>
        <v>0</v>
      </c>
      <c r="X1381" s="147">
        <f t="shared" si="269"/>
        <v>0</v>
      </c>
      <c r="Y1381" s="147">
        <f t="shared" si="269"/>
        <v>0</v>
      </c>
      <c r="Z1381" s="147">
        <f t="shared" si="269"/>
        <v>0</v>
      </c>
      <c r="AA1381" s="147">
        <f t="shared" si="269"/>
        <v>0</v>
      </c>
      <c r="AB1381" s="147">
        <f t="shared" si="269"/>
        <v>0</v>
      </c>
      <c r="AC1381" s="147">
        <f t="shared" si="269"/>
        <v>0</v>
      </c>
      <c r="AD1381" s="147">
        <f t="shared" si="269"/>
        <v>0</v>
      </c>
      <c r="AE1381" s="147">
        <f t="shared" si="269"/>
        <v>0</v>
      </c>
      <c r="AF1381" s="147">
        <f t="shared" si="269"/>
        <v>0</v>
      </c>
      <c r="AG1381" s="147">
        <f t="shared" si="269"/>
        <v>0</v>
      </c>
      <c r="AH1381" s="147">
        <f t="shared" si="269"/>
        <v>0</v>
      </c>
      <c r="AI1381" s="147">
        <f t="shared" si="269"/>
        <v>0</v>
      </c>
      <c r="AJ1381" s="147">
        <f t="shared" si="269"/>
        <v>0</v>
      </c>
      <c r="AK1381" s="147">
        <f t="shared" si="269"/>
        <v>0</v>
      </c>
      <c r="AL1381" s="147">
        <f t="shared" si="269"/>
        <v>0</v>
      </c>
      <c r="AM1381" s="147">
        <f t="shared" si="269"/>
        <v>0</v>
      </c>
      <c r="AN1381" s="147">
        <f t="shared" si="269"/>
        <v>0</v>
      </c>
      <c r="AO1381" s="147">
        <f t="shared" si="269"/>
        <v>0</v>
      </c>
      <c r="AP1381" s="147">
        <f t="shared" si="269"/>
        <v>0</v>
      </c>
      <c r="AQ1381" s="147">
        <f t="shared" si="269"/>
        <v>0</v>
      </c>
      <c r="AR1381" s="147">
        <f t="shared" si="269"/>
        <v>0</v>
      </c>
      <c r="AS1381" s="147">
        <f t="shared" si="269"/>
        <v>0</v>
      </c>
      <c r="AT1381" s="147">
        <f t="shared" si="269"/>
        <v>0</v>
      </c>
      <c r="AU1381" s="147">
        <f t="shared" si="269"/>
        <v>0</v>
      </c>
      <c r="AV1381" s="147">
        <f t="shared" si="269"/>
        <v>0</v>
      </c>
      <c r="AW1381" s="147">
        <f t="shared" si="269"/>
        <v>0</v>
      </c>
      <c r="AX1381" s="147">
        <f t="shared" si="269"/>
        <v>0</v>
      </c>
      <c r="AY1381" s="47" t="s">
        <v>238</v>
      </c>
      <c r="AZ1381" s="47"/>
      <c r="BA1381" s="63"/>
      <c r="BB1381" s="63"/>
      <c r="BC1381" s="149"/>
      <c r="BI1381" s="42"/>
    </row>
    <row r="1382" spans="1:61" s="24" customFormat="1" ht="31.5">
      <c r="A1382" s="32">
        <f>A1378+1</f>
        <v>825</v>
      </c>
      <c r="B1382" s="158" t="s">
        <v>186</v>
      </c>
      <c r="C1382" s="78" t="s">
        <v>59</v>
      </c>
      <c r="D1382" s="35">
        <f t="shared" si="250"/>
        <v>0.15</v>
      </c>
      <c r="E1382" s="35"/>
      <c r="F1382" s="35">
        <f t="shared" si="268"/>
        <v>0.15</v>
      </c>
      <c r="G1382" s="109">
        <v>0.15</v>
      </c>
      <c r="H1382" s="109"/>
      <c r="I1382" s="109"/>
      <c r="J1382" s="109"/>
      <c r="K1382" s="109"/>
      <c r="L1382" s="109"/>
      <c r="M1382" s="109"/>
      <c r="N1382" s="109"/>
      <c r="O1382" s="109"/>
      <c r="P1382" s="109"/>
      <c r="Q1382" s="109"/>
      <c r="R1382" s="109"/>
      <c r="S1382" s="109"/>
      <c r="T1382" s="109"/>
      <c r="U1382" s="109"/>
      <c r="V1382" s="109"/>
      <c r="W1382" s="109"/>
      <c r="X1382" s="109"/>
      <c r="Y1382" s="109"/>
      <c r="Z1382" s="109"/>
      <c r="AA1382" s="109"/>
      <c r="AB1382" s="109"/>
      <c r="AC1382" s="109"/>
      <c r="AD1382" s="109"/>
      <c r="AE1382" s="109"/>
      <c r="AF1382" s="109"/>
      <c r="AG1382" s="109"/>
      <c r="AH1382" s="109"/>
      <c r="AI1382" s="109"/>
      <c r="AJ1382" s="109"/>
      <c r="AK1382" s="109"/>
      <c r="AL1382" s="109"/>
      <c r="AM1382" s="109"/>
      <c r="AN1382" s="109"/>
      <c r="AO1382" s="109"/>
      <c r="AP1382" s="109"/>
      <c r="AQ1382" s="109"/>
      <c r="AR1382" s="109"/>
      <c r="AS1382" s="109"/>
      <c r="AT1382" s="109"/>
      <c r="AU1382" s="109"/>
      <c r="AV1382" s="109"/>
      <c r="AW1382" s="109"/>
      <c r="AX1382" s="109"/>
      <c r="AY1382" s="47" t="s">
        <v>238</v>
      </c>
      <c r="AZ1382" s="47" t="s">
        <v>1664</v>
      </c>
      <c r="BA1382" s="63" t="s">
        <v>291</v>
      </c>
      <c r="BB1382" s="63"/>
      <c r="BC1382" s="149" t="s">
        <v>1665</v>
      </c>
      <c r="BI1382" s="42">
        <v>1</v>
      </c>
    </row>
    <row r="1383" spans="1:61" s="24" customFormat="1" ht="21" customHeight="1">
      <c r="A1383" s="32">
        <f>A1382+1</f>
        <v>826</v>
      </c>
      <c r="B1383" s="158" t="s">
        <v>186</v>
      </c>
      <c r="C1383" s="78" t="s">
        <v>1260</v>
      </c>
      <c r="D1383" s="35">
        <f t="shared" si="250"/>
        <v>0.8</v>
      </c>
      <c r="E1383" s="35"/>
      <c r="F1383" s="35">
        <f t="shared" si="268"/>
        <v>0.8</v>
      </c>
      <c r="G1383" s="109">
        <v>0.6</v>
      </c>
      <c r="H1383" s="109"/>
      <c r="I1383" s="109">
        <v>0.2</v>
      </c>
      <c r="J1383" s="109"/>
      <c r="K1383" s="109"/>
      <c r="L1383" s="109"/>
      <c r="M1383" s="109"/>
      <c r="N1383" s="109"/>
      <c r="O1383" s="109"/>
      <c r="P1383" s="109"/>
      <c r="Q1383" s="109"/>
      <c r="R1383" s="109"/>
      <c r="S1383" s="109"/>
      <c r="T1383" s="109"/>
      <c r="U1383" s="109"/>
      <c r="V1383" s="109"/>
      <c r="W1383" s="109"/>
      <c r="X1383" s="109"/>
      <c r="Y1383" s="109"/>
      <c r="Z1383" s="109"/>
      <c r="AA1383" s="109"/>
      <c r="AB1383" s="109"/>
      <c r="AC1383" s="109"/>
      <c r="AD1383" s="109"/>
      <c r="AE1383" s="109"/>
      <c r="AF1383" s="109"/>
      <c r="AG1383" s="109"/>
      <c r="AH1383" s="109"/>
      <c r="AI1383" s="109"/>
      <c r="AJ1383" s="109"/>
      <c r="AK1383" s="109"/>
      <c r="AL1383" s="109"/>
      <c r="AM1383" s="109"/>
      <c r="AN1383" s="109"/>
      <c r="AO1383" s="109"/>
      <c r="AP1383" s="109"/>
      <c r="AQ1383" s="109"/>
      <c r="AR1383" s="109"/>
      <c r="AS1383" s="109"/>
      <c r="AT1383" s="109"/>
      <c r="AU1383" s="109"/>
      <c r="AV1383" s="109"/>
      <c r="AW1383" s="109"/>
      <c r="AX1383" s="109"/>
      <c r="AY1383" s="47" t="s">
        <v>238</v>
      </c>
      <c r="AZ1383" s="47" t="s">
        <v>1666</v>
      </c>
      <c r="BA1383" s="63" t="s">
        <v>291</v>
      </c>
      <c r="BB1383" s="64"/>
      <c r="BI1383" s="42">
        <v>1</v>
      </c>
    </row>
    <row r="1384" spans="1:61" s="24" customFormat="1" ht="21" hidden="1" customHeight="1">
      <c r="A1384" s="32"/>
      <c r="B1384" s="158"/>
      <c r="C1384" s="78" t="s">
        <v>59</v>
      </c>
      <c r="D1384" s="35">
        <f>F1384+E1384</f>
        <v>0.28000000000000003</v>
      </c>
      <c r="E1384" s="76"/>
      <c r="F1384" s="35">
        <f t="shared" si="268"/>
        <v>0.28000000000000003</v>
      </c>
      <c r="G1384" s="109">
        <v>0.28000000000000003</v>
      </c>
      <c r="H1384" s="109"/>
      <c r="I1384" s="109"/>
      <c r="J1384" s="109"/>
      <c r="K1384" s="109"/>
      <c r="L1384" s="109"/>
      <c r="M1384" s="109"/>
      <c r="N1384" s="109"/>
      <c r="O1384" s="109"/>
      <c r="P1384" s="109"/>
      <c r="Q1384" s="109"/>
      <c r="R1384" s="109"/>
      <c r="S1384" s="109"/>
      <c r="T1384" s="109"/>
      <c r="U1384" s="109"/>
      <c r="V1384" s="109"/>
      <c r="W1384" s="109"/>
      <c r="X1384" s="109"/>
      <c r="Y1384" s="109"/>
      <c r="Z1384" s="109"/>
      <c r="AA1384" s="109"/>
      <c r="AB1384" s="109"/>
      <c r="AC1384" s="109"/>
      <c r="AD1384" s="109"/>
      <c r="AE1384" s="109"/>
      <c r="AF1384" s="109"/>
      <c r="AG1384" s="109"/>
      <c r="AH1384" s="109"/>
      <c r="AI1384" s="109"/>
      <c r="AJ1384" s="109"/>
      <c r="AK1384" s="109"/>
      <c r="AL1384" s="109"/>
      <c r="AM1384" s="109"/>
      <c r="AN1384" s="109"/>
      <c r="AO1384" s="109"/>
      <c r="AP1384" s="109"/>
      <c r="AQ1384" s="109"/>
      <c r="AR1384" s="109"/>
      <c r="AS1384" s="109"/>
      <c r="AT1384" s="109"/>
      <c r="AU1384" s="109"/>
      <c r="AV1384" s="109"/>
      <c r="AW1384" s="109"/>
      <c r="AX1384" s="109"/>
      <c r="AY1384" s="47" t="s">
        <v>238</v>
      </c>
      <c r="AZ1384" s="47"/>
      <c r="BA1384" s="63"/>
      <c r="BB1384" s="64"/>
      <c r="BI1384" s="42"/>
    </row>
    <row r="1385" spans="1:61" s="24" customFormat="1" ht="21" hidden="1" customHeight="1">
      <c r="A1385" s="32"/>
      <c r="B1385" s="158"/>
      <c r="C1385" s="78" t="s">
        <v>44</v>
      </c>
      <c r="D1385" s="35">
        <f>F1385+E1385</f>
        <v>0.32</v>
      </c>
      <c r="E1385" s="76"/>
      <c r="F1385" s="35">
        <f t="shared" si="268"/>
        <v>0.32</v>
      </c>
      <c r="G1385" s="109">
        <v>0.2</v>
      </c>
      <c r="H1385" s="109"/>
      <c r="I1385" s="109">
        <v>0.12</v>
      </c>
      <c r="J1385" s="109"/>
      <c r="K1385" s="109"/>
      <c r="L1385" s="109"/>
      <c r="M1385" s="109"/>
      <c r="N1385" s="109"/>
      <c r="O1385" s="109"/>
      <c r="P1385" s="109"/>
      <c r="Q1385" s="109"/>
      <c r="R1385" s="109"/>
      <c r="S1385" s="109"/>
      <c r="T1385" s="109"/>
      <c r="U1385" s="109"/>
      <c r="V1385" s="109"/>
      <c r="W1385" s="109"/>
      <c r="X1385" s="109"/>
      <c r="Y1385" s="109"/>
      <c r="Z1385" s="109"/>
      <c r="AA1385" s="109"/>
      <c r="AB1385" s="109"/>
      <c r="AC1385" s="109"/>
      <c r="AD1385" s="109"/>
      <c r="AE1385" s="109"/>
      <c r="AF1385" s="109"/>
      <c r="AG1385" s="109"/>
      <c r="AH1385" s="109"/>
      <c r="AI1385" s="109"/>
      <c r="AJ1385" s="109"/>
      <c r="AK1385" s="109"/>
      <c r="AL1385" s="109"/>
      <c r="AM1385" s="109"/>
      <c r="AN1385" s="109"/>
      <c r="AO1385" s="109"/>
      <c r="AP1385" s="109"/>
      <c r="AQ1385" s="109"/>
      <c r="AR1385" s="109"/>
      <c r="AS1385" s="109"/>
      <c r="AT1385" s="109"/>
      <c r="AU1385" s="109"/>
      <c r="AV1385" s="109"/>
      <c r="AW1385" s="109"/>
      <c r="AX1385" s="109"/>
      <c r="AY1385" s="47" t="s">
        <v>238</v>
      </c>
      <c r="AZ1385" s="47"/>
      <c r="BA1385" s="63"/>
      <c r="BB1385" s="64"/>
      <c r="BI1385" s="42"/>
    </row>
    <row r="1386" spans="1:61" s="24" customFormat="1" ht="21" hidden="1" customHeight="1">
      <c r="A1386" s="32"/>
      <c r="B1386" s="158"/>
      <c r="C1386" s="78" t="s">
        <v>138</v>
      </c>
      <c r="D1386" s="35">
        <f>F1386+E1386</f>
        <v>0.19999999999999996</v>
      </c>
      <c r="E1386" s="76"/>
      <c r="F1386" s="35">
        <f t="shared" si="268"/>
        <v>0.19999999999999996</v>
      </c>
      <c r="G1386" s="147">
        <f>G1383-G1384-G1385</f>
        <v>0.11999999999999994</v>
      </c>
      <c r="H1386" s="147">
        <f t="shared" ref="H1386:AX1386" si="270">H1383-H1384-H1385</f>
        <v>0</v>
      </c>
      <c r="I1386" s="147">
        <f t="shared" si="270"/>
        <v>8.0000000000000016E-2</v>
      </c>
      <c r="J1386" s="147">
        <f t="shared" si="270"/>
        <v>0</v>
      </c>
      <c r="K1386" s="147">
        <f t="shared" si="270"/>
        <v>0</v>
      </c>
      <c r="L1386" s="147">
        <f t="shared" si="270"/>
        <v>0</v>
      </c>
      <c r="M1386" s="147">
        <f t="shared" si="270"/>
        <v>0</v>
      </c>
      <c r="N1386" s="147">
        <f t="shared" si="270"/>
        <v>0</v>
      </c>
      <c r="O1386" s="147">
        <f t="shared" si="270"/>
        <v>0</v>
      </c>
      <c r="P1386" s="147">
        <f t="shared" si="270"/>
        <v>0</v>
      </c>
      <c r="Q1386" s="147">
        <f t="shared" si="270"/>
        <v>0</v>
      </c>
      <c r="R1386" s="147">
        <f t="shared" si="270"/>
        <v>0</v>
      </c>
      <c r="S1386" s="147">
        <f t="shared" si="270"/>
        <v>0</v>
      </c>
      <c r="T1386" s="147">
        <f t="shared" si="270"/>
        <v>0</v>
      </c>
      <c r="U1386" s="147">
        <f t="shared" si="270"/>
        <v>0</v>
      </c>
      <c r="V1386" s="147">
        <f t="shared" si="270"/>
        <v>0</v>
      </c>
      <c r="W1386" s="147">
        <f t="shared" si="270"/>
        <v>0</v>
      </c>
      <c r="X1386" s="147">
        <f t="shared" si="270"/>
        <v>0</v>
      </c>
      <c r="Y1386" s="147">
        <f t="shared" si="270"/>
        <v>0</v>
      </c>
      <c r="Z1386" s="147">
        <f t="shared" si="270"/>
        <v>0</v>
      </c>
      <c r="AA1386" s="147">
        <f t="shared" si="270"/>
        <v>0</v>
      </c>
      <c r="AB1386" s="147">
        <f t="shared" si="270"/>
        <v>0</v>
      </c>
      <c r="AC1386" s="147">
        <f t="shared" si="270"/>
        <v>0</v>
      </c>
      <c r="AD1386" s="147">
        <f t="shared" si="270"/>
        <v>0</v>
      </c>
      <c r="AE1386" s="147">
        <f t="shared" si="270"/>
        <v>0</v>
      </c>
      <c r="AF1386" s="147">
        <f t="shared" si="270"/>
        <v>0</v>
      </c>
      <c r="AG1386" s="147">
        <f t="shared" si="270"/>
        <v>0</v>
      </c>
      <c r="AH1386" s="147">
        <f t="shared" si="270"/>
        <v>0</v>
      </c>
      <c r="AI1386" s="147">
        <f t="shared" si="270"/>
        <v>0</v>
      </c>
      <c r="AJ1386" s="147">
        <f t="shared" si="270"/>
        <v>0</v>
      </c>
      <c r="AK1386" s="147">
        <f t="shared" si="270"/>
        <v>0</v>
      </c>
      <c r="AL1386" s="147">
        <f t="shared" si="270"/>
        <v>0</v>
      </c>
      <c r="AM1386" s="147">
        <f t="shared" si="270"/>
        <v>0</v>
      </c>
      <c r="AN1386" s="147">
        <f t="shared" si="270"/>
        <v>0</v>
      </c>
      <c r="AO1386" s="147">
        <f t="shared" si="270"/>
        <v>0</v>
      </c>
      <c r="AP1386" s="147">
        <f t="shared" si="270"/>
        <v>0</v>
      </c>
      <c r="AQ1386" s="147">
        <f t="shared" si="270"/>
        <v>0</v>
      </c>
      <c r="AR1386" s="147">
        <f t="shared" si="270"/>
        <v>0</v>
      </c>
      <c r="AS1386" s="147">
        <f t="shared" si="270"/>
        <v>0</v>
      </c>
      <c r="AT1386" s="147">
        <f t="shared" si="270"/>
        <v>0</v>
      </c>
      <c r="AU1386" s="147">
        <f t="shared" si="270"/>
        <v>0</v>
      </c>
      <c r="AV1386" s="147">
        <f t="shared" si="270"/>
        <v>0</v>
      </c>
      <c r="AW1386" s="147">
        <f t="shared" si="270"/>
        <v>0</v>
      </c>
      <c r="AX1386" s="147">
        <f t="shared" si="270"/>
        <v>0</v>
      </c>
      <c r="AY1386" s="47" t="s">
        <v>238</v>
      </c>
      <c r="AZ1386" s="47"/>
      <c r="BA1386" s="63"/>
      <c r="BB1386" s="64"/>
      <c r="BI1386" s="42"/>
    </row>
    <row r="1387" spans="1:61" s="24" customFormat="1" ht="22.35" customHeight="1">
      <c r="A1387" s="32">
        <f>A1383+1</f>
        <v>827</v>
      </c>
      <c r="B1387" s="158" t="s">
        <v>186</v>
      </c>
      <c r="C1387" s="78" t="s">
        <v>1260</v>
      </c>
      <c r="D1387" s="35">
        <f t="shared" si="250"/>
        <v>0.4</v>
      </c>
      <c r="E1387" s="35"/>
      <c r="F1387" s="35">
        <f t="shared" si="268"/>
        <v>0.4</v>
      </c>
      <c r="G1387" s="109">
        <v>0.4</v>
      </c>
      <c r="H1387" s="109"/>
      <c r="I1387" s="109"/>
      <c r="J1387" s="109"/>
      <c r="K1387" s="109"/>
      <c r="L1387" s="109"/>
      <c r="M1387" s="109"/>
      <c r="N1387" s="109"/>
      <c r="O1387" s="109"/>
      <c r="P1387" s="109"/>
      <c r="Q1387" s="109"/>
      <c r="R1387" s="109"/>
      <c r="S1387" s="109"/>
      <c r="T1387" s="109"/>
      <c r="U1387" s="109"/>
      <c r="V1387" s="109"/>
      <c r="W1387" s="109"/>
      <c r="X1387" s="109"/>
      <c r="Y1387" s="109"/>
      <c r="Z1387" s="109"/>
      <c r="AA1387" s="109"/>
      <c r="AB1387" s="109"/>
      <c r="AC1387" s="109"/>
      <c r="AD1387" s="109"/>
      <c r="AE1387" s="109"/>
      <c r="AF1387" s="109"/>
      <c r="AG1387" s="109"/>
      <c r="AH1387" s="109"/>
      <c r="AI1387" s="109"/>
      <c r="AJ1387" s="109"/>
      <c r="AK1387" s="109"/>
      <c r="AL1387" s="109"/>
      <c r="AM1387" s="109"/>
      <c r="AN1387" s="109"/>
      <c r="AO1387" s="109"/>
      <c r="AP1387" s="109"/>
      <c r="AQ1387" s="109"/>
      <c r="AR1387" s="109"/>
      <c r="AS1387" s="109"/>
      <c r="AT1387" s="109"/>
      <c r="AU1387" s="109"/>
      <c r="AV1387" s="109"/>
      <c r="AW1387" s="109"/>
      <c r="AX1387" s="109"/>
      <c r="AY1387" s="34" t="s">
        <v>238</v>
      </c>
      <c r="AZ1387" s="34" t="s">
        <v>1667</v>
      </c>
      <c r="BA1387" s="47" t="s">
        <v>298</v>
      </c>
      <c r="BB1387" s="48"/>
      <c r="BI1387" s="42">
        <v>1</v>
      </c>
    </row>
    <row r="1388" spans="1:61" s="24" customFormat="1" ht="22.35" hidden="1" customHeight="1">
      <c r="A1388" s="32"/>
      <c r="B1388" s="158"/>
      <c r="C1388" s="78" t="s">
        <v>59</v>
      </c>
      <c r="D1388" s="35">
        <f t="shared" si="250"/>
        <v>0.16</v>
      </c>
      <c r="E1388" s="76"/>
      <c r="F1388" s="35">
        <f t="shared" si="268"/>
        <v>0.16</v>
      </c>
      <c r="G1388" s="109">
        <v>0.16</v>
      </c>
      <c r="H1388" s="109"/>
      <c r="I1388" s="109"/>
      <c r="J1388" s="109"/>
      <c r="K1388" s="109"/>
      <c r="L1388" s="109"/>
      <c r="M1388" s="109"/>
      <c r="N1388" s="109"/>
      <c r="O1388" s="109"/>
      <c r="P1388" s="109"/>
      <c r="Q1388" s="109"/>
      <c r="R1388" s="109"/>
      <c r="S1388" s="109"/>
      <c r="T1388" s="109"/>
      <c r="U1388" s="109"/>
      <c r="V1388" s="109"/>
      <c r="W1388" s="109"/>
      <c r="X1388" s="109"/>
      <c r="Y1388" s="109"/>
      <c r="Z1388" s="109"/>
      <c r="AA1388" s="109"/>
      <c r="AB1388" s="109"/>
      <c r="AC1388" s="109"/>
      <c r="AD1388" s="109"/>
      <c r="AE1388" s="109"/>
      <c r="AF1388" s="109"/>
      <c r="AG1388" s="109"/>
      <c r="AH1388" s="109"/>
      <c r="AI1388" s="109"/>
      <c r="AJ1388" s="109"/>
      <c r="AK1388" s="109"/>
      <c r="AL1388" s="109"/>
      <c r="AM1388" s="109"/>
      <c r="AN1388" s="109"/>
      <c r="AO1388" s="109"/>
      <c r="AP1388" s="109"/>
      <c r="AQ1388" s="109"/>
      <c r="AR1388" s="109"/>
      <c r="AS1388" s="109"/>
      <c r="AT1388" s="109"/>
      <c r="AU1388" s="109"/>
      <c r="AV1388" s="109"/>
      <c r="AW1388" s="109"/>
      <c r="AX1388" s="109"/>
      <c r="AY1388" s="47" t="s">
        <v>238</v>
      </c>
      <c r="AZ1388" s="34"/>
      <c r="BA1388" s="47"/>
      <c r="BB1388" s="48"/>
      <c r="BI1388" s="42"/>
    </row>
    <row r="1389" spans="1:61" s="24" customFormat="1" ht="22.35" hidden="1" customHeight="1">
      <c r="A1389" s="32"/>
      <c r="B1389" s="158"/>
      <c r="C1389" s="78" t="s">
        <v>44</v>
      </c>
      <c r="D1389" s="35">
        <f t="shared" si="250"/>
        <v>0.16</v>
      </c>
      <c r="E1389" s="76"/>
      <c r="F1389" s="35">
        <f t="shared" si="268"/>
        <v>0.16</v>
      </c>
      <c r="G1389" s="109">
        <v>0.16</v>
      </c>
      <c r="H1389" s="109"/>
      <c r="I1389" s="109"/>
      <c r="J1389" s="109"/>
      <c r="K1389" s="109"/>
      <c r="L1389" s="109"/>
      <c r="M1389" s="109"/>
      <c r="N1389" s="109"/>
      <c r="O1389" s="109"/>
      <c r="P1389" s="109"/>
      <c r="Q1389" s="109"/>
      <c r="R1389" s="109"/>
      <c r="S1389" s="109"/>
      <c r="T1389" s="109"/>
      <c r="U1389" s="109"/>
      <c r="V1389" s="109"/>
      <c r="W1389" s="109"/>
      <c r="X1389" s="109"/>
      <c r="Y1389" s="109"/>
      <c r="Z1389" s="109"/>
      <c r="AA1389" s="109"/>
      <c r="AB1389" s="109"/>
      <c r="AC1389" s="109"/>
      <c r="AD1389" s="109"/>
      <c r="AE1389" s="109"/>
      <c r="AF1389" s="109"/>
      <c r="AG1389" s="109"/>
      <c r="AH1389" s="109"/>
      <c r="AI1389" s="109"/>
      <c r="AJ1389" s="109"/>
      <c r="AK1389" s="109"/>
      <c r="AL1389" s="109"/>
      <c r="AM1389" s="109"/>
      <c r="AN1389" s="109"/>
      <c r="AO1389" s="109"/>
      <c r="AP1389" s="109"/>
      <c r="AQ1389" s="109"/>
      <c r="AR1389" s="109"/>
      <c r="AS1389" s="109"/>
      <c r="AT1389" s="109"/>
      <c r="AU1389" s="109"/>
      <c r="AV1389" s="109"/>
      <c r="AW1389" s="109"/>
      <c r="AX1389" s="109"/>
      <c r="AY1389" s="47" t="s">
        <v>238</v>
      </c>
      <c r="AZ1389" s="34"/>
      <c r="BA1389" s="47"/>
      <c r="BB1389" s="48"/>
      <c r="BI1389" s="42"/>
    </row>
    <row r="1390" spans="1:61" s="24" customFormat="1" ht="22.35" hidden="1" customHeight="1">
      <c r="A1390" s="32"/>
      <c r="B1390" s="158"/>
      <c r="C1390" s="78" t="s">
        <v>138</v>
      </c>
      <c r="D1390" s="35">
        <f t="shared" si="250"/>
        <v>8.0000000000000016E-2</v>
      </c>
      <c r="E1390" s="76"/>
      <c r="F1390" s="35">
        <f t="shared" si="268"/>
        <v>8.0000000000000016E-2</v>
      </c>
      <c r="G1390" s="147">
        <f>G1387-G1388-G1389</f>
        <v>8.0000000000000016E-2</v>
      </c>
      <c r="H1390" s="147">
        <f t="shared" ref="H1390:AX1390" si="271">H1387-H1388-H1389</f>
        <v>0</v>
      </c>
      <c r="I1390" s="147">
        <f t="shared" si="271"/>
        <v>0</v>
      </c>
      <c r="J1390" s="147">
        <f t="shared" si="271"/>
        <v>0</v>
      </c>
      <c r="K1390" s="147">
        <f t="shared" si="271"/>
        <v>0</v>
      </c>
      <c r="L1390" s="147">
        <f t="shared" si="271"/>
        <v>0</v>
      </c>
      <c r="M1390" s="147">
        <f t="shared" si="271"/>
        <v>0</v>
      </c>
      <c r="N1390" s="147">
        <f t="shared" si="271"/>
        <v>0</v>
      </c>
      <c r="O1390" s="147">
        <f t="shared" si="271"/>
        <v>0</v>
      </c>
      <c r="P1390" s="147">
        <f t="shared" si="271"/>
        <v>0</v>
      </c>
      <c r="Q1390" s="147">
        <f t="shared" si="271"/>
        <v>0</v>
      </c>
      <c r="R1390" s="147">
        <f t="shared" si="271"/>
        <v>0</v>
      </c>
      <c r="S1390" s="147">
        <f t="shared" si="271"/>
        <v>0</v>
      </c>
      <c r="T1390" s="147">
        <f t="shared" si="271"/>
        <v>0</v>
      </c>
      <c r="U1390" s="147">
        <f t="shared" si="271"/>
        <v>0</v>
      </c>
      <c r="V1390" s="147">
        <f t="shared" si="271"/>
        <v>0</v>
      </c>
      <c r="W1390" s="147">
        <f t="shared" si="271"/>
        <v>0</v>
      </c>
      <c r="X1390" s="147">
        <f t="shared" si="271"/>
        <v>0</v>
      </c>
      <c r="Y1390" s="147">
        <f t="shared" si="271"/>
        <v>0</v>
      </c>
      <c r="Z1390" s="147">
        <f t="shared" si="271"/>
        <v>0</v>
      </c>
      <c r="AA1390" s="147">
        <f t="shared" si="271"/>
        <v>0</v>
      </c>
      <c r="AB1390" s="147">
        <f t="shared" si="271"/>
        <v>0</v>
      </c>
      <c r="AC1390" s="147">
        <f t="shared" si="271"/>
        <v>0</v>
      </c>
      <c r="AD1390" s="147">
        <f t="shared" si="271"/>
        <v>0</v>
      </c>
      <c r="AE1390" s="147">
        <f t="shared" si="271"/>
        <v>0</v>
      </c>
      <c r="AF1390" s="147">
        <f t="shared" si="271"/>
        <v>0</v>
      </c>
      <c r="AG1390" s="147">
        <f t="shared" si="271"/>
        <v>0</v>
      </c>
      <c r="AH1390" s="147">
        <f t="shared" si="271"/>
        <v>0</v>
      </c>
      <c r="AI1390" s="147">
        <f t="shared" si="271"/>
        <v>0</v>
      </c>
      <c r="AJ1390" s="147">
        <f t="shared" si="271"/>
        <v>0</v>
      </c>
      <c r="AK1390" s="147">
        <f t="shared" si="271"/>
        <v>0</v>
      </c>
      <c r="AL1390" s="147">
        <f t="shared" si="271"/>
        <v>0</v>
      </c>
      <c r="AM1390" s="147">
        <f t="shared" si="271"/>
        <v>0</v>
      </c>
      <c r="AN1390" s="147">
        <f t="shared" si="271"/>
        <v>0</v>
      </c>
      <c r="AO1390" s="147">
        <f t="shared" si="271"/>
        <v>0</v>
      </c>
      <c r="AP1390" s="147">
        <f t="shared" si="271"/>
        <v>0</v>
      </c>
      <c r="AQ1390" s="147">
        <f t="shared" si="271"/>
        <v>0</v>
      </c>
      <c r="AR1390" s="147">
        <f t="shared" si="271"/>
        <v>0</v>
      </c>
      <c r="AS1390" s="147">
        <f t="shared" si="271"/>
        <v>0</v>
      </c>
      <c r="AT1390" s="147">
        <f t="shared" si="271"/>
        <v>0</v>
      </c>
      <c r="AU1390" s="147">
        <f t="shared" si="271"/>
        <v>0</v>
      </c>
      <c r="AV1390" s="147">
        <f t="shared" si="271"/>
        <v>0</v>
      </c>
      <c r="AW1390" s="147">
        <f t="shared" si="271"/>
        <v>0</v>
      </c>
      <c r="AX1390" s="147">
        <f t="shared" si="271"/>
        <v>0</v>
      </c>
      <c r="AY1390" s="47" t="s">
        <v>238</v>
      </c>
      <c r="AZ1390" s="34"/>
      <c r="BA1390" s="47"/>
      <c r="BB1390" s="48"/>
      <c r="BI1390" s="42"/>
    </row>
    <row r="1391" spans="1:61" s="24" customFormat="1" ht="31.5">
      <c r="A1391" s="32">
        <f>A1387+1</f>
        <v>828</v>
      </c>
      <c r="B1391" s="158" t="s">
        <v>186</v>
      </c>
      <c r="C1391" s="78" t="s">
        <v>59</v>
      </c>
      <c r="D1391" s="35">
        <f t="shared" si="250"/>
        <v>0.3</v>
      </c>
      <c r="E1391" s="108"/>
      <c r="F1391" s="35">
        <f t="shared" si="268"/>
        <v>0.3</v>
      </c>
      <c r="G1391" s="109">
        <v>0.3</v>
      </c>
      <c r="H1391" s="109"/>
      <c r="I1391" s="109"/>
      <c r="J1391" s="109"/>
      <c r="K1391" s="109"/>
      <c r="L1391" s="109"/>
      <c r="M1391" s="109"/>
      <c r="N1391" s="109"/>
      <c r="O1391" s="109"/>
      <c r="P1391" s="109"/>
      <c r="Q1391" s="109"/>
      <c r="R1391" s="109"/>
      <c r="S1391" s="109"/>
      <c r="T1391" s="109"/>
      <c r="U1391" s="109"/>
      <c r="V1391" s="109"/>
      <c r="W1391" s="109"/>
      <c r="X1391" s="109"/>
      <c r="Y1391" s="109"/>
      <c r="Z1391" s="109"/>
      <c r="AA1391" s="109"/>
      <c r="AB1391" s="109"/>
      <c r="AC1391" s="109"/>
      <c r="AD1391" s="109"/>
      <c r="AE1391" s="109"/>
      <c r="AF1391" s="109"/>
      <c r="AG1391" s="109"/>
      <c r="AH1391" s="109"/>
      <c r="AI1391" s="109"/>
      <c r="AJ1391" s="109"/>
      <c r="AK1391" s="109"/>
      <c r="AL1391" s="109"/>
      <c r="AM1391" s="109"/>
      <c r="AN1391" s="109"/>
      <c r="AO1391" s="109"/>
      <c r="AP1391" s="109"/>
      <c r="AQ1391" s="109"/>
      <c r="AR1391" s="109"/>
      <c r="AS1391" s="109"/>
      <c r="AT1391" s="109"/>
      <c r="AU1391" s="109"/>
      <c r="AV1391" s="109"/>
      <c r="AW1391" s="109"/>
      <c r="AX1391" s="109"/>
      <c r="AY1391" s="34" t="s">
        <v>238</v>
      </c>
      <c r="AZ1391" s="34" t="s">
        <v>1668</v>
      </c>
      <c r="BA1391" s="47" t="s">
        <v>298</v>
      </c>
      <c r="BB1391" s="47"/>
      <c r="BC1391" s="60" t="s">
        <v>1669</v>
      </c>
      <c r="BI1391" s="42">
        <v>1</v>
      </c>
    </row>
    <row r="1392" spans="1:61" s="24" customFormat="1" ht="31.5">
      <c r="A1392" s="32">
        <f>A1391+1</f>
        <v>829</v>
      </c>
      <c r="B1392" s="158" t="s">
        <v>186</v>
      </c>
      <c r="C1392" s="78" t="s">
        <v>59</v>
      </c>
      <c r="D1392" s="35">
        <f t="shared" si="250"/>
        <v>0.3</v>
      </c>
      <c r="E1392" s="108"/>
      <c r="F1392" s="35">
        <f t="shared" si="268"/>
        <v>0.3</v>
      </c>
      <c r="G1392" s="109">
        <v>0.3</v>
      </c>
      <c r="H1392" s="109"/>
      <c r="I1392" s="109"/>
      <c r="J1392" s="109"/>
      <c r="K1392" s="109"/>
      <c r="L1392" s="109"/>
      <c r="M1392" s="109"/>
      <c r="N1392" s="109"/>
      <c r="O1392" s="109"/>
      <c r="P1392" s="109"/>
      <c r="Q1392" s="109"/>
      <c r="R1392" s="109"/>
      <c r="S1392" s="109"/>
      <c r="T1392" s="109"/>
      <c r="U1392" s="109"/>
      <c r="V1392" s="109"/>
      <c r="W1392" s="109"/>
      <c r="X1392" s="109"/>
      <c r="Y1392" s="109"/>
      <c r="Z1392" s="109"/>
      <c r="AA1392" s="109"/>
      <c r="AB1392" s="109"/>
      <c r="AC1392" s="109"/>
      <c r="AD1392" s="109"/>
      <c r="AE1392" s="109"/>
      <c r="AF1392" s="109"/>
      <c r="AG1392" s="109"/>
      <c r="AH1392" s="109"/>
      <c r="AI1392" s="109"/>
      <c r="AJ1392" s="109"/>
      <c r="AK1392" s="109"/>
      <c r="AL1392" s="109"/>
      <c r="AM1392" s="109"/>
      <c r="AN1392" s="109"/>
      <c r="AO1392" s="109"/>
      <c r="AP1392" s="109"/>
      <c r="AQ1392" s="109"/>
      <c r="AR1392" s="109"/>
      <c r="AS1392" s="109"/>
      <c r="AT1392" s="109"/>
      <c r="AU1392" s="109"/>
      <c r="AV1392" s="109"/>
      <c r="AW1392" s="109"/>
      <c r="AX1392" s="109"/>
      <c r="AY1392" s="34" t="s">
        <v>238</v>
      </c>
      <c r="AZ1392" s="34" t="s">
        <v>1670</v>
      </c>
      <c r="BA1392" s="47" t="s">
        <v>298</v>
      </c>
      <c r="BB1392" s="47"/>
      <c r="BC1392" s="60" t="s">
        <v>1671</v>
      </c>
      <c r="BI1392" s="42">
        <v>1</v>
      </c>
    </row>
    <row r="1393" spans="1:61" s="24" customFormat="1" ht="31.5">
      <c r="A1393" s="32">
        <f>A1392+1</f>
        <v>830</v>
      </c>
      <c r="B1393" s="158" t="s">
        <v>186</v>
      </c>
      <c r="C1393" s="78" t="s">
        <v>1260</v>
      </c>
      <c r="D1393" s="35">
        <f t="shared" si="250"/>
        <v>0.4</v>
      </c>
      <c r="E1393" s="108"/>
      <c r="F1393" s="35">
        <f t="shared" si="268"/>
        <v>0.4</v>
      </c>
      <c r="G1393" s="109">
        <v>0.4</v>
      </c>
      <c r="H1393" s="109"/>
      <c r="I1393" s="109"/>
      <c r="J1393" s="109"/>
      <c r="K1393" s="109"/>
      <c r="L1393" s="109"/>
      <c r="M1393" s="109"/>
      <c r="N1393" s="109"/>
      <c r="O1393" s="109"/>
      <c r="P1393" s="109"/>
      <c r="Q1393" s="109"/>
      <c r="R1393" s="109"/>
      <c r="S1393" s="109"/>
      <c r="T1393" s="109"/>
      <c r="U1393" s="109"/>
      <c r="V1393" s="109"/>
      <c r="W1393" s="109"/>
      <c r="X1393" s="109"/>
      <c r="Y1393" s="109"/>
      <c r="Z1393" s="109"/>
      <c r="AA1393" s="109"/>
      <c r="AB1393" s="109"/>
      <c r="AC1393" s="109"/>
      <c r="AD1393" s="109"/>
      <c r="AE1393" s="109"/>
      <c r="AF1393" s="109"/>
      <c r="AG1393" s="109"/>
      <c r="AH1393" s="109"/>
      <c r="AI1393" s="109"/>
      <c r="AJ1393" s="109"/>
      <c r="AK1393" s="109"/>
      <c r="AL1393" s="109"/>
      <c r="AM1393" s="109"/>
      <c r="AN1393" s="109"/>
      <c r="AO1393" s="109"/>
      <c r="AP1393" s="109"/>
      <c r="AQ1393" s="109"/>
      <c r="AR1393" s="109"/>
      <c r="AS1393" s="109"/>
      <c r="AT1393" s="109"/>
      <c r="AU1393" s="109"/>
      <c r="AV1393" s="109"/>
      <c r="AW1393" s="109"/>
      <c r="AX1393" s="109"/>
      <c r="AY1393" s="34" t="s">
        <v>238</v>
      </c>
      <c r="AZ1393" s="34" t="s">
        <v>1672</v>
      </c>
      <c r="BA1393" s="47" t="s">
        <v>298</v>
      </c>
      <c r="BB1393" s="47"/>
      <c r="BC1393" s="60" t="s">
        <v>1673</v>
      </c>
      <c r="BI1393" s="42">
        <v>1</v>
      </c>
    </row>
    <row r="1394" spans="1:61" s="24" customFormat="1" hidden="1">
      <c r="A1394" s="32"/>
      <c r="B1394" s="158"/>
      <c r="C1394" s="78" t="s">
        <v>59</v>
      </c>
      <c r="D1394" s="35">
        <f>F1394+E1394</f>
        <v>0.16</v>
      </c>
      <c r="E1394" s="76"/>
      <c r="F1394" s="35">
        <f t="shared" si="268"/>
        <v>0.16</v>
      </c>
      <c r="G1394" s="109">
        <v>0.16</v>
      </c>
      <c r="H1394" s="109"/>
      <c r="I1394" s="109"/>
      <c r="J1394" s="109"/>
      <c r="K1394" s="109"/>
      <c r="L1394" s="109"/>
      <c r="M1394" s="109"/>
      <c r="N1394" s="109"/>
      <c r="O1394" s="109"/>
      <c r="P1394" s="109"/>
      <c r="Q1394" s="109"/>
      <c r="R1394" s="109"/>
      <c r="S1394" s="109"/>
      <c r="T1394" s="109"/>
      <c r="U1394" s="109"/>
      <c r="V1394" s="109"/>
      <c r="W1394" s="109"/>
      <c r="X1394" s="109"/>
      <c r="Y1394" s="109"/>
      <c r="Z1394" s="109"/>
      <c r="AA1394" s="109"/>
      <c r="AB1394" s="109"/>
      <c r="AC1394" s="109"/>
      <c r="AD1394" s="109"/>
      <c r="AE1394" s="109"/>
      <c r="AF1394" s="109"/>
      <c r="AG1394" s="109"/>
      <c r="AH1394" s="109"/>
      <c r="AI1394" s="109"/>
      <c r="AJ1394" s="109"/>
      <c r="AK1394" s="109"/>
      <c r="AL1394" s="109"/>
      <c r="AM1394" s="109"/>
      <c r="AN1394" s="109"/>
      <c r="AO1394" s="109"/>
      <c r="AP1394" s="109"/>
      <c r="AQ1394" s="109"/>
      <c r="AR1394" s="109"/>
      <c r="AS1394" s="109"/>
      <c r="AT1394" s="109"/>
      <c r="AU1394" s="109"/>
      <c r="AV1394" s="109"/>
      <c r="AW1394" s="109"/>
      <c r="AX1394" s="109"/>
      <c r="AY1394" s="47" t="s">
        <v>238</v>
      </c>
      <c r="AZ1394" s="34"/>
      <c r="BA1394" s="47"/>
      <c r="BB1394" s="48"/>
      <c r="BC1394" s="152"/>
      <c r="BI1394" s="42"/>
    </row>
    <row r="1395" spans="1:61" s="24" customFormat="1" hidden="1">
      <c r="A1395" s="32"/>
      <c r="B1395" s="158"/>
      <c r="C1395" s="78" t="s">
        <v>44</v>
      </c>
      <c r="D1395" s="35">
        <f>F1395+E1395</f>
        <v>0.16</v>
      </c>
      <c r="E1395" s="76"/>
      <c r="F1395" s="35">
        <f t="shared" si="268"/>
        <v>0.16</v>
      </c>
      <c r="G1395" s="109">
        <v>0.16</v>
      </c>
      <c r="H1395" s="109"/>
      <c r="I1395" s="109"/>
      <c r="J1395" s="109"/>
      <c r="K1395" s="109"/>
      <c r="L1395" s="109"/>
      <c r="M1395" s="109"/>
      <c r="N1395" s="109"/>
      <c r="O1395" s="109"/>
      <c r="P1395" s="109"/>
      <c r="Q1395" s="109"/>
      <c r="R1395" s="109"/>
      <c r="S1395" s="109"/>
      <c r="T1395" s="109"/>
      <c r="U1395" s="109"/>
      <c r="V1395" s="109"/>
      <c r="W1395" s="109"/>
      <c r="X1395" s="109"/>
      <c r="Y1395" s="109"/>
      <c r="Z1395" s="109"/>
      <c r="AA1395" s="109"/>
      <c r="AB1395" s="109"/>
      <c r="AC1395" s="109"/>
      <c r="AD1395" s="109"/>
      <c r="AE1395" s="109"/>
      <c r="AF1395" s="109"/>
      <c r="AG1395" s="109"/>
      <c r="AH1395" s="109"/>
      <c r="AI1395" s="109"/>
      <c r="AJ1395" s="109"/>
      <c r="AK1395" s="109"/>
      <c r="AL1395" s="109"/>
      <c r="AM1395" s="109"/>
      <c r="AN1395" s="109"/>
      <c r="AO1395" s="109"/>
      <c r="AP1395" s="109"/>
      <c r="AQ1395" s="109"/>
      <c r="AR1395" s="109"/>
      <c r="AS1395" s="109"/>
      <c r="AT1395" s="109"/>
      <c r="AU1395" s="109"/>
      <c r="AV1395" s="109"/>
      <c r="AW1395" s="109"/>
      <c r="AX1395" s="109"/>
      <c r="AY1395" s="47" t="s">
        <v>238</v>
      </c>
      <c r="AZ1395" s="34"/>
      <c r="BA1395" s="47"/>
      <c r="BB1395" s="48"/>
      <c r="BC1395" s="152"/>
      <c r="BI1395" s="42"/>
    </row>
    <row r="1396" spans="1:61" s="24" customFormat="1" hidden="1">
      <c r="A1396" s="32"/>
      <c r="B1396" s="158"/>
      <c r="C1396" s="78" t="s">
        <v>138</v>
      </c>
      <c r="D1396" s="35">
        <f>F1396+E1396</f>
        <v>8.0000000000000016E-2</v>
      </c>
      <c r="E1396" s="76"/>
      <c r="F1396" s="35">
        <f t="shared" si="268"/>
        <v>8.0000000000000016E-2</v>
      </c>
      <c r="G1396" s="147">
        <f>G1393-G1394-G1395</f>
        <v>8.0000000000000016E-2</v>
      </c>
      <c r="H1396" s="147">
        <f t="shared" ref="H1396:AX1396" si="272">H1393-H1394-H1395</f>
        <v>0</v>
      </c>
      <c r="I1396" s="147">
        <f t="shared" si="272"/>
        <v>0</v>
      </c>
      <c r="J1396" s="147">
        <f t="shared" si="272"/>
        <v>0</v>
      </c>
      <c r="K1396" s="147">
        <f t="shared" si="272"/>
        <v>0</v>
      </c>
      <c r="L1396" s="147">
        <f t="shared" si="272"/>
        <v>0</v>
      </c>
      <c r="M1396" s="147">
        <f t="shared" si="272"/>
        <v>0</v>
      </c>
      <c r="N1396" s="147">
        <f t="shared" si="272"/>
        <v>0</v>
      </c>
      <c r="O1396" s="147">
        <f t="shared" si="272"/>
        <v>0</v>
      </c>
      <c r="P1396" s="147">
        <f t="shared" si="272"/>
        <v>0</v>
      </c>
      <c r="Q1396" s="147">
        <f t="shared" si="272"/>
        <v>0</v>
      </c>
      <c r="R1396" s="147">
        <f t="shared" si="272"/>
        <v>0</v>
      </c>
      <c r="S1396" s="147">
        <f t="shared" si="272"/>
        <v>0</v>
      </c>
      <c r="T1396" s="147">
        <f t="shared" si="272"/>
        <v>0</v>
      </c>
      <c r="U1396" s="147">
        <f t="shared" si="272"/>
        <v>0</v>
      </c>
      <c r="V1396" s="147">
        <f t="shared" si="272"/>
        <v>0</v>
      </c>
      <c r="W1396" s="147">
        <f t="shared" si="272"/>
        <v>0</v>
      </c>
      <c r="X1396" s="147">
        <f t="shared" si="272"/>
        <v>0</v>
      </c>
      <c r="Y1396" s="147">
        <f t="shared" si="272"/>
        <v>0</v>
      </c>
      <c r="Z1396" s="147">
        <f t="shared" si="272"/>
        <v>0</v>
      </c>
      <c r="AA1396" s="147">
        <f t="shared" si="272"/>
        <v>0</v>
      </c>
      <c r="AB1396" s="147">
        <f t="shared" si="272"/>
        <v>0</v>
      </c>
      <c r="AC1396" s="147">
        <f t="shared" si="272"/>
        <v>0</v>
      </c>
      <c r="AD1396" s="147">
        <f t="shared" si="272"/>
        <v>0</v>
      </c>
      <c r="AE1396" s="147">
        <f t="shared" si="272"/>
        <v>0</v>
      </c>
      <c r="AF1396" s="147">
        <f t="shared" si="272"/>
        <v>0</v>
      </c>
      <c r="AG1396" s="147">
        <f t="shared" si="272"/>
        <v>0</v>
      </c>
      <c r="AH1396" s="147">
        <f t="shared" si="272"/>
        <v>0</v>
      </c>
      <c r="AI1396" s="147">
        <f t="shared" si="272"/>
        <v>0</v>
      </c>
      <c r="AJ1396" s="147">
        <f t="shared" si="272"/>
        <v>0</v>
      </c>
      <c r="AK1396" s="147">
        <f t="shared" si="272"/>
        <v>0</v>
      </c>
      <c r="AL1396" s="147">
        <f t="shared" si="272"/>
        <v>0</v>
      </c>
      <c r="AM1396" s="147">
        <f t="shared" si="272"/>
        <v>0</v>
      </c>
      <c r="AN1396" s="147">
        <f t="shared" si="272"/>
        <v>0</v>
      </c>
      <c r="AO1396" s="147">
        <f t="shared" si="272"/>
        <v>0</v>
      </c>
      <c r="AP1396" s="147">
        <f t="shared" si="272"/>
        <v>0</v>
      </c>
      <c r="AQ1396" s="147">
        <f t="shared" si="272"/>
        <v>0</v>
      </c>
      <c r="AR1396" s="147">
        <f t="shared" si="272"/>
        <v>0</v>
      </c>
      <c r="AS1396" s="147">
        <f t="shared" si="272"/>
        <v>0</v>
      </c>
      <c r="AT1396" s="147">
        <f t="shared" si="272"/>
        <v>0</v>
      </c>
      <c r="AU1396" s="147">
        <f t="shared" si="272"/>
        <v>0</v>
      </c>
      <c r="AV1396" s="147">
        <f t="shared" si="272"/>
        <v>0</v>
      </c>
      <c r="AW1396" s="147">
        <f t="shared" si="272"/>
        <v>0</v>
      </c>
      <c r="AX1396" s="147">
        <f t="shared" si="272"/>
        <v>0</v>
      </c>
      <c r="AY1396" s="47" t="s">
        <v>238</v>
      </c>
      <c r="AZ1396" s="34"/>
      <c r="BA1396" s="47"/>
      <c r="BB1396" s="48"/>
      <c r="BC1396" s="152"/>
      <c r="BI1396" s="42"/>
    </row>
    <row r="1397" spans="1:61" s="24" customFormat="1" ht="31.5">
      <c r="A1397" s="32">
        <f>A1393+1</f>
        <v>831</v>
      </c>
      <c r="B1397" s="158" t="s">
        <v>186</v>
      </c>
      <c r="C1397" s="78" t="s">
        <v>1260</v>
      </c>
      <c r="D1397" s="35">
        <f>E1397+F1397</f>
        <v>1</v>
      </c>
      <c r="E1397" s="35"/>
      <c r="F1397" s="35">
        <f t="shared" si="268"/>
        <v>1</v>
      </c>
      <c r="G1397" s="43"/>
      <c r="H1397" s="43">
        <v>0.63</v>
      </c>
      <c r="I1397" s="43"/>
      <c r="J1397" s="43"/>
      <c r="K1397" s="43"/>
      <c r="L1397" s="43"/>
      <c r="M1397" s="43">
        <v>0.37</v>
      </c>
      <c r="N1397" s="43"/>
      <c r="O1397" s="43"/>
      <c r="P1397" s="43"/>
      <c r="Q1397" s="43"/>
      <c r="R1397" s="43"/>
      <c r="S1397" s="43"/>
      <c r="T1397" s="43"/>
      <c r="U1397" s="43"/>
      <c r="V1397" s="43"/>
      <c r="W1397" s="43"/>
      <c r="X1397" s="43"/>
      <c r="Y1397" s="43"/>
      <c r="Z1397" s="43"/>
      <c r="AA1397" s="43"/>
      <c r="AB1397" s="43"/>
      <c r="AC1397" s="43"/>
      <c r="AD1397" s="43"/>
      <c r="AE1397" s="43"/>
      <c r="AF1397" s="43"/>
      <c r="AG1397" s="43"/>
      <c r="AH1397" s="43"/>
      <c r="AI1397" s="43"/>
      <c r="AJ1397" s="43"/>
      <c r="AK1397" s="43"/>
      <c r="AL1397" s="43"/>
      <c r="AM1397" s="43"/>
      <c r="AN1397" s="43"/>
      <c r="AO1397" s="43"/>
      <c r="AP1397" s="43"/>
      <c r="AQ1397" s="43"/>
      <c r="AR1397" s="43"/>
      <c r="AS1397" s="43"/>
      <c r="AT1397" s="43"/>
      <c r="AU1397" s="43"/>
      <c r="AV1397" s="43"/>
      <c r="AW1397" s="43"/>
      <c r="AX1397" s="43"/>
      <c r="AY1397" s="34" t="s">
        <v>238</v>
      </c>
      <c r="AZ1397" s="34" t="s">
        <v>444</v>
      </c>
      <c r="BA1397" s="47" t="s">
        <v>298</v>
      </c>
      <c r="BB1397" s="48"/>
      <c r="BC1397" s="152"/>
      <c r="BG1397" s="24" t="s">
        <v>1674</v>
      </c>
      <c r="BI1397" s="42"/>
    </row>
    <row r="1398" spans="1:61" s="24" customFormat="1" hidden="1">
      <c r="A1398" s="32"/>
      <c r="B1398" s="158"/>
      <c r="C1398" s="78" t="s">
        <v>59</v>
      </c>
      <c r="D1398" s="35">
        <f>F1398+E1398</f>
        <v>0.35</v>
      </c>
      <c r="E1398" s="76"/>
      <c r="F1398" s="35">
        <f t="shared" si="268"/>
        <v>0.35</v>
      </c>
      <c r="G1398" s="43"/>
      <c r="H1398" s="43">
        <v>0.35</v>
      </c>
      <c r="I1398" s="43"/>
      <c r="J1398" s="43"/>
      <c r="K1398" s="43"/>
      <c r="L1398" s="43"/>
      <c r="M1398" s="43"/>
      <c r="N1398" s="43"/>
      <c r="O1398" s="43"/>
      <c r="P1398" s="43"/>
      <c r="Q1398" s="43"/>
      <c r="R1398" s="43"/>
      <c r="S1398" s="43"/>
      <c r="T1398" s="43"/>
      <c r="U1398" s="43"/>
      <c r="V1398" s="43"/>
      <c r="W1398" s="43"/>
      <c r="X1398" s="43"/>
      <c r="Y1398" s="43"/>
      <c r="Z1398" s="43"/>
      <c r="AA1398" s="43"/>
      <c r="AB1398" s="43"/>
      <c r="AC1398" s="43"/>
      <c r="AD1398" s="43"/>
      <c r="AE1398" s="43"/>
      <c r="AF1398" s="43"/>
      <c r="AG1398" s="43"/>
      <c r="AH1398" s="43"/>
      <c r="AI1398" s="43"/>
      <c r="AJ1398" s="43"/>
      <c r="AK1398" s="43"/>
      <c r="AL1398" s="43"/>
      <c r="AM1398" s="43"/>
      <c r="AN1398" s="43"/>
      <c r="AO1398" s="43"/>
      <c r="AP1398" s="43"/>
      <c r="AQ1398" s="43"/>
      <c r="AR1398" s="43"/>
      <c r="AS1398" s="43"/>
      <c r="AT1398" s="43"/>
      <c r="AU1398" s="43"/>
      <c r="AV1398" s="43"/>
      <c r="AW1398" s="43"/>
      <c r="AX1398" s="43"/>
      <c r="AY1398" s="47" t="s">
        <v>238</v>
      </c>
      <c r="AZ1398" s="34"/>
      <c r="BA1398" s="47"/>
      <c r="BB1398" s="48"/>
      <c r="BC1398" s="152"/>
      <c r="BI1398" s="42"/>
    </row>
    <row r="1399" spans="1:61" s="24" customFormat="1" hidden="1">
      <c r="A1399" s="32"/>
      <c r="B1399" s="158"/>
      <c r="C1399" s="78" t="s">
        <v>44</v>
      </c>
      <c r="D1399" s="35">
        <f>F1399+E1399</f>
        <v>0.4</v>
      </c>
      <c r="E1399" s="76"/>
      <c r="F1399" s="35">
        <f t="shared" si="268"/>
        <v>0.4</v>
      </c>
      <c r="G1399" s="43"/>
      <c r="H1399" s="43">
        <v>0.18</v>
      </c>
      <c r="I1399" s="43"/>
      <c r="J1399" s="43"/>
      <c r="K1399" s="43"/>
      <c r="L1399" s="43"/>
      <c r="M1399" s="43">
        <v>0.22</v>
      </c>
      <c r="N1399" s="43"/>
      <c r="O1399" s="43"/>
      <c r="P1399" s="43"/>
      <c r="Q1399" s="43"/>
      <c r="R1399" s="43"/>
      <c r="S1399" s="43"/>
      <c r="T1399" s="43"/>
      <c r="U1399" s="43"/>
      <c r="V1399" s="43"/>
      <c r="W1399" s="43"/>
      <c r="X1399" s="43"/>
      <c r="Y1399" s="43"/>
      <c r="Z1399" s="43"/>
      <c r="AA1399" s="43"/>
      <c r="AB1399" s="43"/>
      <c r="AC1399" s="43"/>
      <c r="AD1399" s="43"/>
      <c r="AE1399" s="43"/>
      <c r="AF1399" s="43"/>
      <c r="AG1399" s="43"/>
      <c r="AH1399" s="43"/>
      <c r="AI1399" s="43"/>
      <c r="AJ1399" s="43"/>
      <c r="AK1399" s="43"/>
      <c r="AL1399" s="43"/>
      <c r="AM1399" s="43"/>
      <c r="AN1399" s="43"/>
      <c r="AO1399" s="43"/>
      <c r="AP1399" s="43"/>
      <c r="AQ1399" s="43"/>
      <c r="AR1399" s="43"/>
      <c r="AS1399" s="43"/>
      <c r="AT1399" s="43"/>
      <c r="AU1399" s="43"/>
      <c r="AV1399" s="43"/>
      <c r="AW1399" s="43"/>
      <c r="AX1399" s="43"/>
      <c r="AY1399" s="47" t="s">
        <v>238</v>
      </c>
      <c r="AZ1399" s="34"/>
      <c r="BA1399" s="47"/>
      <c r="BB1399" s="48"/>
      <c r="BC1399" s="152"/>
      <c r="BI1399" s="42"/>
    </row>
    <row r="1400" spans="1:61" s="24" customFormat="1" hidden="1">
      <c r="A1400" s="32"/>
      <c r="B1400" s="158"/>
      <c r="C1400" s="78" t="s">
        <v>138</v>
      </c>
      <c r="D1400" s="35">
        <f>F1400+E1400</f>
        <v>0.25</v>
      </c>
      <c r="E1400" s="76"/>
      <c r="F1400" s="35">
        <f t="shared" si="268"/>
        <v>0.25</v>
      </c>
      <c r="G1400" s="141">
        <f t="shared" ref="G1400:AW1400" si="273">G1397-G1398-G1399</f>
        <v>0</v>
      </c>
      <c r="H1400" s="141">
        <f t="shared" si="273"/>
        <v>0.10000000000000003</v>
      </c>
      <c r="I1400" s="141">
        <f t="shared" si="273"/>
        <v>0</v>
      </c>
      <c r="J1400" s="141">
        <f t="shared" si="273"/>
        <v>0</v>
      </c>
      <c r="K1400" s="141">
        <f t="shared" si="273"/>
        <v>0</v>
      </c>
      <c r="L1400" s="141">
        <f t="shared" si="273"/>
        <v>0</v>
      </c>
      <c r="M1400" s="141">
        <f t="shared" si="273"/>
        <v>0.15</v>
      </c>
      <c r="N1400" s="141">
        <f t="shared" si="273"/>
        <v>0</v>
      </c>
      <c r="O1400" s="141">
        <f t="shared" si="273"/>
        <v>0</v>
      </c>
      <c r="P1400" s="141">
        <f t="shared" si="273"/>
        <v>0</v>
      </c>
      <c r="Q1400" s="141">
        <f t="shared" si="273"/>
        <v>0</v>
      </c>
      <c r="R1400" s="141">
        <f t="shared" si="273"/>
        <v>0</v>
      </c>
      <c r="S1400" s="141">
        <f t="shared" si="273"/>
        <v>0</v>
      </c>
      <c r="T1400" s="141">
        <f t="shared" si="273"/>
        <v>0</v>
      </c>
      <c r="U1400" s="141">
        <f t="shared" si="273"/>
        <v>0</v>
      </c>
      <c r="V1400" s="141">
        <f t="shared" si="273"/>
        <v>0</v>
      </c>
      <c r="W1400" s="141">
        <f t="shared" si="273"/>
        <v>0</v>
      </c>
      <c r="X1400" s="141">
        <f t="shared" si="273"/>
        <v>0</v>
      </c>
      <c r="Y1400" s="141">
        <f t="shared" si="273"/>
        <v>0</v>
      </c>
      <c r="Z1400" s="141">
        <f t="shared" si="273"/>
        <v>0</v>
      </c>
      <c r="AA1400" s="141">
        <f t="shared" si="273"/>
        <v>0</v>
      </c>
      <c r="AB1400" s="141">
        <f t="shared" si="273"/>
        <v>0</v>
      </c>
      <c r="AC1400" s="141">
        <f t="shared" si="273"/>
        <v>0</v>
      </c>
      <c r="AD1400" s="141">
        <f t="shared" si="273"/>
        <v>0</v>
      </c>
      <c r="AE1400" s="141">
        <f t="shared" si="273"/>
        <v>0</v>
      </c>
      <c r="AF1400" s="141">
        <f t="shared" si="273"/>
        <v>0</v>
      </c>
      <c r="AG1400" s="141">
        <f t="shared" si="273"/>
        <v>0</v>
      </c>
      <c r="AH1400" s="141">
        <f t="shared" si="273"/>
        <v>0</v>
      </c>
      <c r="AI1400" s="141">
        <f t="shared" si="273"/>
        <v>0</v>
      </c>
      <c r="AJ1400" s="141">
        <f t="shared" si="273"/>
        <v>0</v>
      </c>
      <c r="AK1400" s="141">
        <f t="shared" si="273"/>
        <v>0</v>
      </c>
      <c r="AL1400" s="141">
        <f t="shared" si="273"/>
        <v>0</v>
      </c>
      <c r="AM1400" s="141">
        <f t="shared" si="273"/>
        <v>0</v>
      </c>
      <c r="AN1400" s="141">
        <f t="shared" si="273"/>
        <v>0</v>
      </c>
      <c r="AO1400" s="141">
        <f t="shared" si="273"/>
        <v>0</v>
      </c>
      <c r="AP1400" s="141">
        <f t="shared" si="273"/>
        <v>0</v>
      </c>
      <c r="AQ1400" s="141">
        <f t="shared" si="273"/>
        <v>0</v>
      </c>
      <c r="AR1400" s="141">
        <f t="shared" si="273"/>
        <v>0</v>
      </c>
      <c r="AS1400" s="141">
        <f t="shared" si="273"/>
        <v>0</v>
      </c>
      <c r="AT1400" s="141">
        <f t="shared" si="273"/>
        <v>0</v>
      </c>
      <c r="AU1400" s="141">
        <f t="shared" si="273"/>
        <v>0</v>
      </c>
      <c r="AV1400" s="141">
        <f t="shared" si="273"/>
        <v>0</v>
      </c>
      <c r="AW1400" s="141">
        <f t="shared" si="273"/>
        <v>0</v>
      </c>
      <c r="AX1400" s="141">
        <f>AX1397-AX1398-AX1399</f>
        <v>0</v>
      </c>
      <c r="AY1400" s="47" t="s">
        <v>238</v>
      </c>
      <c r="AZ1400" s="34"/>
      <c r="BA1400" s="47"/>
      <c r="BB1400" s="48"/>
      <c r="BC1400" s="152"/>
      <c r="BI1400" s="42"/>
    </row>
    <row r="1401" spans="1:61" s="24" customFormat="1" ht="81" customHeight="1">
      <c r="A1401" s="32">
        <f>A1397+1</f>
        <v>832</v>
      </c>
      <c r="B1401" s="56" t="s">
        <v>1532</v>
      </c>
      <c r="C1401" s="78" t="s">
        <v>59</v>
      </c>
      <c r="D1401" s="35">
        <f t="shared" si="250"/>
        <v>0.16</v>
      </c>
      <c r="E1401" s="35"/>
      <c r="F1401" s="35">
        <f t="shared" si="268"/>
        <v>0.16</v>
      </c>
      <c r="G1401" s="109">
        <v>0.06</v>
      </c>
      <c r="H1401" s="109"/>
      <c r="I1401" s="109"/>
      <c r="J1401" s="109"/>
      <c r="K1401" s="109"/>
      <c r="L1401" s="109"/>
      <c r="M1401" s="109">
        <v>0.1</v>
      </c>
      <c r="N1401" s="109"/>
      <c r="O1401" s="109"/>
      <c r="P1401" s="109"/>
      <c r="Q1401" s="109"/>
      <c r="R1401" s="109"/>
      <c r="S1401" s="109"/>
      <c r="T1401" s="109"/>
      <c r="U1401" s="109"/>
      <c r="V1401" s="109"/>
      <c r="W1401" s="109"/>
      <c r="X1401" s="109"/>
      <c r="Y1401" s="109"/>
      <c r="Z1401" s="109"/>
      <c r="AA1401" s="109"/>
      <c r="AB1401" s="109"/>
      <c r="AC1401" s="109"/>
      <c r="AD1401" s="109"/>
      <c r="AE1401" s="109"/>
      <c r="AF1401" s="109"/>
      <c r="AG1401" s="109"/>
      <c r="AH1401" s="109"/>
      <c r="AI1401" s="109"/>
      <c r="AJ1401" s="109"/>
      <c r="AK1401" s="109"/>
      <c r="AL1401" s="109"/>
      <c r="AM1401" s="109"/>
      <c r="AN1401" s="109"/>
      <c r="AO1401" s="109"/>
      <c r="AP1401" s="109"/>
      <c r="AQ1401" s="109"/>
      <c r="AR1401" s="109"/>
      <c r="AS1401" s="109"/>
      <c r="AT1401" s="109"/>
      <c r="AU1401" s="109"/>
      <c r="AV1401" s="109"/>
      <c r="AW1401" s="109"/>
      <c r="AX1401" s="109"/>
      <c r="AY1401" s="34" t="s">
        <v>238</v>
      </c>
      <c r="AZ1401" s="34" t="s">
        <v>1675</v>
      </c>
      <c r="BA1401" s="63" t="s">
        <v>291</v>
      </c>
      <c r="BB1401" s="64"/>
      <c r="BI1401" s="42">
        <v>1</v>
      </c>
    </row>
    <row r="1402" spans="1:61" s="24" customFormat="1" ht="34.35" customHeight="1">
      <c r="A1402" s="32">
        <f>A1401+1</f>
        <v>833</v>
      </c>
      <c r="B1402" s="56" t="s">
        <v>1676</v>
      </c>
      <c r="C1402" s="78" t="s">
        <v>1260</v>
      </c>
      <c r="D1402" s="35">
        <f t="shared" si="250"/>
        <v>0.6</v>
      </c>
      <c r="E1402" s="35"/>
      <c r="F1402" s="35">
        <f t="shared" si="268"/>
        <v>0.6</v>
      </c>
      <c r="G1402" s="109">
        <v>0.5</v>
      </c>
      <c r="H1402" s="109"/>
      <c r="I1402" s="109">
        <v>0.1</v>
      </c>
      <c r="J1402" s="109"/>
      <c r="K1402" s="109"/>
      <c r="L1402" s="109"/>
      <c r="M1402" s="109"/>
      <c r="N1402" s="109"/>
      <c r="O1402" s="109"/>
      <c r="P1402" s="109"/>
      <c r="Q1402" s="109"/>
      <c r="R1402" s="109"/>
      <c r="S1402" s="109"/>
      <c r="T1402" s="109"/>
      <c r="U1402" s="109"/>
      <c r="V1402" s="109"/>
      <c r="W1402" s="109"/>
      <c r="X1402" s="109"/>
      <c r="Y1402" s="109"/>
      <c r="Z1402" s="109"/>
      <c r="AA1402" s="109"/>
      <c r="AB1402" s="109"/>
      <c r="AC1402" s="109"/>
      <c r="AD1402" s="109"/>
      <c r="AE1402" s="109"/>
      <c r="AF1402" s="109"/>
      <c r="AG1402" s="109"/>
      <c r="AH1402" s="109"/>
      <c r="AI1402" s="109"/>
      <c r="AJ1402" s="109"/>
      <c r="AK1402" s="109"/>
      <c r="AL1402" s="109"/>
      <c r="AM1402" s="109"/>
      <c r="AN1402" s="109"/>
      <c r="AO1402" s="109"/>
      <c r="AP1402" s="109"/>
      <c r="AQ1402" s="109"/>
      <c r="AR1402" s="109"/>
      <c r="AS1402" s="109"/>
      <c r="AT1402" s="109"/>
      <c r="AU1402" s="109"/>
      <c r="AV1402" s="109"/>
      <c r="AW1402" s="109"/>
      <c r="AX1402" s="109"/>
      <c r="AY1402" s="34" t="s">
        <v>238</v>
      </c>
      <c r="AZ1402" s="34" t="s">
        <v>1677</v>
      </c>
      <c r="BA1402" s="47" t="s">
        <v>298</v>
      </c>
      <c r="BB1402" s="48"/>
      <c r="BI1402" s="42">
        <v>1</v>
      </c>
    </row>
    <row r="1403" spans="1:61" s="24" customFormat="1" ht="22.35" hidden="1" customHeight="1">
      <c r="A1403" s="32"/>
      <c r="B1403" s="56"/>
      <c r="C1403" s="78" t="s">
        <v>59</v>
      </c>
      <c r="D1403" s="35">
        <f t="shared" si="250"/>
        <v>0.21</v>
      </c>
      <c r="E1403" s="76"/>
      <c r="F1403" s="35">
        <f t="shared" si="268"/>
        <v>0.21</v>
      </c>
      <c r="G1403" s="109">
        <v>0.21</v>
      </c>
      <c r="H1403" s="109"/>
      <c r="I1403" s="109"/>
      <c r="J1403" s="109"/>
      <c r="K1403" s="109"/>
      <c r="L1403" s="109"/>
      <c r="M1403" s="109"/>
      <c r="N1403" s="109"/>
      <c r="O1403" s="109"/>
      <c r="P1403" s="109"/>
      <c r="Q1403" s="109"/>
      <c r="R1403" s="109"/>
      <c r="S1403" s="109"/>
      <c r="T1403" s="109"/>
      <c r="U1403" s="109"/>
      <c r="V1403" s="109"/>
      <c r="W1403" s="109"/>
      <c r="X1403" s="109"/>
      <c r="Y1403" s="109"/>
      <c r="Z1403" s="109"/>
      <c r="AA1403" s="109"/>
      <c r="AB1403" s="109"/>
      <c r="AC1403" s="109"/>
      <c r="AD1403" s="109"/>
      <c r="AE1403" s="109"/>
      <c r="AF1403" s="109"/>
      <c r="AG1403" s="109"/>
      <c r="AH1403" s="109"/>
      <c r="AI1403" s="109"/>
      <c r="AJ1403" s="109"/>
      <c r="AK1403" s="109"/>
      <c r="AL1403" s="109"/>
      <c r="AM1403" s="109"/>
      <c r="AN1403" s="109"/>
      <c r="AO1403" s="109"/>
      <c r="AP1403" s="109"/>
      <c r="AQ1403" s="109"/>
      <c r="AR1403" s="109"/>
      <c r="AS1403" s="109"/>
      <c r="AT1403" s="109"/>
      <c r="AU1403" s="109"/>
      <c r="AV1403" s="109"/>
      <c r="AW1403" s="109"/>
      <c r="AX1403" s="109"/>
      <c r="AY1403" s="47" t="s">
        <v>238</v>
      </c>
      <c r="AZ1403" s="34"/>
      <c r="BA1403" s="47"/>
      <c r="BB1403" s="48"/>
      <c r="BI1403" s="42"/>
    </row>
    <row r="1404" spans="1:61" s="24" customFormat="1" ht="22.35" hidden="1" customHeight="1">
      <c r="A1404" s="32"/>
      <c r="B1404" s="56"/>
      <c r="C1404" s="78" t="s">
        <v>44</v>
      </c>
      <c r="D1404" s="35">
        <f t="shared" si="250"/>
        <v>0.24</v>
      </c>
      <c r="E1404" s="76"/>
      <c r="F1404" s="35">
        <f t="shared" si="268"/>
        <v>0.24</v>
      </c>
      <c r="G1404" s="109">
        <v>0.24</v>
      </c>
      <c r="H1404" s="109"/>
      <c r="I1404" s="109"/>
      <c r="J1404" s="109"/>
      <c r="K1404" s="109"/>
      <c r="L1404" s="109"/>
      <c r="M1404" s="109"/>
      <c r="N1404" s="109"/>
      <c r="O1404" s="109"/>
      <c r="P1404" s="109"/>
      <c r="Q1404" s="109"/>
      <c r="R1404" s="109"/>
      <c r="S1404" s="109"/>
      <c r="T1404" s="109"/>
      <c r="U1404" s="109"/>
      <c r="V1404" s="109"/>
      <c r="W1404" s="109"/>
      <c r="X1404" s="109"/>
      <c r="Y1404" s="109"/>
      <c r="Z1404" s="109"/>
      <c r="AA1404" s="109"/>
      <c r="AB1404" s="109"/>
      <c r="AC1404" s="109"/>
      <c r="AD1404" s="109"/>
      <c r="AE1404" s="109"/>
      <c r="AF1404" s="109"/>
      <c r="AG1404" s="109"/>
      <c r="AH1404" s="109"/>
      <c r="AI1404" s="109"/>
      <c r="AJ1404" s="109"/>
      <c r="AK1404" s="109"/>
      <c r="AL1404" s="109"/>
      <c r="AM1404" s="109"/>
      <c r="AN1404" s="109"/>
      <c r="AO1404" s="109"/>
      <c r="AP1404" s="109"/>
      <c r="AQ1404" s="109"/>
      <c r="AR1404" s="109"/>
      <c r="AS1404" s="109"/>
      <c r="AT1404" s="109"/>
      <c r="AU1404" s="109"/>
      <c r="AV1404" s="109"/>
      <c r="AW1404" s="109"/>
      <c r="AX1404" s="109"/>
      <c r="AY1404" s="47" t="s">
        <v>238</v>
      </c>
      <c r="AZ1404" s="34"/>
      <c r="BA1404" s="47"/>
      <c r="BB1404" s="48"/>
      <c r="BI1404" s="42"/>
    </row>
    <row r="1405" spans="1:61" s="24" customFormat="1" ht="22.35" hidden="1" customHeight="1">
      <c r="A1405" s="32"/>
      <c r="B1405" s="56"/>
      <c r="C1405" s="78" t="s">
        <v>138</v>
      </c>
      <c r="D1405" s="35">
        <f t="shared" si="250"/>
        <v>0.15000000000000005</v>
      </c>
      <c r="E1405" s="76"/>
      <c r="F1405" s="35">
        <f t="shared" si="268"/>
        <v>0.15000000000000005</v>
      </c>
      <c r="G1405" s="147">
        <f>G1402-G1403-G1404</f>
        <v>5.0000000000000044E-2</v>
      </c>
      <c r="H1405" s="147">
        <f t="shared" ref="H1405:AX1405" si="274">H1402-H1403-H1404</f>
        <v>0</v>
      </c>
      <c r="I1405" s="147">
        <f t="shared" si="274"/>
        <v>0.1</v>
      </c>
      <c r="J1405" s="147">
        <f t="shared" si="274"/>
        <v>0</v>
      </c>
      <c r="K1405" s="147">
        <f t="shared" si="274"/>
        <v>0</v>
      </c>
      <c r="L1405" s="147">
        <f t="shared" si="274"/>
        <v>0</v>
      </c>
      <c r="M1405" s="147">
        <f t="shared" si="274"/>
        <v>0</v>
      </c>
      <c r="N1405" s="147">
        <f t="shared" si="274"/>
        <v>0</v>
      </c>
      <c r="O1405" s="147">
        <f t="shared" si="274"/>
        <v>0</v>
      </c>
      <c r="P1405" s="147">
        <f t="shared" si="274"/>
        <v>0</v>
      </c>
      <c r="Q1405" s="147">
        <f t="shared" si="274"/>
        <v>0</v>
      </c>
      <c r="R1405" s="147">
        <f t="shared" si="274"/>
        <v>0</v>
      </c>
      <c r="S1405" s="147">
        <f t="shared" si="274"/>
        <v>0</v>
      </c>
      <c r="T1405" s="147">
        <f t="shared" si="274"/>
        <v>0</v>
      </c>
      <c r="U1405" s="147">
        <f t="shared" si="274"/>
        <v>0</v>
      </c>
      <c r="V1405" s="147">
        <f t="shared" si="274"/>
        <v>0</v>
      </c>
      <c r="W1405" s="147">
        <f t="shared" si="274"/>
        <v>0</v>
      </c>
      <c r="X1405" s="147">
        <f t="shared" si="274"/>
        <v>0</v>
      </c>
      <c r="Y1405" s="147">
        <f t="shared" si="274"/>
        <v>0</v>
      </c>
      <c r="Z1405" s="147">
        <f t="shared" si="274"/>
        <v>0</v>
      </c>
      <c r="AA1405" s="147">
        <f t="shared" si="274"/>
        <v>0</v>
      </c>
      <c r="AB1405" s="147">
        <f t="shared" si="274"/>
        <v>0</v>
      </c>
      <c r="AC1405" s="147">
        <f t="shared" si="274"/>
        <v>0</v>
      </c>
      <c r="AD1405" s="147">
        <f t="shared" si="274"/>
        <v>0</v>
      </c>
      <c r="AE1405" s="147">
        <f t="shared" si="274"/>
        <v>0</v>
      </c>
      <c r="AF1405" s="147">
        <f t="shared" si="274"/>
        <v>0</v>
      </c>
      <c r="AG1405" s="147">
        <f t="shared" si="274"/>
        <v>0</v>
      </c>
      <c r="AH1405" s="147">
        <f t="shared" si="274"/>
        <v>0</v>
      </c>
      <c r="AI1405" s="147">
        <f t="shared" si="274"/>
        <v>0</v>
      </c>
      <c r="AJ1405" s="147">
        <f t="shared" si="274"/>
        <v>0</v>
      </c>
      <c r="AK1405" s="147">
        <f t="shared" si="274"/>
        <v>0</v>
      </c>
      <c r="AL1405" s="147">
        <f t="shared" si="274"/>
        <v>0</v>
      </c>
      <c r="AM1405" s="147">
        <f t="shared" si="274"/>
        <v>0</v>
      </c>
      <c r="AN1405" s="147">
        <f t="shared" si="274"/>
        <v>0</v>
      </c>
      <c r="AO1405" s="147">
        <f t="shared" si="274"/>
        <v>0</v>
      </c>
      <c r="AP1405" s="147">
        <f t="shared" si="274"/>
        <v>0</v>
      </c>
      <c r="AQ1405" s="147">
        <f t="shared" si="274"/>
        <v>0</v>
      </c>
      <c r="AR1405" s="147">
        <f t="shared" si="274"/>
        <v>0</v>
      </c>
      <c r="AS1405" s="147">
        <f t="shared" si="274"/>
        <v>0</v>
      </c>
      <c r="AT1405" s="147">
        <f t="shared" si="274"/>
        <v>0</v>
      </c>
      <c r="AU1405" s="147">
        <f t="shared" si="274"/>
        <v>0</v>
      </c>
      <c r="AV1405" s="147">
        <f t="shared" si="274"/>
        <v>0</v>
      </c>
      <c r="AW1405" s="147">
        <f t="shared" si="274"/>
        <v>0</v>
      </c>
      <c r="AX1405" s="147">
        <f t="shared" si="274"/>
        <v>0</v>
      </c>
      <c r="AY1405" s="47" t="s">
        <v>238</v>
      </c>
      <c r="AZ1405" s="34"/>
      <c r="BA1405" s="47"/>
      <c r="BB1405" s="48"/>
      <c r="BI1405" s="42"/>
    </row>
    <row r="1406" spans="1:61" s="24" customFormat="1" ht="34.35" customHeight="1">
      <c r="A1406" s="32">
        <f>A1402+1</f>
        <v>834</v>
      </c>
      <c r="B1406" s="56" t="s">
        <v>1678</v>
      </c>
      <c r="C1406" s="78" t="s">
        <v>1260</v>
      </c>
      <c r="D1406" s="35">
        <f t="shared" si="250"/>
        <v>0.85</v>
      </c>
      <c r="E1406" s="35"/>
      <c r="F1406" s="35">
        <f t="shared" si="268"/>
        <v>0.85</v>
      </c>
      <c r="G1406" s="109">
        <v>0.5</v>
      </c>
      <c r="H1406" s="109"/>
      <c r="I1406" s="109">
        <v>0.35</v>
      </c>
      <c r="J1406" s="109"/>
      <c r="K1406" s="109"/>
      <c r="L1406" s="109"/>
      <c r="M1406" s="109"/>
      <c r="N1406" s="109"/>
      <c r="O1406" s="109"/>
      <c r="P1406" s="109"/>
      <c r="Q1406" s="109"/>
      <c r="R1406" s="109"/>
      <c r="S1406" s="109"/>
      <c r="T1406" s="109"/>
      <c r="U1406" s="109"/>
      <c r="V1406" s="109"/>
      <c r="W1406" s="109"/>
      <c r="X1406" s="109"/>
      <c r="Y1406" s="109"/>
      <c r="Z1406" s="109"/>
      <c r="AA1406" s="109"/>
      <c r="AB1406" s="109"/>
      <c r="AC1406" s="109"/>
      <c r="AD1406" s="109"/>
      <c r="AE1406" s="109"/>
      <c r="AF1406" s="109"/>
      <c r="AG1406" s="109"/>
      <c r="AH1406" s="109"/>
      <c r="AI1406" s="109"/>
      <c r="AJ1406" s="109"/>
      <c r="AK1406" s="109"/>
      <c r="AL1406" s="109"/>
      <c r="AM1406" s="109"/>
      <c r="AN1406" s="109"/>
      <c r="AO1406" s="109"/>
      <c r="AP1406" s="109"/>
      <c r="AQ1406" s="109"/>
      <c r="AR1406" s="109"/>
      <c r="AS1406" s="109"/>
      <c r="AT1406" s="109"/>
      <c r="AU1406" s="109"/>
      <c r="AV1406" s="109"/>
      <c r="AW1406" s="109"/>
      <c r="AX1406" s="109"/>
      <c r="AY1406" s="34" t="s">
        <v>238</v>
      </c>
      <c r="AZ1406" s="34" t="s">
        <v>1679</v>
      </c>
      <c r="BA1406" s="47" t="s">
        <v>298</v>
      </c>
      <c r="BB1406" s="48"/>
      <c r="BI1406" s="42">
        <v>1</v>
      </c>
    </row>
    <row r="1407" spans="1:61" s="24" customFormat="1" ht="22.35" hidden="1" customHeight="1">
      <c r="A1407" s="32"/>
      <c r="B1407" s="56"/>
      <c r="C1407" s="78" t="s">
        <v>59</v>
      </c>
      <c r="D1407" s="35">
        <f>F1407+E1407</f>
        <v>0.3</v>
      </c>
      <c r="E1407" s="76"/>
      <c r="F1407" s="35">
        <f t="shared" si="268"/>
        <v>0.3</v>
      </c>
      <c r="G1407" s="109">
        <v>0.3</v>
      </c>
      <c r="H1407" s="109"/>
      <c r="I1407" s="109"/>
      <c r="J1407" s="109"/>
      <c r="K1407" s="109"/>
      <c r="L1407" s="109"/>
      <c r="M1407" s="109"/>
      <c r="N1407" s="109"/>
      <c r="O1407" s="109"/>
      <c r="P1407" s="109"/>
      <c r="Q1407" s="109"/>
      <c r="R1407" s="109"/>
      <c r="S1407" s="109"/>
      <c r="T1407" s="109"/>
      <c r="U1407" s="109"/>
      <c r="V1407" s="109"/>
      <c r="W1407" s="109"/>
      <c r="X1407" s="109"/>
      <c r="Y1407" s="109"/>
      <c r="Z1407" s="109"/>
      <c r="AA1407" s="109"/>
      <c r="AB1407" s="109"/>
      <c r="AC1407" s="109"/>
      <c r="AD1407" s="109"/>
      <c r="AE1407" s="109"/>
      <c r="AF1407" s="109"/>
      <c r="AG1407" s="109"/>
      <c r="AH1407" s="109"/>
      <c r="AI1407" s="109"/>
      <c r="AJ1407" s="109"/>
      <c r="AK1407" s="109"/>
      <c r="AL1407" s="109"/>
      <c r="AM1407" s="109"/>
      <c r="AN1407" s="109"/>
      <c r="AO1407" s="109"/>
      <c r="AP1407" s="109"/>
      <c r="AQ1407" s="109"/>
      <c r="AR1407" s="109"/>
      <c r="AS1407" s="109"/>
      <c r="AT1407" s="109"/>
      <c r="AU1407" s="109"/>
      <c r="AV1407" s="109"/>
      <c r="AW1407" s="109"/>
      <c r="AX1407" s="109"/>
      <c r="AY1407" s="47" t="s">
        <v>238</v>
      </c>
      <c r="AZ1407" s="34"/>
      <c r="BA1407" s="47"/>
      <c r="BB1407" s="48"/>
      <c r="BI1407" s="42"/>
    </row>
    <row r="1408" spans="1:61" s="24" customFormat="1" ht="22.35" hidden="1" customHeight="1">
      <c r="A1408" s="32"/>
      <c r="B1408" s="56"/>
      <c r="C1408" s="78" t="s">
        <v>44</v>
      </c>
      <c r="D1408" s="35">
        <f>F1408+E1408</f>
        <v>0.35</v>
      </c>
      <c r="E1408" s="76"/>
      <c r="F1408" s="35">
        <f t="shared" si="268"/>
        <v>0.35</v>
      </c>
      <c r="G1408" s="109"/>
      <c r="H1408" s="109"/>
      <c r="I1408" s="109">
        <v>0.35</v>
      </c>
      <c r="J1408" s="109"/>
      <c r="K1408" s="109"/>
      <c r="L1408" s="109"/>
      <c r="M1408" s="109"/>
      <c r="N1408" s="109"/>
      <c r="O1408" s="109"/>
      <c r="P1408" s="109"/>
      <c r="Q1408" s="109"/>
      <c r="R1408" s="109"/>
      <c r="S1408" s="109"/>
      <c r="T1408" s="109"/>
      <c r="U1408" s="109"/>
      <c r="V1408" s="109"/>
      <c r="W1408" s="109"/>
      <c r="X1408" s="109"/>
      <c r="Y1408" s="109"/>
      <c r="Z1408" s="109"/>
      <c r="AA1408" s="109"/>
      <c r="AB1408" s="109"/>
      <c r="AC1408" s="109"/>
      <c r="AD1408" s="109"/>
      <c r="AE1408" s="109"/>
      <c r="AF1408" s="109"/>
      <c r="AG1408" s="109"/>
      <c r="AH1408" s="109"/>
      <c r="AI1408" s="109"/>
      <c r="AJ1408" s="109"/>
      <c r="AK1408" s="109"/>
      <c r="AL1408" s="109"/>
      <c r="AM1408" s="109"/>
      <c r="AN1408" s="109"/>
      <c r="AO1408" s="109"/>
      <c r="AP1408" s="109"/>
      <c r="AQ1408" s="109"/>
      <c r="AR1408" s="109"/>
      <c r="AS1408" s="109"/>
      <c r="AT1408" s="109"/>
      <c r="AU1408" s="109"/>
      <c r="AV1408" s="109"/>
      <c r="AW1408" s="109"/>
      <c r="AX1408" s="109"/>
      <c r="AY1408" s="47" t="s">
        <v>238</v>
      </c>
      <c r="AZ1408" s="34"/>
      <c r="BA1408" s="47"/>
      <c r="BB1408" s="48"/>
      <c r="BI1408" s="42"/>
    </row>
    <row r="1409" spans="1:61" s="24" customFormat="1" ht="22.35" hidden="1" customHeight="1">
      <c r="A1409" s="32"/>
      <c r="B1409" s="56"/>
      <c r="C1409" s="78" t="s">
        <v>138</v>
      </c>
      <c r="D1409" s="35">
        <f>F1409+E1409</f>
        <v>0.2</v>
      </c>
      <c r="E1409" s="76"/>
      <c r="F1409" s="35">
        <f t="shared" si="268"/>
        <v>0.2</v>
      </c>
      <c r="G1409" s="147">
        <f t="shared" ref="G1409:AW1409" si="275">G1406-G1407-G1408</f>
        <v>0.2</v>
      </c>
      <c r="H1409" s="147">
        <f t="shared" si="275"/>
        <v>0</v>
      </c>
      <c r="I1409" s="147">
        <f t="shared" si="275"/>
        <v>0</v>
      </c>
      <c r="J1409" s="147">
        <f t="shared" si="275"/>
        <v>0</v>
      </c>
      <c r="K1409" s="147">
        <f t="shared" si="275"/>
        <v>0</v>
      </c>
      <c r="L1409" s="147">
        <f t="shared" si="275"/>
        <v>0</v>
      </c>
      <c r="M1409" s="147">
        <f t="shared" si="275"/>
        <v>0</v>
      </c>
      <c r="N1409" s="147">
        <f t="shared" si="275"/>
        <v>0</v>
      </c>
      <c r="O1409" s="147">
        <f t="shared" si="275"/>
        <v>0</v>
      </c>
      <c r="P1409" s="147">
        <f t="shared" si="275"/>
        <v>0</v>
      </c>
      <c r="Q1409" s="147">
        <f t="shared" si="275"/>
        <v>0</v>
      </c>
      <c r="R1409" s="147">
        <f t="shared" si="275"/>
        <v>0</v>
      </c>
      <c r="S1409" s="147">
        <f t="shared" si="275"/>
        <v>0</v>
      </c>
      <c r="T1409" s="147">
        <f t="shared" si="275"/>
        <v>0</v>
      </c>
      <c r="U1409" s="147">
        <f t="shared" si="275"/>
        <v>0</v>
      </c>
      <c r="V1409" s="147">
        <f t="shared" si="275"/>
        <v>0</v>
      </c>
      <c r="W1409" s="147">
        <f t="shared" si="275"/>
        <v>0</v>
      </c>
      <c r="X1409" s="147">
        <f t="shared" si="275"/>
        <v>0</v>
      </c>
      <c r="Y1409" s="147">
        <f t="shared" si="275"/>
        <v>0</v>
      </c>
      <c r="Z1409" s="147">
        <f t="shared" si="275"/>
        <v>0</v>
      </c>
      <c r="AA1409" s="147">
        <f t="shared" si="275"/>
        <v>0</v>
      </c>
      <c r="AB1409" s="147">
        <f t="shared" si="275"/>
        <v>0</v>
      </c>
      <c r="AC1409" s="147">
        <f t="shared" si="275"/>
        <v>0</v>
      </c>
      <c r="AD1409" s="147">
        <f t="shared" si="275"/>
        <v>0</v>
      </c>
      <c r="AE1409" s="147">
        <f t="shared" si="275"/>
        <v>0</v>
      </c>
      <c r="AF1409" s="147">
        <f t="shared" si="275"/>
        <v>0</v>
      </c>
      <c r="AG1409" s="147">
        <f t="shared" si="275"/>
        <v>0</v>
      </c>
      <c r="AH1409" s="147">
        <f t="shared" si="275"/>
        <v>0</v>
      </c>
      <c r="AI1409" s="147">
        <f t="shared" si="275"/>
        <v>0</v>
      </c>
      <c r="AJ1409" s="147">
        <f t="shared" si="275"/>
        <v>0</v>
      </c>
      <c r="AK1409" s="147">
        <f t="shared" si="275"/>
        <v>0</v>
      </c>
      <c r="AL1409" s="147">
        <f t="shared" si="275"/>
        <v>0</v>
      </c>
      <c r="AM1409" s="147">
        <f t="shared" si="275"/>
        <v>0</v>
      </c>
      <c r="AN1409" s="147">
        <f t="shared" si="275"/>
        <v>0</v>
      </c>
      <c r="AO1409" s="147">
        <f t="shared" si="275"/>
        <v>0</v>
      </c>
      <c r="AP1409" s="147">
        <f t="shared" si="275"/>
        <v>0</v>
      </c>
      <c r="AQ1409" s="147">
        <f t="shared" si="275"/>
        <v>0</v>
      </c>
      <c r="AR1409" s="147">
        <f t="shared" si="275"/>
        <v>0</v>
      </c>
      <c r="AS1409" s="147">
        <f t="shared" si="275"/>
        <v>0</v>
      </c>
      <c r="AT1409" s="147">
        <f t="shared" si="275"/>
        <v>0</v>
      </c>
      <c r="AU1409" s="147">
        <f t="shared" si="275"/>
        <v>0</v>
      </c>
      <c r="AV1409" s="147">
        <f t="shared" si="275"/>
        <v>0</v>
      </c>
      <c r="AW1409" s="147">
        <f t="shared" si="275"/>
        <v>0</v>
      </c>
      <c r="AX1409" s="147">
        <f>AX1406-AX1407-AX1408</f>
        <v>0</v>
      </c>
      <c r="AY1409" s="47" t="s">
        <v>238</v>
      </c>
      <c r="AZ1409" s="34"/>
      <c r="BA1409" s="47"/>
      <c r="BB1409" s="48"/>
      <c r="BI1409" s="42"/>
    </row>
    <row r="1410" spans="1:61" s="24" customFormat="1" ht="34.35" customHeight="1">
      <c r="A1410" s="32">
        <f>A1406+1</f>
        <v>835</v>
      </c>
      <c r="B1410" s="56" t="s">
        <v>1680</v>
      </c>
      <c r="C1410" s="78" t="s">
        <v>1260</v>
      </c>
      <c r="D1410" s="35">
        <f t="shared" si="250"/>
        <v>0.5</v>
      </c>
      <c r="E1410" s="35"/>
      <c r="F1410" s="35">
        <f t="shared" si="268"/>
        <v>0.5</v>
      </c>
      <c r="G1410" s="109">
        <v>0.17</v>
      </c>
      <c r="H1410" s="109"/>
      <c r="I1410" s="109"/>
      <c r="J1410" s="109"/>
      <c r="K1410" s="109"/>
      <c r="L1410" s="109"/>
      <c r="M1410" s="109">
        <v>0.18</v>
      </c>
      <c r="N1410" s="109"/>
      <c r="O1410" s="109"/>
      <c r="P1410" s="109"/>
      <c r="Q1410" s="109"/>
      <c r="R1410" s="109"/>
      <c r="S1410" s="109"/>
      <c r="T1410" s="109"/>
      <c r="U1410" s="109"/>
      <c r="V1410" s="109"/>
      <c r="W1410" s="109"/>
      <c r="X1410" s="109"/>
      <c r="Y1410" s="109"/>
      <c r="Z1410" s="109"/>
      <c r="AA1410" s="109"/>
      <c r="AB1410" s="109"/>
      <c r="AC1410" s="109"/>
      <c r="AD1410" s="109"/>
      <c r="AE1410" s="109"/>
      <c r="AF1410" s="109"/>
      <c r="AG1410" s="109"/>
      <c r="AH1410" s="109"/>
      <c r="AI1410" s="109"/>
      <c r="AJ1410" s="109"/>
      <c r="AK1410" s="109"/>
      <c r="AL1410" s="109"/>
      <c r="AM1410" s="109"/>
      <c r="AN1410" s="109"/>
      <c r="AO1410" s="109"/>
      <c r="AP1410" s="109">
        <v>0.15</v>
      </c>
      <c r="AQ1410" s="109"/>
      <c r="AR1410" s="109"/>
      <c r="AS1410" s="109"/>
      <c r="AT1410" s="109"/>
      <c r="AU1410" s="109"/>
      <c r="AV1410" s="109"/>
      <c r="AW1410" s="109"/>
      <c r="AX1410" s="109"/>
      <c r="AY1410" s="34" t="s">
        <v>238</v>
      </c>
      <c r="AZ1410" s="34" t="s">
        <v>1681</v>
      </c>
      <c r="BA1410" s="47" t="s">
        <v>298</v>
      </c>
      <c r="BB1410" s="48"/>
      <c r="BI1410" s="42">
        <v>1</v>
      </c>
    </row>
    <row r="1411" spans="1:61" s="24" customFormat="1" ht="23.45" hidden="1" customHeight="1">
      <c r="A1411" s="32"/>
      <c r="B1411" s="56"/>
      <c r="C1411" s="78" t="s">
        <v>59</v>
      </c>
      <c r="D1411" s="35">
        <f t="shared" si="250"/>
        <v>0.2</v>
      </c>
      <c r="E1411" s="76"/>
      <c r="F1411" s="35">
        <f t="shared" si="268"/>
        <v>0.2</v>
      </c>
      <c r="G1411" s="109">
        <v>0.17</v>
      </c>
      <c r="H1411" s="109"/>
      <c r="I1411" s="109"/>
      <c r="J1411" s="109"/>
      <c r="K1411" s="109"/>
      <c r="L1411" s="109"/>
      <c r="M1411" s="109">
        <v>0.03</v>
      </c>
      <c r="N1411" s="109"/>
      <c r="O1411" s="109"/>
      <c r="P1411" s="109"/>
      <c r="Q1411" s="109"/>
      <c r="R1411" s="109"/>
      <c r="S1411" s="109"/>
      <c r="T1411" s="109"/>
      <c r="U1411" s="109"/>
      <c r="V1411" s="109"/>
      <c r="W1411" s="109"/>
      <c r="X1411" s="109"/>
      <c r="Y1411" s="109"/>
      <c r="Z1411" s="109"/>
      <c r="AA1411" s="109"/>
      <c r="AB1411" s="109"/>
      <c r="AC1411" s="109"/>
      <c r="AD1411" s="109"/>
      <c r="AE1411" s="109"/>
      <c r="AF1411" s="109"/>
      <c r="AG1411" s="109"/>
      <c r="AH1411" s="109"/>
      <c r="AI1411" s="109"/>
      <c r="AJ1411" s="109"/>
      <c r="AK1411" s="109"/>
      <c r="AL1411" s="109"/>
      <c r="AM1411" s="109"/>
      <c r="AN1411" s="109"/>
      <c r="AO1411" s="109"/>
      <c r="AP1411" s="109"/>
      <c r="AQ1411" s="109"/>
      <c r="AR1411" s="109"/>
      <c r="AS1411" s="109"/>
      <c r="AT1411" s="109"/>
      <c r="AU1411" s="109"/>
      <c r="AV1411" s="109"/>
      <c r="AW1411" s="109"/>
      <c r="AX1411" s="109"/>
      <c r="AY1411" s="47" t="s">
        <v>238</v>
      </c>
      <c r="AZ1411" s="34"/>
      <c r="BA1411" s="47"/>
      <c r="BB1411" s="48"/>
      <c r="BI1411" s="42"/>
    </row>
    <row r="1412" spans="1:61" s="24" customFormat="1" ht="23.45" hidden="1" customHeight="1">
      <c r="A1412" s="32"/>
      <c r="B1412" s="56"/>
      <c r="C1412" s="78" t="s">
        <v>44</v>
      </c>
      <c r="D1412" s="35">
        <f t="shared" si="250"/>
        <v>0.2</v>
      </c>
      <c r="E1412" s="76"/>
      <c r="F1412" s="35">
        <f t="shared" si="268"/>
        <v>0.2</v>
      </c>
      <c r="G1412" s="109"/>
      <c r="H1412" s="109"/>
      <c r="I1412" s="109"/>
      <c r="J1412" s="109"/>
      <c r="K1412" s="109"/>
      <c r="L1412" s="109"/>
      <c r="M1412" s="109">
        <v>0.05</v>
      </c>
      <c r="N1412" s="109"/>
      <c r="O1412" s="109"/>
      <c r="P1412" s="109"/>
      <c r="Q1412" s="109"/>
      <c r="R1412" s="109"/>
      <c r="S1412" s="109"/>
      <c r="T1412" s="109"/>
      <c r="U1412" s="109"/>
      <c r="V1412" s="109"/>
      <c r="W1412" s="109"/>
      <c r="X1412" s="109"/>
      <c r="Y1412" s="109"/>
      <c r="Z1412" s="109"/>
      <c r="AA1412" s="109"/>
      <c r="AB1412" s="109"/>
      <c r="AC1412" s="109"/>
      <c r="AD1412" s="109"/>
      <c r="AE1412" s="109"/>
      <c r="AF1412" s="109"/>
      <c r="AG1412" s="109"/>
      <c r="AH1412" s="109"/>
      <c r="AI1412" s="109"/>
      <c r="AJ1412" s="109"/>
      <c r="AK1412" s="109"/>
      <c r="AL1412" s="109"/>
      <c r="AM1412" s="109"/>
      <c r="AN1412" s="109"/>
      <c r="AO1412" s="109"/>
      <c r="AP1412" s="109">
        <v>0.15</v>
      </c>
      <c r="AQ1412" s="109"/>
      <c r="AR1412" s="109"/>
      <c r="AS1412" s="109"/>
      <c r="AT1412" s="109"/>
      <c r="AU1412" s="109"/>
      <c r="AV1412" s="109"/>
      <c r="AW1412" s="109"/>
      <c r="AX1412" s="109"/>
      <c r="AY1412" s="47" t="s">
        <v>238</v>
      </c>
      <c r="AZ1412" s="34"/>
      <c r="BA1412" s="47"/>
      <c r="BB1412" s="48"/>
      <c r="BI1412" s="42"/>
    </row>
    <row r="1413" spans="1:61" s="24" customFormat="1" ht="23.45" hidden="1" customHeight="1">
      <c r="A1413" s="32"/>
      <c r="B1413" s="56"/>
      <c r="C1413" s="78" t="s">
        <v>138</v>
      </c>
      <c r="D1413" s="35">
        <f t="shared" si="250"/>
        <v>9.9999999999999992E-2</v>
      </c>
      <c r="E1413" s="76"/>
      <c r="F1413" s="35">
        <f t="shared" si="268"/>
        <v>9.9999999999999992E-2</v>
      </c>
      <c r="G1413" s="147">
        <f>G1410-G1411-G1412</f>
        <v>0</v>
      </c>
      <c r="H1413" s="147">
        <f t="shared" ref="H1413:AX1413" si="276">H1410-H1411-H1412</f>
        <v>0</v>
      </c>
      <c r="I1413" s="147">
        <f t="shared" si="276"/>
        <v>0</v>
      </c>
      <c r="J1413" s="147">
        <f t="shared" si="276"/>
        <v>0</v>
      </c>
      <c r="K1413" s="147">
        <f t="shared" si="276"/>
        <v>0</v>
      </c>
      <c r="L1413" s="147">
        <f t="shared" si="276"/>
        <v>0</v>
      </c>
      <c r="M1413" s="147">
        <f t="shared" si="276"/>
        <v>9.9999999999999992E-2</v>
      </c>
      <c r="N1413" s="147">
        <f t="shared" si="276"/>
        <v>0</v>
      </c>
      <c r="O1413" s="147">
        <f t="shared" si="276"/>
        <v>0</v>
      </c>
      <c r="P1413" s="147">
        <f t="shared" si="276"/>
        <v>0</v>
      </c>
      <c r="Q1413" s="147">
        <f t="shared" si="276"/>
        <v>0</v>
      </c>
      <c r="R1413" s="147">
        <f t="shared" si="276"/>
        <v>0</v>
      </c>
      <c r="S1413" s="147">
        <f t="shared" si="276"/>
        <v>0</v>
      </c>
      <c r="T1413" s="147">
        <f t="shared" si="276"/>
        <v>0</v>
      </c>
      <c r="U1413" s="147">
        <f t="shared" si="276"/>
        <v>0</v>
      </c>
      <c r="V1413" s="147">
        <f t="shared" si="276"/>
        <v>0</v>
      </c>
      <c r="W1413" s="147">
        <f t="shared" si="276"/>
        <v>0</v>
      </c>
      <c r="X1413" s="147">
        <f t="shared" si="276"/>
        <v>0</v>
      </c>
      <c r="Y1413" s="147">
        <f t="shared" si="276"/>
        <v>0</v>
      </c>
      <c r="Z1413" s="147">
        <f t="shared" si="276"/>
        <v>0</v>
      </c>
      <c r="AA1413" s="147">
        <f t="shared" si="276"/>
        <v>0</v>
      </c>
      <c r="AB1413" s="147">
        <f t="shared" si="276"/>
        <v>0</v>
      </c>
      <c r="AC1413" s="147">
        <f t="shared" si="276"/>
        <v>0</v>
      </c>
      <c r="AD1413" s="147">
        <f t="shared" si="276"/>
        <v>0</v>
      </c>
      <c r="AE1413" s="147">
        <f t="shared" si="276"/>
        <v>0</v>
      </c>
      <c r="AF1413" s="147">
        <f t="shared" si="276"/>
        <v>0</v>
      </c>
      <c r="AG1413" s="147">
        <f t="shared" si="276"/>
        <v>0</v>
      </c>
      <c r="AH1413" s="147">
        <f t="shared" si="276"/>
        <v>0</v>
      </c>
      <c r="AI1413" s="147">
        <f t="shared" si="276"/>
        <v>0</v>
      </c>
      <c r="AJ1413" s="147">
        <f t="shared" si="276"/>
        <v>0</v>
      </c>
      <c r="AK1413" s="147">
        <f t="shared" si="276"/>
        <v>0</v>
      </c>
      <c r="AL1413" s="147">
        <f t="shared" si="276"/>
        <v>0</v>
      </c>
      <c r="AM1413" s="147">
        <f t="shared" si="276"/>
        <v>0</v>
      </c>
      <c r="AN1413" s="147">
        <f t="shared" si="276"/>
        <v>0</v>
      </c>
      <c r="AO1413" s="147">
        <f t="shared" si="276"/>
        <v>0</v>
      </c>
      <c r="AP1413" s="147">
        <f t="shared" si="276"/>
        <v>0</v>
      </c>
      <c r="AQ1413" s="147">
        <f t="shared" si="276"/>
        <v>0</v>
      </c>
      <c r="AR1413" s="147">
        <f t="shared" si="276"/>
        <v>0</v>
      </c>
      <c r="AS1413" s="147">
        <f t="shared" si="276"/>
        <v>0</v>
      </c>
      <c r="AT1413" s="147">
        <f t="shared" si="276"/>
        <v>0</v>
      </c>
      <c r="AU1413" s="147">
        <f t="shared" si="276"/>
        <v>0</v>
      </c>
      <c r="AV1413" s="147">
        <f t="shared" si="276"/>
        <v>0</v>
      </c>
      <c r="AW1413" s="147">
        <f t="shared" si="276"/>
        <v>0</v>
      </c>
      <c r="AX1413" s="147">
        <f t="shared" si="276"/>
        <v>0</v>
      </c>
      <c r="AY1413" s="47" t="s">
        <v>238</v>
      </c>
      <c r="AZ1413" s="34"/>
      <c r="BA1413" s="47"/>
      <c r="BB1413" s="48"/>
      <c r="BI1413" s="42"/>
    </row>
    <row r="1414" spans="1:61" s="24" customFormat="1" ht="31.5">
      <c r="A1414" s="32">
        <f>A1410+1</f>
        <v>836</v>
      </c>
      <c r="B1414" s="56" t="s">
        <v>1682</v>
      </c>
      <c r="C1414" s="78" t="s">
        <v>59</v>
      </c>
      <c r="D1414" s="35">
        <f t="shared" si="250"/>
        <v>0.25</v>
      </c>
      <c r="E1414" s="35"/>
      <c r="F1414" s="35">
        <f t="shared" si="268"/>
        <v>0.25</v>
      </c>
      <c r="G1414" s="109"/>
      <c r="H1414" s="109">
        <v>0.25</v>
      </c>
      <c r="I1414" s="109"/>
      <c r="J1414" s="109"/>
      <c r="K1414" s="109"/>
      <c r="L1414" s="109"/>
      <c r="M1414" s="109"/>
      <c r="N1414" s="109"/>
      <c r="O1414" s="109"/>
      <c r="P1414" s="109"/>
      <c r="Q1414" s="109"/>
      <c r="R1414" s="109"/>
      <c r="S1414" s="109"/>
      <c r="T1414" s="109"/>
      <c r="U1414" s="109"/>
      <c r="V1414" s="109"/>
      <c r="W1414" s="109"/>
      <c r="X1414" s="109"/>
      <c r="Y1414" s="109"/>
      <c r="Z1414" s="109"/>
      <c r="AA1414" s="109"/>
      <c r="AB1414" s="109"/>
      <c r="AC1414" s="109"/>
      <c r="AD1414" s="109"/>
      <c r="AE1414" s="109"/>
      <c r="AF1414" s="109"/>
      <c r="AG1414" s="109"/>
      <c r="AH1414" s="109"/>
      <c r="AI1414" s="109"/>
      <c r="AJ1414" s="109"/>
      <c r="AK1414" s="109"/>
      <c r="AL1414" s="109"/>
      <c r="AM1414" s="109"/>
      <c r="AN1414" s="109"/>
      <c r="AO1414" s="109"/>
      <c r="AP1414" s="109"/>
      <c r="AQ1414" s="109"/>
      <c r="AR1414" s="109"/>
      <c r="AS1414" s="109"/>
      <c r="AT1414" s="109"/>
      <c r="AU1414" s="109"/>
      <c r="AV1414" s="109"/>
      <c r="AW1414" s="109"/>
      <c r="AX1414" s="109"/>
      <c r="AY1414" s="34" t="s">
        <v>238</v>
      </c>
      <c r="AZ1414" s="34" t="s">
        <v>1683</v>
      </c>
      <c r="BA1414" s="47" t="s">
        <v>298</v>
      </c>
      <c r="BB1414" s="48"/>
      <c r="BI1414" s="42">
        <v>1</v>
      </c>
    </row>
    <row r="1415" spans="1:61" s="24" customFormat="1" ht="22.35" customHeight="1">
      <c r="A1415" s="32">
        <f>A1414+1</f>
        <v>837</v>
      </c>
      <c r="B1415" s="60" t="s">
        <v>1299</v>
      </c>
      <c r="C1415" s="78" t="s">
        <v>59</v>
      </c>
      <c r="D1415" s="35">
        <f t="shared" si="250"/>
        <v>0.52</v>
      </c>
      <c r="E1415" s="108"/>
      <c r="F1415" s="35">
        <f t="shared" si="268"/>
        <v>0.52</v>
      </c>
      <c r="G1415" s="109"/>
      <c r="H1415" s="109"/>
      <c r="I1415" s="109"/>
      <c r="J1415" s="109">
        <v>0.52</v>
      </c>
      <c r="K1415" s="109"/>
      <c r="L1415" s="109"/>
      <c r="M1415" s="109"/>
      <c r="N1415" s="109"/>
      <c r="O1415" s="109"/>
      <c r="P1415" s="109"/>
      <c r="Q1415" s="109"/>
      <c r="R1415" s="109"/>
      <c r="S1415" s="109"/>
      <c r="T1415" s="109"/>
      <c r="U1415" s="109"/>
      <c r="V1415" s="109"/>
      <c r="W1415" s="109"/>
      <c r="X1415" s="109"/>
      <c r="Y1415" s="109"/>
      <c r="Z1415" s="109"/>
      <c r="AA1415" s="109"/>
      <c r="AB1415" s="109"/>
      <c r="AC1415" s="109"/>
      <c r="AD1415" s="109"/>
      <c r="AE1415" s="109"/>
      <c r="AF1415" s="109"/>
      <c r="AG1415" s="109"/>
      <c r="AH1415" s="109"/>
      <c r="AI1415" s="109"/>
      <c r="AJ1415" s="109"/>
      <c r="AK1415" s="109"/>
      <c r="AL1415" s="109"/>
      <c r="AM1415" s="109"/>
      <c r="AN1415" s="109"/>
      <c r="AO1415" s="109"/>
      <c r="AP1415" s="109"/>
      <c r="AQ1415" s="109"/>
      <c r="AR1415" s="109"/>
      <c r="AS1415" s="109"/>
      <c r="AT1415" s="109"/>
      <c r="AU1415" s="109"/>
      <c r="AV1415" s="109"/>
      <c r="AW1415" s="109"/>
      <c r="AX1415" s="109"/>
      <c r="AY1415" s="38" t="s">
        <v>238</v>
      </c>
      <c r="AZ1415" s="34" t="s">
        <v>615</v>
      </c>
      <c r="BA1415" s="63" t="s">
        <v>291</v>
      </c>
      <c r="BB1415" s="64"/>
      <c r="BI1415" s="42">
        <v>1</v>
      </c>
    </row>
    <row r="1416" spans="1:61" s="24" customFormat="1" ht="22.35" customHeight="1">
      <c r="A1416" s="32" t="s">
        <v>1684</v>
      </c>
      <c r="B1416" s="158" t="s">
        <v>186</v>
      </c>
      <c r="C1416" s="78" t="s">
        <v>1260</v>
      </c>
      <c r="D1416" s="35">
        <f>E1416+F1416</f>
        <v>31.13</v>
      </c>
      <c r="E1416" s="89">
        <f>E1417+E1425+E1430+E1435+E1439+E1443+E1444+E1448+E1452+E1453+E1457+E1461</f>
        <v>0</v>
      </c>
      <c r="F1416" s="141">
        <f>F1417+F1425+F1430+F1435+F1439+F1443+F1444+F1448+F1452+F1453+F1457+F1461</f>
        <v>31.13</v>
      </c>
      <c r="G1416" s="141">
        <f t="shared" ref="G1416:AX1416" si="277">G1417+G1425+G1430+G1435+G1439+G1443+G1444+G1448+G1452+G1453+G1457+G1461</f>
        <v>9.67</v>
      </c>
      <c r="H1416" s="141">
        <f t="shared" si="277"/>
        <v>2.4700000000000002</v>
      </c>
      <c r="I1416" s="141">
        <f t="shared" si="277"/>
        <v>1.1800000000000002</v>
      </c>
      <c r="J1416" s="141">
        <f t="shared" si="277"/>
        <v>8.68</v>
      </c>
      <c r="K1416" s="141">
        <f t="shared" si="277"/>
        <v>0</v>
      </c>
      <c r="L1416" s="141">
        <f t="shared" si="277"/>
        <v>0</v>
      </c>
      <c r="M1416" s="141">
        <f t="shared" si="277"/>
        <v>6.69</v>
      </c>
      <c r="N1416" s="141">
        <f t="shared" si="277"/>
        <v>0</v>
      </c>
      <c r="O1416" s="141">
        <f t="shared" si="277"/>
        <v>0</v>
      </c>
      <c r="P1416" s="141">
        <f t="shared" si="277"/>
        <v>0.18</v>
      </c>
      <c r="Q1416" s="141">
        <f t="shared" si="277"/>
        <v>0</v>
      </c>
      <c r="R1416" s="141">
        <f t="shared" si="277"/>
        <v>0</v>
      </c>
      <c r="S1416" s="141">
        <f t="shared" si="277"/>
        <v>0</v>
      </c>
      <c r="T1416" s="141">
        <f t="shared" si="277"/>
        <v>0</v>
      </c>
      <c r="U1416" s="141">
        <f t="shared" si="277"/>
        <v>0</v>
      </c>
      <c r="V1416" s="141">
        <f t="shared" si="277"/>
        <v>0</v>
      </c>
      <c r="W1416" s="141">
        <f t="shared" si="277"/>
        <v>0</v>
      </c>
      <c r="X1416" s="141">
        <f t="shared" si="277"/>
        <v>0</v>
      </c>
      <c r="Y1416" s="141">
        <f t="shared" si="277"/>
        <v>0</v>
      </c>
      <c r="Z1416" s="141">
        <f t="shared" si="277"/>
        <v>0.69</v>
      </c>
      <c r="AA1416" s="141">
        <f t="shared" si="277"/>
        <v>0.59000000000000008</v>
      </c>
      <c r="AB1416" s="141">
        <f t="shared" si="277"/>
        <v>0</v>
      </c>
      <c r="AC1416" s="141">
        <f t="shared" si="277"/>
        <v>0</v>
      </c>
      <c r="AD1416" s="141">
        <f t="shared" si="277"/>
        <v>0</v>
      </c>
      <c r="AE1416" s="141">
        <f t="shared" si="277"/>
        <v>0</v>
      </c>
      <c r="AF1416" s="141">
        <f t="shared" si="277"/>
        <v>0</v>
      </c>
      <c r="AG1416" s="141">
        <f t="shared" si="277"/>
        <v>0</v>
      </c>
      <c r="AH1416" s="141">
        <f t="shared" si="277"/>
        <v>0</v>
      </c>
      <c r="AI1416" s="141">
        <f t="shared" si="277"/>
        <v>0</v>
      </c>
      <c r="AJ1416" s="141">
        <f t="shared" si="277"/>
        <v>0</v>
      </c>
      <c r="AK1416" s="141">
        <f t="shared" si="277"/>
        <v>0</v>
      </c>
      <c r="AL1416" s="141">
        <f t="shared" si="277"/>
        <v>0.17</v>
      </c>
      <c r="AM1416" s="141">
        <f t="shared" si="277"/>
        <v>0</v>
      </c>
      <c r="AN1416" s="141">
        <f t="shared" si="277"/>
        <v>0</v>
      </c>
      <c r="AO1416" s="141">
        <f t="shared" si="277"/>
        <v>0</v>
      </c>
      <c r="AP1416" s="141">
        <f t="shared" si="277"/>
        <v>0.81</v>
      </c>
      <c r="AQ1416" s="141">
        <f t="shared" si="277"/>
        <v>0</v>
      </c>
      <c r="AR1416" s="141">
        <f t="shared" si="277"/>
        <v>0</v>
      </c>
      <c r="AS1416" s="141">
        <f t="shared" si="277"/>
        <v>0</v>
      </c>
      <c r="AT1416" s="141">
        <f t="shared" si="277"/>
        <v>0</v>
      </c>
      <c r="AU1416" s="141">
        <f t="shared" si="277"/>
        <v>0</v>
      </c>
      <c r="AV1416" s="141">
        <f t="shared" si="277"/>
        <v>0</v>
      </c>
      <c r="AW1416" s="141">
        <f t="shared" si="277"/>
        <v>0</v>
      </c>
      <c r="AX1416" s="141">
        <f t="shared" si="277"/>
        <v>0</v>
      </c>
      <c r="AY1416" s="38" t="s">
        <v>239</v>
      </c>
      <c r="AZ1416" s="34"/>
      <c r="BA1416" s="63"/>
      <c r="BB1416" s="64"/>
      <c r="BI1416" s="42"/>
    </row>
    <row r="1417" spans="1:61" s="24" customFormat="1" ht="30.6" customHeight="1">
      <c r="A1417" s="32">
        <f>A1415+1</f>
        <v>838</v>
      </c>
      <c r="B1417" s="158" t="s">
        <v>1685</v>
      </c>
      <c r="C1417" s="78" t="s">
        <v>1260</v>
      </c>
      <c r="D1417" s="35">
        <f>E1417+F1417</f>
        <v>18.2</v>
      </c>
      <c r="E1417" s="89"/>
      <c r="F1417" s="35">
        <f t="shared" si="268"/>
        <v>18.2</v>
      </c>
      <c r="G1417" s="141">
        <f>0.64+0.39+2.12+0.51+0.5</f>
        <v>4.16</v>
      </c>
      <c r="H1417" s="141">
        <v>0</v>
      </c>
      <c r="I1417" s="141">
        <v>0.39</v>
      </c>
      <c r="J1417" s="141">
        <f>0.18+5.66+0.4+0.77</f>
        <v>7.01</v>
      </c>
      <c r="K1417" s="141"/>
      <c r="L1417" s="141"/>
      <c r="M1417" s="141">
        <f>0.25+4.61</f>
        <v>4.8600000000000003</v>
      </c>
      <c r="N1417" s="141"/>
      <c r="O1417" s="141"/>
      <c r="P1417" s="141">
        <v>0.05</v>
      </c>
      <c r="Q1417" s="141"/>
      <c r="R1417" s="141"/>
      <c r="S1417" s="141"/>
      <c r="T1417" s="141"/>
      <c r="U1417" s="141"/>
      <c r="V1417" s="141"/>
      <c r="W1417" s="141"/>
      <c r="X1417" s="141"/>
      <c r="Y1417" s="141"/>
      <c r="Z1417" s="141">
        <v>0.48</v>
      </c>
      <c r="AA1417" s="141">
        <v>0.44</v>
      </c>
      <c r="AB1417" s="141"/>
      <c r="AC1417" s="141"/>
      <c r="AD1417" s="141"/>
      <c r="AE1417" s="141"/>
      <c r="AF1417" s="141"/>
      <c r="AG1417" s="141"/>
      <c r="AH1417" s="141"/>
      <c r="AI1417" s="141"/>
      <c r="AJ1417" s="141"/>
      <c r="AK1417" s="141"/>
      <c r="AL1417" s="141"/>
      <c r="AM1417" s="141"/>
      <c r="AN1417" s="141"/>
      <c r="AO1417" s="141"/>
      <c r="AP1417" s="141">
        <v>0.81</v>
      </c>
      <c r="AQ1417" s="141"/>
      <c r="AR1417" s="141"/>
      <c r="AS1417" s="141"/>
      <c r="AT1417" s="141"/>
      <c r="AU1417" s="141"/>
      <c r="AV1417" s="141"/>
      <c r="AW1417" s="141"/>
      <c r="AX1417" s="141"/>
      <c r="AY1417" s="34" t="s">
        <v>374</v>
      </c>
      <c r="AZ1417" s="34"/>
      <c r="BA1417" s="39" t="s">
        <v>291</v>
      </c>
      <c r="BB1417" s="40"/>
      <c r="BI1417" s="42">
        <v>1</v>
      </c>
    </row>
    <row r="1418" spans="1:61" s="24" customFormat="1" hidden="1">
      <c r="A1418" s="32"/>
      <c r="B1418" s="158"/>
      <c r="C1418" s="158" t="s">
        <v>59</v>
      </c>
      <c r="D1418" s="35">
        <f>F1418+E1418</f>
        <v>6.4</v>
      </c>
      <c r="E1418" s="108"/>
      <c r="F1418" s="35">
        <f t="shared" si="268"/>
        <v>6.4</v>
      </c>
      <c r="G1418" s="109">
        <v>2</v>
      </c>
      <c r="H1418" s="109"/>
      <c r="I1418" s="109">
        <v>0.1</v>
      </c>
      <c r="J1418" s="109">
        <v>2.5</v>
      </c>
      <c r="K1418" s="109"/>
      <c r="L1418" s="109"/>
      <c r="M1418" s="109">
        <v>1.5</v>
      </c>
      <c r="N1418" s="109"/>
      <c r="O1418" s="109"/>
      <c r="P1418" s="109"/>
      <c r="Q1418" s="109"/>
      <c r="R1418" s="109"/>
      <c r="S1418" s="109"/>
      <c r="T1418" s="109"/>
      <c r="U1418" s="109"/>
      <c r="V1418" s="109"/>
      <c r="W1418" s="109"/>
      <c r="X1418" s="109"/>
      <c r="Y1418" s="109"/>
      <c r="Z1418" s="109">
        <v>0.15</v>
      </c>
      <c r="AA1418" s="109">
        <v>0.15</v>
      </c>
      <c r="AB1418" s="109"/>
      <c r="AC1418" s="109"/>
      <c r="AD1418" s="109"/>
      <c r="AE1418" s="109"/>
      <c r="AF1418" s="109"/>
      <c r="AG1418" s="109"/>
      <c r="AH1418" s="109"/>
      <c r="AI1418" s="109"/>
      <c r="AJ1418" s="109"/>
      <c r="AK1418" s="109"/>
      <c r="AL1418" s="109"/>
      <c r="AM1418" s="109"/>
      <c r="AN1418" s="109"/>
      <c r="AO1418" s="109"/>
      <c r="AP1418" s="109"/>
      <c r="AQ1418" s="109"/>
      <c r="AR1418" s="109"/>
      <c r="AS1418" s="109"/>
      <c r="AT1418" s="109"/>
      <c r="AU1418" s="109"/>
      <c r="AV1418" s="109"/>
      <c r="AW1418" s="109"/>
      <c r="AX1418" s="109"/>
      <c r="AY1418" s="34" t="s">
        <v>239</v>
      </c>
      <c r="AZ1418" s="34"/>
      <c r="BA1418" s="39"/>
      <c r="BB1418" s="40"/>
      <c r="BI1418" s="42">
        <v>1</v>
      </c>
    </row>
    <row r="1419" spans="1:61" s="24" customFormat="1" hidden="1">
      <c r="A1419" s="32"/>
      <c r="B1419" s="158"/>
      <c r="C1419" s="158" t="s">
        <v>59</v>
      </c>
      <c r="D1419" s="35">
        <f t="shared" ref="D1419:D1482" si="278">F1419+E1419</f>
        <v>0.25</v>
      </c>
      <c r="E1419" s="108"/>
      <c r="F1419" s="35">
        <f t="shared" ref="F1419:F1424" si="279">SUM(G1419:AX1419)</f>
        <v>0.25</v>
      </c>
      <c r="G1419" s="109"/>
      <c r="H1419" s="109"/>
      <c r="I1419" s="109"/>
      <c r="J1419" s="109"/>
      <c r="K1419" s="109"/>
      <c r="L1419" s="109"/>
      <c r="M1419" s="109">
        <v>0.25</v>
      </c>
      <c r="N1419" s="109"/>
      <c r="O1419" s="109"/>
      <c r="P1419" s="109"/>
      <c r="Q1419" s="109"/>
      <c r="R1419" s="109"/>
      <c r="S1419" s="109"/>
      <c r="T1419" s="109"/>
      <c r="U1419" s="109"/>
      <c r="V1419" s="109"/>
      <c r="W1419" s="109"/>
      <c r="X1419" s="109"/>
      <c r="Y1419" s="109"/>
      <c r="Z1419" s="109"/>
      <c r="AA1419" s="109"/>
      <c r="AB1419" s="109"/>
      <c r="AC1419" s="109"/>
      <c r="AD1419" s="109"/>
      <c r="AE1419" s="109"/>
      <c r="AF1419" s="109"/>
      <c r="AG1419" s="109"/>
      <c r="AH1419" s="109"/>
      <c r="AI1419" s="109"/>
      <c r="AJ1419" s="109"/>
      <c r="AK1419" s="109"/>
      <c r="AL1419" s="109"/>
      <c r="AM1419" s="109"/>
      <c r="AN1419" s="109"/>
      <c r="AO1419" s="109"/>
      <c r="AP1419" s="109"/>
      <c r="AQ1419" s="109"/>
      <c r="AR1419" s="109"/>
      <c r="AS1419" s="109"/>
      <c r="AT1419" s="109"/>
      <c r="AU1419" s="109"/>
      <c r="AV1419" s="109"/>
      <c r="AW1419" s="109"/>
      <c r="AX1419" s="109"/>
      <c r="AY1419" s="34" t="s">
        <v>237</v>
      </c>
      <c r="AZ1419" s="34"/>
      <c r="BA1419" s="39"/>
      <c r="BB1419" s="40"/>
      <c r="BI1419" s="42"/>
    </row>
    <row r="1420" spans="1:61" s="24" customFormat="1" hidden="1">
      <c r="A1420" s="32"/>
      <c r="B1420" s="158"/>
      <c r="C1420" s="158" t="s">
        <v>48</v>
      </c>
      <c r="D1420" s="35">
        <f t="shared" si="278"/>
        <v>0.16</v>
      </c>
      <c r="E1420" s="108"/>
      <c r="F1420" s="35">
        <f t="shared" si="279"/>
        <v>0.16</v>
      </c>
      <c r="G1420" s="109">
        <v>0.16</v>
      </c>
      <c r="H1420" s="109"/>
      <c r="I1420" s="109"/>
      <c r="J1420" s="109"/>
      <c r="K1420" s="109"/>
      <c r="L1420" s="109"/>
      <c r="M1420" s="109"/>
      <c r="N1420" s="109"/>
      <c r="O1420" s="109"/>
      <c r="P1420" s="109"/>
      <c r="Q1420" s="109"/>
      <c r="R1420" s="109"/>
      <c r="S1420" s="109"/>
      <c r="T1420" s="109"/>
      <c r="U1420" s="109"/>
      <c r="V1420" s="109"/>
      <c r="W1420" s="109"/>
      <c r="X1420" s="109"/>
      <c r="Y1420" s="109"/>
      <c r="Z1420" s="109"/>
      <c r="AA1420" s="109"/>
      <c r="AB1420" s="109"/>
      <c r="AC1420" s="109"/>
      <c r="AD1420" s="109"/>
      <c r="AE1420" s="109"/>
      <c r="AF1420" s="109"/>
      <c r="AG1420" s="109"/>
      <c r="AH1420" s="109"/>
      <c r="AI1420" s="109"/>
      <c r="AJ1420" s="109"/>
      <c r="AK1420" s="109"/>
      <c r="AL1420" s="109"/>
      <c r="AM1420" s="109"/>
      <c r="AN1420" s="109"/>
      <c r="AO1420" s="109"/>
      <c r="AP1420" s="109"/>
      <c r="AQ1420" s="109"/>
      <c r="AR1420" s="109"/>
      <c r="AS1420" s="109"/>
      <c r="AT1420" s="109"/>
      <c r="AU1420" s="109"/>
      <c r="AV1420" s="109"/>
      <c r="AW1420" s="109"/>
      <c r="AX1420" s="109"/>
      <c r="AY1420" s="34" t="s">
        <v>239</v>
      </c>
      <c r="AZ1420" s="34"/>
      <c r="BA1420" s="39"/>
      <c r="BB1420" s="40"/>
      <c r="BI1420" s="42">
        <v>1</v>
      </c>
    </row>
    <row r="1421" spans="1:61" s="24" customFormat="1" hidden="1">
      <c r="A1421" s="32"/>
      <c r="B1421" s="158"/>
      <c r="C1421" s="158" t="s">
        <v>93</v>
      </c>
      <c r="D1421" s="35">
        <f t="shared" si="278"/>
        <v>1.56</v>
      </c>
      <c r="E1421" s="108"/>
      <c r="F1421" s="35">
        <f t="shared" si="279"/>
        <v>1.56</v>
      </c>
      <c r="G1421" s="109"/>
      <c r="H1421" s="109"/>
      <c r="I1421" s="109"/>
      <c r="J1421" s="109">
        <v>1.25</v>
      </c>
      <c r="K1421" s="109"/>
      <c r="L1421" s="109"/>
      <c r="M1421" s="109"/>
      <c r="N1421" s="109"/>
      <c r="O1421" s="109"/>
      <c r="P1421" s="109"/>
      <c r="Q1421" s="109"/>
      <c r="R1421" s="109"/>
      <c r="S1421" s="109"/>
      <c r="T1421" s="109"/>
      <c r="U1421" s="109"/>
      <c r="V1421" s="109"/>
      <c r="W1421" s="109"/>
      <c r="X1421" s="109"/>
      <c r="Y1421" s="109"/>
      <c r="Z1421" s="109">
        <v>0.15</v>
      </c>
      <c r="AA1421" s="109">
        <v>0.1</v>
      </c>
      <c r="AB1421" s="109"/>
      <c r="AC1421" s="109"/>
      <c r="AD1421" s="109"/>
      <c r="AE1421" s="109"/>
      <c r="AF1421" s="109"/>
      <c r="AG1421" s="109"/>
      <c r="AH1421" s="109"/>
      <c r="AI1421" s="109"/>
      <c r="AJ1421" s="109"/>
      <c r="AK1421" s="109"/>
      <c r="AL1421" s="109"/>
      <c r="AM1421" s="109"/>
      <c r="AN1421" s="109"/>
      <c r="AO1421" s="109"/>
      <c r="AP1421" s="109">
        <v>0.06</v>
      </c>
      <c r="AQ1421" s="109"/>
      <c r="AR1421" s="109"/>
      <c r="AS1421" s="109"/>
      <c r="AT1421" s="109"/>
      <c r="AU1421" s="109"/>
      <c r="AV1421" s="109"/>
      <c r="AW1421" s="109"/>
      <c r="AX1421" s="109"/>
      <c r="AY1421" s="34" t="s">
        <v>239</v>
      </c>
      <c r="AZ1421" s="34"/>
      <c r="BA1421" s="39"/>
      <c r="BB1421" s="40"/>
      <c r="BI1421" s="42">
        <v>1</v>
      </c>
    </row>
    <row r="1422" spans="1:61" s="24" customFormat="1" hidden="1">
      <c r="A1422" s="32"/>
      <c r="B1422" s="158"/>
      <c r="C1422" s="158" t="s">
        <v>50</v>
      </c>
      <c r="D1422" s="35">
        <f t="shared" si="278"/>
        <v>0.5</v>
      </c>
      <c r="E1422" s="108"/>
      <c r="F1422" s="35">
        <f t="shared" si="279"/>
        <v>0.5</v>
      </c>
      <c r="G1422" s="109">
        <v>0.5</v>
      </c>
      <c r="H1422" s="109"/>
      <c r="I1422" s="109"/>
      <c r="J1422" s="109"/>
      <c r="K1422" s="109"/>
      <c r="L1422" s="109"/>
      <c r="M1422" s="109"/>
      <c r="N1422" s="109"/>
      <c r="O1422" s="109"/>
      <c r="P1422" s="109"/>
      <c r="Q1422" s="109"/>
      <c r="R1422" s="109"/>
      <c r="S1422" s="109"/>
      <c r="T1422" s="109"/>
      <c r="U1422" s="109"/>
      <c r="V1422" s="109"/>
      <c r="W1422" s="109"/>
      <c r="X1422" s="109"/>
      <c r="Y1422" s="109"/>
      <c r="Z1422" s="109"/>
      <c r="AA1422" s="109"/>
      <c r="AB1422" s="109"/>
      <c r="AC1422" s="109"/>
      <c r="AD1422" s="109"/>
      <c r="AE1422" s="109"/>
      <c r="AF1422" s="109"/>
      <c r="AG1422" s="109"/>
      <c r="AH1422" s="109"/>
      <c r="AI1422" s="109"/>
      <c r="AJ1422" s="109"/>
      <c r="AK1422" s="109"/>
      <c r="AL1422" s="109"/>
      <c r="AM1422" s="109"/>
      <c r="AN1422" s="109"/>
      <c r="AO1422" s="109"/>
      <c r="AP1422" s="109"/>
      <c r="AQ1422" s="109"/>
      <c r="AR1422" s="109"/>
      <c r="AS1422" s="109"/>
      <c r="AT1422" s="109"/>
      <c r="AU1422" s="109"/>
      <c r="AV1422" s="109"/>
      <c r="AW1422" s="109"/>
      <c r="AX1422" s="109"/>
      <c r="AY1422" s="34" t="s">
        <v>239</v>
      </c>
      <c r="AZ1422" s="34"/>
      <c r="BA1422" s="39"/>
      <c r="BB1422" s="40"/>
      <c r="BI1422" s="42">
        <v>1</v>
      </c>
    </row>
    <row r="1423" spans="1:61" s="24" customFormat="1" hidden="1">
      <c r="A1423" s="32"/>
      <c r="B1423" s="158"/>
      <c r="C1423" s="158" t="s">
        <v>44</v>
      </c>
      <c r="D1423" s="35">
        <f t="shared" si="278"/>
        <v>7.2800000000000011</v>
      </c>
      <c r="E1423" s="108"/>
      <c r="F1423" s="35">
        <f t="shared" si="279"/>
        <v>7.2800000000000011</v>
      </c>
      <c r="G1423" s="109">
        <v>1.1000000000000001</v>
      </c>
      <c r="H1423" s="109"/>
      <c r="I1423" s="109">
        <v>0.19</v>
      </c>
      <c r="J1423" s="109">
        <v>2.6</v>
      </c>
      <c r="K1423" s="109"/>
      <c r="L1423" s="109"/>
      <c r="M1423" s="109">
        <v>2.5</v>
      </c>
      <c r="N1423" s="109"/>
      <c r="O1423" s="109"/>
      <c r="P1423" s="109">
        <v>0.05</v>
      </c>
      <c r="Q1423" s="109"/>
      <c r="R1423" s="109"/>
      <c r="S1423" s="109"/>
      <c r="T1423" s="109"/>
      <c r="U1423" s="109"/>
      <c r="V1423" s="109"/>
      <c r="W1423" s="109"/>
      <c r="X1423" s="109"/>
      <c r="Y1423" s="109"/>
      <c r="Z1423" s="109"/>
      <c r="AA1423" s="109">
        <v>0.19</v>
      </c>
      <c r="AB1423" s="109"/>
      <c r="AC1423" s="109"/>
      <c r="AD1423" s="109"/>
      <c r="AE1423" s="109"/>
      <c r="AF1423" s="109"/>
      <c r="AG1423" s="109"/>
      <c r="AH1423" s="109"/>
      <c r="AI1423" s="109"/>
      <c r="AJ1423" s="109"/>
      <c r="AK1423" s="109"/>
      <c r="AL1423" s="109"/>
      <c r="AM1423" s="109"/>
      <c r="AN1423" s="109"/>
      <c r="AO1423" s="109"/>
      <c r="AP1423" s="109">
        <v>0.65</v>
      </c>
      <c r="AQ1423" s="109"/>
      <c r="AR1423" s="109"/>
      <c r="AS1423" s="109"/>
      <c r="AT1423" s="109"/>
      <c r="AU1423" s="109"/>
      <c r="AV1423" s="109"/>
      <c r="AW1423" s="109"/>
      <c r="AX1423" s="109"/>
      <c r="AY1423" s="34" t="s">
        <v>239</v>
      </c>
      <c r="AZ1423" s="34"/>
      <c r="BA1423" s="39"/>
      <c r="BB1423" s="40"/>
      <c r="BI1423" s="42">
        <v>1</v>
      </c>
    </row>
    <row r="1424" spans="1:61" s="24" customFormat="1" hidden="1">
      <c r="A1424" s="32"/>
      <c r="B1424" s="158"/>
      <c r="C1424" s="158" t="s">
        <v>138</v>
      </c>
      <c r="D1424" s="35">
        <f t="shared" si="278"/>
        <v>2.0499999999999998</v>
      </c>
      <c r="E1424" s="108"/>
      <c r="F1424" s="35">
        <f t="shared" si="279"/>
        <v>2.0499999999999998</v>
      </c>
      <c r="G1424" s="147">
        <f t="shared" ref="G1424:AW1424" si="280">G1417-G1418-G1419-G1420-G1421-G1422-G1423</f>
        <v>0.39999999999999991</v>
      </c>
      <c r="H1424" s="147">
        <f t="shared" si="280"/>
        <v>0</v>
      </c>
      <c r="I1424" s="147">
        <f t="shared" si="280"/>
        <v>0.10000000000000003</v>
      </c>
      <c r="J1424" s="147">
        <f t="shared" si="280"/>
        <v>0.6599999999999997</v>
      </c>
      <c r="K1424" s="147">
        <f t="shared" si="280"/>
        <v>0</v>
      </c>
      <c r="L1424" s="147">
        <f t="shared" si="280"/>
        <v>0</v>
      </c>
      <c r="M1424" s="147">
        <f t="shared" si="280"/>
        <v>0.61000000000000032</v>
      </c>
      <c r="N1424" s="147">
        <f t="shared" si="280"/>
        <v>0</v>
      </c>
      <c r="O1424" s="147">
        <f t="shared" si="280"/>
        <v>0</v>
      </c>
      <c r="P1424" s="147">
        <f t="shared" si="280"/>
        <v>0</v>
      </c>
      <c r="Q1424" s="147">
        <f t="shared" si="280"/>
        <v>0</v>
      </c>
      <c r="R1424" s="147">
        <f t="shared" si="280"/>
        <v>0</v>
      </c>
      <c r="S1424" s="147">
        <f t="shared" si="280"/>
        <v>0</v>
      </c>
      <c r="T1424" s="147">
        <f t="shared" si="280"/>
        <v>0</v>
      </c>
      <c r="U1424" s="147">
        <f t="shared" si="280"/>
        <v>0</v>
      </c>
      <c r="V1424" s="147">
        <f t="shared" si="280"/>
        <v>0</v>
      </c>
      <c r="W1424" s="147">
        <f t="shared" si="280"/>
        <v>0</v>
      </c>
      <c r="X1424" s="147">
        <f t="shared" si="280"/>
        <v>0</v>
      </c>
      <c r="Y1424" s="147">
        <f t="shared" si="280"/>
        <v>0</v>
      </c>
      <c r="Z1424" s="147">
        <f t="shared" si="280"/>
        <v>0.17999999999999997</v>
      </c>
      <c r="AA1424" s="147">
        <f t="shared" si="280"/>
        <v>0</v>
      </c>
      <c r="AB1424" s="147">
        <f t="shared" si="280"/>
        <v>0</v>
      </c>
      <c r="AC1424" s="147">
        <f t="shared" si="280"/>
        <v>0</v>
      </c>
      <c r="AD1424" s="147">
        <f t="shared" si="280"/>
        <v>0</v>
      </c>
      <c r="AE1424" s="147">
        <f t="shared" si="280"/>
        <v>0</v>
      </c>
      <c r="AF1424" s="147">
        <f t="shared" si="280"/>
        <v>0</v>
      </c>
      <c r="AG1424" s="147">
        <f t="shared" si="280"/>
        <v>0</v>
      </c>
      <c r="AH1424" s="147">
        <f t="shared" si="280"/>
        <v>0</v>
      </c>
      <c r="AI1424" s="147">
        <f t="shared" si="280"/>
        <v>0</v>
      </c>
      <c r="AJ1424" s="147">
        <f t="shared" si="280"/>
        <v>0</v>
      </c>
      <c r="AK1424" s="147">
        <f t="shared" si="280"/>
        <v>0</v>
      </c>
      <c r="AL1424" s="147">
        <f t="shared" si="280"/>
        <v>0</v>
      </c>
      <c r="AM1424" s="147">
        <f t="shared" si="280"/>
        <v>0</v>
      </c>
      <c r="AN1424" s="147">
        <f t="shared" si="280"/>
        <v>0</v>
      </c>
      <c r="AO1424" s="147">
        <f t="shared" si="280"/>
        <v>0</v>
      </c>
      <c r="AP1424" s="147">
        <f t="shared" si="280"/>
        <v>9.9999999999999978E-2</v>
      </c>
      <c r="AQ1424" s="147">
        <f t="shared" si="280"/>
        <v>0</v>
      </c>
      <c r="AR1424" s="147">
        <f t="shared" si="280"/>
        <v>0</v>
      </c>
      <c r="AS1424" s="147">
        <f t="shared" si="280"/>
        <v>0</v>
      </c>
      <c r="AT1424" s="147">
        <f t="shared" si="280"/>
        <v>0</v>
      </c>
      <c r="AU1424" s="147">
        <f t="shared" si="280"/>
        <v>0</v>
      </c>
      <c r="AV1424" s="147">
        <f t="shared" si="280"/>
        <v>0</v>
      </c>
      <c r="AW1424" s="147">
        <f t="shared" si="280"/>
        <v>0</v>
      </c>
      <c r="AX1424" s="147">
        <f>AX1417-AX1418-AX1419-AX1420-AX1421-AX1422-AX1423</f>
        <v>0</v>
      </c>
      <c r="AY1424" s="34" t="s">
        <v>239</v>
      </c>
      <c r="AZ1424" s="34"/>
      <c r="BA1424" s="39"/>
      <c r="BB1424" s="40"/>
      <c r="BI1424" s="42">
        <v>1</v>
      </c>
    </row>
    <row r="1425" spans="1:61" s="24" customFormat="1" ht="20.85" customHeight="1">
      <c r="A1425" s="32">
        <f>A1417+1</f>
        <v>839</v>
      </c>
      <c r="B1425" s="158" t="s">
        <v>186</v>
      </c>
      <c r="C1425" s="78" t="s">
        <v>1260</v>
      </c>
      <c r="D1425" s="35">
        <f t="shared" si="278"/>
        <v>1.8</v>
      </c>
      <c r="E1425" s="35"/>
      <c r="F1425" s="35">
        <f t="shared" ref="F1425:F1488" si="281">SUM(G1425:AX1425)</f>
        <v>1.8</v>
      </c>
      <c r="G1425" s="109">
        <v>0.09</v>
      </c>
      <c r="H1425" s="109"/>
      <c r="I1425" s="109"/>
      <c r="J1425" s="109"/>
      <c r="K1425" s="109"/>
      <c r="L1425" s="109"/>
      <c r="M1425" s="109">
        <v>1.43</v>
      </c>
      <c r="N1425" s="109"/>
      <c r="O1425" s="109"/>
      <c r="P1425" s="109"/>
      <c r="Q1425" s="109"/>
      <c r="R1425" s="109"/>
      <c r="S1425" s="109"/>
      <c r="T1425" s="109"/>
      <c r="U1425" s="109"/>
      <c r="V1425" s="109"/>
      <c r="W1425" s="109"/>
      <c r="X1425" s="109"/>
      <c r="Y1425" s="109"/>
      <c r="Z1425" s="109">
        <v>0.18</v>
      </c>
      <c r="AA1425" s="109">
        <v>0.1</v>
      </c>
      <c r="AB1425" s="109"/>
      <c r="AC1425" s="109"/>
      <c r="AD1425" s="109"/>
      <c r="AE1425" s="109"/>
      <c r="AF1425" s="109"/>
      <c r="AG1425" s="109"/>
      <c r="AH1425" s="109"/>
      <c r="AI1425" s="109"/>
      <c r="AJ1425" s="109"/>
      <c r="AK1425" s="109"/>
      <c r="AL1425" s="109"/>
      <c r="AM1425" s="109"/>
      <c r="AN1425" s="109"/>
      <c r="AO1425" s="109"/>
      <c r="AP1425" s="109"/>
      <c r="AQ1425" s="109"/>
      <c r="AR1425" s="109"/>
      <c r="AS1425" s="109"/>
      <c r="AT1425" s="109"/>
      <c r="AU1425" s="109"/>
      <c r="AV1425" s="109"/>
      <c r="AW1425" s="109"/>
      <c r="AX1425" s="109"/>
      <c r="AY1425" s="34" t="s">
        <v>239</v>
      </c>
      <c r="AZ1425" s="34" t="s">
        <v>1686</v>
      </c>
      <c r="BA1425" s="47" t="s">
        <v>298</v>
      </c>
      <c r="BB1425" s="48"/>
      <c r="BI1425" s="42">
        <v>1</v>
      </c>
    </row>
    <row r="1426" spans="1:61" s="24" customFormat="1" ht="20.85" hidden="1" customHeight="1">
      <c r="A1426" s="32"/>
      <c r="B1426" s="158"/>
      <c r="C1426" s="78" t="s">
        <v>59</v>
      </c>
      <c r="D1426" s="35">
        <f t="shared" si="278"/>
        <v>0.63</v>
      </c>
      <c r="E1426" s="108"/>
      <c r="F1426" s="35">
        <f t="shared" si="281"/>
        <v>0.63</v>
      </c>
      <c r="G1426" s="109"/>
      <c r="H1426" s="109"/>
      <c r="I1426" s="109"/>
      <c r="J1426" s="109"/>
      <c r="K1426" s="109"/>
      <c r="L1426" s="109"/>
      <c r="M1426" s="109">
        <v>0.45</v>
      </c>
      <c r="N1426" s="109"/>
      <c r="O1426" s="109"/>
      <c r="P1426" s="109"/>
      <c r="Q1426" s="109"/>
      <c r="R1426" s="109"/>
      <c r="S1426" s="109"/>
      <c r="T1426" s="109"/>
      <c r="U1426" s="109"/>
      <c r="V1426" s="109"/>
      <c r="W1426" s="109"/>
      <c r="X1426" s="109"/>
      <c r="Y1426" s="109"/>
      <c r="Z1426" s="109">
        <v>0.18</v>
      </c>
      <c r="AA1426" s="109"/>
      <c r="AB1426" s="109"/>
      <c r="AC1426" s="109"/>
      <c r="AD1426" s="109"/>
      <c r="AE1426" s="109"/>
      <c r="AF1426" s="109"/>
      <c r="AG1426" s="109"/>
      <c r="AH1426" s="109"/>
      <c r="AI1426" s="109"/>
      <c r="AJ1426" s="109"/>
      <c r="AK1426" s="109"/>
      <c r="AL1426" s="109"/>
      <c r="AM1426" s="109"/>
      <c r="AN1426" s="109"/>
      <c r="AO1426" s="109"/>
      <c r="AP1426" s="109"/>
      <c r="AQ1426" s="109"/>
      <c r="AR1426" s="109"/>
      <c r="AS1426" s="109"/>
      <c r="AT1426" s="109"/>
      <c r="AU1426" s="109"/>
      <c r="AV1426" s="109"/>
      <c r="AW1426" s="109"/>
      <c r="AX1426" s="109"/>
      <c r="AY1426" s="34" t="s">
        <v>239</v>
      </c>
      <c r="AZ1426" s="34"/>
      <c r="BA1426" s="47"/>
      <c r="BB1426" s="48"/>
      <c r="BI1426" s="42"/>
    </row>
    <row r="1427" spans="1:61" s="24" customFormat="1" ht="20.85" hidden="1" customHeight="1">
      <c r="A1427" s="32"/>
      <c r="B1427" s="158"/>
      <c r="C1427" s="78" t="s">
        <v>44</v>
      </c>
      <c r="D1427" s="35">
        <f>F1427+E1427</f>
        <v>0.63</v>
      </c>
      <c r="E1427" s="108"/>
      <c r="F1427" s="35">
        <f t="shared" si="281"/>
        <v>0.63</v>
      </c>
      <c r="G1427" s="109">
        <v>0.09</v>
      </c>
      <c r="H1427" s="109"/>
      <c r="I1427" s="109"/>
      <c r="J1427" s="109"/>
      <c r="K1427" s="109"/>
      <c r="L1427" s="109"/>
      <c r="M1427" s="109">
        <v>0.44</v>
      </c>
      <c r="N1427" s="109"/>
      <c r="O1427" s="109"/>
      <c r="P1427" s="109"/>
      <c r="Q1427" s="109"/>
      <c r="R1427" s="109"/>
      <c r="S1427" s="109"/>
      <c r="T1427" s="109"/>
      <c r="U1427" s="109"/>
      <c r="V1427" s="109"/>
      <c r="W1427" s="109"/>
      <c r="X1427" s="109"/>
      <c r="Y1427" s="109"/>
      <c r="Z1427" s="109"/>
      <c r="AA1427" s="109">
        <v>0.1</v>
      </c>
      <c r="AB1427" s="109"/>
      <c r="AC1427" s="109"/>
      <c r="AD1427" s="109"/>
      <c r="AE1427" s="109"/>
      <c r="AF1427" s="109"/>
      <c r="AG1427" s="109"/>
      <c r="AH1427" s="109"/>
      <c r="AI1427" s="109"/>
      <c r="AJ1427" s="109"/>
      <c r="AK1427" s="109"/>
      <c r="AL1427" s="109"/>
      <c r="AM1427" s="109"/>
      <c r="AN1427" s="109"/>
      <c r="AO1427" s="109"/>
      <c r="AP1427" s="109"/>
      <c r="AQ1427" s="109"/>
      <c r="AR1427" s="109"/>
      <c r="AS1427" s="109"/>
      <c r="AT1427" s="109"/>
      <c r="AU1427" s="109"/>
      <c r="AV1427" s="109"/>
      <c r="AW1427" s="109"/>
      <c r="AX1427" s="109"/>
      <c r="AY1427" s="34" t="s">
        <v>239</v>
      </c>
      <c r="AZ1427" s="34"/>
      <c r="BA1427" s="47"/>
      <c r="BB1427" s="48"/>
      <c r="BI1427" s="42"/>
    </row>
    <row r="1428" spans="1:61" s="24" customFormat="1" ht="20.85" hidden="1" customHeight="1">
      <c r="A1428" s="32"/>
      <c r="B1428" s="158"/>
      <c r="C1428" s="78" t="s">
        <v>45</v>
      </c>
      <c r="D1428" s="35">
        <f>F1428+E1428</f>
        <v>0.18</v>
      </c>
      <c r="E1428" s="108"/>
      <c r="F1428" s="35">
        <f t="shared" si="281"/>
        <v>0.18</v>
      </c>
      <c r="G1428" s="109"/>
      <c r="H1428" s="109"/>
      <c r="I1428" s="109"/>
      <c r="J1428" s="109"/>
      <c r="K1428" s="109"/>
      <c r="L1428" s="109"/>
      <c r="M1428" s="109">
        <v>0.18</v>
      </c>
      <c r="N1428" s="109"/>
      <c r="O1428" s="109"/>
      <c r="P1428" s="109"/>
      <c r="Q1428" s="109"/>
      <c r="R1428" s="109"/>
      <c r="S1428" s="109"/>
      <c r="T1428" s="109"/>
      <c r="U1428" s="109"/>
      <c r="V1428" s="109"/>
      <c r="W1428" s="109"/>
      <c r="X1428" s="109"/>
      <c r="Y1428" s="109"/>
      <c r="Z1428" s="109"/>
      <c r="AA1428" s="109"/>
      <c r="AB1428" s="109"/>
      <c r="AC1428" s="109"/>
      <c r="AD1428" s="109"/>
      <c r="AE1428" s="109"/>
      <c r="AF1428" s="109"/>
      <c r="AG1428" s="109"/>
      <c r="AH1428" s="109"/>
      <c r="AI1428" s="109"/>
      <c r="AJ1428" s="109"/>
      <c r="AK1428" s="109"/>
      <c r="AL1428" s="109"/>
      <c r="AM1428" s="109"/>
      <c r="AN1428" s="109"/>
      <c r="AO1428" s="109"/>
      <c r="AP1428" s="109"/>
      <c r="AQ1428" s="109"/>
      <c r="AR1428" s="109"/>
      <c r="AS1428" s="109"/>
      <c r="AT1428" s="109"/>
      <c r="AU1428" s="109"/>
      <c r="AV1428" s="109"/>
      <c r="AW1428" s="109"/>
      <c r="AX1428" s="109"/>
      <c r="AY1428" s="34" t="s">
        <v>239</v>
      </c>
      <c r="AZ1428" s="34"/>
      <c r="BA1428" s="47"/>
      <c r="BB1428" s="48"/>
      <c r="BI1428" s="42"/>
    </row>
    <row r="1429" spans="1:61" s="24" customFormat="1" ht="20.85" hidden="1" customHeight="1">
      <c r="A1429" s="32"/>
      <c r="B1429" s="158"/>
      <c r="C1429" s="78" t="s">
        <v>138</v>
      </c>
      <c r="D1429" s="35">
        <f>F1429+E1429</f>
        <v>0.36000000000000004</v>
      </c>
      <c r="E1429" s="108"/>
      <c r="F1429" s="35">
        <f t="shared" si="281"/>
        <v>0.36000000000000004</v>
      </c>
      <c r="G1429" s="147">
        <f t="shared" ref="G1429:AW1429" si="282">G1425-G1426-G1427-G1428</f>
        <v>0</v>
      </c>
      <c r="H1429" s="147">
        <f t="shared" si="282"/>
        <v>0</v>
      </c>
      <c r="I1429" s="147">
        <f t="shared" si="282"/>
        <v>0</v>
      </c>
      <c r="J1429" s="147">
        <f t="shared" si="282"/>
        <v>0</v>
      </c>
      <c r="K1429" s="147">
        <f t="shared" si="282"/>
        <v>0</v>
      </c>
      <c r="L1429" s="147">
        <f t="shared" si="282"/>
        <v>0</v>
      </c>
      <c r="M1429" s="147">
        <f t="shared" si="282"/>
        <v>0.36000000000000004</v>
      </c>
      <c r="N1429" s="147">
        <f t="shared" si="282"/>
        <v>0</v>
      </c>
      <c r="O1429" s="147">
        <f t="shared" si="282"/>
        <v>0</v>
      </c>
      <c r="P1429" s="147">
        <f t="shared" si="282"/>
        <v>0</v>
      </c>
      <c r="Q1429" s="147">
        <f t="shared" si="282"/>
        <v>0</v>
      </c>
      <c r="R1429" s="147">
        <f t="shared" si="282"/>
        <v>0</v>
      </c>
      <c r="S1429" s="147">
        <f t="shared" si="282"/>
        <v>0</v>
      </c>
      <c r="T1429" s="147">
        <f t="shared" si="282"/>
        <v>0</v>
      </c>
      <c r="U1429" s="147">
        <f t="shared" si="282"/>
        <v>0</v>
      </c>
      <c r="V1429" s="147">
        <f t="shared" si="282"/>
        <v>0</v>
      </c>
      <c r="W1429" s="147">
        <f t="shared" si="282"/>
        <v>0</v>
      </c>
      <c r="X1429" s="147">
        <f t="shared" si="282"/>
        <v>0</v>
      </c>
      <c r="Y1429" s="147">
        <f t="shared" si="282"/>
        <v>0</v>
      </c>
      <c r="Z1429" s="147">
        <f t="shared" si="282"/>
        <v>0</v>
      </c>
      <c r="AA1429" s="147">
        <f t="shared" si="282"/>
        <v>0</v>
      </c>
      <c r="AB1429" s="147">
        <f t="shared" si="282"/>
        <v>0</v>
      </c>
      <c r="AC1429" s="147">
        <f t="shared" si="282"/>
        <v>0</v>
      </c>
      <c r="AD1429" s="147">
        <f t="shared" si="282"/>
        <v>0</v>
      </c>
      <c r="AE1429" s="147">
        <f t="shared" si="282"/>
        <v>0</v>
      </c>
      <c r="AF1429" s="147">
        <f t="shared" si="282"/>
        <v>0</v>
      </c>
      <c r="AG1429" s="147">
        <f t="shared" si="282"/>
        <v>0</v>
      </c>
      <c r="AH1429" s="147">
        <f t="shared" si="282"/>
        <v>0</v>
      </c>
      <c r="AI1429" s="147">
        <f t="shared" si="282"/>
        <v>0</v>
      </c>
      <c r="AJ1429" s="147">
        <f t="shared" si="282"/>
        <v>0</v>
      </c>
      <c r="AK1429" s="147">
        <f t="shared" si="282"/>
        <v>0</v>
      </c>
      <c r="AL1429" s="147">
        <f t="shared" si="282"/>
        <v>0</v>
      </c>
      <c r="AM1429" s="147">
        <f t="shared" si="282"/>
        <v>0</v>
      </c>
      <c r="AN1429" s="147">
        <f t="shared" si="282"/>
        <v>0</v>
      </c>
      <c r="AO1429" s="147">
        <f t="shared" si="282"/>
        <v>0</v>
      </c>
      <c r="AP1429" s="147">
        <f t="shared" si="282"/>
        <v>0</v>
      </c>
      <c r="AQ1429" s="147">
        <f t="shared" si="282"/>
        <v>0</v>
      </c>
      <c r="AR1429" s="147">
        <f t="shared" si="282"/>
        <v>0</v>
      </c>
      <c r="AS1429" s="147">
        <f t="shared" si="282"/>
        <v>0</v>
      </c>
      <c r="AT1429" s="147">
        <f t="shared" si="282"/>
        <v>0</v>
      </c>
      <c r="AU1429" s="147">
        <f t="shared" si="282"/>
        <v>0</v>
      </c>
      <c r="AV1429" s="147">
        <f t="shared" si="282"/>
        <v>0</v>
      </c>
      <c r="AW1429" s="147">
        <f t="shared" si="282"/>
        <v>0</v>
      </c>
      <c r="AX1429" s="147">
        <f>AX1425-AX1426-AX1427-AX1428</f>
        <v>0</v>
      </c>
      <c r="AY1429" s="34" t="s">
        <v>239</v>
      </c>
      <c r="AZ1429" s="34"/>
      <c r="BA1429" s="47"/>
      <c r="BB1429" s="48"/>
      <c r="BI1429" s="42"/>
    </row>
    <row r="1430" spans="1:61" s="24" customFormat="1" ht="20.85" customHeight="1">
      <c r="A1430" s="32">
        <f>A1425+1</f>
        <v>840</v>
      </c>
      <c r="B1430" s="158" t="s">
        <v>186</v>
      </c>
      <c r="C1430" s="78" t="s">
        <v>1260</v>
      </c>
      <c r="D1430" s="35">
        <f t="shared" si="278"/>
        <v>1.8800000000000001</v>
      </c>
      <c r="E1430" s="35"/>
      <c r="F1430" s="35">
        <f t="shared" si="281"/>
        <v>1.8800000000000001</v>
      </c>
      <c r="G1430" s="109"/>
      <c r="H1430" s="109">
        <v>1.8</v>
      </c>
      <c r="I1430" s="109">
        <v>0.08</v>
      </c>
      <c r="J1430" s="109"/>
      <c r="K1430" s="109"/>
      <c r="L1430" s="109"/>
      <c r="M1430" s="109"/>
      <c r="N1430" s="109"/>
      <c r="O1430" s="109"/>
      <c r="P1430" s="109"/>
      <c r="Q1430" s="109"/>
      <c r="R1430" s="109"/>
      <c r="S1430" s="109"/>
      <c r="T1430" s="109"/>
      <c r="U1430" s="109"/>
      <c r="V1430" s="109"/>
      <c r="W1430" s="109"/>
      <c r="X1430" s="109"/>
      <c r="Y1430" s="109"/>
      <c r="Z1430" s="109"/>
      <c r="AA1430" s="109"/>
      <c r="AB1430" s="109"/>
      <c r="AC1430" s="109"/>
      <c r="AD1430" s="109"/>
      <c r="AE1430" s="109"/>
      <c r="AF1430" s="109"/>
      <c r="AG1430" s="109"/>
      <c r="AH1430" s="109"/>
      <c r="AI1430" s="109"/>
      <c r="AJ1430" s="109"/>
      <c r="AK1430" s="109"/>
      <c r="AL1430" s="109"/>
      <c r="AM1430" s="109"/>
      <c r="AN1430" s="109"/>
      <c r="AO1430" s="109"/>
      <c r="AP1430" s="109"/>
      <c r="AQ1430" s="109"/>
      <c r="AR1430" s="109"/>
      <c r="AS1430" s="109"/>
      <c r="AT1430" s="109"/>
      <c r="AU1430" s="109"/>
      <c r="AV1430" s="109"/>
      <c r="AW1430" s="109"/>
      <c r="AX1430" s="109"/>
      <c r="AY1430" s="34" t="s">
        <v>239</v>
      </c>
      <c r="AZ1430" s="34" t="s">
        <v>1687</v>
      </c>
      <c r="BA1430" s="47" t="s">
        <v>298</v>
      </c>
      <c r="BB1430" s="48"/>
      <c r="BI1430" s="42">
        <v>1</v>
      </c>
    </row>
    <row r="1431" spans="1:61" s="24" customFormat="1" ht="20.85" hidden="1" customHeight="1">
      <c r="A1431" s="32"/>
      <c r="B1431" s="158"/>
      <c r="C1431" s="78" t="s">
        <v>59</v>
      </c>
      <c r="D1431" s="35">
        <f>F1431+E1431</f>
        <v>0.64</v>
      </c>
      <c r="E1431" s="108"/>
      <c r="F1431" s="35">
        <f t="shared" si="281"/>
        <v>0.64</v>
      </c>
      <c r="G1431" s="109"/>
      <c r="H1431" s="109">
        <v>0.64</v>
      </c>
      <c r="I1431" s="109"/>
      <c r="J1431" s="109"/>
      <c r="K1431" s="109"/>
      <c r="L1431" s="109"/>
      <c r="M1431" s="109"/>
      <c r="N1431" s="109"/>
      <c r="O1431" s="109"/>
      <c r="P1431" s="109"/>
      <c r="Q1431" s="109"/>
      <c r="R1431" s="109"/>
      <c r="S1431" s="109"/>
      <c r="T1431" s="109"/>
      <c r="U1431" s="109"/>
      <c r="V1431" s="109"/>
      <c r="W1431" s="109"/>
      <c r="X1431" s="109"/>
      <c r="Y1431" s="109"/>
      <c r="Z1431" s="109"/>
      <c r="AA1431" s="109"/>
      <c r="AB1431" s="109"/>
      <c r="AC1431" s="109"/>
      <c r="AD1431" s="109"/>
      <c r="AE1431" s="109"/>
      <c r="AF1431" s="109"/>
      <c r="AG1431" s="109"/>
      <c r="AH1431" s="109"/>
      <c r="AI1431" s="109"/>
      <c r="AJ1431" s="109"/>
      <c r="AK1431" s="109"/>
      <c r="AL1431" s="109"/>
      <c r="AM1431" s="109"/>
      <c r="AN1431" s="109"/>
      <c r="AO1431" s="109"/>
      <c r="AP1431" s="109"/>
      <c r="AQ1431" s="109"/>
      <c r="AR1431" s="109"/>
      <c r="AS1431" s="109"/>
      <c r="AT1431" s="109"/>
      <c r="AU1431" s="109"/>
      <c r="AV1431" s="109"/>
      <c r="AW1431" s="109"/>
      <c r="AX1431" s="109"/>
      <c r="AY1431" s="34" t="s">
        <v>239</v>
      </c>
      <c r="AZ1431" s="34"/>
      <c r="BA1431" s="47"/>
      <c r="BB1431" s="48"/>
      <c r="BI1431" s="42"/>
    </row>
    <row r="1432" spans="1:61" s="24" customFormat="1" ht="20.85" hidden="1" customHeight="1">
      <c r="A1432" s="32"/>
      <c r="B1432" s="158"/>
      <c r="C1432" s="78" t="s">
        <v>44</v>
      </c>
      <c r="D1432" s="35">
        <f>F1432+E1432</f>
        <v>0.64</v>
      </c>
      <c r="E1432" s="108"/>
      <c r="F1432" s="35">
        <f t="shared" si="281"/>
        <v>0.64</v>
      </c>
      <c r="G1432" s="109"/>
      <c r="H1432" s="109">
        <v>0.64</v>
      </c>
      <c r="I1432" s="109"/>
      <c r="J1432" s="109"/>
      <c r="K1432" s="109"/>
      <c r="L1432" s="109"/>
      <c r="M1432" s="109"/>
      <c r="N1432" s="109"/>
      <c r="O1432" s="109"/>
      <c r="P1432" s="109"/>
      <c r="Q1432" s="109"/>
      <c r="R1432" s="109"/>
      <c r="S1432" s="109"/>
      <c r="T1432" s="109"/>
      <c r="U1432" s="109"/>
      <c r="V1432" s="109"/>
      <c r="W1432" s="109"/>
      <c r="X1432" s="109"/>
      <c r="Y1432" s="109"/>
      <c r="Z1432" s="109"/>
      <c r="AA1432" s="109"/>
      <c r="AB1432" s="109"/>
      <c r="AC1432" s="109"/>
      <c r="AD1432" s="109"/>
      <c r="AE1432" s="109"/>
      <c r="AF1432" s="109"/>
      <c r="AG1432" s="109"/>
      <c r="AH1432" s="109"/>
      <c r="AI1432" s="109"/>
      <c r="AJ1432" s="109"/>
      <c r="AK1432" s="109"/>
      <c r="AL1432" s="109"/>
      <c r="AM1432" s="109"/>
      <c r="AN1432" s="109"/>
      <c r="AO1432" s="109"/>
      <c r="AP1432" s="109"/>
      <c r="AQ1432" s="109"/>
      <c r="AR1432" s="109"/>
      <c r="AS1432" s="109"/>
      <c r="AT1432" s="109"/>
      <c r="AU1432" s="109"/>
      <c r="AV1432" s="109"/>
      <c r="AW1432" s="109"/>
      <c r="AX1432" s="109"/>
      <c r="AY1432" s="34" t="s">
        <v>239</v>
      </c>
      <c r="AZ1432" s="34"/>
      <c r="BA1432" s="47"/>
      <c r="BB1432" s="48"/>
      <c r="BI1432" s="42"/>
    </row>
    <row r="1433" spans="1:61" s="24" customFormat="1" ht="20.85" hidden="1" customHeight="1">
      <c r="A1433" s="32"/>
      <c r="B1433" s="158"/>
      <c r="C1433" s="78" t="s">
        <v>45</v>
      </c>
      <c r="D1433" s="35">
        <f>F1433+E1433</f>
        <v>0.18</v>
      </c>
      <c r="E1433" s="108"/>
      <c r="F1433" s="35">
        <f t="shared" si="281"/>
        <v>0.18</v>
      </c>
      <c r="G1433" s="109"/>
      <c r="H1433" s="109">
        <v>0.18</v>
      </c>
      <c r="I1433" s="109"/>
      <c r="J1433" s="109"/>
      <c r="K1433" s="109"/>
      <c r="L1433" s="109"/>
      <c r="M1433" s="109"/>
      <c r="N1433" s="109"/>
      <c r="O1433" s="109"/>
      <c r="P1433" s="109"/>
      <c r="Q1433" s="109"/>
      <c r="R1433" s="109"/>
      <c r="S1433" s="109"/>
      <c r="T1433" s="109"/>
      <c r="U1433" s="109"/>
      <c r="V1433" s="109"/>
      <c r="W1433" s="109"/>
      <c r="X1433" s="109"/>
      <c r="Y1433" s="109"/>
      <c r="Z1433" s="109"/>
      <c r="AA1433" s="109"/>
      <c r="AB1433" s="109"/>
      <c r="AC1433" s="109"/>
      <c r="AD1433" s="109"/>
      <c r="AE1433" s="109"/>
      <c r="AF1433" s="109"/>
      <c r="AG1433" s="109"/>
      <c r="AH1433" s="109"/>
      <c r="AI1433" s="109"/>
      <c r="AJ1433" s="109"/>
      <c r="AK1433" s="109"/>
      <c r="AL1433" s="109"/>
      <c r="AM1433" s="109"/>
      <c r="AN1433" s="109"/>
      <c r="AO1433" s="109"/>
      <c r="AP1433" s="109"/>
      <c r="AQ1433" s="109"/>
      <c r="AR1433" s="109"/>
      <c r="AS1433" s="109"/>
      <c r="AT1433" s="109"/>
      <c r="AU1433" s="109"/>
      <c r="AV1433" s="109"/>
      <c r="AW1433" s="109"/>
      <c r="AX1433" s="109"/>
      <c r="AY1433" s="34" t="s">
        <v>239</v>
      </c>
      <c r="AZ1433" s="34"/>
      <c r="BA1433" s="47"/>
      <c r="BB1433" s="48"/>
      <c r="BI1433" s="42"/>
    </row>
    <row r="1434" spans="1:61" s="24" customFormat="1" ht="20.85" hidden="1" customHeight="1">
      <c r="A1434" s="32"/>
      <c r="B1434" s="158"/>
      <c r="C1434" s="78" t="s">
        <v>138</v>
      </c>
      <c r="D1434" s="35">
        <f>F1434+E1434</f>
        <v>0.42000000000000015</v>
      </c>
      <c r="E1434" s="108"/>
      <c r="F1434" s="35">
        <f t="shared" si="281"/>
        <v>0.42000000000000015</v>
      </c>
      <c r="G1434" s="147">
        <f>G1430-G1431-G1432-G1433</f>
        <v>0</v>
      </c>
      <c r="H1434" s="147">
        <f>H1430-H1431-H1432-H1433</f>
        <v>0.34000000000000014</v>
      </c>
      <c r="I1434" s="147">
        <f t="shared" ref="I1434:AX1434" si="283">I1430-I1431-I1432-I1433</f>
        <v>0.08</v>
      </c>
      <c r="J1434" s="147">
        <f t="shared" si="283"/>
        <v>0</v>
      </c>
      <c r="K1434" s="147">
        <f t="shared" si="283"/>
        <v>0</v>
      </c>
      <c r="L1434" s="147">
        <f t="shared" si="283"/>
        <v>0</v>
      </c>
      <c r="M1434" s="147">
        <f t="shared" si="283"/>
        <v>0</v>
      </c>
      <c r="N1434" s="147">
        <f t="shared" si="283"/>
        <v>0</v>
      </c>
      <c r="O1434" s="147">
        <f t="shared" si="283"/>
        <v>0</v>
      </c>
      <c r="P1434" s="147">
        <f t="shared" si="283"/>
        <v>0</v>
      </c>
      <c r="Q1434" s="147">
        <f t="shared" si="283"/>
        <v>0</v>
      </c>
      <c r="R1434" s="147">
        <f t="shared" si="283"/>
        <v>0</v>
      </c>
      <c r="S1434" s="147">
        <f t="shared" si="283"/>
        <v>0</v>
      </c>
      <c r="T1434" s="147">
        <f t="shared" si="283"/>
        <v>0</v>
      </c>
      <c r="U1434" s="147">
        <f t="shared" si="283"/>
        <v>0</v>
      </c>
      <c r="V1434" s="147">
        <f t="shared" si="283"/>
        <v>0</v>
      </c>
      <c r="W1434" s="147">
        <f t="shared" si="283"/>
        <v>0</v>
      </c>
      <c r="X1434" s="147">
        <f t="shared" si="283"/>
        <v>0</v>
      </c>
      <c r="Y1434" s="147">
        <f t="shared" si="283"/>
        <v>0</v>
      </c>
      <c r="Z1434" s="147">
        <f t="shared" si="283"/>
        <v>0</v>
      </c>
      <c r="AA1434" s="147">
        <f t="shared" si="283"/>
        <v>0</v>
      </c>
      <c r="AB1434" s="147">
        <f t="shared" si="283"/>
        <v>0</v>
      </c>
      <c r="AC1434" s="147">
        <f t="shared" si="283"/>
        <v>0</v>
      </c>
      <c r="AD1434" s="147">
        <f t="shared" si="283"/>
        <v>0</v>
      </c>
      <c r="AE1434" s="147">
        <f t="shared" si="283"/>
        <v>0</v>
      </c>
      <c r="AF1434" s="147">
        <f t="shared" si="283"/>
        <v>0</v>
      </c>
      <c r="AG1434" s="147">
        <f t="shared" si="283"/>
        <v>0</v>
      </c>
      <c r="AH1434" s="147">
        <f t="shared" si="283"/>
        <v>0</v>
      </c>
      <c r="AI1434" s="147">
        <f t="shared" si="283"/>
        <v>0</v>
      </c>
      <c r="AJ1434" s="147">
        <f t="shared" si="283"/>
        <v>0</v>
      </c>
      <c r="AK1434" s="147">
        <f t="shared" si="283"/>
        <v>0</v>
      </c>
      <c r="AL1434" s="147">
        <f t="shared" si="283"/>
        <v>0</v>
      </c>
      <c r="AM1434" s="147">
        <f t="shared" si="283"/>
        <v>0</v>
      </c>
      <c r="AN1434" s="147">
        <f t="shared" si="283"/>
        <v>0</v>
      </c>
      <c r="AO1434" s="147">
        <f t="shared" si="283"/>
        <v>0</v>
      </c>
      <c r="AP1434" s="147">
        <f t="shared" si="283"/>
        <v>0</v>
      </c>
      <c r="AQ1434" s="147">
        <f t="shared" si="283"/>
        <v>0</v>
      </c>
      <c r="AR1434" s="147">
        <f t="shared" si="283"/>
        <v>0</v>
      </c>
      <c r="AS1434" s="147">
        <f t="shared" si="283"/>
        <v>0</v>
      </c>
      <c r="AT1434" s="147">
        <f t="shared" si="283"/>
        <v>0</v>
      </c>
      <c r="AU1434" s="147">
        <f t="shared" si="283"/>
        <v>0</v>
      </c>
      <c r="AV1434" s="147">
        <f t="shared" si="283"/>
        <v>0</v>
      </c>
      <c r="AW1434" s="147">
        <f t="shared" si="283"/>
        <v>0</v>
      </c>
      <c r="AX1434" s="147">
        <f t="shared" si="283"/>
        <v>0</v>
      </c>
      <c r="AY1434" s="34" t="s">
        <v>239</v>
      </c>
      <c r="AZ1434" s="34"/>
      <c r="BA1434" s="47"/>
      <c r="BB1434" s="48"/>
      <c r="BI1434" s="42"/>
    </row>
    <row r="1435" spans="1:61" s="24" customFormat="1" ht="20.85" customHeight="1">
      <c r="A1435" s="32">
        <f>A1430+1</f>
        <v>841</v>
      </c>
      <c r="B1435" s="158" t="s">
        <v>186</v>
      </c>
      <c r="C1435" s="78" t="s">
        <v>1260</v>
      </c>
      <c r="D1435" s="35">
        <f t="shared" si="278"/>
        <v>1</v>
      </c>
      <c r="E1435" s="35"/>
      <c r="F1435" s="35">
        <f t="shared" si="281"/>
        <v>1</v>
      </c>
      <c r="G1435" s="109">
        <v>1</v>
      </c>
      <c r="H1435" s="109"/>
      <c r="I1435" s="109"/>
      <c r="J1435" s="109"/>
      <c r="K1435" s="109"/>
      <c r="L1435" s="109"/>
      <c r="M1435" s="109"/>
      <c r="N1435" s="109"/>
      <c r="O1435" s="109"/>
      <c r="P1435" s="109"/>
      <c r="Q1435" s="109"/>
      <c r="R1435" s="109"/>
      <c r="S1435" s="109"/>
      <c r="T1435" s="109"/>
      <c r="U1435" s="109"/>
      <c r="V1435" s="109"/>
      <c r="W1435" s="109"/>
      <c r="X1435" s="109"/>
      <c r="Y1435" s="109"/>
      <c r="Z1435" s="109"/>
      <c r="AA1435" s="109"/>
      <c r="AB1435" s="109"/>
      <c r="AC1435" s="109"/>
      <c r="AD1435" s="109"/>
      <c r="AE1435" s="109"/>
      <c r="AF1435" s="109"/>
      <c r="AG1435" s="109"/>
      <c r="AH1435" s="109"/>
      <c r="AI1435" s="109"/>
      <c r="AJ1435" s="109"/>
      <c r="AK1435" s="109"/>
      <c r="AL1435" s="109"/>
      <c r="AM1435" s="109"/>
      <c r="AN1435" s="109"/>
      <c r="AO1435" s="109"/>
      <c r="AP1435" s="109"/>
      <c r="AQ1435" s="109"/>
      <c r="AR1435" s="109"/>
      <c r="AS1435" s="109"/>
      <c r="AT1435" s="109"/>
      <c r="AU1435" s="109"/>
      <c r="AV1435" s="109"/>
      <c r="AW1435" s="109"/>
      <c r="AX1435" s="109"/>
      <c r="AY1435" s="34" t="s">
        <v>239</v>
      </c>
      <c r="AZ1435" s="34" t="s">
        <v>1688</v>
      </c>
      <c r="BA1435" s="39" t="s">
        <v>291</v>
      </c>
      <c r="BB1435" s="40"/>
      <c r="BI1435" s="42">
        <v>1</v>
      </c>
    </row>
    <row r="1436" spans="1:61" s="24" customFormat="1" ht="20.85" hidden="1" customHeight="1">
      <c r="A1436" s="32"/>
      <c r="B1436" s="158"/>
      <c r="C1436" s="78" t="s">
        <v>59</v>
      </c>
      <c r="D1436" s="35">
        <f>F1436+E1436</f>
        <v>0.35</v>
      </c>
      <c r="E1436" s="35"/>
      <c r="F1436" s="35">
        <f t="shared" si="281"/>
        <v>0.35</v>
      </c>
      <c r="G1436" s="109">
        <v>0.35</v>
      </c>
      <c r="H1436" s="109"/>
      <c r="I1436" s="109"/>
      <c r="J1436" s="109"/>
      <c r="K1436" s="109"/>
      <c r="L1436" s="109"/>
      <c r="M1436" s="109"/>
      <c r="N1436" s="109"/>
      <c r="O1436" s="109"/>
      <c r="P1436" s="109"/>
      <c r="Q1436" s="109"/>
      <c r="R1436" s="109"/>
      <c r="S1436" s="109"/>
      <c r="T1436" s="109"/>
      <c r="U1436" s="109"/>
      <c r="V1436" s="109"/>
      <c r="W1436" s="109"/>
      <c r="X1436" s="109"/>
      <c r="Y1436" s="109"/>
      <c r="Z1436" s="109"/>
      <c r="AA1436" s="109"/>
      <c r="AB1436" s="109"/>
      <c r="AC1436" s="109"/>
      <c r="AD1436" s="109"/>
      <c r="AE1436" s="109"/>
      <c r="AF1436" s="109"/>
      <c r="AG1436" s="109"/>
      <c r="AH1436" s="109"/>
      <c r="AI1436" s="109"/>
      <c r="AJ1436" s="109"/>
      <c r="AK1436" s="109"/>
      <c r="AL1436" s="109"/>
      <c r="AM1436" s="109"/>
      <c r="AN1436" s="109"/>
      <c r="AO1436" s="109"/>
      <c r="AP1436" s="109"/>
      <c r="AQ1436" s="109"/>
      <c r="AR1436" s="109"/>
      <c r="AS1436" s="109"/>
      <c r="AT1436" s="109"/>
      <c r="AU1436" s="109"/>
      <c r="AV1436" s="109"/>
      <c r="AW1436" s="109"/>
      <c r="AX1436" s="109"/>
      <c r="AY1436" s="34" t="s">
        <v>239</v>
      </c>
      <c r="AZ1436" s="34"/>
      <c r="BA1436" s="39"/>
      <c r="BB1436" s="40"/>
      <c r="BI1436" s="42"/>
    </row>
    <row r="1437" spans="1:61" s="24" customFormat="1" ht="20.85" hidden="1" customHeight="1">
      <c r="A1437" s="32"/>
      <c r="B1437" s="158"/>
      <c r="C1437" s="78" t="s">
        <v>44</v>
      </c>
      <c r="D1437" s="35">
        <f>F1437+E1437</f>
        <v>0.4</v>
      </c>
      <c r="E1437" s="35"/>
      <c r="F1437" s="35">
        <f t="shared" si="281"/>
        <v>0.4</v>
      </c>
      <c r="G1437" s="109">
        <v>0.4</v>
      </c>
      <c r="H1437" s="109"/>
      <c r="I1437" s="109"/>
      <c r="J1437" s="109"/>
      <c r="K1437" s="109"/>
      <c r="L1437" s="109"/>
      <c r="M1437" s="109"/>
      <c r="N1437" s="109"/>
      <c r="O1437" s="109"/>
      <c r="P1437" s="109"/>
      <c r="Q1437" s="109"/>
      <c r="R1437" s="109"/>
      <c r="S1437" s="109"/>
      <c r="T1437" s="109"/>
      <c r="U1437" s="109"/>
      <c r="V1437" s="109"/>
      <c r="W1437" s="109"/>
      <c r="X1437" s="109"/>
      <c r="Y1437" s="109"/>
      <c r="Z1437" s="109"/>
      <c r="AA1437" s="109"/>
      <c r="AB1437" s="109"/>
      <c r="AC1437" s="109"/>
      <c r="AD1437" s="109"/>
      <c r="AE1437" s="109"/>
      <c r="AF1437" s="109"/>
      <c r="AG1437" s="109"/>
      <c r="AH1437" s="109"/>
      <c r="AI1437" s="109"/>
      <c r="AJ1437" s="109"/>
      <c r="AK1437" s="109"/>
      <c r="AL1437" s="109"/>
      <c r="AM1437" s="109"/>
      <c r="AN1437" s="109"/>
      <c r="AO1437" s="109"/>
      <c r="AP1437" s="109"/>
      <c r="AQ1437" s="109"/>
      <c r="AR1437" s="109"/>
      <c r="AS1437" s="109"/>
      <c r="AT1437" s="109"/>
      <c r="AU1437" s="109"/>
      <c r="AV1437" s="109"/>
      <c r="AW1437" s="109"/>
      <c r="AX1437" s="109"/>
      <c r="AY1437" s="34" t="s">
        <v>239</v>
      </c>
      <c r="AZ1437" s="34"/>
      <c r="BA1437" s="39"/>
      <c r="BB1437" s="40"/>
      <c r="BI1437" s="42"/>
    </row>
    <row r="1438" spans="1:61" s="24" customFormat="1" ht="20.85" hidden="1" customHeight="1">
      <c r="A1438" s="32"/>
      <c r="B1438" s="158"/>
      <c r="C1438" s="78" t="s">
        <v>138</v>
      </c>
      <c r="D1438" s="35">
        <f>F1438+E1438</f>
        <v>0.25</v>
      </c>
      <c r="E1438" s="35"/>
      <c r="F1438" s="35">
        <f t="shared" si="281"/>
        <v>0.25</v>
      </c>
      <c r="G1438" s="147">
        <f>G1435-G1436-G1437</f>
        <v>0.25</v>
      </c>
      <c r="H1438" s="147">
        <f t="shared" ref="H1438:AX1438" si="284">H1435-H1436-H1437</f>
        <v>0</v>
      </c>
      <c r="I1438" s="147">
        <f t="shared" si="284"/>
        <v>0</v>
      </c>
      <c r="J1438" s="147">
        <f t="shared" si="284"/>
        <v>0</v>
      </c>
      <c r="K1438" s="147">
        <f t="shared" si="284"/>
        <v>0</v>
      </c>
      <c r="L1438" s="147">
        <f t="shared" si="284"/>
        <v>0</v>
      </c>
      <c r="M1438" s="147">
        <f t="shared" si="284"/>
        <v>0</v>
      </c>
      <c r="N1438" s="147">
        <f t="shared" si="284"/>
        <v>0</v>
      </c>
      <c r="O1438" s="147">
        <f t="shared" si="284"/>
        <v>0</v>
      </c>
      <c r="P1438" s="147">
        <f t="shared" si="284"/>
        <v>0</v>
      </c>
      <c r="Q1438" s="147">
        <f t="shared" si="284"/>
        <v>0</v>
      </c>
      <c r="R1438" s="147">
        <f t="shared" si="284"/>
        <v>0</v>
      </c>
      <c r="S1438" s="147">
        <f t="shared" si="284"/>
        <v>0</v>
      </c>
      <c r="T1438" s="147">
        <f t="shared" si="284"/>
        <v>0</v>
      </c>
      <c r="U1438" s="147">
        <f t="shared" si="284"/>
        <v>0</v>
      </c>
      <c r="V1438" s="147">
        <f t="shared" si="284"/>
        <v>0</v>
      </c>
      <c r="W1438" s="147">
        <f t="shared" si="284"/>
        <v>0</v>
      </c>
      <c r="X1438" s="147">
        <f t="shared" si="284"/>
        <v>0</v>
      </c>
      <c r="Y1438" s="147">
        <f t="shared" si="284"/>
        <v>0</v>
      </c>
      <c r="Z1438" s="147">
        <f t="shared" si="284"/>
        <v>0</v>
      </c>
      <c r="AA1438" s="147">
        <f t="shared" si="284"/>
        <v>0</v>
      </c>
      <c r="AB1438" s="147">
        <f t="shared" si="284"/>
        <v>0</v>
      </c>
      <c r="AC1438" s="147">
        <f t="shared" si="284"/>
        <v>0</v>
      </c>
      <c r="AD1438" s="147">
        <f t="shared" si="284"/>
        <v>0</v>
      </c>
      <c r="AE1438" s="147">
        <f t="shared" si="284"/>
        <v>0</v>
      </c>
      <c r="AF1438" s="147">
        <f t="shared" si="284"/>
        <v>0</v>
      </c>
      <c r="AG1438" s="147">
        <f t="shared" si="284"/>
        <v>0</v>
      </c>
      <c r="AH1438" s="147">
        <f t="shared" si="284"/>
        <v>0</v>
      </c>
      <c r="AI1438" s="147">
        <f t="shared" si="284"/>
        <v>0</v>
      </c>
      <c r="AJ1438" s="147">
        <f t="shared" si="284"/>
        <v>0</v>
      </c>
      <c r="AK1438" s="147">
        <f t="shared" si="284"/>
        <v>0</v>
      </c>
      <c r="AL1438" s="147">
        <f t="shared" si="284"/>
        <v>0</v>
      </c>
      <c r="AM1438" s="147">
        <f t="shared" si="284"/>
        <v>0</v>
      </c>
      <c r="AN1438" s="147">
        <f t="shared" si="284"/>
        <v>0</v>
      </c>
      <c r="AO1438" s="147">
        <f t="shared" si="284"/>
        <v>0</v>
      </c>
      <c r="AP1438" s="147">
        <f t="shared" si="284"/>
        <v>0</v>
      </c>
      <c r="AQ1438" s="147">
        <f t="shared" si="284"/>
        <v>0</v>
      </c>
      <c r="AR1438" s="147">
        <f t="shared" si="284"/>
        <v>0</v>
      </c>
      <c r="AS1438" s="147">
        <f t="shared" si="284"/>
        <v>0</v>
      </c>
      <c r="AT1438" s="147">
        <f t="shared" si="284"/>
        <v>0</v>
      </c>
      <c r="AU1438" s="147">
        <f t="shared" si="284"/>
        <v>0</v>
      </c>
      <c r="AV1438" s="147">
        <f t="shared" si="284"/>
        <v>0</v>
      </c>
      <c r="AW1438" s="147">
        <f t="shared" si="284"/>
        <v>0</v>
      </c>
      <c r="AX1438" s="147">
        <f t="shared" si="284"/>
        <v>0</v>
      </c>
      <c r="AY1438" s="34" t="s">
        <v>239</v>
      </c>
      <c r="AZ1438" s="34"/>
      <c r="BA1438" s="39"/>
      <c r="BB1438" s="40"/>
      <c r="BI1438" s="42"/>
    </row>
    <row r="1439" spans="1:61" s="24" customFormat="1" ht="20.85" customHeight="1">
      <c r="A1439" s="32">
        <f>A1435+1</f>
        <v>842</v>
      </c>
      <c r="B1439" s="158" t="s">
        <v>186</v>
      </c>
      <c r="C1439" s="78" t="s">
        <v>1260</v>
      </c>
      <c r="D1439" s="35">
        <f t="shared" si="278"/>
        <v>0.8</v>
      </c>
      <c r="E1439" s="35"/>
      <c r="F1439" s="35">
        <f t="shared" si="281"/>
        <v>0.8</v>
      </c>
      <c r="G1439" s="109"/>
      <c r="H1439" s="109">
        <v>0.67</v>
      </c>
      <c r="I1439" s="109">
        <v>0.08</v>
      </c>
      <c r="J1439" s="109"/>
      <c r="K1439" s="109"/>
      <c r="L1439" s="109"/>
      <c r="M1439" s="109"/>
      <c r="N1439" s="109"/>
      <c r="O1439" s="109"/>
      <c r="P1439" s="109"/>
      <c r="Q1439" s="109"/>
      <c r="R1439" s="109"/>
      <c r="S1439" s="109"/>
      <c r="T1439" s="109"/>
      <c r="U1439" s="109"/>
      <c r="V1439" s="109"/>
      <c r="W1439" s="109"/>
      <c r="X1439" s="109"/>
      <c r="Y1439" s="109"/>
      <c r="Z1439" s="109"/>
      <c r="AA1439" s="109">
        <v>0.05</v>
      </c>
      <c r="AB1439" s="109"/>
      <c r="AC1439" s="109"/>
      <c r="AD1439" s="109"/>
      <c r="AE1439" s="109"/>
      <c r="AF1439" s="109"/>
      <c r="AG1439" s="109"/>
      <c r="AH1439" s="109"/>
      <c r="AI1439" s="109"/>
      <c r="AJ1439" s="109"/>
      <c r="AK1439" s="109"/>
      <c r="AL1439" s="109"/>
      <c r="AM1439" s="109"/>
      <c r="AN1439" s="109"/>
      <c r="AO1439" s="109"/>
      <c r="AP1439" s="109"/>
      <c r="AQ1439" s="109"/>
      <c r="AR1439" s="109"/>
      <c r="AS1439" s="109"/>
      <c r="AT1439" s="109"/>
      <c r="AU1439" s="109"/>
      <c r="AV1439" s="109"/>
      <c r="AW1439" s="109"/>
      <c r="AX1439" s="109"/>
      <c r="AY1439" s="34" t="s">
        <v>239</v>
      </c>
      <c r="AZ1439" s="34" t="s">
        <v>1689</v>
      </c>
      <c r="BA1439" s="39" t="s">
        <v>291</v>
      </c>
      <c r="BB1439" s="40"/>
      <c r="BI1439" s="42">
        <v>1</v>
      </c>
    </row>
    <row r="1440" spans="1:61" s="24" customFormat="1" ht="20.85" hidden="1" customHeight="1">
      <c r="A1440" s="32"/>
      <c r="B1440" s="158"/>
      <c r="C1440" s="78" t="s">
        <v>59</v>
      </c>
      <c r="D1440" s="35">
        <f t="shared" si="278"/>
        <v>0.28000000000000003</v>
      </c>
      <c r="E1440" s="76"/>
      <c r="F1440" s="35">
        <f t="shared" si="281"/>
        <v>0.28000000000000003</v>
      </c>
      <c r="G1440" s="109"/>
      <c r="H1440" s="109">
        <v>0.28000000000000003</v>
      </c>
      <c r="I1440" s="109"/>
      <c r="J1440" s="109"/>
      <c r="K1440" s="109"/>
      <c r="L1440" s="109"/>
      <c r="M1440" s="109"/>
      <c r="N1440" s="109"/>
      <c r="O1440" s="109"/>
      <c r="P1440" s="109"/>
      <c r="Q1440" s="109"/>
      <c r="R1440" s="109"/>
      <c r="S1440" s="109"/>
      <c r="T1440" s="109"/>
      <c r="U1440" s="109"/>
      <c r="V1440" s="109"/>
      <c r="W1440" s="109"/>
      <c r="X1440" s="109"/>
      <c r="Y1440" s="109"/>
      <c r="Z1440" s="109"/>
      <c r="AA1440" s="109"/>
      <c r="AB1440" s="109"/>
      <c r="AC1440" s="109"/>
      <c r="AD1440" s="109"/>
      <c r="AE1440" s="109"/>
      <c r="AF1440" s="109"/>
      <c r="AG1440" s="109"/>
      <c r="AH1440" s="109"/>
      <c r="AI1440" s="109"/>
      <c r="AJ1440" s="109"/>
      <c r="AK1440" s="109"/>
      <c r="AL1440" s="109"/>
      <c r="AM1440" s="109"/>
      <c r="AN1440" s="109"/>
      <c r="AO1440" s="109"/>
      <c r="AP1440" s="109"/>
      <c r="AQ1440" s="109"/>
      <c r="AR1440" s="109"/>
      <c r="AS1440" s="109"/>
      <c r="AT1440" s="109"/>
      <c r="AU1440" s="109"/>
      <c r="AV1440" s="109"/>
      <c r="AW1440" s="109"/>
      <c r="AX1440" s="109"/>
      <c r="AY1440" s="34" t="s">
        <v>239</v>
      </c>
      <c r="AZ1440" s="34"/>
      <c r="BA1440" s="39"/>
      <c r="BB1440" s="40"/>
      <c r="BI1440" s="42"/>
    </row>
    <row r="1441" spans="1:61" s="24" customFormat="1" ht="20.85" hidden="1" customHeight="1">
      <c r="A1441" s="32"/>
      <c r="B1441" s="158"/>
      <c r="C1441" s="78" t="s">
        <v>44</v>
      </c>
      <c r="D1441" s="35">
        <f t="shared" si="278"/>
        <v>0.32</v>
      </c>
      <c r="E1441" s="76"/>
      <c r="F1441" s="35">
        <f t="shared" si="281"/>
        <v>0.32</v>
      </c>
      <c r="G1441" s="109"/>
      <c r="H1441" s="109">
        <v>0.32</v>
      </c>
      <c r="I1441" s="109"/>
      <c r="J1441" s="109"/>
      <c r="K1441" s="109"/>
      <c r="L1441" s="109"/>
      <c r="M1441" s="109"/>
      <c r="N1441" s="109"/>
      <c r="O1441" s="109"/>
      <c r="P1441" s="109"/>
      <c r="Q1441" s="109"/>
      <c r="R1441" s="109"/>
      <c r="S1441" s="109"/>
      <c r="T1441" s="109"/>
      <c r="U1441" s="109"/>
      <c r="V1441" s="109"/>
      <c r="W1441" s="109"/>
      <c r="X1441" s="109"/>
      <c r="Y1441" s="109"/>
      <c r="Z1441" s="109"/>
      <c r="AA1441" s="109"/>
      <c r="AB1441" s="109"/>
      <c r="AC1441" s="109"/>
      <c r="AD1441" s="109"/>
      <c r="AE1441" s="109"/>
      <c r="AF1441" s="109"/>
      <c r="AG1441" s="109"/>
      <c r="AH1441" s="109"/>
      <c r="AI1441" s="109"/>
      <c r="AJ1441" s="109"/>
      <c r="AK1441" s="109"/>
      <c r="AL1441" s="109"/>
      <c r="AM1441" s="109"/>
      <c r="AN1441" s="109"/>
      <c r="AO1441" s="109"/>
      <c r="AP1441" s="109"/>
      <c r="AQ1441" s="109"/>
      <c r="AR1441" s="109"/>
      <c r="AS1441" s="109"/>
      <c r="AT1441" s="109"/>
      <c r="AU1441" s="109"/>
      <c r="AV1441" s="109"/>
      <c r="AW1441" s="109"/>
      <c r="AX1441" s="109"/>
      <c r="AY1441" s="34" t="s">
        <v>239</v>
      </c>
      <c r="AZ1441" s="34"/>
      <c r="BA1441" s="39"/>
      <c r="BB1441" s="40"/>
      <c r="BI1441" s="42"/>
    </row>
    <row r="1442" spans="1:61" s="24" customFormat="1" ht="20.85" hidden="1" customHeight="1">
      <c r="A1442" s="32"/>
      <c r="B1442" s="158"/>
      <c r="C1442" s="78" t="s">
        <v>138</v>
      </c>
      <c r="D1442" s="35">
        <f t="shared" si="278"/>
        <v>0.2</v>
      </c>
      <c r="E1442" s="76"/>
      <c r="F1442" s="35">
        <f t="shared" si="281"/>
        <v>0.2</v>
      </c>
      <c r="G1442" s="147">
        <f>G1439-G1440-G1441</f>
        <v>0</v>
      </c>
      <c r="H1442" s="147">
        <f t="shared" ref="H1442:AX1442" si="285">H1439-H1440-H1441</f>
        <v>7.0000000000000007E-2</v>
      </c>
      <c r="I1442" s="147">
        <f t="shared" si="285"/>
        <v>0.08</v>
      </c>
      <c r="J1442" s="147">
        <f t="shared" si="285"/>
        <v>0</v>
      </c>
      <c r="K1442" s="147">
        <f t="shared" si="285"/>
        <v>0</v>
      </c>
      <c r="L1442" s="147">
        <f t="shared" si="285"/>
        <v>0</v>
      </c>
      <c r="M1442" s="147">
        <f t="shared" si="285"/>
        <v>0</v>
      </c>
      <c r="N1442" s="147">
        <f t="shared" si="285"/>
        <v>0</v>
      </c>
      <c r="O1442" s="147">
        <f t="shared" si="285"/>
        <v>0</v>
      </c>
      <c r="P1442" s="147">
        <f t="shared" si="285"/>
        <v>0</v>
      </c>
      <c r="Q1442" s="147">
        <f t="shared" si="285"/>
        <v>0</v>
      </c>
      <c r="R1442" s="147">
        <f t="shared" si="285"/>
        <v>0</v>
      </c>
      <c r="S1442" s="147">
        <f t="shared" si="285"/>
        <v>0</v>
      </c>
      <c r="T1442" s="147">
        <f t="shared" si="285"/>
        <v>0</v>
      </c>
      <c r="U1442" s="147">
        <f t="shared" si="285"/>
        <v>0</v>
      </c>
      <c r="V1442" s="147">
        <f t="shared" si="285"/>
        <v>0</v>
      </c>
      <c r="W1442" s="147">
        <f t="shared" si="285"/>
        <v>0</v>
      </c>
      <c r="X1442" s="147">
        <f t="shared" si="285"/>
        <v>0</v>
      </c>
      <c r="Y1442" s="147">
        <f t="shared" si="285"/>
        <v>0</v>
      </c>
      <c r="Z1442" s="147">
        <f t="shared" si="285"/>
        <v>0</v>
      </c>
      <c r="AA1442" s="147">
        <f t="shared" si="285"/>
        <v>0.05</v>
      </c>
      <c r="AB1442" s="147">
        <f t="shared" si="285"/>
        <v>0</v>
      </c>
      <c r="AC1442" s="147">
        <f t="shared" si="285"/>
        <v>0</v>
      </c>
      <c r="AD1442" s="147">
        <f t="shared" si="285"/>
        <v>0</v>
      </c>
      <c r="AE1442" s="147">
        <f t="shared" si="285"/>
        <v>0</v>
      </c>
      <c r="AF1442" s="147">
        <f t="shared" si="285"/>
        <v>0</v>
      </c>
      <c r="AG1442" s="147">
        <f t="shared" si="285"/>
        <v>0</v>
      </c>
      <c r="AH1442" s="147">
        <f t="shared" si="285"/>
        <v>0</v>
      </c>
      <c r="AI1442" s="147">
        <f t="shared" si="285"/>
        <v>0</v>
      </c>
      <c r="AJ1442" s="147">
        <f t="shared" si="285"/>
        <v>0</v>
      </c>
      <c r="AK1442" s="147">
        <f t="shared" si="285"/>
        <v>0</v>
      </c>
      <c r="AL1442" s="147">
        <f t="shared" si="285"/>
        <v>0</v>
      </c>
      <c r="AM1442" s="147">
        <f t="shared" si="285"/>
        <v>0</v>
      </c>
      <c r="AN1442" s="147">
        <f t="shared" si="285"/>
        <v>0</v>
      </c>
      <c r="AO1442" s="147">
        <f t="shared" si="285"/>
        <v>0</v>
      </c>
      <c r="AP1442" s="147">
        <f t="shared" si="285"/>
        <v>0</v>
      </c>
      <c r="AQ1442" s="147">
        <f t="shared" si="285"/>
        <v>0</v>
      </c>
      <c r="AR1442" s="147">
        <f t="shared" si="285"/>
        <v>0</v>
      </c>
      <c r="AS1442" s="147">
        <f t="shared" si="285"/>
        <v>0</v>
      </c>
      <c r="AT1442" s="147">
        <f t="shared" si="285"/>
        <v>0</v>
      </c>
      <c r="AU1442" s="147">
        <f t="shared" si="285"/>
        <v>0</v>
      </c>
      <c r="AV1442" s="147">
        <f t="shared" si="285"/>
        <v>0</v>
      </c>
      <c r="AW1442" s="147">
        <f t="shared" si="285"/>
        <v>0</v>
      </c>
      <c r="AX1442" s="147">
        <f t="shared" si="285"/>
        <v>0</v>
      </c>
      <c r="AY1442" s="34" t="s">
        <v>239</v>
      </c>
      <c r="AZ1442" s="34"/>
      <c r="BA1442" s="39"/>
      <c r="BB1442" s="40"/>
      <c r="BI1442" s="42"/>
    </row>
    <row r="1443" spans="1:61" s="24" customFormat="1" ht="20.85" customHeight="1">
      <c r="A1443" s="32">
        <f>A1439+1</f>
        <v>843</v>
      </c>
      <c r="B1443" s="158" t="s">
        <v>186</v>
      </c>
      <c r="C1443" s="78" t="s">
        <v>59</v>
      </c>
      <c r="D1443" s="35">
        <f t="shared" si="278"/>
        <v>0.17</v>
      </c>
      <c r="E1443" s="35"/>
      <c r="F1443" s="35">
        <f t="shared" si="281"/>
        <v>0.17</v>
      </c>
      <c r="G1443" s="109"/>
      <c r="H1443" s="109"/>
      <c r="I1443" s="109"/>
      <c r="J1443" s="109"/>
      <c r="K1443" s="109"/>
      <c r="L1443" s="109"/>
      <c r="M1443" s="109"/>
      <c r="N1443" s="109"/>
      <c r="O1443" s="109"/>
      <c r="P1443" s="109"/>
      <c r="Q1443" s="109"/>
      <c r="R1443" s="109"/>
      <c r="S1443" s="109"/>
      <c r="T1443" s="109"/>
      <c r="U1443" s="109"/>
      <c r="V1443" s="109"/>
      <c r="W1443" s="109"/>
      <c r="X1443" s="109"/>
      <c r="Y1443" s="109"/>
      <c r="Z1443" s="109"/>
      <c r="AA1443" s="109"/>
      <c r="AB1443" s="109"/>
      <c r="AC1443" s="109"/>
      <c r="AD1443" s="109"/>
      <c r="AE1443" s="109"/>
      <c r="AF1443" s="109"/>
      <c r="AG1443" s="109"/>
      <c r="AH1443" s="109"/>
      <c r="AI1443" s="109"/>
      <c r="AJ1443" s="109"/>
      <c r="AK1443" s="109"/>
      <c r="AL1443" s="109">
        <v>0.17</v>
      </c>
      <c r="AM1443" s="109"/>
      <c r="AN1443" s="109"/>
      <c r="AO1443" s="109"/>
      <c r="AP1443" s="109"/>
      <c r="AQ1443" s="109"/>
      <c r="AR1443" s="109"/>
      <c r="AS1443" s="109"/>
      <c r="AT1443" s="109"/>
      <c r="AU1443" s="109"/>
      <c r="AV1443" s="109"/>
      <c r="AW1443" s="109"/>
      <c r="AX1443" s="109"/>
      <c r="AY1443" s="34" t="s">
        <v>239</v>
      </c>
      <c r="AZ1443" s="34" t="s">
        <v>1690</v>
      </c>
      <c r="BA1443" s="39" t="s">
        <v>291</v>
      </c>
      <c r="BB1443" s="40"/>
      <c r="BC1443" s="24" t="s">
        <v>1691</v>
      </c>
      <c r="BI1443" s="42">
        <v>1</v>
      </c>
    </row>
    <row r="1444" spans="1:61" s="24" customFormat="1" ht="20.85" customHeight="1">
      <c r="A1444" s="32">
        <f>A1443+1</f>
        <v>844</v>
      </c>
      <c r="B1444" s="158" t="s">
        <v>186</v>
      </c>
      <c r="C1444" s="78" t="s">
        <v>1260</v>
      </c>
      <c r="D1444" s="35">
        <f t="shared" si="278"/>
        <v>0.4</v>
      </c>
      <c r="E1444" s="35"/>
      <c r="F1444" s="35">
        <f t="shared" si="281"/>
        <v>0.4</v>
      </c>
      <c r="G1444" s="109"/>
      <c r="H1444" s="109"/>
      <c r="I1444" s="109">
        <v>0.24</v>
      </c>
      <c r="J1444" s="109"/>
      <c r="K1444" s="109"/>
      <c r="L1444" s="109"/>
      <c r="M1444" s="109"/>
      <c r="N1444" s="109"/>
      <c r="O1444" s="109"/>
      <c r="P1444" s="109">
        <v>0.13</v>
      </c>
      <c r="Q1444" s="109"/>
      <c r="R1444" s="109"/>
      <c r="S1444" s="109"/>
      <c r="T1444" s="109"/>
      <c r="U1444" s="109"/>
      <c r="V1444" s="109"/>
      <c r="W1444" s="109"/>
      <c r="X1444" s="109"/>
      <c r="Y1444" s="109"/>
      <c r="Z1444" s="109">
        <v>0.03</v>
      </c>
      <c r="AA1444" s="109"/>
      <c r="AB1444" s="109"/>
      <c r="AC1444" s="109"/>
      <c r="AD1444" s="109"/>
      <c r="AE1444" s="109"/>
      <c r="AF1444" s="109"/>
      <c r="AG1444" s="109"/>
      <c r="AH1444" s="109"/>
      <c r="AI1444" s="109"/>
      <c r="AJ1444" s="109"/>
      <c r="AK1444" s="109"/>
      <c r="AL1444" s="109"/>
      <c r="AM1444" s="109"/>
      <c r="AN1444" s="109"/>
      <c r="AO1444" s="109"/>
      <c r="AP1444" s="109"/>
      <c r="AQ1444" s="109"/>
      <c r="AR1444" s="109"/>
      <c r="AS1444" s="109"/>
      <c r="AT1444" s="109"/>
      <c r="AU1444" s="109"/>
      <c r="AV1444" s="109"/>
      <c r="AW1444" s="109"/>
      <c r="AX1444" s="109"/>
      <c r="AY1444" s="34" t="s">
        <v>239</v>
      </c>
      <c r="AZ1444" s="34" t="s">
        <v>1692</v>
      </c>
      <c r="BA1444" s="39" t="s">
        <v>291</v>
      </c>
      <c r="BB1444" s="40"/>
      <c r="BI1444" s="42">
        <v>1</v>
      </c>
    </row>
    <row r="1445" spans="1:61" s="24" customFormat="1" ht="20.85" hidden="1" customHeight="1">
      <c r="A1445" s="32"/>
      <c r="B1445" s="158"/>
      <c r="C1445" s="78" t="s">
        <v>59</v>
      </c>
      <c r="D1445" s="35">
        <f>F1445+E1445</f>
        <v>0.16</v>
      </c>
      <c r="E1445" s="35"/>
      <c r="F1445" s="35">
        <f t="shared" si="281"/>
        <v>0.16</v>
      </c>
      <c r="G1445" s="109"/>
      <c r="H1445" s="109"/>
      <c r="I1445" s="109">
        <v>0.1</v>
      </c>
      <c r="J1445" s="109"/>
      <c r="K1445" s="109"/>
      <c r="L1445" s="109"/>
      <c r="M1445" s="109"/>
      <c r="N1445" s="109"/>
      <c r="O1445" s="109"/>
      <c r="P1445" s="109">
        <v>0.06</v>
      </c>
      <c r="Q1445" s="109"/>
      <c r="R1445" s="109"/>
      <c r="S1445" s="109"/>
      <c r="T1445" s="109"/>
      <c r="U1445" s="109"/>
      <c r="V1445" s="109"/>
      <c r="W1445" s="109"/>
      <c r="X1445" s="109"/>
      <c r="Y1445" s="109"/>
      <c r="Z1445" s="109"/>
      <c r="AA1445" s="109"/>
      <c r="AB1445" s="109"/>
      <c r="AC1445" s="109"/>
      <c r="AD1445" s="109"/>
      <c r="AE1445" s="109"/>
      <c r="AF1445" s="109"/>
      <c r="AG1445" s="109"/>
      <c r="AH1445" s="109"/>
      <c r="AI1445" s="109"/>
      <c r="AJ1445" s="109"/>
      <c r="AK1445" s="109"/>
      <c r="AL1445" s="109"/>
      <c r="AM1445" s="109"/>
      <c r="AN1445" s="109"/>
      <c r="AO1445" s="109"/>
      <c r="AP1445" s="109"/>
      <c r="AQ1445" s="109"/>
      <c r="AR1445" s="109"/>
      <c r="AS1445" s="109"/>
      <c r="AT1445" s="109"/>
      <c r="AU1445" s="109"/>
      <c r="AV1445" s="109"/>
      <c r="AW1445" s="109"/>
      <c r="AX1445" s="109"/>
      <c r="AY1445" s="34" t="s">
        <v>239</v>
      </c>
      <c r="AZ1445" s="34"/>
      <c r="BA1445" s="39"/>
      <c r="BB1445" s="40"/>
      <c r="BI1445" s="42"/>
    </row>
    <row r="1446" spans="1:61" s="24" customFormat="1" ht="20.85" hidden="1" customHeight="1">
      <c r="A1446" s="32"/>
      <c r="B1446" s="158"/>
      <c r="C1446" s="78" t="s">
        <v>44</v>
      </c>
      <c r="D1446" s="35">
        <f>F1446+E1446</f>
        <v>0.14000000000000001</v>
      </c>
      <c r="E1446" s="35"/>
      <c r="F1446" s="35">
        <f t="shared" si="281"/>
        <v>0.14000000000000001</v>
      </c>
      <c r="G1446" s="109"/>
      <c r="H1446" s="109"/>
      <c r="I1446" s="109">
        <v>0.14000000000000001</v>
      </c>
      <c r="J1446" s="109"/>
      <c r="K1446" s="109"/>
      <c r="L1446" s="109"/>
      <c r="M1446" s="109"/>
      <c r="N1446" s="109"/>
      <c r="O1446" s="109"/>
      <c r="P1446" s="109"/>
      <c r="Q1446" s="109"/>
      <c r="R1446" s="109"/>
      <c r="S1446" s="109"/>
      <c r="T1446" s="109"/>
      <c r="U1446" s="109"/>
      <c r="V1446" s="109"/>
      <c r="W1446" s="109"/>
      <c r="X1446" s="109"/>
      <c r="Y1446" s="109"/>
      <c r="Z1446" s="109"/>
      <c r="AA1446" s="109"/>
      <c r="AB1446" s="109"/>
      <c r="AC1446" s="109"/>
      <c r="AD1446" s="109"/>
      <c r="AE1446" s="109"/>
      <c r="AF1446" s="109"/>
      <c r="AG1446" s="109"/>
      <c r="AH1446" s="109"/>
      <c r="AI1446" s="109"/>
      <c r="AJ1446" s="109"/>
      <c r="AK1446" s="109"/>
      <c r="AL1446" s="109"/>
      <c r="AM1446" s="109"/>
      <c r="AN1446" s="109"/>
      <c r="AO1446" s="109"/>
      <c r="AP1446" s="109"/>
      <c r="AQ1446" s="109"/>
      <c r="AR1446" s="109"/>
      <c r="AS1446" s="109"/>
      <c r="AT1446" s="109"/>
      <c r="AU1446" s="109"/>
      <c r="AV1446" s="109"/>
      <c r="AW1446" s="109"/>
      <c r="AX1446" s="109"/>
      <c r="AY1446" s="34" t="s">
        <v>239</v>
      </c>
      <c r="AZ1446" s="34"/>
      <c r="BA1446" s="39"/>
      <c r="BB1446" s="40"/>
      <c r="BI1446" s="42"/>
    </row>
    <row r="1447" spans="1:61" s="24" customFormat="1" ht="20.85" hidden="1" customHeight="1">
      <c r="A1447" s="32"/>
      <c r="B1447" s="158"/>
      <c r="C1447" s="78" t="s">
        <v>138</v>
      </c>
      <c r="D1447" s="35">
        <f>F1447+E1447</f>
        <v>0.1</v>
      </c>
      <c r="E1447" s="35"/>
      <c r="F1447" s="35">
        <f t="shared" si="281"/>
        <v>0.1</v>
      </c>
      <c r="G1447" s="147">
        <f>G1444-G1445-G1446</f>
        <v>0</v>
      </c>
      <c r="H1447" s="147">
        <f t="shared" ref="H1447:AX1447" si="286">H1444-H1445-H1446</f>
        <v>0</v>
      </c>
      <c r="I1447" s="147">
        <f t="shared" si="286"/>
        <v>0</v>
      </c>
      <c r="J1447" s="147">
        <f t="shared" si="286"/>
        <v>0</v>
      </c>
      <c r="K1447" s="147">
        <f t="shared" si="286"/>
        <v>0</v>
      </c>
      <c r="L1447" s="147">
        <f t="shared" si="286"/>
        <v>0</v>
      </c>
      <c r="M1447" s="147">
        <f t="shared" si="286"/>
        <v>0</v>
      </c>
      <c r="N1447" s="147">
        <f t="shared" si="286"/>
        <v>0</v>
      </c>
      <c r="O1447" s="147">
        <f t="shared" si="286"/>
        <v>0</v>
      </c>
      <c r="P1447" s="147">
        <f t="shared" si="286"/>
        <v>7.0000000000000007E-2</v>
      </c>
      <c r="Q1447" s="147">
        <f t="shared" si="286"/>
        <v>0</v>
      </c>
      <c r="R1447" s="147">
        <f t="shared" si="286"/>
        <v>0</v>
      </c>
      <c r="S1447" s="147">
        <f t="shared" si="286"/>
        <v>0</v>
      </c>
      <c r="T1447" s="147">
        <f t="shared" si="286"/>
        <v>0</v>
      </c>
      <c r="U1447" s="147">
        <f t="shared" si="286"/>
        <v>0</v>
      </c>
      <c r="V1447" s="147">
        <f t="shared" si="286"/>
        <v>0</v>
      </c>
      <c r="W1447" s="147">
        <f t="shared" si="286"/>
        <v>0</v>
      </c>
      <c r="X1447" s="147">
        <f t="shared" si="286"/>
        <v>0</v>
      </c>
      <c r="Y1447" s="147">
        <f t="shared" si="286"/>
        <v>0</v>
      </c>
      <c r="Z1447" s="147">
        <f t="shared" si="286"/>
        <v>0.03</v>
      </c>
      <c r="AA1447" s="147">
        <f t="shared" si="286"/>
        <v>0</v>
      </c>
      <c r="AB1447" s="147">
        <f t="shared" si="286"/>
        <v>0</v>
      </c>
      <c r="AC1447" s="147">
        <f t="shared" si="286"/>
        <v>0</v>
      </c>
      <c r="AD1447" s="147">
        <f t="shared" si="286"/>
        <v>0</v>
      </c>
      <c r="AE1447" s="147">
        <f t="shared" si="286"/>
        <v>0</v>
      </c>
      <c r="AF1447" s="147">
        <f t="shared" si="286"/>
        <v>0</v>
      </c>
      <c r="AG1447" s="147">
        <f t="shared" si="286"/>
        <v>0</v>
      </c>
      <c r="AH1447" s="147">
        <f t="shared" si="286"/>
        <v>0</v>
      </c>
      <c r="AI1447" s="147">
        <f t="shared" si="286"/>
        <v>0</v>
      </c>
      <c r="AJ1447" s="147">
        <f t="shared" si="286"/>
        <v>0</v>
      </c>
      <c r="AK1447" s="147">
        <f t="shared" si="286"/>
        <v>0</v>
      </c>
      <c r="AL1447" s="147">
        <f t="shared" si="286"/>
        <v>0</v>
      </c>
      <c r="AM1447" s="147">
        <f t="shared" si="286"/>
        <v>0</v>
      </c>
      <c r="AN1447" s="147">
        <f t="shared" si="286"/>
        <v>0</v>
      </c>
      <c r="AO1447" s="147">
        <f t="shared" si="286"/>
        <v>0</v>
      </c>
      <c r="AP1447" s="147">
        <f t="shared" si="286"/>
        <v>0</v>
      </c>
      <c r="AQ1447" s="147">
        <f t="shared" si="286"/>
        <v>0</v>
      </c>
      <c r="AR1447" s="147">
        <f t="shared" si="286"/>
        <v>0</v>
      </c>
      <c r="AS1447" s="147">
        <f t="shared" si="286"/>
        <v>0</v>
      </c>
      <c r="AT1447" s="147">
        <f t="shared" si="286"/>
        <v>0</v>
      </c>
      <c r="AU1447" s="147">
        <f t="shared" si="286"/>
        <v>0</v>
      </c>
      <c r="AV1447" s="147">
        <f t="shared" si="286"/>
        <v>0</v>
      </c>
      <c r="AW1447" s="147">
        <f t="shared" si="286"/>
        <v>0</v>
      </c>
      <c r="AX1447" s="147">
        <f t="shared" si="286"/>
        <v>0</v>
      </c>
      <c r="AY1447" s="34" t="s">
        <v>239</v>
      </c>
      <c r="AZ1447" s="34"/>
      <c r="BA1447" s="39"/>
      <c r="BB1447" s="40"/>
      <c r="BI1447" s="42"/>
    </row>
    <row r="1448" spans="1:61" s="24" customFormat="1" ht="20.85" customHeight="1">
      <c r="A1448" s="32">
        <f>A1444+1</f>
        <v>845</v>
      </c>
      <c r="B1448" s="158" t="s">
        <v>186</v>
      </c>
      <c r="C1448" s="78" t="s">
        <v>1260</v>
      </c>
      <c r="D1448" s="35">
        <f t="shared" si="278"/>
        <v>0.4</v>
      </c>
      <c r="E1448" s="35"/>
      <c r="F1448" s="35">
        <f t="shared" si="281"/>
        <v>0.4</v>
      </c>
      <c r="G1448" s="109"/>
      <c r="H1448" s="109"/>
      <c r="I1448" s="109"/>
      <c r="J1448" s="109"/>
      <c r="K1448" s="109"/>
      <c r="L1448" s="109"/>
      <c r="M1448" s="109">
        <v>0.4</v>
      </c>
      <c r="N1448" s="109"/>
      <c r="O1448" s="109"/>
      <c r="P1448" s="109"/>
      <c r="Q1448" s="109"/>
      <c r="R1448" s="109"/>
      <c r="S1448" s="109"/>
      <c r="T1448" s="109"/>
      <c r="U1448" s="109"/>
      <c r="V1448" s="109"/>
      <c r="W1448" s="109"/>
      <c r="X1448" s="109"/>
      <c r="Y1448" s="109"/>
      <c r="Z1448" s="109"/>
      <c r="AA1448" s="109"/>
      <c r="AB1448" s="109"/>
      <c r="AC1448" s="109"/>
      <c r="AD1448" s="109"/>
      <c r="AE1448" s="109"/>
      <c r="AF1448" s="109"/>
      <c r="AG1448" s="109"/>
      <c r="AH1448" s="109"/>
      <c r="AI1448" s="109"/>
      <c r="AJ1448" s="109"/>
      <c r="AK1448" s="109"/>
      <c r="AL1448" s="109"/>
      <c r="AM1448" s="109"/>
      <c r="AN1448" s="109"/>
      <c r="AO1448" s="109"/>
      <c r="AP1448" s="109"/>
      <c r="AQ1448" s="109"/>
      <c r="AR1448" s="109"/>
      <c r="AS1448" s="109"/>
      <c r="AT1448" s="109"/>
      <c r="AU1448" s="109"/>
      <c r="AV1448" s="109"/>
      <c r="AW1448" s="109"/>
      <c r="AX1448" s="109"/>
      <c r="AY1448" s="34" t="s">
        <v>239</v>
      </c>
      <c r="AZ1448" s="34" t="s">
        <v>1693</v>
      </c>
      <c r="BA1448" s="39" t="s">
        <v>291</v>
      </c>
      <c r="BB1448" s="40"/>
      <c r="BI1448" s="42">
        <v>1</v>
      </c>
    </row>
    <row r="1449" spans="1:61" s="24" customFormat="1" ht="20.85" hidden="1" customHeight="1">
      <c r="A1449" s="32"/>
      <c r="B1449" s="158"/>
      <c r="C1449" s="78" t="s">
        <v>59</v>
      </c>
      <c r="D1449" s="35">
        <f>F1449+E1449</f>
        <v>0.16</v>
      </c>
      <c r="E1449" s="76"/>
      <c r="F1449" s="35">
        <f t="shared" si="281"/>
        <v>0.16</v>
      </c>
      <c r="G1449" s="109"/>
      <c r="H1449" s="109"/>
      <c r="I1449" s="109"/>
      <c r="J1449" s="109"/>
      <c r="K1449" s="109"/>
      <c r="L1449" s="109"/>
      <c r="M1449" s="109">
        <v>0.16</v>
      </c>
      <c r="N1449" s="109"/>
      <c r="O1449" s="109"/>
      <c r="P1449" s="109"/>
      <c r="Q1449" s="109"/>
      <c r="R1449" s="109"/>
      <c r="S1449" s="109"/>
      <c r="T1449" s="109"/>
      <c r="U1449" s="109"/>
      <c r="V1449" s="109"/>
      <c r="W1449" s="109"/>
      <c r="X1449" s="109"/>
      <c r="Y1449" s="109"/>
      <c r="Z1449" s="109"/>
      <c r="AA1449" s="109"/>
      <c r="AB1449" s="109"/>
      <c r="AC1449" s="109"/>
      <c r="AD1449" s="109"/>
      <c r="AE1449" s="109"/>
      <c r="AF1449" s="109"/>
      <c r="AG1449" s="109"/>
      <c r="AH1449" s="109"/>
      <c r="AI1449" s="109"/>
      <c r="AJ1449" s="109"/>
      <c r="AK1449" s="109"/>
      <c r="AL1449" s="109"/>
      <c r="AM1449" s="109"/>
      <c r="AN1449" s="109"/>
      <c r="AO1449" s="109"/>
      <c r="AP1449" s="109"/>
      <c r="AQ1449" s="109"/>
      <c r="AR1449" s="109"/>
      <c r="AS1449" s="109"/>
      <c r="AT1449" s="109"/>
      <c r="AU1449" s="109"/>
      <c r="AV1449" s="109"/>
      <c r="AW1449" s="109"/>
      <c r="AX1449" s="109"/>
      <c r="AY1449" s="34" t="s">
        <v>239</v>
      </c>
      <c r="AZ1449" s="34"/>
      <c r="BA1449" s="39"/>
      <c r="BB1449" s="40"/>
      <c r="BI1449" s="42"/>
    </row>
    <row r="1450" spans="1:61" s="24" customFormat="1" ht="20.85" hidden="1" customHeight="1">
      <c r="A1450" s="32"/>
      <c r="B1450" s="158"/>
      <c r="C1450" s="78" t="s">
        <v>44</v>
      </c>
      <c r="D1450" s="35">
        <f>F1450+E1450</f>
        <v>0.14000000000000001</v>
      </c>
      <c r="E1450" s="76"/>
      <c r="F1450" s="35">
        <f t="shared" si="281"/>
        <v>0.14000000000000001</v>
      </c>
      <c r="G1450" s="109"/>
      <c r="H1450" s="109"/>
      <c r="I1450" s="109"/>
      <c r="J1450" s="109"/>
      <c r="K1450" s="109"/>
      <c r="L1450" s="109"/>
      <c r="M1450" s="109">
        <v>0.14000000000000001</v>
      </c>
      <c r="N1450" s="109"/>
      <c r="O1450" s="109"/>
      <c r="P1450" s="109"/>
      <c r="Q1450" s="109"/>
      <c r="R1450" s="109"/>
      <c r="S1450" s="109"/>
      <c r="T1450" s="109"/>
      <c r="U1450" s="109"/>
      <c r="V1450" s="109"/>
      <c r="W1450" s="109"/>
      <c r="X1450" s="109"/>
      <c r="Y1450" s="109"/>
      <c r="Z1450" s="109"/>
      <c r="AA1450" s="109"/>
      <c r="AB1450" s="109"/>
      <c r="AC1450" s="109"/>
      <c r="AD1450" s="109"/>
      <c r="AE1450" s="109"/>
      <c r="AF1450" s="109"/>
      <c r="AG1450" s="109"/>
      <c r="AH1450" s="109"/>
      <c r="AI1450" s="109"/>
      <c r="AJ1450" s="109"/>
      <c r="AK1450" s="109"/>
      <c r="AL1450" s="109"/>
      <c r="AM1450" s="109"/>
      <c r="AN1450" s="109"/>
      <c r="AO1450" s="109"/>
      <c r="AP1450" s="109"/>
      <c r="AQ1450" s="109"/>
      <c r="AR1450" s="109"/>
      <c r="AS1450" s="109"/>
      <c r="AT1450" s="109"/>
      <c r="AU1450" s="109"/>
      <c r="AV1450" s="109"/>
      <c r="AW1450" s="109"/>
      <c r="AX1450" s="109"/>
      <c r="AY1450" s="34" t="s">
        <v>239</v>
      </c>
      <c r="AZ1450" s="34"/>
      <c r="BA1450" s="39"/>
      <c r="BB1450" s="40"/>
      <c r="BI1450" s="42"/>
    </row>
    <row r="1451" spans="1:61" s="24" customFormat="1" ht="20.85" hidden="1" customHeight="1">
      <c r="A1451" s="32"/>
      <c r="B1451" s="158"/>
      <c r="C1451" s="78" t="s">
        <v>138</v>
      </c>
      <c r="D1451" s="35">
        <f>F1451+E1451</f>
        <v>0.1</v>
      </c>
      <c r="E1451" s="76"/>
      <c r="F1451" s="35">
        <f t="shared" si="281"/>
        <v>0.1</v>
      </c>
      <c r="G1451" s="147">
        <f>G1448-G1449-G1450</f>
        <v>0</v>
      </c>
      <c r="H1451" s="147">
        <f t="shared" ref="H1451:AX1451" si="287">H1448-H1449-H1450</f>
        <v>0</v>
      </c>
      <c r="I1451" s="147">
        <f t="shared" si="287"/>
        <v>0</v>
      </c>
      <c r="J1451" s="147">
        <f t="shared" si="287"/>
        <v>0</v>
      </c>
      <c r="K1451" s="147">
        <f t="shared" si="287"/>
        <v>0</v>
      </c>
      <c r="L1451" s="147">
        <f t="shared" si="287"/>
        <v>0</v>
      </c>
      <c r="M1451" s="147">
        <f t="shared" si="287"/>
        <v>0.1</v>
      </c>
      <c r="N1451" s="147">
        <f t="shared" si="287"/>
        <v>0</v>
      </c>
      <c r="O1451" s="147">
        <f t="shared" si="287"/>
        <v>0</v>
      </c>
      <c r="P1451" s="147">
        <f t="shared" si="287"/>
        <v>0</v>
      </c>
      <c r="Q1451" s="147">
        <f t="shared" si="287"/>
        <v>0</v>
      </c>
      <c r="R1451" s="147">
        <f t="shared" si="287"/>
        <v>0</v>
      </c>
      <c r="S1451" s="147">
        <f t="shared" si="287"/>
        <v>0</v>
      </c>
      <c r="T1451" s="147">
        <f t="shared" si="287"/>
        <v>0</v>
      </c>
      <c r="U1451" s="147">
        <f t="shared" si="287"/>
        <v>0</v>
      </c>
      <c r="V1451" s="147">
        <f t="shared" si="287"/>
        <v>0</v>
      </c>
      <c r="W1451" s="147">
        <f t="shared" si="287"/>
        <v>0</v>
      </c>
      <c r="X1451" s="147">
        <f t="shared" si="287"/>
        <v>0</v>
      </c>
      <c r="Y1451" s="147">
        <f t="shared" si="287"/>
        <v>0</v>
      </c>
      <c r="Z1451" s="147">
        <f t="shared" si="287"/>
        <v>0</v>
      </c>
      <c r="AA1451" s="147">
        <f t="shared" si="287"/>
        <v>0</v>
      </c>
      <c r="AB1451" s="147">
        <f t="shared" si="287"/>
        <v>0</v>
      </c>
      <c r="AC1451" s="147">
        <f t="shared" si="287"/>
        <v>0</v>
      </c>
      <c r="AD1451" s="147">
        <f t="shared" si="287"/>
        <v>0</v>
      </c>
      <c r="AE1451" s="147">
        <f t="shared" si="287"/>
        <v>0</v>
      </c>
      <c r="AF1451" s="147">
        <f t="shared" si="287"/>
        <v>0</v>
      </c>
      <c r="AG1451" s="147">
        <f t="shared" si="287"/>
        <v>0</v>
      </c>
      <c r="AH1451" s="147">
        <f t="shared" si="287"/>
        <v>0</v>
      </c>
      <c r="AI1451" s="147">
        <f t="shared" si="287"/>
        <v>0</v>
      </c>
      <c r="AJ1451" s="147">
        <f t="shared" si="287"/>
        <v>0</v>
      </c>
      <c r="AK1451" s="147">
        <f t="shared" si="287"/>
        <v>0</v>
      </c>
      <c r="AL1451" s="147">
        <f t="shared" si="287"/>
        <v>0</v>
      </c>
      <c r="AM1451" s="147">
        <f t="shared" si="287"/>
        <v>0</v>
      </c>
      <c r="AN1451" s="147">
        <f t="shared" si="287"/>
        <v>0</v>
      </c>
      <c r="AO1451" s="147">
        <f t="shared" si="287"/>
        <v>0</v>
      </c>
      <c r="AP1451" s="147">
        <f t="shared" si="287"/>
        <v>0</v>
      </c>
      <c r="AQ1451" s="147">
        <f t="shared" si="287"/>
        <v>0</v>
      </c>
      <c r="AR1451" s="147">
        <f t="shared" si="287"/>
        <v>0</v>
      </c>
      <c r="AS1451" s="147">
        <f t="shared" si="287"/>
        <v>0</v>
      </c>
      <c r="AT1451" s="147">
        <f t="shared" si="287"/>
        <v>0</v>
      </c>
      <c r="AU1451" s="147">
        <f t="shared" si="287"/>
        <v>0</v>
      </c>
      <c r="AV1451" s="147">
        <f t="shared" si="287"/>
        <v>0</v>
      </c>
      <c r="AW1451" s="147">
        <f t="shared" si="287"/>
        <v>0</v>
      </c>
      <c r="AX1451" s="147">
        <f t="shared" si="287"/>
        <v>0</v>
      </c>
      <c r="AY1451" s="34" t="s">
        <v>239</v>
      </c>
      <c r="AZ1451" s="34"/>
      <c r="BA1451" s="39"/>
      <c r="BB1451" s="40"/>
      <c r="BI1451" s="42"/>
    </row>
    <row r="1452" spans="1:61" s="24" customFormat="1" ht="20.85" customHeight="1">
      <c r="A1452" s="32">
        <f>A1448+1</f>
        <v>846</v>
      </c>
      <c r="B1452" s="158" t="s">
        <v>186</v>
      </c>
      <c r="C1452" s="78" t="s">
        <v>59</v>
      </c>
      <c r="D1452" s="35">
        <f t="shared" si="278"/>
        <v>0.39</v>
      </c>
      <c r="E1452" s="35"/>
      <c r="F1452" s="35">
        <f t="shared" si="281"/>
        <v>0.39</v>
      </c>
      <c r="G1452" s="109"/>
      <c r="H1452" s="109"/>
      <c r="I1452" s="109">
        <v>0.39</v>
      </c>
      <c r="J1452" s="109"/>
      <c r="K1452" s="109"/>
      <c r="L1452" s="109"/>
      <c r="M1452" s="109"/>
      <c r="N1452" s="109"/>
      <c r="O1452" s="109"/>
      <c r="P1452" s="109"/>
      <c r="Q1452" s="109"/>
      <c r="R1452" s="109"/>
      <c r="S1452" s="109"/>
      <c r="T1452" s="109"/>
      <c r="U1452" s="109"/>
      <c r="V1452" s="109"/>
      <c r="W1452" s="109"/>
      <c r="X1452" s="109"/>
      <c r="Y1452" s="109"/>
      <c r="Z1452" s="109"/>
      <c r="AA1452" s="109"/>
      <c r="AB1452" s="109"/>
      <c r="AC1452" s="109"/>
      <c r="AD1452" s="109"/>
      <c r="AE1452" s="109"/>
      <c r="AF1452" s="109"/>
      <c r="AG1452" s="109"/>
      <c r="AH1452" s="109"/>
      <c r="AI1452" s="109"/>
      <c r="AJ1452" s="109"/>
      <c r="AK1452" s="109"/>
      <c r="AL1452" s="109"/>
      <c r="AM1452" s="109"/>
      <c r="AN1452" s="109"/>
      <c r="AO1452" s="109"/>
      <c r="AP1452" s="109"/>
      <c r="AQ1452" s="109"/>
      <c r="AR1452" s="109"/>
      <c r="AS1452" s="109"/>
      <c r="AT1452" s="109"/>
      <c r="AU1452" s="109"/>
      <c r="AV1452" s="109"/>
      <c r="AW1452" s="109"/>
      <c r="AX1452" s="109"/>
      <c r="AY1452" s="34" t="s">
        <v>239</v>
      </c>
      <c r="AZ1452" s="34" t="s">
        <v>1694</v>
      </c>
      <c r="BA1452" s="47" t="s">
        <v>298</v>
      </c>
      <c r="BB1452" s="48"/>
      <c r="BI1452" s="42">
        <v>1</v>
      </c>
    </row>
    <row r="1453" spans="1:61" s="24" customFormat="1" ht="20.85" customHeight="1">
      <c r="A1453" s="32">
        <f>A1452+1</f>
        <v>847</v>
      </c>
      <c r="B1453" s="158" t="s">
        <v>186</v>
      </c>
      <c r="C1453" s="78" t="s">
        <v>1260</v>
      </c>
      <c r="D1453" s="35">
        <f t="shared" si="278"/>
        <v>0.47</v>
      </c>
      <c r="E1453" s="35"/>
      <c r="F1453" s="35">
        <f t="shared" si="281"/>
        <v>0.47</v>
      </c>
      <c r="G1453" s="109">
        <v>0.3</v>
      </c>
      <c r="H1453" s="109"/>
      <c r="I1453" s="109"/>
      <c r="J1453" s="109">
        <v>0.17</v>
      </c>
      <c r="K1453" s="109"/>
      <c r="L1453" s="109"/>
      <c r="M1453" s="109"/>
      <c r="N1453" s="109"/>
      <c r="O1453" s="109"/>
      <c r="P1453" s="109"/>
      <c r="Q1453" s="109"/>
      <c r="R1453" s="109"/>
      <c r="S1453" s="109"/>
      <c r="T1453" s="109"/>
      <c r="U1453" s="109"/>
      <c r="V1453" s="109"/>
      <c r="W1453" s="109"/>
      <c r="X1453" s="109"/>
      <c r="Y1453" s="109"/>
      <c r="Z1453" s="109"/>
      <c r="AA1453" s="109"/>
      <c r="AB1453" s="109"/>
      <c r="AC1453" s="109"/>
      <c r="AD1453" s="109"/>
      <c r="AE1453" s="109"/>
      <c r="AF1453" s="109"/>
      <c r="AG1453" s="109"/>
      <c r="AH1453" s="109"/>
      <c r="AI1453" s="109"/>
      <c r="AJ1453" s="109"/>
      <c r="AK1453" s="109"/>
      <c r="AL1453" s="109"/>
      <c r="AM1453" s="109"/>
      <c r="AN1453" s="109"/>
      <c r="AO1453" s="109"/>
      <c r="AP1453" s="109"/>
      <c r="AQ1453" s="109"/>
      <c r="AR1453" s="109"/>
      <c r="AS1453" s="109"/>
      <c r="AT1453" s="109"/>
      <c r="AU1453" s="109"/>
      <c r="AV1453" s="109"/>
      <c r="AW1453" s="109"/>
      <c r="AX1453" s="109"/>
      <c r="AY1453" s="34" t="s">
        <v>239</v>
      </c>
      <c r="AZ1453" s="34" t="s">
        <v>446</v>
      </c>
      <c r="BA1453" s="47" t="s">
        <v>291</v>
      </c>
      <c r="BB1453" s="48"/>
      <c r="BC1453" s="24" t="s">
        <v>381</v>
      </c>
      <c r="BI1453" s="42">
        <v>1</v>
      </c>
    </row>
    <row r="1454" spans="1:61" s="24" customFormat="1" ht="20.85" hidden="1" customHeight="1">
      <c r="A1454" s="32"/>
      <c r="B1454" s="158"/>
      <c r="C1454" s="78" t="s">
        <v>59</v>
      </c>
      <c r="D1454" s="35">
        <f t="shared" si="278"/>
        <v>0.17</v>
      </c>
      <c r="E1454" s="76"/>
      <c r="F1454" s="35">
        <f t="shared" si="281"/>
        <v>0.17</v>
      </c>
      <c r="G1454" s="109">
        <v>0.17</v>
      </c>
      <c r="H1454" s="109"/>
      <c r="I1454" s="109"/>
      <c r="J1454" s="109"/>
      <c r="K1454" s="109"/>
      <c r="L1454" s="109"/>
      <c r="M1454" s="109"/>
      <c r="N1454" s="109"/>
      <c r="O1454" s="109"/>
      <c r="P1454" s="109"/>
      <c r="Q1454" s="109"/>
      <c r="R1454" s="109"/>
      <c r="S1454" s="109"/>
      <c r="T1454" s="109"/>
      <c r="U1454" s="109"/>
      <c r="V1454" s="109"/>
      <c r="W1454" s="109"/>
      <c r="X1454" s="109"/>
      <c r="Y1454" s="109"/>
      <c r="Z1454" s="109"/>
      <c r="AA1454" s="109"/>
      <c r="AB1454" s="109"/>
      <c r="AC1454" s="109"/>
      <c r="AD1454" s="109"/>
      <c r="AE1454" s="109"/>
      <c r="AF1454" s="109"/>
      <c r="AG1454" s="109"/>
      <c r="AH1454" s="109"/>
      <c r="AI1454" s="109"/>
      <c r="AJ1454" s="109"/>
      <c r="AK1454" s="109"/>
      <c r="AL1454" s="109"/>
      <c r="AM1454" s="109"/>
      <c r="AN1454" s="109"/>
      <c r="AO1454" s="109"/>
      <c r="AP1454" s="109"/>
      <c r="AQ1454" s="109"/>
      <c r="AR1454" s="109"/>
      <c r="AS1454" s="109"/>
      <c r="AT1454" s="109"/>
      <c r="AU1454" s="109"/>
      <c r="AV1454" s="109"/>
      <c r="AW1454" s="109"/>
      <c r="AX1454" s="109"/>
      <c r="AY1454" s="34" t="s">
        <v>239</v>
      </c>
      <c r="AZ1454" s="34"/>
      <c r="BA1454" s="47"/>
      <c r="BB1454" s="48"/>
      <c r="BI1454" s="42"/>
    </row>
    <row r="1455" spans="1:61" s="24" customFormat="1" ht="20.85" hidden="1" customHeight="1">
      <c r="A1455" s="32"/>
      <c r="B1455" s="158"/>
      <c r="C1455" s="78" t="s">
        <v>44</v>
      </c>
      <c r="D1455" s="35">
        <f t="shared" si="278"/>
        <v>0.17</v>
      </c>
      <c r="E1455" s="76"/>
      <c r="F1455" s="35">
        <f t="shared" si="281"/>
        <v>0.17</v>
      </c>
      <c r="G1455" s="109"/>
      <c r="H1455" s="109"/>
      <c r="I1455" s="109"/>
      <c r="J1455" s="109">
        <v>0.17</v>
      </c>
      <c r="K1455" s="109"/>
      <c r="L1455" s="109"/>
      <c r="M1455" s="109"/>
      <c r="N1455" s="109"/>
      <c r="O1455" s="109"/>
      <c r="P1455" s="109"/>
      <c r="Q1455" s="109"/>
      <c r="R1455" s="109"/>
      <c r="S1455" s="109"/>
      <c r="T1455" s="109"/>
      <c r="U1455" s="109"/>
      <c r="V1455" s="109"/>
      <c r="W1455" s="109"/>
      <c r="X1455" s="109"/>
      <c r="Y1455" s="109"/>
      <c r="Z1455" s="109"/>
      <c r="AA1455" s="109"/>
      <c r="AB1455" s="109"/>
      <c r="AC1455" s="109"/>
      <c r="AD1455" s="109"/>
      <c r="AE1455" s="109"/>
      <c r="AF1455" s="109"/>
      <c r="AG1455" s="109"/>
      <c r="AH1455" s="109"/>
      <c r="AI1455" s="109"/>
      <c r="AJ1455" s="109"/>
      <c r="AK1455" s="109"/>
      <c r="AL1455" s="109"/>
      <c r="AM1455" s="109"/>
      <c r="AN1455" s="109"/>
      <c r="AO1455" s="109"/>
      <c r="AP1455" s="109"/>
      <c r="AQ1455" s="109"/>
      <c r="AR1455" s="109"/>
      <c r="AS1455" s="109"/>
      <c r="AT1455" s="109"/>
      <c r="AU1455" s="109"/>
      <c r="AV1455" s="109"/>
      <c r="AW1455" s="109"/>
      <c r="AX1455" s="109"/>
      <c r="AY1455" s="34" t="s">
        <v>239</v>
      </c>
      <c r="AZ1455" s="34"/>
      <c r="BA1455" s="47"/>
      <c r="BB1455" s="48"/>
      <c r="BI1455" s="42"/>
    </row>
    <row r="1456" spans="1:61" s="24" customFormat="1" ht="20.85" hidden="1" customHeight="1">
      <c r="A1456" s="32"/>
      <c r="B1456" s="158"/>
      <c r="C1456" s="78" t="s">
        <v>138</v>
      </c>
      <c r="D1456" s="35">
        <f t="shared" si="278"/>
        <v>0.12999999999999998</v>
      </c>
      <c r="E1456" s="76"/>
      <c r="F1456" s="35">
        <f t="shared" si="281"/>
        <v>0.12999999999999998</v>
      </c>
      <c r="G1456" s="147">
        <f>G1453-G1454-G1455</f>
        <v>0.12999999999999998</v>
      </c>
      <c r="H1456" s="147">
        <f t="shared" ref="H1456:AX1456" si="288">H1453-H1454-H1455</f>
        <v>0</v>
      </c>
      <c r="I1456" s="147">
        <f t="shared" si="288"/>
        <v>0</v>
      </c>
      <c r="J1456" s="147">
        <f t="shared" si="288"/>
        <v>0</v>
      </c>
      <c r="K1456" s="147">
        <f t="shared" si="288"/>
        <v>0</v>
      </c>
      <c r="L1456" s="147">
        <f t="shared" si="288"/>
        <v>0</v>
      </c>
      <c r="M1456" s="147">
        <f t="shared" si="288"/>
        <v>0</v>
      </c>
      <c r="N1456" s="147">
        <f t="shared" si="288"/>
        <v>0</v>
      </c>
      <c r="O1456" s="147">
        <f t="shared" si="288"/>
        <v>0</v>
      </c>
      <c r="P1456" s="147">
        <f t="shared" si="288"/>
        <v>0</v>
      </c>
      <c r="Q1456" s="147">
        <f t="shared" si="288"/>
        <v>0</v>
      </c>
      <c r="R1456" s="147">
        <f t="shared" si="288"/>
        <v>0</v>
      </c>
      <c r="S1456" s="147">
        <f t="shared" si="288"/>
        <v>0</v>
      </c>
      <c r="T1456" s="147">
        <f t="shared" si="288"/>
        <v>0</v>
      </c>
      <c r="U1456" s="147">
        <f t="shared" si="288"/>
        <v>0</v>
      </c>
      <c r="V1456" s="147">
        <f t="shared" si="288"/>
        <v>0</v>
      </c>
      <c r="W1456" s="147">
        <f t="shared" si="288"/>
        <v>0</v>
      </c>
      <c r="X1456" s="147">
        <f t="shared" si="288"/>
        <v>0</v>
      </c>
      <c r="Y1456" s="147">
        <f t="shared" si="288"/>
        <v>0</v>
      </c>
      <c r="Z1456" s="147">
        <f t="shared" si="288"/>
        <v>0</v>
      </c>
      <c r="AA1456" s="147">
        <f t="shared" si="288"/>
        <v>0</v>
      </c>
      <c r="AB1456" s="147">
        <f t="shared" si="288"/>
        <v>0</v>
      </c>
      <c r="AC1456" s="147">
        <f t="shared" si="288"/>
        <v>0</v>
      </c>
      <c r="AD1456" s="147">
        <f t="shared" si="288"/>
        <v>0</v>
      </c>
      <c r="AE1456" s="147">
        <f t="shared" si="288"/>
        <v>0</v>
      </c>
      <c r="AF1456" s="147">
        <f t="shared" si="288"/>
        <v>0</v>
      </c>
      <c r="AG1456" s="147">
        <f t="shared" si="288"/>
        <v>0</v>
      </c>
      <c r="AH1456" s="147">
        <f t="shared" si="288"/>
        <v>0</v>
      </c>
      <c r="AI1456" s="147">
        <f t="shared" si="288"/>
        <v>0</v>
      </c>
      <c r="AJ1456" s="147">
        <f t="shared" si="288"/>
        <v>0</v>
      </c>
      <c r="AK1456" s="147">
        <f t="shared" si="288"/>
        <v>0</v>
      </c>
      <c r="AL1456" s="147">
        <f t="shared" si="288"/>
        <v>0</v>
      </c>
      <c r="AM1456" s="147">
        <f t="shared" si="288"/>
        <v>0</v>
      </c>
      <c r="AN1456" s="147">
        <f t="shared" si="288"/>
        <v>0</v>
      </c>
      <c r="AO1456" s="147">
        <f t="shared" si="288"/>
        <v>0</v>
      </c>
      <c r="AP1456" s="147">
        <f t="shared" si="288"/>
        <v>0</v>
      </c>
      <c r="AQ1456" s="147">
        <f t="shared" si="288"/>
        <v>0</v>
      </c>
      <c r="AR1456" s="147">
        <f t="shared" si="288"/>
        <v>0</v>
      </c>
      <c r="AS1456" s="147">
        <f t="shared" si="288"/>
        <v>0</v>
      </c>
      <c r="AT1456" s="147">
        <f t="shared" si="288"/>
        <v>0</v>
      </c>
      <c r="AU1456" s="147">
        <f t="shared" si="288"/>
        <v>0</v>
      </c>
      <c r="AV1456" s="147">
        <f t="shared" si="288"/>
        <v>0</v>
      </c>
      <c r="AW1456" s="147">
        <f t="shared" si="288"/>
        <v>0</v>
      </c>
      <c r="AX1456" s="147">
        <f t="shared" si="288"/>
        <v>0</v>
      </c>
      <c r="AY1456" s="34" t="s">
        <v>239</v>
      </c>
      <c r="AZ1456" s="34"/>
      <c r="BA1456" s="47"/>
      <c r="BB1456" s="48"/>
      <c r="BI1456" s="42"/>
    </row>
    <row r="1457" spans="1:61" s="24" customFormat="1" ht="33" customHeight="1">
      <c r="A1457" s="32">
        <f>A1453+1</f>
        <v>848</v>
      </c>
      <c r="B1457" s="158" t="s">
        <v>1630</v>
      </c>
      <c r="C1457" s="78" t="s">
        <v>1260</v>
      </c>
      <c r="D1457" s="35">
        <f t="shared" si="278"/>
        <v>4.12</v>
      </c>
      <c r="E1457" s="35"/>
      <c r="F1457" s="35">
        <f t="shared" si="281"/>
        <v>4.12</v>
      </c>
      <c r="G1457" s="109">
        <v>4.12</v>
      </c>
      <c r="H1457" s="109"/>
      <c r="I1457" s="109"/>
      <c r="J1457" s="109"/>
      <c r="K1457" s="109"/>
      <c r="L1457" s="109"/>
      <c r="M1457" s="109"/>
      <c r="N1457" s="109"/>
      <c r="O1457" s="109"/>
      <c r="P1457" s="109"/>
      <c r="Q1457" s="109"/>
      <c r="R1457" s="109"/>
      <c r="S1457" s="109"/>
      <c r="T1457" s="109"/>
      <c r="U1457" s="109"/>
      <c r="V1457" s="109"/>
      <c r="W1457" s="109"/>
      <c r="X1457" s="109"/>
      <c r="Y1457" s="109"/>
      <c r="Z1457" s="109"/>
      <c r="AA1457" s="109"/>
      <c r="AB1457" s="109"/>
      <c r="AC1457" s="109"/>
      <c r="AD1457" s="109"/>
      <c r="AE1457" s="109"/>
      <c r="AF1457" s="109"/>
      <c r="AG1457" s="109"/>
      <c r="AH1457" s="109"/>
      <c r="AI1457" s="109"/>
      <c r="AJ1457" s="109"/>
      <c r="AK1457" s="109"/>
      <c r="AL1457" s="109"/>
      <c r="AM1457" s="109"/>
      <c r="AN1457" s="109"/>
      <c r="AO1457" s="109"/>
      <c r="AP1457" s="109"/>
      <c r="AQ1457" s="109"/>
      <c r="AR1457" s="109"/>
      <c r="AS1457" s="109"/>
      <c r="AT1457" s="109"/>
      <c r="AU1457" s="109"/>
      <c r="AV1457" s="109"/>
      <c r="AW1457" s="109"/>
      <c r="AX1457" s="109"/>
      <c r="AY1457" s="34" t="s">
        <v>239</v>
      </c>
      <c r="AZ1457" s="34" t="s">
        <v>1695</v>
      </c>
      <c r="BA1457" s="47" t="s">
        <v>298</v>
      </c>
      <c r="BB1457" s="48"/>
      <c r="BI1457" s="42">
        <v>1</v>
      </c>
    </row>
    <row r="1458" spans="1:61" s="24" customFormat="1" hidden="1">
      <c r="A1458" s="32"/>
      <c r="B1458" s="158"/>
      <c r="C1458" s="78" t="s">
        <v>59</v>
      </c>
      <c r="D1458" s="35">
        <f>F1458+E1458</f>
        <v>1.1299999999999999</v>
      </c>
      <c r="E1458" s="35"/>
      <c r="F1458" s="35">
        <f t="shared" si="281"/>
        <v>1.1299999999999999</v>
      </c>
      <c r="G1458" s="109">
        <v>1.1299999999999999</v>
      </c>
      <c r="H1458" s="109"/>
      <c r="I1458" s="109"/>
      <c r="J1458" s="109"/>
      <c r="K1458" s="109"/>
      <c r="L1458" s="109"/>
      <c r="M1458" s="109"/>
      <c r="N1458" s="109"/>
      <c r="O1458" s="109"/>
      <c r="P1458" s="109"/>
      <c r="Q1458" s="109"/>
      <c r="R1458" s="109"/>
      <c r="S1458" s="109"/>
      <c r="T1458" s="109"/>
      <c r="U1458" s="109"/>
      <c r="V1458" s="109"/>
      <c r="W1458" s="109"/>
      <c r="X1458" s="109"/>
      <c r="Y1458" s="109"/>
      <c r="Z1458" s="109"/>
      <c r="AA1458" s="109"/>
      <c r="AB1458" s="109"/>
      <c r="AC1458" s="109"/>
      <c r="AD1458" s="109"/>
      <c r="AE1458" s="109"/>
      <c r="AF1458" s="109"/>
      <c r="AG1458" s="109"/>
      <c r="AH1458" s="109"/>
      <c r="AI1458" s="109"/>
      <c r="AJ1458" s="109"/>
      <c r="AK1458" s="109"/>
      <c r="AL1458" s="109"/>
      <c r="AM1458" s="109"/>
      <c r="AN1458" s="109"/>
      <c r="AO1458" s="109"/>
      <c r="AP1458" s="109"/>
      <c r="AQ1458" s="109"/>
      <c r="AR1458" s="109"/>
      <c r="AS1458" s="109"/>
      <c r="AT1458" s="109"/>
      <c r="AU1458" s="109"/>
      <c r="AV1458" s="109"/>
      <c r="AW1458" s="109"/>
      <c r="AX1458" s="109"/>
      <c r="AY1458" s="34" t="s">
        <v>239</v>
      </c>
      <c r="AZ1458" s="34"/>
      <c r="BA1458" s="47"/>
      <c r="BB1458" s="48"/>
      <c r="BI1458" s="42"/>
    </row>
    <row r="1459" spans="1:61" s="24" customFormat="1" hidden="1">
      <c r="A1459" s="32"/>
      <c r="B1459" s="158"/>
      <c r="C1459" s="78" t="s">
        <v>44</v>
      </c>
      <c r="D1459" s="35">
        <f>F1459+E1459</f>
        <v>2.19</v>
      </c>
      <c r="E1459" s="35"/>
      <c r="F1459" s="35">
        <f t="shared" si="281"/>
        <v>2.19</v>
      </c>
      <c r="G1459" s="109">
        <v>2.19</v>
      </c>
      <c r="H1459" s="109"/>
      <c r="I1459" s="109"/>
      <c r="J1459" s="109"/>
      <c r="K1459" s="109"/>
      <c r="L1459" s="109"/>
      <c r="M1459" s="109"/>
      <c r="N1459" s="109"/>
      <c r="O1459" s="109"/>
      <c r="P1459" s="109"/>
      <c r="Q1459" s="109"/>
      <c r="R1459" s="109"/>
      <c r="S1459" s="109"/>
      <c r="T1459" s="109"/>
      <c r="U1459" s="109"/>
      <c r="V1459" s="109"/>
      <c r="W1459" s="109"/>
      <c r="X1459" s="109"/>
      <c r="Y1459" s="109"/>
      <c r="Z1459" s="109"/>
      <c r="AA1459" s="109"/>
      <c r="AB1459" s="109"/>
      <c r="AC1459" s="109"/>
      <c r="AD1459" s="109"/>
      <c r="AE1459" s="109"/>
      <c r="AF1459" s="109"/>
      <c r="AG1459" s="109"/>
      <c r="AH1459" s="109"/>
      <c r="AI1459" s="109"/>
      <c r="AJ1459" s="109"/>
      <c r="AK1459" s="109"/>
      <c r="AL1459" s="109"/>
      <c r="AM1459" s="109"/>
      <c r="AN1459" s="109"/>
      <c r="AO1459" s="109"/>
      <c r="AP1459" s="109"/>
      <c r="AQ1459" s="109"/>
      <c r="AR1459" s="109"/>
      <c r="AS1459" s="109"/>
      <c r="AT1459" s="109"/>
      <c r="AU1459" s="109"/>
      <c r="AV1459" s="109"/>
      <c r="AW1459" s="109"/>
      <c r="AX1459" s="109"/>
      <c r="AY1459" s="34" t="s">
        <v>239</v>
      </c>
      <c r="AZ1459" s="34"/>
      <c r="BA1459" s="47"/>
      <c r="BB1459" s="48"/>
      <c r="BI1459" s="42"/>
    </row>
    <row r="1460" spans="1:61" s="24" customFormat="1" hidden="1">
      <c r="A1460" s="32"/>
      <c r="B1460" s="158"/>
      <c r="C1460" s="78" t="s">
        <v>138</v>
      </c>
      <c r="D1460" s="35">
        <f>F1460+E1460</f>
        <v>0.80000000000000027</v>
      </c>
      <c r="E1460" s="35"/>
      <c r="F1460" s="35">
        <f t="shared" si="281"/>
        <v>0.80000000000000027</v>
      </c>
      <c r="G1460" s="147">
        <f>G1457-G1458-G1459</f>
        <v>0.80000000000000027</v>
      </c>
      <c r="H1460" s="147">
        <f t="shared" ref="H1460:AX1460" si="289">H1457-H1458-H1459</f>
        <v>0</v>
      </c>
      <c r="I1460" s="147">
        <f t="shared" si="289"/>
        <v>0</v>
      </c>
      <c r="J1460" s="147">
        <f t="shared" si="289"/>
        <v>0</v>
      </c>
      <c r="K1460" s="147">
        <f t="shared" si="289"/>
        <v>0</v>
      </c>
      <c r="L1460" s="147">
        <f t="shared" si="289"/>
        <v>0</v>
      </c>
      <c r="M1460" s="147">
        <f t="shared" si="289"/>
        <v>0</v>
      </c>
      <c r="N1460" s="147">
        <f t="shared" si="289"/>
        <v>0</v>
      </c>
      <c r="O1460" s="147">
        <f t="shared" si="289"/>
        <v>0</v>
      </c>
      <c r="P1460" s="147">
        <f t="shared" si="289"/>
        <v>0</v>
      </c>
      <c r="Q1460" s="147">
        <f t="shared" si="289"/>
        <v>0</v>
      </c>
      <c r="R1460" s="147">
        <f t="shared" si="289"/>
        <v>0</v>
      </c>
      <c r="S1460" s="147">
        <f t="shared" si="289"/>
        <v>0</v>
      </c>
      <c r="T1460" s="147">
        <f t="shared" si="289"/>
        <v>0</v>
      </c>
      <c r="U1460" s="147">
        <f t="shared" si="289"/>
        <v>0</v>
      </c>
      <c r="V1460" s="147">
        <f t="shared" si="289"/>
        <v>0</v>
      </c>
      <c r="W1460" s="147">
        <f t="shared" si="289"/>
        <v>0</v>
      </c>
      <c r="X1460" s="147">
        <f t="shared" si="289"/>
        <v>0</v>
      </c>
      <c r="Y1460" s="147">
        <f t="shared" si="289"/>
        <v>0</v>
      </c>
      <c r="Z1460" s="147">
        <f t="shared" si="289"/>
        <v>0</v>
      </c>
      <c r="AA1460" s="147">
        <f t="shared" si="289"/>
        <v>0</v>
      </c>
      <c r="AB1460" s="147">
        <f t="shared" si="289"/>
        <v>0</v>
      </c>
      <c r="AC1460" s="147">
        <f t="shared" si="289"/>
        <v>0</v>
      </c>
      <c r="AD1460" s="147">
        <f t="shared" si="289"/>
        <v>0</v>
      </c>
      <c r="AE1460" s="147">
        <f t="shared" si="289"/>
        <v>0</v>
      </c>
      <c r="AF1460" s="147">
        <f t="shared" si="289"/>
        <v>0</v>
      </c>
      <c r="AG1460" s="147">
        <f t="shared" si="289"/>
        <v>0</v>
      </c>
      <c r="AH1460" s="147">
        <f t="shared" si="289"/>
        <v>0</v>
      </c>
      <c r="AI1460" s="147">
        <f t="shared" si="289"/>
        <v>0</v>
      </c>
      <c r="AJ1460" s="147">
        <f t="shared" si="289"/>
        <v>0</v>
      </c>
      <c r="AK1460" s="147">
        <f t="shared" si="289"/>
        <v>0</v>
      </c>
      <c r="AL1460" s="147">
        <f t="shared" si="289"/>
        <v>0</v>
      </c>
      <c r="AM1460" s="147">
        <f t="shared" si="289"/>
        <v>0</v>
      </c>
      <c r="AN1460" s="147">
        <f t="shared" si="289"/>
        <v>0</v>
      </c>
      <c r="AO1460" s="147">
        <f t="shared" si="289"/>
        <v>0</v>
      </c>
      <c r="AP1460" s="147">
        <f t="shared" si="289"/>
        <v>0</v>
      </c>
      <c r="AQ1460" s="147">
        <f t="shared" si="289"/>
        <v>0</v>
      </c>
      <c r="AR1460" s="147">
        <f t="shared" si="289"/>
        <v>0</v>
      </c>
      <c r="AS1460" s="147">
        <f t="shared" si="289"/>
        <v>0</v>
      </c>
      <c r="AT1460" s="147">
        <f t="shared" si="289"/>
        <v>0</v>
      </c>
      <c r="AU1460" s="147">
        <f t="shared" si="289"/>
        <v>0</v>
      </c>
      <c r="AV1460" s="147">
        <f t="shared" si="289"/>
        <v>0</v>
      </c>
      <c r="AW1460" s="147">
        <f t="shared" si="289"/>
        <v>0</v>
      </c>
      <c r="AX1460" s="147">
        <f t="shared" si="289"/>
        <v>0</v>
      </c>
      <c r="AY1460" s="34" t="s">
        <v>239</v>
      </c>
      <c r="AZ1460" s="34"/>
      <c r="BA1460" s="47"/>
      <c r="BB1460" s="48"/>
      <c r="BI1460" s="42"/>
    </row>
    <row r="1461" spans="1:61" s="24" customFormat="1" ht="20.100000000000001" customHeight="1">
      <c r="A1461" s="32">
        <f>A1457+1</f>
        <v>849</v>
      </c>
      <c r="B1461" s="60" t="s">
        <v>1299</v>
      </c>
      <c r="C1461" s="78" t="s">
        <v>59</v>
      </c>
      <c r="D1461" s="35">
        <f t="shared" si="278"/>
        <v>1.5</v>
      </c>
      <c r="E1461" s="108"/>
      <c r="F1461" s="35">
        <f t="shared" si="281"/>
        <v>1.5</v>
      </c>
      <c r="G1461" s="109"/>
      <c r="H1461" s="109"/>
      <c r="I1461" s="109"/>
      <c r="J1461" s="109">
        <v>1.5</v>
      </c>
      <c r="K1461" s="109"/>
      <c r="L1461" s="109"/>
      <c r="M1461" s="109"/>
      <c r="N1461" s="109"/>
      <c r="O1461" s="109"/>
      <c r="P1461" s="109"/>
      <c r="Q1461" s="109"/>
      <c r="R1461" s="109"/>
      <c r="S1461" s="109"/>
      <c r="T1461" s="109"/>
      <c r="U1461" s="109"/>
      <c r="V1461" s="109"/>
      <c r="W1461" s="109"/>
      <c r="X1461" s="109"/>
      <c r="Y1461" s="109"/>
      <c r="Z1461" s="109"/>
      <c r="AA1461" s="109"/>
      <c r="AB1461" s="109"/>
      <c r="AC1461" s="109"/>
      <c r="AD1461" s="109"/>
      <c r="AE1461" s="109"/>
      <c r="AF1461" s="109"/>
      <c r="AG1461" s="109"/>
      <c r="AH1461" s="109"/>
      <c r="AI1461" s="109"/>
      <c r="AJ1461" s="109"/>
      <c r="AK1461" s="109"/>
      <c r="AL1461" s="109"/>
      <c r="AM1461" s="109"/>
      <c r="AN1461" s="109"/>
      <c r="AO1461" s="109"/>
      <c r="AP1461" s="109"/>
      <c r="AQ1461" s="109"/>
      <c r="AR1461" s="109"/>
      <c r="AS1461" s="109"/>
      <c r="AT1461" s="109"/>
      <c r="AU1461" s="109"/>
      <c r="AV1461" s="109"/>
      <c r="AW1461" s="109"/>
      <c r="AX1461" s="109"/>
      <c r="AY1461" s="34" t="s">
        <v>239</v>
      </c>
      <c r="AZ1461" s="34" t="s">
        <v>615</v>
      </c>
      <c r="BA1461" s="39" t="s">
        <v>291</v>
      </c>
      <c r="BB1461" s="40"/>
      <c r="BC1461" s="24" t="s">
        <v>1696</v>
      </c>
      <c r="BI1461" s="42">
        <v>1</v>
      </c>
    </row>
    <row r="1462" spans="1:61" s="24" customFormat="1" ht="20.100000000000001" customHeight="1">
      <c r="A1462" s="32" t="s">
        <v>462</v>
      </c>
      <c r="B1462" s="158" t="s">
        <v>186</v>
      </c>
      <c r="C1462" s="78" t="s">
        <v>1260</v>
      </c>
      <c r="D1462" s="35">
        <f>E1462+F1462</f>
        <v>9.08</v>
      </c>
      <c r="E1462" s="89">
        <f>E1463+E1467+E1471+E1472+E1473+E1474+E1475+E1479+E1480+E1481+E1482+E1483+E1484+E1488+E1489+E1490+E1491+E1492+E1493+E1494+E1502+E1498</f>
        <v>0</v>
      </c>
      <c r="F1462" s="141">
        <f>F1463+F1467+F1471+F1472+F1473+F1474+F1475+F1479+F1480+F1481+F1482+F1483+F1484+F1488+F1489+F1490+F1491+F1492+F1493+F1494+F1502+F1498</f>
        <v>9.08</v>
      </c>
      <c r="G1462" s="141">
        <f t="shared" ref="G1462:AX1462" si="290">G1463+G1467+G1471+G1472+G1473+G1474+G1475+G1479+G1480+G1481+G1482+G1483+G1484+G1488+G1489+G1490+G1491+G1492+G1493+G1494+G1502+G1498</f>
        <v>5.51</v>
      </c>
      <c r="H1462" s="141">
        <f t="shared" si="290"/>
        <v>0</v>
      </c>
      <c r="I1462" s="141">
        <f t="shared" si="290"/>
        <v>1.5300000000000002</v>
      </c>
      <c r="J1462" s="141">
        <f t="shared" si="290"/>
        <v>0.48000000000000004</v>
      </c>
      <c r="K1462" s="141">
        <f t="shared" si="290"/>
        <v>0</v>
      </c>
      <c r="L1462" s="141">
        <f t="shared" si="290"/>
        <v>0</v>
      </c>
      <c r="M1462" s="141">
        <f t="shared" si="290"/>
        <v>1.3599999999999999</v>
      </c>
      <c r="N1462" s="141">
        <f t="shared" si="290"/>
        <v>0</v>
      </c>
      <c r="O1462" s="141">
        <f t="shared" si="290"/>
        <v>0</v>
      </c>
      <c r="P1462" s="141">
        <f t="shared" si="290"/>
        <v>0</v>
      </c>
      <c r="Q1462" s="141">
        <f t="shared" si="290"/>
        <v>0</v>
      </c>
      <c r="R1462" s="141">
        <f t="shared" si="290"/>
        <v>0</v>
      </c>
      <c r="S1462" s="141">
        <f t="shared" si="290"/>
        <v>0</v>
      </c>
      <c r="T1462" s="141">
        <f t="shared" si="290"/>
        <v>0</v>
      </c>
      <c r="U1462" s="141">
        <f t="shared" si="290"/>
        <v>0</v>
      </c>
      <c r="V1462" s="141">
        <f t="shared" si="290"/>
        <v>0</v>
      </c>
      <c r="W1462" s="141">
        <f t="shared" si="290"/>
        <v>0</v>
      </c>
      <c r="X1462" s="141">
        <f t="shared" si="290"/>
        <v>0</v>
      </c>
      <c r="Y1462" s="141">
        <f t="shared" si="290"/>
        <v>0</v>
      </c>
      <c r="Z1462" s="141">
        <f t="shared" si="290"/>
        <v>0.02</v>
      </c>
      <c r="AA1462" s="141">
        <f t="shared" si="290"/>
        <v>0</v>
      </c>
      <c r="AB1462" s="141">
        <f t="shared" si="290"/>
        <v>0</v>
      </c>
      <c r="AC1462" s="141">
        <f t="shared" si="290"/>
        <v>0</v>
      </c>
      <c r="AD1462" s="141">
        <f t="shared" si="290"/>
        <v>0.18</v>
      </c>
      <c r="AE1462" s="141">
        <f t="shared" si="290"/>
        <v>0</v>
      </c>
      <c r="AF1462" s="141">
        <f t="shared" si="290"/>
        <v>0</v>
      </c>
      <c r="AG1462" s="141">
        <f t="shared" si="290"/>
        <v>0</v>
      </c>
      <c r="AH1462" s="141">
        <f t="shared" si="290"/>
        <v>0</v>
      </c>
      <c r="AI1462" s="141">
        <f t="shared" si="290"/>
        <v>0</v>
      </c>
      <c r="AJ1462" s="141">
        <f t="shared" si="290"/>
        <v>0</v>
      </c>
      <c r="AK1462" s="141">
        <f t="shared" si="290"/>
        <v>0</v>
      </c>
      <c r="AL1462" s="141">
        <f t="shared" si="290"/>
        <v>0</v>
      </c>
      <c r="AM1462" s="141">
        <f t="shared" si="290"/>
        <v>0</v>
      </c>
      <c r="AN1462" s="141">
        <f t="shared" si="290"/>
        <v>0</v>
      </c>
      <c r="AO1462" s="141">
        <f t="shared" si="290"/>
        <v>0</v>
      </c>
      <c r="AP1462" s="141">
        <f t="shared" si="290"/>
        <v>0</v>
      </c>
      <c r="AQ1462" s="141">
        <f t="shared" si="290"/>
        <v>0</v>
      </c>
      <c r="AR1462" s="141">
        <f t="shared" si="290"/>
        <v>0</v>
      </c>
      <c r="AS1462" s="141">
        <f t="shared" si="290"/>
        <v>0</v>
      </c>
      <c r="AT1462" s="141">
        <f t="shared" si="290"/>
        <v>0</v>
      </c>
      <c r="AU1462" s="141">
        <f t="shared" si="290"/>
        <v>0</v>
      </c>
      <c r="AV1462" s="141">
        <f t="shared" si="290"/>
        <v>0</v>
      </c>
      <c r="AW1462" s="141">
        <f t="shared" si="290"/>
        <v>0</v>
      </c>
      <c r="AX1462" s="141">
        <f t="shared" si="290"/>
        <v>0</v>
      </c>
      <c r="AY1462" s="34" t="s">
        <v>240</v>
      </c>
      <c r="AZ1462" s="34"/>
      <c r="BA1462" s="39"/>
      <c r="BB1462" s="40"/>
      <c r="BI1462" s="42"/>
    </row>
    <row r="1463" spans="1:61" s="24" customFormat="1" ht="20.100000000000001" customHeight="1">
      <c r="A1463" s="32">
        <f>A1461+1</f>
        <v>850</v>
      </c>
      <c r="B1463" s="158" t="s">
        <v>186</v>
      </c>
      <c r="C1463" s="78" t="s">
        <v>1260</v>
      </c>
      <c r="D1463" s="35">
        <f t="shared" si="278"/>
        <v>1.08</v>
      </c>
      <c r="E1463" s="108"/>
      <c r="F1463" s="35">
        <f t="shared" si="281"/>
        <v>1.08</v>
      </c>
      <c r="G1463" s="109">
        <v>0.67999999999999994</v>
      </c>
      <c r="H1463" s="109"/>
      <c r="I1463" s="109"/>
      <c r="J1463" s="109"/>
      <c r="K1463" s="109"/>
      <c r="L1463" s="109"/>
      <c r="M1463" s="109">
        <v>0.38</v>
      </c>
      <c r="N1463" s="109"/>
      <c r="O1463" s="109"/>
      <c r="P1463" s="109"/>
      <c r="Q1463" s="109"/>
      <c r="R1463" s="109"/>
      <c r="S1463" s="109"/>
      <c r="T1463" s="109"/>
      <c r="U1463" s="109"/>
      <c r="V1463" s="109"/>
      <c r="W1463" s="109"/>
      <c r="X1463" s="109"/>
      <c r="Y1463" s="109"/>
      <c r="Z1463" s="109">
        <v>0.02</v>
      </c>
      <c r="AA1463" s="109"/>
      <c r="AB1463" s="109"/>
      <c r="AC1463" s="109"/>
      <c r="AD1463" s="109"/>
      <c r="AE1463" s="109"/>
      <c r="AF1463" s="109"/>
      <c r="AG1463" s="109"/>
      <c r="AH1463" s="109"/>
      <c r="AI1463" s="109"/>
      <c r="AJ1463" s="109"/>
      <c r="AK1463" s="109"/>
      <c r="AL1463" s="109"/>
      <c r="AM1463" s="109"/>
      <c r="AN1463" s="109"/>
      <c r="AO1463" s="109"/>
      <c r="AP1463" s="109"/>
      <c r="AQ1463" s="109"/>
      <c r="AR1463" s="109"/>
      <c r="AS1463" s="109"/>
      <c r="AT1463" s="109"/>
      <c r="AU1463" s="109"/>
      <c r="AV1463" s="109"/>
      <c r="AW1463" s="109"/>
      <c r="AX1463" s="109"/>
      <c r="AY1463" s="34" t="s">
        <v>240</v>
      </c>
      <c r="AZ1463" s="34" t="s">
        <v>1697</v>
      </c>
      <c r="BA1463" s="47" t="s">
        <v>298</v>
      </c>
      <c r="BB1463" s="47"/>
      <c r="BC1463" s="56" t="s">
        <v>1698</v>
      </c>
      <c r="BI1463" s="42">
        <v>1</v>
      </c>
    </row>
    <row r="1464" spans="1:61" s="24" customFormat="1" ht="20.100000000000001" hidden="1" customHeight="1">
      <c r="A1464" s="32"/>
      <c r="B1464" s="158"/>
      <c r="C1464" s="78" t="s">
        <v>59</v>
      </c>
      <c r="D1464" s="35">
        <f>F1464+E1464</f>
        <v>0.36</v>
      </c>
      <c r="E1464" s="76"/>
      <c r="F1464" s="35">
        <f t="shared" si="281"/>
        <v>0.36</v>
      </c>
      <c r="G1464" s="109">
        <v>0.36</v>
      </c>
      <c r="H1464" s="109"/>
      <c r="I1464" s="109"/>
      <c r="J1464" s="109"/>
      <c r="K1464" s="109"/>
      <c r="L1464" s="109"/>
      <c r="M1464" s="109"/>
      <c r="N1464" s="109"/>
      <c r="O1464" s="109"/>
      <c r="P1464" s="109"/>
      <c r="Q1464" s="109"/>
      <c r="R1464" s="109"/>
      <c r="S1464" s="109"/>
      <c r="T1464" s="109"/>
      <c r="U1464" s="109"/>
      <c r="V1464" s="109"/>
      <c r="W1464" s="109"/>
      <c r="X1464" s="109"/>
      <c r="Y1464" s="109"/>
      <c r="Z1464" s="109"/>
      <c r="AA1464" s="109"/>
      <c r="AB1464" s="109"/>
      <c r="AC1464" s="109"/>
      <c r="AD1464" s="109"/>
      <c r="AE1464" s="109"/>
      <c r="AF1464" s="109"/>
      <c r="AG1464" s="109"/>
      <c r="AH1464" s="109"/>
      <c r="AI1464" s="109"/>
      <c r="AJ1464" s="109"/>
      <c r="AK1464" s="109"/>
      <c r="AL1464" s="109"/>
      <c r="AM1464" s="109"/>
      <c r="AN1464" s="109"/>
      <c r="AO1464" s="109"/>
      <c r="AP1464" s="109"/>
      <c r="AQ1464" s="109"/>
      <c r="AR1464" s="109"/>
      <c r="AS1464" s="109"/>
      <c r="AT1464" s="109"/>
      <c r="AU1464" s="109"/>
      <c r="AV1464" s="109"/>
      <c r="AW1464" s="109"/>
      <c r="AX1464" s="109"/>
      <c r="AY1464" s="34" t="s">
        <v>240</v>
      </c>
      <c r="AZ1464" s="34"/>
      <c r="BA1464" s="47"/>
      <c r="BB1464" s="47"/>
      <c r="BC1464" s="56"/>
      <c r="BI1464" s="42"/>
    </row>
    <row r="1465" spans="1:61" s="24" customFormat="1" ht="20.100000000000001" hidden="1" customHeight="1">
      <c r="A1465" s="32"/>
      <c r="B1465" s="158"/>
      <c r="C1465" s="78" t="s">
        <v>44</v>
      </c>
      <c r="D1465" s="35">
        <f>F1465+E1465</f>
        <v>0.41000000000000003</v>
      </c>
      <c r="E1465" s="76"/>
      <c r="F1465" s="35">
        <f t="shared" si="281"/>
        <v>0.41000000000000003</v>
      </c>
      <c r="G1465" s="109">
        <v>0.2</v>
      </c>
      <c r="H1465" s="109"/>
      <c r="I1465" s="109"/>
      <c r="J1465" s="109"/>
      <c r="K1465" s="109"/>
      <c r="L1465" s="109"/>
      <c r="M1465" s="109">
        <v>0.21</v>
      </c>
      <c r="N1465" s="109"/>
      <c r="O1465" s="109"/>
      <c r="P1465" s="109"/>
      <c r="Q1465" s="109"/>
      <c r="R1465" s="109"/>
      <c r="S1465" s="109"/>
      <c r="T1465" s="109"/>
      <c r="U1465" s="109"/>
      <c r="V1465" s="109"/>
      <c r="W1465" s="109"/>
      <c r="X1465" s="109"/>
      <c r="Y1465" s="109"/>
      <c r="Z1465" s="109"/>
      <c r="AA1465" s="109"/>
      <c r="AB1465" s="109"/>
      <c r="AC1465" s="109"/>
      <c r="AD1465" s="109"/>
      <c r="AE1465" s="109"/>
      <c r="AF1465" s="109"/>
      <c r="AG1465" s="109"/>
      <c r="AH1465" s="109"/>
      <c r="AI1465" s="109"/>
      <c r="AJ1465" s="109"/>
      <c r="AK1465" s="109"/>
      <c r="AL1465" s="109"/>
      <c r="AM1465" s="109"/>
      <c r="AN1465" s="109"/>
      <c r="AO1465" s="109"/>
      <c r="AP1465" s="109"/>
      <c r="AQ1465" s="109"/>
      <c r="AR1465" s="109"/>
      <c r="AS1465" s="109"/>
      <c r="AT1465" s="109"/>
      <c r="AU1465" s="109"/>
      <c r="AV1465" s="109"/>
      <c r="AW1465" s="109"/>
      <c r="AX1465" s="109"/>
      <c r="AY1465" s="34" t="s">
        <v>240</v>
      </c>
      <c r="AZ1465" s="34"/>
      <c r="BA1465" s="47"/>
      <c r="BB1465" s="47"/>
      <c r="BC1465" s="56"/>
      <c r="BI1465" s="42"/>
    </row>
    <row r="1466" spans="1:61" s="24" customFormat="1" ht="20.100000000000001" hidden="1" customHeight="1">
      <c r="A1466" s="32"/>
      <c r="B1466" s="158"/>
      <c r="C1466" s="78" t="s">
        <v>138</v>
      </c>
      <c r="D1466" s="35">
        <f>F1466+E1466</f>
        <v>0.30999999999999994</v>
      </c>
      <c r="E1466" s="76"/>
      <c r="F1466" s="35">
        <f t="shared" si="281"/>
        <v>0.30999999999999994</v>
      </c>
      <c r="G1466" s="147">
        <f>G1463-G1464-G1465</f>
        <v>0.11999999999999994</v>
      </c>
      <c r="H1466" s="147">
        <f t="shared" ref="H1466:AX1466" si="291">H1463-H1464-H1465</f>
        <v>0</v>
      </c>
      <c r="I1466" s="147">
        <f t="shared" si="291"/>
        <v>0</v>
      </c>
      <c r="J1466" s="147">
        <f t="shared" si="291"/>
        <v>0</v>
      </c>
      <c r="K1466" s="147">
        <f t="shared" si="291"/>
        <v>0</v>
      </c>
      <c r="L1466" s="147">
        <f t="shared" si="291"/>
        <v>0</v>
      </c>
      <c r="M1466" s="147">
        <f t="shared" si="291"/>
        <v>0.17</v>
      </c>
      <c r="N1466" s="147">
        <f t="shared" si="291"/>
        <v>0</v>
      </c>
      <c r="O1466" s="147">
        <f t="shared" si="291"/>
        <v>0</v>
      </c>
      <c r="P1466" s="147">
        <f t="shared" si="291"/>
        <v>0</v>
      </c>
      <c r="Q1466" s="147">
        <f t="shared" si="291"/>
        <v>0</v>
      </c>
      <c r="R1466" s="147">
        <f t="shared" si="291"/>
        <v>0</v>
      </c>
      <c r="S1466" s="147">
        <f t="shared" si="291"/>
        <v>0</v>
      </c>
      <c r="T1466" s="147">
        <f t="shared" si="291"/>
        <v>0</v>
      </c>
      <c r="U1466" s="147">
        <f t="shared" si="291"/>
        <v>0</v>
      </c>
      <c r="V1466" s="147">
        <f t="shared" si="291"/>
        <v>0</v>
      </c>
      <c r="W1466" s="147">
        <f t="shared" si="291"/>
        <v>0</v>
      </c>
      <c r="X1466" s="147">
        <f t="shared" si="291"/>
        <v>0</v>
      </c>
      <c r="Y1466" s="147">
        <f t="shared" si="291"/>
        <v>0</v>
      </c>
      <c r="Z1466" s="147">
        <f t="shared" si="291"/>
        <v>0.02</v>
      </c>
      <c r="AA1466" s="147">
        <f t="shared" si="291"/>
        <v>0</v>
      </c>
      <c r="AB1466" s="147">
        <f t="shared" si="291"/>
        <v>0</v>
      </c>
      <c r="AC1466" s="147">
        <f t="shared" si="291"/>
        <v>0</v>
      </c>
      <c r="AD1466" s="147">
        <f t="shared" si="291"/>
        <v>0</v>
      </c>
      <c r="AE1466" s="147">
        <f t="shared" si="291"/>
        <v>0</v>
      </c>
      <c r="AF1466" s="147">
        <f t="shared" si="291"/>
        <v>0</v>
      </c>
      <c r="AG1466" s="147">
        <f t="shared" si="291"/>
        <v>0</v>
      </c>
      <c r="AH1466" s="147">
        <f t="shared" si="291"/>
        <v>0</v>
      </c>
      <c r="AI1466" s="147">
        <f t="shared" si="291"/>
        <v>0</v>
      </c>
      <c r="AJ1466" s="147">
        <f t="shared" si="291"/>
        <v>0</v>
      </c>
      <c r="AK1466" s="147">
        <f t="shared" si="291"/>
        <v>0</v>
      </c>
      <c r="AL1466" s="147">
        <f t="shared" si="291"/>
        <v>0</v>
      </c>
      <c r="AM1466" s="147">
        <f t="shared" si="291"/>
        <v>0</v>
      </c>
      <c r="AN1466" s="147">
        <f t="shared" si="291"/>
        <v>0</v>
      </c>
      <c r="AO1466" s="147">
        <f t="shared" si="291"/>
        <v>0</v>
      </c>
      <c r="AP1466" s="147">
        <f t="shared" si="291"/>
        <v>0</v>
      </c>
      <c r="AQ1466" s="147">
        <f t="shared" si="291"/>
        <v>0</v>
      </c>
      <c r="AR1466" s="147">
        <f t="shared" si="291"/>
        <v>0</v>
      </c>
      <c r="AS1466" s="147">
        <f t="shared" si="291"/>
        <v>0</v>
      </c>
      <c r="AT1466" s="147">
        <f t="shared" si="291"/>
        <v>0</v>
      </c>
      <c r="AU1466" s="147">
        <f t="shared" si="291"/>
        <v>0</v>
      </c>
      <c r="AV1466" s="147">
        <f t="shared" si="291"/>
        <v>0</v>
      </c>
      <c r="AW1466" s="147">
        <f t="shared" si="291"/>
        <v>0</v>
      </c>
      <c r="AX1466" s="147">
        <f t="shared" si="291"/>
        <v>0</v>
      </c>
      <c r="AY1466" s="34" t="s">
        <v>240</v>
      </c>
      <c r="AZ1466" s="34"/>
      <c r="BA1466" s="47"/>
      <c r="BB1466" s="47"/>
      <c r="BC1466" s="56"/>
      <c r="BI1466" s="42"/>
    </row>
    <row r="1467" spans="1:61" s="24" customFormat="1" ht="20.100000000000001" customHeight="1">
      <c r="A1467" s="32">
        <f>A1463+1</f>
        <v>851</v>
      </c>
      <c r="B1467" s="158" t="s">
        <v>186</v>
      </c>
      <c r="C1467" s="78" t="s">
        <v>1260</v>
      </c>
      <c r="D1467" s="35">
        <f t="shared" si="278"/>
        <v>1</v>
      </c>
      <c r="E1467" s="108"/>
      <c r="F1467" s="35">
        <f t="shared" si="281"/>
        <v>1</v>
      </c>
      <c r="G1467" s="109">
        <v>1</v>
      </c>
      <c r="H1467" s="109"/>
      <c r="I1467" s="109"/>
      <c r="J1467" s="109"/>
      <c r="K1467" s="109"/>
      <c r="L1467" s="109"/>
      <c r="M1467" s="109"/>
      <c r="N1467" s="109"/>
      <c r="O1467" s="109"/>
      <c r="P1467" s="109"/>
      <c r="Q1467" s="109"/>
      <c r="R1467" s="109"/>
      <c r="S1467" s="109"/>
      <c r="T1467" s="109"/>
      <c r="U1467" s="109"/>
      <c r="V1467" s="109"/>
      <c r="W1467" s="109"/>
      <c r="X1467" s="109"/>
      <c r="Y1467" s="109"/>
      <c r="Z1467" s="109"/>
      <c r="AA1467" s="109"/>
      <c r="AB1467" s="109"/>
      <c r="AC1467" s="109"/>
      <c r="AD1467" s="109"/>
      <c r="AE1467" s="109"/>
      <c r="AF1467" s="109"/>
      <c r="AG1467" s="109"/>
      <c r="AH1467" s="109"/>
      <c r="AI1467" s="109"/>
      <c r="AJ1467" s="109"/>
      <c r="AK1467" s="109"/>
      <c r="AL1467" s="109"/>
      <c r="AM1467" s="109"/>
      <c r="AN1467" s="109"/>
      <c r="AO1467" s="109"/>
      <c r="AP1467" s="109"/>
      <c r="AQ1467" s="109"/>
      <c r="AR1467" s="109"/>
      <c r="AS1467" s="109"/>
      <c r="AT1467" s="109"/>
      <c r="AU1467" s="109"/>
      <c r="AV1467" s="109"/>
      <c r="AW1467" s="109"/>
      <c r="AX1467" s="109"/>
      <c r="AY1467" s="34" t="s">
        <v>240</v>
      </c>
      <c r="AZ1467" s="34" t="s">
        <v>1699</v>
      </c>
      <c r="BA1467" s="63" t="s">
        <v>291</v>
      </c>
      <c r="BB1467" s="63"/>
      <c r="BC1467" s="56" t="s">
        <v>1700</v>
      </c>
      <c r="BI1467" s="42">
        <v>1</v>
      </c>
    </row>
    <row r="1468" spans="1:61" s="24" customFormat="1" ht="20.100000000000001" hidden="1" customHeight="1">
      <c r="A1468" s="32"/>
      <c r="B1468" s="158"/>
      <c r="C1468" s="78" t="s">
        <v>59</v>
      </c>
      <c r="D1468" s="35">
        <f t="shared" si="278"/>
        <v>0.35</v>
      </c>
      <c r="E1468" s="76"/>
      <c r="F1468" s="35">
        <f t="shared" si="281"/>
        <v>0.35</v>
      </c>
      <c r="G1468" s="109">
        <v>0.35</v>
      </c>
      <c r="H1468" s="109"/>
      <c r="I1468" s="109"/>
      <c r="J1468" s="109"/>
      <c r="K1468" s="109"/>
      <c r="L1468" s="109"/>
      <c r="M1468" s="109"/>
      <c r="N1468" s="109"/>
      <c r="O1468" s="109"/>
      <c r="P1468" s="109"/>
      <c r="Q1468" s="109"/>
      <c r="R1468" s="109"/>
      <c r="S1468" s="109"/>
      <c r="T1468" s="109"/>
      <c r="U1468" s="109"/>
      <c r="V1468" s="109"/>
      <c r="W1468" s="109"/>
      <c r="X1468" s="109"/>
      <c r="Y1468" s="109"/>
      <c r="Z1468" s="109"/>
      <c r="AA1468" s="109"/>
      <c r="AB1468" s="109"/>
      <c r="AC1468" s="109"/>
      <c r="AD1468" s="109"/>
      <c r="AE1468" s="109"/>
      <c r="AF1468" s="109"/>
      <c r="AG1468" s="109"/>
      <c r="AH1468" s="109"/>
      <c r="AI1468" s="109"/>
      <c r="AJ1468" s="109"/>
      <c r="AK1468" s="109"/>
      <c r="AL1468" s="109"/>
      <c r="AM1468" s="109"/>
      <c r="AN1468" s="109"/>
      <c r="AO1468" s="109"/>
      <c r="AP1468" s="109"/>
      <c r="AQ1468" s="109"/>
      <c r="AR1468" s="109"/>
      <c r="AS1468" s="109"/>
      <c r="AT1468" s="109"/>
      <c r="AU1468" s="109"/>
      <c r="AV1468" s="109"/>
      <c r="AW1468" s="109"/>
      <c r="AX1468" s="109"/>
      <c r="AY1468" s="34" t="s">
        <v>240</v>
      </c>
      <c r="AZ1468" s="34"/>
      <c r="BA1468" s="63"/>
      <c r="BB1468" s="63"/>
      <c r="BC1468" s="56"/>
      <c r="BI1468" s="42"/>
    </row>
    <row r="1469" spans="1:61" s="24" customFormat="1" ht="20.100000000000001" hidden="1" customHeight="1">
      <c r="A1469" s="32"/>
      <c r="B1469" s="158"/>
      <c r="C1469" s="78" t="s">
        <v>44</v>
      </c>
      <c r="D1469" s="35">
        <f t="shared" si="278"/>
        <v>0.4</v>
      </c>
      <c r="E1469" s="76"/>
      <c r="F1469" s="35">
        <f t="shared" si="281"/>
        <v>0.4</v>
      </c>
      <c r="G1469" s="109">
        <v>0.4</v>
      </c>
      <c r="H1469" s="109"/>
      <c r="I1469" s="109"/>
      <c r="J1469" s="109"/>
      <c r="K1469" s="109"/>
      <c r="L1469" s="109"/>
      <c r="M1469" s="109"/>
      <c r="N1469" s="109"/>
      <c r="O1469" s="109"/>
      <c r="P1469" s="109"/>
      <c r="Q1469" s="109"/>
      <c r="R1469" s="109"/>
      <c r="S1469" s="109"/>
      <c r="T1469" s="109"/>
      <c r="U1469" s="109"/>
      <c r="V1469" s="109"/>
      <c r="W1469" s="109"/>
      <c r="X1469" s="109"/>
      <c r="Y1469" s="109"/>
      <c r="Z1469" s="109"/>
      <c r="AA1469" s="109"/>
      <c r="AB1469" s="109"/>
      <c r="AC1469" s="109"/>
      <c r="AD1469" s="109"/>
      <c r="AE1469" s="109"/>
      <c r="AF1469" s="109"/>
      <c r="AG1469" s="109"/>
      <c r="AH1469" s="109"/>
      <c r="AI1469" s="109"/>
      <c r="AJ1469" s="109"/>
      <c r="AK1469" s="109"/>
      <c r="AL1469" s="109"/>
      <c r="AM1469" s="109"/>
      <c r="AN1469" s="109"/>
      <c r="AO1469" s="109"/>
      <c r="AP1469" s="109"/>
      <c r="AQ1469" s="109"/>
      <c r="AR1469" s="109"/>
      <c r="AS1469" s="109"/>
      <c r="AT1469" s="109"/>
      <c r="AU1469" s="109"/>
      <c r="AV1469" s="109"/>
      <c r="AW1469" s="109"/>
      <c r="AX1469" s="109"/>
      <c r="AY1469" s="34" t="s">
        <v>240</v>
      </c>
      <c r="AZ1469" s="34"/>
      <c r="BA1469" s="63"/>
      <c r="BB1469" s="63"/>
      <c r="BC1469" s="56"/>
      <c r="BI1469" s="42"/>
    </row>
    <row r="1470" spans="1:61" s="24" customFormat="1" ht="20.100000000000001" hidden="1" customHeight="1">
      <c r="A1470" s="32"/>
      <c r="B1470" s="158"/>
      <c r="C1470" s="78" t="s">
        <v>138</v>
      </c>
      <c r="D1470" s="35">
        <f t="shared" si="278"/>
        <v>0.25</v>
      </c>
      <c r="E1470" s="76"/>
      <c r="F1470" s="35">
        <f t="shared" si="281"/>
        <v>0.25</v>
      </c>
      <c r="G1470" s="147">
        <f t="shared" ref="G1470:AW1470" si="292">G1467-G1468-G1469</f>
        <v>0.25</v>
      </c>
      <c r="H1470" s="147">
        <f t="shared" si="292"/>
        <v>0</v>
      </c>
      <c r="I1470" s="147">
        <f t="shared" si="292"/>
        <v>0</v>
      </c>
      <c r="J1470" s="147">
        <f t="shared" si="292"/>
        <v>0</v>
      </c>
      <c r="K1470" s="147">
        <f t="shared" si="292"/>
        <v>0</v>
      </c>
      <c r="L1470" s="147">
        <f t="shared" si="292"/>
        <v>0</v>
      </c>
      <c r="M1470" s="147">
        <f t="shared" si="292"/>
        <v>0</v>
      </c>
      <c r="N1470" s="147">
        <f t="shared" si="292"/>
        <v>0</v>
      </c>
      <c r="O1470" s="147">
        <f t="shared" si="292"/>
        <v>0</v>
      </c>
      <c r="P1470" s="147">
        <f t="shared" si="292"/>
        <v>0</v>
      </c>
      <c r="Q1470" s="147">
        <f t="shared" si="292"/>
        <v>0</v>
      </c>
      <c r="R1470" s="147">
        <f t="shared" si="292"/>
        <v>0</v>
      </c>
      <c r="S1470" s="147">
        <f t="shared" si="292"/>
        <v>0</v>
      </c>
      <c r="T1470" s="147">
        <f t="shared" si="292"/>
        <v>0</v>
      </c>
      <c r="U1470" s="147">
        <f t="shared" si="292"/>
        <v>0</v>
      </c>
      <c r="V1470" s="147">
        <f t="shared" si="292"/>
        <v>0</v>
      </c>
      <c r="W1470" s="147">
        <f t="shared" si="292"/>
        <v>0</v>
      </c>
      <c r="X1470" s="147">
        <f t="shared" si="292"/>
        <v>0</v>
      </c>
      <c r="Y1470" s="147">
        <f t="shared" si="292"/>
        <v>0</v>
      </c>
      <c r="Z1470" s="147">
        <f t="shared" si="292"/>
        <v>0</v>
      </c>
      <c r="AA1470" s="147">
        <f t="shared" si="292"/>
        <v>0</v>
      </c>
      <c r="AB1470" s="147">
        <f t="shared" si="292"/>
        <v>0</v>
      </c>
      <c r="AC1470" s="147">
        <f t="shared" si="292"/>
        <v>0</v>
      </c>
      <c r="AD1470" s="147">
        <f t="shared" si="292"/>
        <v>0</v>
      </c>
      <c r="AE1470" s="147">
        <f t="shared" si="292"/>
        <v>0</v>
      </c>
      <c r="AF1470" s="147">
        <f t="shared" si="292"/>
        <v>0</v>
      </c>
      <c r="AG1470" s="147">
        <f t="shared" si="292"/>
        <v>0</v>
      </c>
      <c r="AH1470" s="147">
        <f t="shared" si="292"/>
        <v>0</v>
      </c>
      <c r="AI1470" s="147">
        <f t="shared" si="292"/>
        <v>0</v>
      </c>
      <c r="AJ1470" s="147">
        <f t="shared" si="292"/>
        <v>0</v>
      </c>
      <c r="AK1470" s="147">
        <f t="shared" si="292"/>
        <v>0</v>
      </c>
      <c r="AL1470" s="147">
        <f t="shared" si="292"/>
        <v>0</v>
      </c>
      <c r="AM1470" s="147">
        <f t="shared" si="292"/>
        <v>0</v>
      </c>
      <c r="AN1470" s="147">
        <f t="shared" si="292"/>
        <v>0</v>
      </c>
      <c r="AO1470" s="147">
        <f t="shared" si="292"/>
        <v>0</v>
      </c>
      <c r="AP1470" s="147">
        <f t="shared" si="292"/>
        <v>0</v>
      </c>
      <c r="AQ1470" s="147">
        <f t="shared" si="292"/>
        <v>0</v>
      </c>
      <c r="AR1470" s="147">
        <f t="shared" si="292"/>
        <v>0</v>
      </c>
      <c r="AS1470" s="147">
        <f t="shared" si="292"/>
        <v>0</v>
      </c>
      <c r="AT1470" s="147">
        <f t="shared" si="292"/>
        <v>0</v>
      </c>
      <c r="AU1470" s="147">
        <f t="shared" si="292"/>
        <v>0</v>
      </c>
      <c r="AV1470" s="147">
        <f t="shared" si="292"/>
        <v>0</v>
      </c>
      <c r="AW1470" s="147">
        <f t="shared" si="292"/>
        <v>0</v>
      </c>
      <c r="AX1470" s="147">
        <f>AX1467-AX1468-AX1469</f>
        <v>0</v>
      </c>
      <c r="AY1470" s="34" t="s">
        <v>240</v>
      </c>
      <c r="AZ1470" s="34"/>
      <c r="BA1470" s="63"/>
      <c r="BB1470" s="63"/>
      <c r="BC1470" s="56"/>
      <c r="BI1470" s="42"/>
    </row>
    <row r="1471" spans="1:61" s="24" customFormat="1" ht="20.100000000000001" customHeight="1">
      <c r="A1471" s="32">
        <f>A1467+1</f>
        <v>852</v>
      </c>
      <c r="B1471" s="158" t="s">
        <v>186</v>
      </c>
      <c r="C1471" s="78" t="s">
        <v>59</v>
      </c>
      <c r="D1471" s="35">
        <f t="shared" si="278"/>
        <v>0.2</v>
      </c>
      <c r="E1471" s="108"/>
      <c r="F1471" s="35">
        <f t="shared" si="281"/>
        <v>0.2</v>
      </c>
      <c r="G1471" s="109">
        <v>0.2</v>
      </c>
      <c r="H1471" s="109"/>
      <c r="I1471" s="109"/>
      <c r="J1471" s="109"/>
      <c r="K1471" s="109"/>
      <c r="L1471" s="109"/>
      <c r="M1471" s="109"/>
      <c r="N1471" s="109"/>
      <c r="O1471" s="109"/>
      <c r="P1471" s="109"/>
      <c r="Q1471" s="109"/>
      <c r="R1471" s="109"/>
      <c r="S1471" s="109"/>
      <c r="T1471" s="109"/>
      <c r="U1471" s="109"/>
      <c r="V1471" s="109"/>
      <c r="W1471" s="109"/>
      <c r="X1471" s="109"/>
      <c r="Y1471" s="109"/>
      <c r="Z1471" s="109"/>
      <c r="AA1471" s="109"/>
      <c r="AB1471" s="109"/>
      <c r="AC1471" s="109"/>
      <c r="AD1471" s="109"/>
      <c r="AE1471" s="109"/>
      <c r="AF1471" s="109"/>
      <c r="AG1471" s="109"/>
      <c r="AH1471" s="109"/>
      <c r="AI1471" s="109"/>
      <c r="AJ1471" s="109"/>
      <c r="AK1471" s="109"/>
      <c r="AL1471" s="109"/>
      <c r="AM1471" s="109"/>
      <c r="AN1471" s="109"/>
      <c r="AO1471" s="109"/>
      <c r="AP1471" s="109"/>
      <c r="AQ1471" s="109"/>
      <c r="AR1471" s="109"/>
      <c r="AS1471" s="109"/>
      <c r="AT1471" s="109"/>
      <c r="AU1471" s="109"/>
      <c r="AV1471" s="109"/>
      <c r="AW1471" s="109"/>
      <c r="AX1471" s="109"/>
      <c r="AY1471" s="34" t="s">
        <v>240</v>
      </c>
      <c r="AZ1471" s="34" t="s">
        <v>1701</v>
      </c>
      <c r="BA1471" s="63" t="s">
        <v>291</v>
      </c>
      <c r="BB1471" s="63"/>
      <c r="BC1471" s="56" t="s">
        <v>1702</v>
      </c>
      <c r="BI1471" s="42">
        <v>1</v>
      </c>
    </row>
    <row r="1472" spans="1:61" s="24" customFormat="1" ht="32.1" customHeight="1">
      <c r="A1472" s="32">
        <f>A1471+1</f>
        <v>853</v>
      </c>
      <c r="B1472" s="158" t="s">
        <v>186</v>
      </c>
      <c r="C1472" s="78" t="s">
        <v>59</v>
      </c>
      <c r="D1472" s="35">
        <f t="shared" si="278"/>
        <v>0.08</v>
      </c>
      <c r="E1472" s="108"/>
      <c r="F1472" s="35">
        <f t="shared" si="281"/>
        <v>0.08</v>
      </c>
      <c r="G1472" s="109"/>
      <c r="H1472" s="109"/>
      <c r="I1472" s="109"/>
      <c r="J1472" s="109"/>
      <c r="K1472" s="109"/>
      <c r="L1472" s="109"/>
      <c r="M1472" s="109"/>
      <c r="N1472" s="109"/>
      <c r="O1472" s="109"/>
      <c r="P1472" s="109"/>
      <c r="Q1472" s="109"/>
      <c r="R1472" s="109"/>
      <c r="S1472" s="109"/>
      <c r="T1472" s="109"/>
      <c r="U1472" s="109"/>
      <c r="V1472" s="109"/>
      <c r="W1472" s="109"/>
      <c r="X1472" s="109"/>
      <c r="Y1472" s="109"/>
      <c r="Z1472" s="109"/>
      <c r="AA1472" s="109"/>
      <c r="AB1472" s="109"/>
      <c r="AC1472" s="109"/>
      <c r="AD1472" s="109">
        <v>0.08</v>
      </c>
      <c r="AE1472" s="109"/>
      <c r="AF1472" s="109"/>
      <c r="AG1472" s="109"/>
      <c r="AH1472" s="109"/>
      <c r="AI1472" s="109"/>
      <c r="AJ1472" s="109"/>
      <c r="AK1472" s="109"/>
      <c r="AL1472" s="109"/>
      <c r="AM1472" s="109"/>
      <c r="AN1472" s="109"/>
      <c r="AO1472" s="109"/>
      <c r="AP1472" s="109"/>
      <c r="AQ1472" s="109"/>
      <c r="AR1472" s="109"/>
      <c r="AS1472" s="109"/>
      <c r="AT1472" s="109"/>
      <c r="AU1472" s="109"/>
      <c r="AV1472" s="109"/>
      <c r="AW1472" s="109"/>
      <c r="AX1472" s="109"/>
      <c r="AY1472" s="34" t="s">
        <v>240</v>
      </c>
      <c r="AZ1472" s="34" t="s">
        <v>1703</v>
      </c>
      <c r="BA1472" s="47" t="s">
        <v>298</v>
      </c>
      <c r="BB1472" s="47"/>
      <c r="BC1472" s="56" t="s">
        <v>1704</v>
      </c>
      <c r="BI1472" s="42">
        <v>1</v>
      </c>
    </row>
    <row r="1473" spans="1:61" s="24" customFormat="1" ht="20.100000000000001" customHeight="1">
      <c r="A1473" s="32">
        <f>A1472+1</f>
        <v>854</v>
      </c>
      <c r="B1473" s="158" t="s">
        <v>186</v>
      </c>
      <c r="C1473" s="78" t="s">
        <v>59</v>
      </c>
      <c r="D1473" s="35">
        <f t="shared" si="278"/>
        <v>0.35</v>
      </c>
      <c r="E1473" s="108"/>
      <c r="F1473" s="35">
        <f t="shared" si="281"/>
        <v>0.35</v>
      </c>
      <c r="G1473" s="109"/>
      <c r="H1473" s="109"/>
      <c r="I1473" s="109">
        <v>0.35</v>
      </c>
      <c r="J1473" s="109"/>
      <c r="K1473" s="109"/>
      <c r="L1473" s="109"/>
      <c r="M1473" s="109"/>
      <c r="N1473" s="109"/>
      <c r="O1473" s="109"/>
      <c r="P1473" s="109"/>
      <c r="Q1473" s="109"/>
      <c r="R1473" s="109"/>
      <c r="S1473" s="109"/>
      <c r="T1473" s="109"/>
      <c r="U1473" s="109"/>
      <c r="V1473" s="109"/>
      <c r="W1473" s="109"/>
      <c r="X1473" s="109"/>
      <c r="Y1473" s="109"/>
      <c r="Z1473" s="109"/>
      <c r="AA1473" s="109"/>
      <c r="AB1473" s="109"/>
      <c r="AC1473" s="109"/>
      <c r="AD1473" s="109"/>
      <c r="AE1473" s="109"/>
      <c r="AF1473" s="109"/>
      <c r="AG1473" s="109"/>
      <c r="AH1473" s="109"/>
      <c r="AI1473" s="109"/>
      <c r="AJ1473" s="109"/>
      <c r="AK1473" s="109"/>
      <c r="AL1473" s="109"/>
      <c r="AM1473" s="109"/>
      <c r="AN1473" s="109"/>
      <c r="AO1473" s="109"/>
      <c r="AP1473" s="109"/>
      <c r="AQ1473" s="109"/>
      <c r="AR1473" s="109"/>
      <c r="AS1473" s="109"/>
      <c r="AT1473" s="109"/>
      <c r="AU1473" s="109"/>
      <c r="AV1473" s="109"/>
      <c r="AW1473" s="109"/>
      <c r="AX1473" s="109"/>
      <c r="AY1473" s="34" t="s">
        <v>240</v>
      </c>
      <c r="AZ1473" s="34" t="s">
        <v>1705</v>
      </c>
      <c r="BA1473" s="47" t="s">
        <v>298</v>
      </c>
      <c r="BB1473" s="47"/>
      <c r="BC1473" s="56" t="s">
        <v>1706</v>
      </c>
      <c r="BI1473" s="42">
        <v>1</v>
      </c>
    </row>
    <row r="1474" spans="1:61" s="24" customFormat="1" ht="20.100000000000001" customHeight="1">
      <c r="A1474" s="32">
        <f>A1473+1</f>
        <v>855</v>
      </c>
      <c r="B1474" s="158" t="s">
        <v>186</v>
      </c>
      <c r="C1474" s="78" t="s">
        <v>59</v>
      </c>
      <c r="D1474" s="35">
        <f t="shared" si="278"/>
        <v>0.36</v>
      </c>
      <c r="E1474" s="108"/>
      <c r="F1474" s="35">
        <f t="shared" si="281"/>
        <v>0.36</v>
      </c>
      <c r="G1474" s="109">
        <v>0.36</v>
      </c>
      <c r="H1474" s="109"/>
      <c r="I1474" s="109"/>
      <c r="J1474" s="109"/>
      <c r="K1474" s="109"/>
      <c r="L1474" s="109"/>
      <c r="M1474" s="109"/>
      <c r="N1474" s="109"/>
      <c r="O1474" s="109"/>
      <c r="P1474" s="109"/>
      <c r="Q1474" s="109"/>
      <c r="R1474" s="109"/>
      <c r="S1474" s="109"/>
      <c r="T1474" s="109"/>
      <c r="U1474" s="109"/>
      <c r="V1474" s="109"/>
      <c r="W1474" s="109"/>
      <c r="X1474" s="109"/>
      <c r="Y1474" s="109"/>
      <c r="Z1474" s="109"/>
      <c r="AA1474" s="109"/>
      <c r="AB1474" s="109"/>
      <c r="AC1474" s="109"/>
      <c r="AD1474" s="109"/>
      <c r="AE1474" s="109"/>
      <c r="AF1474" s="109"/>
      <c r="AG1474" s="109"/>
      <c r="AH1474" s="109"/>
      <c r="AI1474" s="109"/>
      <c r="AJ1474" s="109"/>
      <c r="AK1474" s="109"/>
      <c r="AL1474" s="109"/>
      <c r="AM1474" s="109"/>
      <c r="AN1474" s="109"/>
      <c r="AO1474" s="109"/>
      <c r="AP1474" s="109"/>
      <c r="AQ1474" s="109"/>
      <c r="AR1474" s="109"/>
      <c r="AS1474" s="109"/>
      <c r="AT1474" s="109"/>
      <c r="AU1474" s="109"/>
      <c r="AV1474" s="109"/>
      <c r="AW1474" s="109"/>
      <c r="AX1474" s="109"/>
      <c r="AY1474" s="34" t="s">
        <v>240</v>
      </c>
      <c r="AZ1474" s="34" t="s">
        <v>1707</v>
      </c>
      <c r="BA1474" s="63" t="s">
        <v>291</v>
      </c>
      <c r="BB1474" s="63"/>
      <c r="BC1474" s="56" t="s">
        <v>1708</v>
      </c>
      <c r="BI1474" s="42">
        <v>1</v>
      </c>
    </row>
    <row r="1475" spans="1:61" s="24" customFormat="1" ht="20.100000000000001" customHeight="1">
      <c r="A1475" s="32">
        <f>A1474+1</f>
        <v>856</v>
      </c>
      <c r="B1475" s="158" t="s">
        <v>186</v>
      </c>
      <c r="C1475" s="78" t="s">
        <v>1260</v>
      </c>
      <c r="D1475" s="35">
        <f t="shared" si="278"/>
        <v>0.57999999999999996</v>
      </c>
      <c r="E1475" s="108"/>
      <c r="F1475" s="35">
        <f t="shared" si="281"/>
        <v>0.57999999999999996</v>
      </c>
      <c r="G1475" s="109"/>
      <c r="H1475" s="109"/>
      <c r="I1475" s="109"/>
      <c r="J1475" s="109"/>
      <c r="K1475" s="109"/>
      <c r="L1475" s="109"/>
      <c r="M1475" s="109">
        <v>0.57999999999999996</v>
      </c>
      <c r="N1475" s="109"/>
      <c r="O1475" s="109"/>
      <c r="P1475" s="109"/>
      <c r="Q1475" s="109"/>
      <c r="R1475" s="109"/>
      <c r="S1475" s="109"/>
      <c r="T1475" s="109"/>
      <c r="U1475" s="109"/>
      <c r="V1475" s="109"/>
      <c r="W1475" s="109"/>
      <c r="X1475" s="109"/>
      <c r="Y1475" s="109"/>
      <c r="Z1475" s="109"/>
      <c r="AA1475" s="109"/>
      <c r="AB1475" s="109"/>
      <c r="AC1475" s="109"/>
      <c r="AD1475" s="109"/>
      <c r="AE1475" s="109"/>
      <c r="AF1475" s="109"/>
      <c r="AG1475" s="109"/>
      <c r="AH1475" s="109"/>
      <c r="AI1475" s="109"/>
      <c r="AJ1475" s="109"/>
      <c r="AK1475" s="109"/>
      <c r="AL1475" s="109"/>
      <c r="AM1475" s="109"/>
      <c r="AN1475" s="109"/>
      <c r="AO1475" s="109"/>
      <c r="AP1475" s="109"/>
      <c r="AQ1475" s="109"/>
      <c r="AR1475" s="109"/>
      <c r="AS1475" s="109"/>
      <c r="AT1475" s="109"/>
      <c r="AU1475" s="109"/>
      <c r="AV1475" s="109"/>
      <c r="AW1475" s="109"/>
      <c r="AX1475" s="109"/>
      <c r="AY1475" s="34" t="s">
        <v>240</v>
      </c>
      <c r="AZ1475" s="34" t="s">
        <v>1709</v>
      </c>
      <c r="BA1475" s="63" t="s">
        <v>291</v>
      </c>
      <c r="BB1475" s="63"/>
      <c r="BC1475" s="56" t="s">
        <v>1710</v>
      </c>
      <c r="BI1475" s="42">
        <v>1</v>
      </c>
    </row>
    <row r="1476" spans="1:61" s="24" customFormat="1" ht="20.100000000000001" hidden="1" customHeight="1">
      <c r="A1476" s="32"/>
      <c r="B1476" s="158"/>
      <c r="C1476" s="78" t="s">
        <v>59</v>
      </c>
      <c r="D1476" s="35">
        <f>F1476+E1476</f>
        <v>0.22</v>
      </c>
      <c r="E1476" s="76"/>
      <c r="F1476" s="35">
        <f t="shared" si="281"/>
        <v>0.22</v>
      </c>
      <c r="G1476" s="109"/>
      <c r="H1476" s="109"/>
      <c r="I1476" s="109"/>
      <c r="J1476" s="109"/>
      <c r="K1476" s="109"/>
      <c r="L1476" s="109"/>
      <c r="M1476" s="109">
        <v>0.22</v>
      </c>
      <c r="N1476" s="109"/>
      <c r="O1476" s="109"/>
      <c r="P1476" s="109"/>
      <c r="Q1476" s="109"/>
      <c r="R1476" s="109"/>
      <c r="S1476" s="109"/>
      <c r="T1476" s="109"/>
      <c r="U1476" s="109"/>
      <c r="V1476" s="109"/>
      <c r="W1476" s="109"/>
      <c r="X1476" s="109"/>
      <c r="Y1476" s="109"/>
      <c r="Z1476" s="109"/>
      <c r="AA1476" s="109"/>
      <c r="AB1476" s="109"/>
      <c r="AC1476" s="109"/>
      <c r="AD1476" s="109"/>
      <c r="AE1476" s="109"/>
      <c r="AF1476" s="109"/>
      <c r="AG1476" s="109"/>
      <c r="AH1476" s="109"/>
      <c r="AI1476" s="109"/>
      <c r="AJ1476" s="109"/>
      <c r="AK1476" s="109"/>
      <c r="AL1476" s="109"/>
      <c r="AM1476" s="109"/>
      <c r="AN1476" s="109"/>
      <c r="AO1476" s="109"/>
      <c r="AP1476" s="109"/>
      <c r="AQ1476" s="109"/>
      <c r="AR1476" s="109"/>
      <c r="AS1476" s="109"/>
      <c r="AT1476" s="109"/>
      <c r="AU1476" s="109"/>
      <c r="AV1476" s="109"/>
      <c r="AW1476" s="109"/>
      <c r="AX1476" s="109"/>
      <c r="AY1476" s="34" t="s">
        <v>240</v>
      </c>
      <c r="AZ1476" s="34"/>
      <c r="BA1476" s="63"/>
      <c r="BB1476" s="63"/>
      <c r="BC1476" s="56"/>
      <c r="BI1476" s="42"/>
    </row>
    <row r="1477" spans="1:61" s="24" customFormat="1" ht="20.100000000000001" hidden="1" customHeight="1">
      <c r="A1477" s="32"/>
      <c r="B1477" s="158"/>
      <c r="C1477" s="78" t="s">
        <v>44</v>
      </c>
      <c r="D1477" s="35">
        <f>F1477+E1477</f>
        <v>0.23</v>
      </c>
      <c r="E1477" s="76"/>
      <c r="F1477" s="35">
        <f t="shared" si="281"/>
        <v>0.23</v>
      </c>
      <c r="G1477" s="109"/>
      <c r="H1477" s="109"/>
      <c r="I1477" s="109"/>
      <c r="J1477" s="109"/>
      <c r="K1477" s="109"/>
      <c r="L1477" s="109"/>
      <c r="M1477" s="109">
        <v>0.23</v>
      </c>
      <c r="N1477" s="109"/>
      <c r="O1477" s="109"/>
      <c r="P1477" s="109"/>
      <c r="Q1477" s="109"/>
      <c r="R1477" s="109"/>
      <c r="S1477" s="109"/>
      <c r="T1477" s="109"/>
      <c r="U1477" s="109"/>
      <c r="V1477" s="109"/>
      <c r="W1477" s="109"/>
      <c r="X1477" s="109"/>
      <c r="Y1477" s="109"/>
      <c r="Z1477" s="109"/>
      <c r="AA1477" s="109"/>
      <c r="AB1477" s="109"/>
      <c r="AC1477" s="109"/>
      <c r="AD1477" s="109"/>
      <c r="AE1477" s="109"/>
      <c r="AF1477" s="109"/>
      <c r="AG1477" s="109"/>
      <c r="AH1477" s="109"/>
      <c r="AI1477" s="109"/>
      <c r="AJ1477" s="109"/>
      <c r="AK1477" s="109"/>
      <c r="AL1477" s="109"/>
      <c r="AM1477" s="109"/>
      <c r="AN1477" s="109"/>
      <c r="AO1477" s="109"/>
      <c r="AP1477" s="109"/>
      <c r="AQ1477" s="109"/>
      <c r="AR1477" s="109"/>
      <c r="AS1477" s="109"/>
      <c r="AT1477" s="109"/>
      <c r="AU1477" s="109"/>
      <c r="AV1477" s="109"/>
      <c r="AW1477" s="109"/>
      <c r="AX1477" s="109"/>
      <c r="AY1477" s="34" t="s">
        <v>240</v>
      </c>
      <c r="AZ1477" s="34"/>
      <c r="BA1477" s="63"/>
      <c r="BB1477" s="63"/>
      <c r="BC1477" s="56"/>
      <c r="BI1477" s="42"/>
    </row>
    <row r="1478" spans="1:61" s="24" customFormat="1" ht="20.100000000000001" hidden="1" customHeight="1">
      <c r="A1478" s="32"/>
      <c r="B1478" s="158"/>
      <c r="C1478" s="78" t="s">
        <v>138</v>
      </c>
      <c r="D1478" s="35">
        <f>F1478+E1478</f>
        <v>0.12999999999999998</v>
      </c>
      <c r="E1478" s="76"/>
      <c r="F1478" s="35">
        <f t="shared" si="281"/>
        <v>0.12999999999999998</v>
      </c>
      <c r="G1478" s="147">
        <f>G1475-G1476-G1477</f>
        <v>0</v>
      </c>
      <c r="H1478" s="147">
        <f t="shared" ref="H1478:AX1478" si="293">H1475-H1476-H1477</f>
        <v>0</v>
      </c>
      <c r="I1478" s="147">
        <f t="shared" si="293"/>
        <v>0</v>
      </c>
      <c r="J1478" s="147">
        <f t="shared" si="293"/>
        <v>0</v>
      </c>
      <c r="K1478" s="147">
        <f t="shared" si="293"/>
        <v>0</v>
      </c>
      <c r="L1478" s="147">
        <f t="shared" si="293"/>
        <v>0</v>
      </c>
      <c r="M1478" s="147">
        <f t="shared" si="293"/>
        <v>0.12999999999999998</v>
      </c>
      <c r="N1478" s="147">
        <f t="shared" si="293"/>
        <v>0</v>
      </c>
      <c r="O1478" s="147">
        <f t="shared" si="293"/>
        <v>0</v>
      </c>
      <c r="P1478" s="147">
        <f t="shared" si="293"/>
        <v>0</v>
      </c>
      <c r="Q1478" s="147">
        <f t="shared" si="293"/>
        <v>0</v>
      </c>
      <c r="R1478" s="147">
        <f t="shared" si="293"/>
        <v>0</v>
      </c>
      <c r="S1478" s="147">
        <f t="shared" si="293"/>
        <v>0</v>
      </c>
      <c r="T1478" s="147">
        <f t="shared" si="293"/>
        <v>0</v>
      </c>
      <c r="U1478" s="147">
        <f t="shared" si="293"/>
        <v>0</v>
      </c>
      <c r="V1478" s="147">
        <f t="shared" si="293"/>
        <v>0</v>
      </c>
      <c r="W1478" s="147">
        <f t="shared" si="293"/>
        <v>0</v>
      </c>
      <c r="X1478" s="147">
        <f t="shared" si="293"/>
        <v>0</v>
      </c>
      <c r="Y1478" s="147">
        <f t="shared" si="293"/>
        <v>0</v>
      </c>
      <c r="Z1478" s="147">
        <f t="shared" si="293"/>
        <v>0</v>
      </c>
      <c r="AA1478" s="147">
        <f t="shared" si="293"/>
        <v>0</v>
      </c>
      <c r="AB1478" s="147">
        <f t="shared" si="293"/>
        <v>0</v>
      </c>
      <c r="AC1478" s="147">
        <f t="shared" si="293"/>
        <v>0</v>
      </c>
      <c r="AD1478" s="147">
        <f t="shared" si="293"/>
        <v>0</v>
      </c>
      <c r="AE1478" s="147">
        <f t="shared" si="293"/>
        <v>0</v>
      </c>
      <c r="AF1478" s="147">
        <f t="shared" si="293"/>
        <v>0</v>
      </c>
      <c r="AG1478" s="147">
        <f t="shared" si="293"/>
        <v>0</v>
      </c>
      <c r="AH1478" s="147">
        <f t="shared" si="293"/>
        <v>0</v>
      </c>
      <c r="AI1478" s="147">
        <f t="shared" si="293"/>
        <v>0</v>
      </c>
      <c r="AJ1478" s="147">
        <f t="shared" si="293"/>
        <v>0</v>
      </c>
      <c r="AK1478" s="147">
        <f t="shared" si="293"/>
        <v>0</v>
      </c>
      <c r="AL1478" s="147">
        <f t="shared" si="293"/>
        <v>0</v>
      </c>
      <c r="AM1478" s="147">
        <f t="shared" si="293"/>
        <v>0</v>
      </c>
      <c r="AN1478" s="147">
        <f t="shared" si="293"/>
        <v>0</v>
      </c>
      <c r="AO1478" s="147">
        <f t="shared" si="293"/>
        <v>0</v>
      </c>
      <c r="AP1478" s="147">
        <f t="shared" si="293"/>
        <v>0</v>
      </c>
      <c r="AQ1478" s="147">
        <f t="shared" si="293"/>
        <v>0</v>
      </c>
      <c r="AR1478" s="147">
        <f t="shared" si="293"/>
        <v>0</v>
      </c>
      <c r="AS1478" s="147">
        <f t="shared" si="293"/>
        <v>0</v>
      </c>
      <c r="AT1478" s="147">
        <f t="shared" si="293"/>
        <v>0</v>
      </c>
      <c r="AU1478" s="147">
        <f t="shared" si="293"/>
        <v>0</v>
      </c>
      <c r="AV1478" s="147">
        <f t="shared" si="293"/>
        <v>0</v>
      </c>
      <c r="AW1478" s="147">
        <f t="shared" si="293"/>
        <v>0</v>
      </c>
      <c r="AX1478" s="147">
        <f t="shared" si="293"/>
        <v>0</v>
      </c>
      <c r="AY1478" s="34" t="s">
        <v>240</v>
      </c>
      <c r="AZ1478" s="34"/>
      <c r="BA1478" s="63"/>
      <c r="BB1478" s="63"/>
      <c r="BC1478" s="56"/>
      <c r="BI1478" s="42"/>
    </row>
    <row r="1479" spans="1:61" s="24" customFormat="1" ht="31.5">
      <c r="A1479" s="32">
        <f>A1475+1</f>
        <v>857</v>
      </c>
      <c r="B1479" s="158" t="s">
        <v>186</v>
      </c>
      <c r="C1479" s="78" t="s">
        <v>59</v>
      </c>
      <c r="D1479" s="35">
        <f t="shared" si="278"/>
        <v>0.1</v>
      </c>
      <c r="E1479" s="108"/>
      <c r="F1479" s="35">
        <f t="shared" si="281"/>
        <v>0.1</v>
      </c>
      <c r="G1479" s="109"/>
      <c r="H1479" s="109"/>
      <c r="I1479" s="109"/>
      <c r="J1479" s="109"/>
      <c r="K1479" s="109"/>
      <c r="L1479" s="109"/>
      <c r="M1479" s="109"/>
      <c r="N1479" s="109"/>
      <c r="O1479" s="109"/>
      <c r="P1479" s="109"/>
      <c r="Q1479" s="109"/>
      <c r="R1479" s="109"/>
      <c r="S1479" s="109"/>
      <c r="T1479" s="109"/>
      <c r="U1479" s="109"/>
      <c r="V1479" s="109"/>
      <c r="W1479" s="109"/>
      <c r="X1479" s="109"/>
      <c r="Y1479" s="109"/>
      <c r="Z1479" s="109"/>
      <c r="AA1479" s="109"/>
      <c r="AB1479" s="109"/>
      <c r="AC1479" s="109"/>
      <c r="AD1479" s="109">
        <v>0.1</v>
      </c>
      <c r="AE1479" s="109"/>
      <c r="AF1479" s="109"/>
      <c r="AG1479" s="109"/>
      <c r="AH1479" s="109"/>
      <c r="AI1479" s="109"/>
      <c r="AJ1479" s="109"/>
      <c r="AK1479" s="109"/>
      <c r="AL1479" s="109"/>
      <c r="AM1479" s="109"/>
      <c r="AN1479" s="109"/>
      <c r="AO1479" s="109"/>
      <c r="AP1479" s="109"/>
      <c r="AQ1479" s="109"/>
      <c r="AR1479" s="109"/>
      <c r="AS1479" s="109"/>
      <c r="AT1479" s="109"/>
      <c r="AU1479" s="109"/>
      <c r="AV1479" s="109"/>
      <c r="AW1479" s="109"/>
      <c r="AX1479" s="109"/>
      <c r="AY1479" s="34" t="s">
        <v>240</v>
      </c>
      <c r="AZ1479" s="34" t="s">
        <v>1711</v>
      </c>
      <c r="BA1479" s="47" t="s">
        <v>298</v>
      </c>
      <c r="BB1479" s="47"/>
      <c r="BC1479" s="56" t="s">
        <v>1712</v>
      </c>
      <c r="BI1479" s="42">
        <v>1</v>
      </c>
    </row>
    <row r="1480" spans="1:61" s="24" customFormat="1" ht="21.6" customHeight="1">
      <c r="A1480" s="32">
        <f>A1479+1</f>
        <v>858</v>
      </c>
      <c r="B1480" s="158" t="s">
        <v>186</v>
      </c>
      <c r="C1480" s="78" t="s">
        <v>59</v>
      </c>
      <c r="D1480" s="35">
        <f t="shared" si="278"/>
        <v>0.21</v>
      </c>
      <c r="E1480" s="108"/>
      <c r="F1480" s="35">
        <f t="shared" si="281"/>
        <v>0.21</v>
      </c>
      <c r="G1480" s="109"/>
      <c r="H1480" s="109"/>
      <c r="I1480" s="109">
        <v>0.21</v>
      </c>
      <c r="J1480" s="109"/>
      <c r="K1480" s="109"/>
      <c r="L1480" s="109"/>
      <c r="M1480" s="109"/>
      <c r="N1480" s="109"/>
      <c r="O1480" s="109"/>
      <c r="P1480" s="109"/>
      <c r="Q1480" s="109"/>
      <c r="R1480" s="109"/>
      <c r="S1480" s="109"/>
      <c r="T1480" s="109"/>
      <c r="U1480" s="109"/>
      <c r="V1480" s="109"/>
      <c r="W1480" s="109"/>
      <c r="X1480" s="109"/>
      <c r="Y1480" s="109"/>
      <c r="Z1480" s="109"/>
      <c r="AA1480" s="109"/>
      <c r="AB1480" s="109"/>
      <c r="AC1480" s="109"/>
      <c r="AD1480" s="109"/>
      <c r="AE1480" s="109"/>
      <c r="AF1480" s="109"/>
      <c r="AG1480" s="109"/>
      <c r="AH1480" s="109"/>
      <c r="AI1480" s="109"/>
      <c r="AJ1480" s="109"/>
      <c r="AK1480" s="109"/>
      <c r="AL1480" s="109"/>
      <c r="AM1480" s="109"/>
      <c r="AN1480" s="109"/>
      <c r="AO1480" s="109"/>
      <c r="AP1480" s="109"/>
      <c r="AQ1480" s="109"/>
      <c r="AR1480" s="109"/>
      <c r="AS1480" s="109"/>
      <c r="AT1480" s="109"/>
      <c r="AU1480" s="109"/>
      <c r="AV1480" s="109"/>
      <c r="AW1480" s="109"/>
      <c r="AX1480" s="109"/>
      <c r="AY1480" s="34" t="s">
        <v>240</v>
      </c>
      <c r="AZ1480" s="34" t="s">
        <v>1713</v>
      </c>
      <c r="BA1480" s="63" t="s">
        <v>291</v>
      </c>
      <c r="BB1480" s="63"/>
      <c r="BC1480" s="56" t="s">
        <v>1714</v>
      </c>
      <c r="BI1480" s="42">
        <v>1</v>
      </c>
    </row>
    <row r="1481" spans="1:61" s="24" customFormat="1" ht="21.6" customHeight="1">
      <c r="A1481" s="32">
        <f>A1480+1</f>
        <v>859</v>
      </c>
      <c r="B1481" s="158" t="s">
        <v>186</v>
      </c>
      <c r="C1481" s="78" t="s">
        <v>59</v>
      </c>
      <c r="D1481" s="35">
        <f t="shared" si="278"/>
        <v>0.32</v>
      </c>
      <c r="E1481" s="108"/>
      <c r="F1481" s="35">
        <f t="shared" si="281"/>
        <v>0.32</v>
      </c>
      <c r="G1481" s="109">
        <v>0.32</v>
      </c>
      <c r="H1481" s="109"/>
      <c r="I1481" s="109"/>
      <c r="J1481" s="109"/>
      <c r="K1481" s="109"/>
      <c r="L1481" s="109"/>
      <c r="M1481" s="109"/>
      <c r="N1481" s="109"/>
      <c r="O1481" s="109"/>
      <c r="P1481" s="109"/>
      <c r="Q1481" s="109"/>
      <c r="R1481" s="109"/>
      <c r="S1481" s="109"/>
      <c r="T1481" s="109"/>
      <c r="U1481" s="109"/>
      <c r="V1481" s="109"/>
      <c r="W1481" s="109"/>
      <c r="X1481" s="109"/>
      <c r="Y1481" s="109"/>
      <c r="Z1481" s="109"/>
      <c r="AA1481" s="109"/>
      <c r="AB1481" s="109"/>
      <c r="AC1481" s="109"/>
      <c r="AD1481" s="109"/>
      <c r="AE1481" s="109"/>
      <c r="AF1481" s="109"/>
      <c r="AG1481" s="109"/>
      <c r="AH1481" s="109"/>
      <c r="AI1481" s="109"/>
      <c r="AJ1481" s="109"/>
      <c r="AK1481" s="109"/>
      <c r="AL1481" s="109"/>
      <c r="AM1481" s="109"/>
      <c r="AN1481" s="109"/>
      <c r="AO1481" s="109"/>
      <c r="AP1481" s="109"/>
      <c r="AQ1481" s="109"/>
      <c r="AR1481" s="109"/>
      <c r="AS1481" s="109"/>
      <c r="AT1481" s="109"/>
      <c r="AU1481" s="109"/>
      <c r="AV1481" s="109"/>
      <c r="AW1481" s="109"/>
      <c r="AX1481" s="109"/>
      <c r="AY1481" s="34" t="s">
        <v>240</v>
      </c>
      <c r="AZ1481" s="34" t="s">
        <v>1715</v>
      </c>
      <c r="BA1481" s="47" t="s">
        <v>298</v>
      </c>
      <c r="BB1481" s="47"/>
      <c r="BC1481" s="56" t="s">
        <v>1716</v>
      </c>
      <c r="BI1481" s="42">
        <v>1</v>
      </c>
    </row>
    <row r="1482" spans="1:61" s="24" customFormat="1" ht="21.6" customHeight="1">
      <c r="A1482" s="32">
        <f>A1481+1</f>
        <v>860</v>
      </c>
      <c r="B1482" s="158" t="s">
        <v>186</v>
      </c>
      <c r="C1482" s="78" t="s">
        <v>59</v>
      </c>
      <c r="D1482" s="35">
        <f t="shared" si="278"/>
        <v>0.31</v>
      </c>
      <c r="E1482" s="108"/>
      <c r="F1482" s="35">
        <f t="shared" si="281"/>
        <v>0.31</v>
      </c>
      <c r="G1482" s="109">
        <v>0.31</v>
      </c>
      <c r="H1482" s="109"/>
      <c r="I1482" s="109"/>
      <c r="J1482" s="109"/>
      <c r="K1482" s="109"/>
      <c r="L1482" s="109"/>
      <c r="M1482" s="109"/>
      <c r="N1482" s="109"/>
      <c r="O1482" s="109"/>
      <c r="P1482" s="109"/>
      <c r="Q1482" s="109"/>
      <c r="R1482" s="109"/>
      <c r="S1482" s="109"/>
      <c r="T1482" s="109"/>
      <c r="U1482" s="109"/>
      <c r="V1482" s="109"/>
      <c r="W1482" s="109"/>
      <c r="X1482" s="109"/>
      <c r="Y1482" s="109"/>
      <c r="Z1482" s="109"/>
      <c r="AA1482" s="109"/>
      <c r="AB1482" s="109"/>
      <c r="AC1482" s="109"/>
      <c r="AD1482" s="109"/>
      <c r="AE1482" s="109"/>
      <c r="AF1482" s="109"/>
      <c r="AG1482" s="109"/>
      <c r="AH1482" s="109"/>
      <c r="AI1482" s="109"/>
      <c r="AJ1482" s="109"/>
      <c r="AK1482" s="109"/>
      <c r="AL1482" s="109"/>
      <c r="AM1482" s="109"/>
      <c r="AN1482" s="109"/>
      <c r="AO1482" s="109"/>
      <c r="AP1482" s="109"/>
      <c r="AQ1482" s="109"/>
      <c r="AR1482" s="109"/>
      <c r="AS1482" s="109"/>
      <c r="AT1482" s="109"/>
      <c r="AU1482" s="109"/>
      <c r="AV1482" s="109"/>
      <c r="AW1482" s="109"/>
      <c r="AX1482" s="109"/>
      <c r="AY1482" s="34" t="s">
        <v>240</v>
      </c>
      <c r="AZ1482" s="34" t="s">
        <v>1717</v>
      </c>
      <c r="BA1482" s="63" t="s">
        <v>291</v>
      </c>
      <c r="BB1482" s="63"/>
      <c r="BC1482" s="56" t="s">
        <v>1718</v>
      </c>
      <c r="BI1482" s="42">
        <v>1</v>
      </c>
    </row>
    <row r="1483" spans="1:61" s="24" customFormat="1" ht="21.6" customHeight="1">
      <c r="A1483" s="32">
        <f>A1482+1</f>
        <v>861</v>
      </c>
      <c r="B1483" s="158" t="s">
        <v>186</v>
      </c>
      <c r="C1483" s="78" t="s">
        <v>59</v>
      </c>
      <c r="D1483" s="35">
        <f t="shared" ref="D1483:D1502" si="294">F1483+E1483</f>
        <v>0.16</v>
      </c>
      <c r="E1483" s="108"/>
      <c r="F1483" s="35">
        <f t="shared" si="281"/>
        <v>0.16</v>
      </c>
      <c r="G1483" s="109">
        <v>0.16</v>
      </c>
      <c r="H1483" s="109"/>
      <c r="I1483" s="109"/>
      <c r="J1483" s="109"/>
      <c r="K1483" s="109"/>
      <c r="L1483" s="109"/>
      <c r="M1483" s="109"/>
      <c r="N1483" s="109"/>
      <c r="O1483" s="109"/>
      <c r="P1483" s="109"/>
      <c r="Q1483" s="109"/>
      <c r="R1483" s="109"/>
      <c r="S1483" s="109"/>
      <c r="T1483" s="109"/>
      <c r="U1483" s="109"/>
      <c r="V1483" s="109"/>
      <c r="W1483" s="109"/>
      <c r="X1483" s="109"/>
      <c r="Y1483" s="109"/>
      <c r="Z1483" s="109"/>
      <c r="AA1483" s="109"/>
      <c r="AB1483" s="109"/>
      <c r="AC1483" s="109"/>
      <c r="AD1483" s="109"/>
      <c r="AE1483" s="109"/>
      <c r="AF1483" s="109"/>
      <c r="AG1483" s="109"/>
      <c r="AH1483" s="109"/>
      <c r="AI1483" s="109"/>
      <c r="AJ1483" s="109"/>
      <c r="AK1483" s="109"/>
      <c r="AL1483" s="109"/>
      <c r="AM1483" s="109"/>
      <c r="AN1483" s="109"/>
      <c r="AO1483" s="109"/>
      <c r="AP1483" s="109"/>
      <c r="AQ1483" s="109"/>
      <c r="AR1483" s="109"/>
      <c r="AS1483" s="109"/>
      <c r="AT1483" s="109"/>
      <c r="AU1483" s="109"/>
      <c r="AV1483" s="109"/>
      <c r="AW1483" s="109"/>
      <c r="AX1483" s="109"/>
      <c r="AY1483" s="34" t="s">
        <v>240</v>
      </c>
      <c r="AZ1483" s="34" t="s">
        <v>387</v>
      </c>
      <c r="BA1483" s="63" t="s">
        <v>291</v>
      </c>
      <c r="BB1483" s="64"/>
      <c r="BD1483" s="56" t="s">
        <v>1512</v>
      </c>
      <c r="BI1483" s="42">
        <v>1</v>
      </c>
    </row>
    <row r="1484" spans="1:61" s="24" customFormat="1" ht="21.6" customHeight="1">
      <c r="A1484" s="32">
        <f>A1483+1</f>
        <v>862</v>
      </c>
      <c r="B1484" s="158" t="s">
        <v>186</v>
      </c>
      <c r="C1484" s="78" t="s">
        <v>1260</v>
      </c>
      <c r="D1484" s="35">
        <f t="shared" si="294"/>
        <v>0.69</v>
      </c>
      <c r="E1484" s="108"/>
      <c r="F1484" s="35">
        <f t="shared" si="281"/>
        <v>0.69</v>
      </c>
      <c r="G1484" s="109">
        <v>0.69</v>
      </c>
      <c r="H1484" s="109"/>
      <c r="I1484" s="109"/>
      <c r="J1484" s="109"/>
      <c r="K1484" s="109"/>
      <c r="L1484" s="109"/>
      <c r="M1484" s="109"/>
      <c r="N1484" s="109"/>
      <c r="O1484" s="109"/>
      <c r="P1484" s="109"/>
      <c r="Q1484" s="109"/>
      <c r="R1484" s="109"/>
      <c r="S1484" s="109"/>
      <c r="T1484" s="109"/>
      <c r="U1484" s="109"/>
      <c r="V1484" s="109"/>
      <c r="W1484" s="109"/>
      <c r="X1484" s="109"/>
      <c r="Y1484" s="109"/>
      <c r="Z1484" s="109"/>
      <c r="AA1484" s="109"/>
      <c r="AB1484" s="109"/>
      <c r="AC1484" s="109"/>
      <c r="AD1484" s="109"/>
      <c r="AE1484" s="109"/>
      <c r="AF1484" s="109"/>
      <c r="AG1484" s="109"/>
      <c r="AH1484" s="109"/>
      <c r="AI1484" s="109"/>
      <c r="AJ1484" s="109"/>
      <c r="AK1484" s="109"/>
      <c r="AL1484" s="109"/>
      <c r="AM1484" s="109"/>
      <c r="AN1484" s="109"/>
      <c r="AO1484" s="109"/>
      <c r="AP1484" s="109"/>
      <c r="AQ1484" s="109"/>
      <c r="AR1484" s="109"/>
      <c r="AS1484" s="109"/>
      <c r="AT1484" s="109"/>
      <c r="AU1484" s="109"/>
      <c r="AV1484" s="109"/>
      <c r="AW1484" s="109"/>
      <c r="AX1484" s="109"/>
      <c r="AY1484" s="34" t="s">
        <v>240</v>
      </c>
      <c r="AZ1484" s="34" t="s">
        <v>1719</v>
      </c>
      <c r="BA1484" s="63" t="s">
        <v>291</v>
      </c>
      <c r="BB1484" s="63"/>
      <c r="BC1484" s="56" t="s">
        <v>1720</v>
      </c>
      <c r="BI1484" s="42">
        <v>1</v>
      </c>
    </row>
    <row r="1485" spans="1:61" s="24" customFormat="1" ht="21.6" hidden="1" customHeight="1">
      <c r="A1485" s="32"/>
      <c r="B1485" s="158"/>
      <c r="C1485" s="78" t="s">
        <v>59</v>
      </c>
      <c r="D1485" s="35">
        <f t="shared" si="294"/>
        <v>0.25</v>
      </c>
      <c r="E1485" s="76"/>
      <c r="F1485" s="35">
        <f t="shared" si="281"/>
        <v>0.25</v>
      </c>
      <c r="G1485" s="109">
        <v>0.25</v>
      </c>
      <c r="H1485" s="109"/>
      <c r="I1485" s="109"/>
      <c r="J1485" s="109"/>
      <c r="K1485" s="109"/>
      <c r="L1485" s="109"/>
      <c r="M1485" s="109"/>
      <c r="N1485" s="109"/>
      <c r="O1485" s="109"/>
      <c r="P1485" s="109"/>
      <c r="Q1485" s="109"/>
      <c r="R1485" s="109"/>
      <c r="S1485" s="109"/>
      <c r="T1485" s="109"/>
      <c r="U1485" s="109"/>
      <c r="V1485" s="109"/>
      <c r="W1485" s="109"/>
      <c r="X1485" s="109"/>
      <c r="Y1485" s="109"/>
      <c r="Z1485" s="109"/>
      <c r="AA1485" s="109"/>
      <c r="AB1485" s="109"/>
      <c r="AC1485" s="109"/>
      <c r="AD1485" s="109"/>
      <c r="AE1485" s="109"/>
      <c r="AF1485" s="109"/>
      <c r="AG1485" s="109"/>
      <c r="AH1485" s="109"/>
      <c r="AI1485" s="109"/>
      <c r="AJ1485" s="109"/>
      <c r="AK1485" s="109"/>
      <c r="AL1485" s="109"/>
      <c r="AM1485" s="109"/>
      <c r="AN1485" s="109"/>
      <c r="AO1485" s="109"/>
      <c r="AP1485" s="109"/>
      <c r="AQ1485" s="109"/>
      <c r="AR1485" s="109"/>
      <c r="AS1485" s="109"/>
      <c r="AT1485" s="109"/>
      <c r="AU1485" s="109"/>
      <c r="AV1485" s="109"/>
      <c r="AW1485" s="109"/>
      <c r="AX1485" s="109"/>
      <c r="AY1485" s="34" t="s">
        <v>240</v>
      </c>
      <c r="AZ1485" s="34"/>
      <c r="BA1485" s="63"/>
      <c r="BB1485" s="63"/>
      <c r="BC1485" s="56"/>
      <c r="BI1485" s="42"/>
    </row>
    <row r="1486" spans="1:61" s="24" customFormat="1" ht="21.6" hidden="1" customHeight="1">
      <c r="A1486" s="32"/>
      <c r="B1486" s="158"/>
      <c r="C1486" s="78" t="s">
        <v>44</v>
      </c>
      <c r="D1486" s="35">
        <f t="shared" si="294"/>
        <v>0.28000000000000003</v>
      </c>
      <c r="E1486" s="76"/>
      <c r="F1486" s="35">
        <f t="shared" si="281"/>
        <v>0.28000000000000003</v>
      </c>
      <c r="G1486" s="109">
        <v>0.28000000000000003</v>
      </c>
      <c r="H1486" s="109"/>
      <c r="I1486" s="109"/>
      <c r="J1486" s="109"/>
      <c r="K1486" s="109"/>
      <c r="L1486" s="109"/>
      <c r="M1486" s="109"/>
      <c r="N1486" s="109"/>
      <c r="O1486" s="109"/>
      <c r="P1486" s="109"/>
      <c r="Q1486" s="109"/>
      <c r="R1486" s="109"/>
      <c r="S1486" s="109"/>
      <c r="T1486" s="109"/>
      <c r="U1486" s="109"/>
      <c r="V1486" s="109"/>
      <c r="W1486" s="109"/>
      <c r="X1486" s="109"/>
      <c r="Y1486" s="109"/>
      <c r="Z1486" s="109"/>
      <c r="AA1486" s="109"/>
      <c r="AB1486" s="109"/>
      <c r="AC1486" s="109"/>
      <c r="AD1486" s="109"/>
      <c r="AE1486" s="109"/>
      <c r="AF1486" s="109"/>
      <c r="AG1486" s="109"/>
      <c r="AH1486" s="109"/>
      <c r="AI1486" s="109"/>
      <c r="AJ1486" s="109"/>
      <c r="AK1486" s="109"/>
      <c r="AL1486" s="109"/>
      <c r="AM1486" s="109"/>
      <c r="AN1486" s="109"/>
      <c r="AO1486" s="109"/>
      <c r="AP1486" s="109"/>
      <c r="AQ1486" s="109"/>
      <c r="AR1486" s="109"/>
      <c r="AS1486" s="109"/>
      <c r="AT1486" s="109"/>
      <c r="AU1486" s="109"/>
      <c r="AV1486" s="109"/>
      <c r="AW1486" s="109"/>
      <c r="AX1486" s="109"/>
      <c r="AY1486" s="34" t="s">
        <v>240</v>
      </c>
      <c r="AZ1486" s="34"/>
      <c r="BA1486" s="63"/>
      <c r="BB1486" s="63"/>
      <c r="BC1486" s="56"/>
      <c r="BI1486" s="42"/>
    </row>
    <row r="1487" spans="1:61" s="24" customFormat="1" ht="21.6" hidden="1" customHeight="1">
      <c r="A1487" s="32"/>
      <c r="B1487" s="158"/>
      <c r="C1487" s="78" t="s">
        <v>138</v>
      </c>
      <c r="D1487" s="35">
        <f t="shared" si="294"/>
        <v>0.15999999999999992</v>
      </c>
      <c r="E1487" s="76"/>
      <c r="F1487" s="35">
        <f t="shared" si="281"/>
        <v>0.15999999999999992</v>
      </c>
      <c r="G1487" s="147">
        <f>G1484-G1485-G1486</f>
        <v>0.15999999999999992</v>
      </c>
      <c r="H1487" s="147">
        <f t="shared" ref="H1487:AX1487" si="295">H1484-H1485-H1486</f>
        <v>0</v>
      </c>
      <c r="I1487" s="147">
        <f t="shared" si="295"/>
        <v>0</v>
      </c>
      <c r="J1487" s="147">
        <f t="shared" si="295"/>
        <v>0</v>
      </c>
      <c r="K1487" s="147">
        <f t="shared" si="295"/>
        <v>0</v>
      </c>
      <c r="L1487" s="147">
        <f t="shared" si="295"/>
        <v>0</v>
      </c>
      <c r="M1487" s="147">
        <f t="shared" si="295"/>
        <v>0</v>
      </c>
      <c r="N1487" s="147">
        <f t="shared" si="295"/>
        <v>0</v>
      </c>
      <c r="O1487" s="147">
        <f t="shared" si="295"/>
        <v>0</v>
      </c>
      <c r="P1487" s="147">
        <f t="shared" si="295"/>
        <v>0</v>
      </c>
      <c r="Q1487" s="147">
        <f t="shared" si="295"/>
        <v>0</v>
      </c>
      <c r="R1487" s="147">
        <f t="shared" si="295"/>
        <v>0</v>
      </c>
      <c r="S1487" s="147">
        <f t="shared" si="295"/>
        <v>0</v>
      </c>
      <c r="T1487" s="147">
        <f t="shared" si="295"/>
        <v>0</v>
      </c>
      <c r="U1487" s="147">
        <f t="shared" si="295"/>
        <v>0</v>
      </c>
      <c r="V1487" s="147">
        <f t="shared" si="295"/>
        <v>0</v>
      </c>
      <c r="W1487" s="147">
        <f t="shared" si="295"/>
        <v>0</v>
      </c>
      <c r="X1487" s="147">
        <f t="shared" si="295"/>
        <v>0</v>
      </c>
      <c r="Y1487" s="147">
        <f t="shared" si="295"/>
        <v>0</v>
      </c>
      <c r="Z1487" s="147">
        <f t="shared" si="295"/>
        <v>0</v>
      </c>
      <c r="AA1487" s="147">
        <f t="shared" si="295"/>
        <v>0</v>
      </c>
      <c r="AB1487" s="147">
        <f t="shared" si="295"/>
        <v>0</v>
      </c>
      <c r="AC1487" s="147">
        <f t="shared" si="295"/>
        <v>0</v>
      </c>
      <c r="AD1487" s="147">
        <f t="shared" si="295"/>
        <v>0</v>
      </c>
      <c r="AE1487" s="147">
        <f t="shared" si="295"/>
        <v>0</v>
      </c>
      <c r="AF1487" s="147">
        <f t="shared" si="295"/>
        <v>0</v>
      </c>
      <c r="AG1487" s="147">
        <f t="shared" si="295"/>
        <v>0</v>
      </c>
      <c r="AH1487" s="147">
        <f t="shared" si="295"/>
        <v>0</v>
      </c>
      <c r="AI1487" s="147">
        <f t="shared" si="295"/>
        <v>0</v>
      </c>
      <c r="AJ1487" s="147">
        <f t="shared" si="295"/>
        <v>0</v>
      </c>
      <c r="AK1487" s="147">
        <f t="shared" si="295"/>
        <v>0</v>
      </c>
      <c r="AL1487" s="147">
        <f t="shared" si="295"/>
        <v>0</v>
      </c>
      <c r="AM1487" s="147">
        <f t="shared" si="295"/>
        <v>0</v>
      </c>
      <c r="AN1487" s="147">
        <f t="shared" si="295"/>
        <v>0</v>
      </c>
      <c r="AO1487" s="147">
        <f t="shared" si="295"/>
        <v>0</v>
      </c>
      <c r="AP1487" s="147">
        <f t="shared" si="295"/>
        <v>0</v>
      </c>
      <c r="AQ1487" s="147">
        <f t="shared" si="295"/>
        <v>0</v>
      </c>
      <c r="AR1487" s="147">
        <f t="shared" si="295"/>
        <v>0</v>
      </c>
      <c r="AS1487" s="147">
        <f t="shared" si="295"/>
        <v>0</v>
      </c>
      <c r="AT1487" s="147">
        <f t="shared" si="295"/>
        <v>0</v>
      </c>
      <c r="AU1487" s="147">
        <f t="shared" si="295"/>
        <v>0</v>
      </c>
      <c r="AV1487" s="147">
        <f t="shared" si="295"/>
        <v>0</v>
      </c>
      <c r="AW1487" s="147">
        <f t="shared" si="295"/>
        <v>0</v>
      </c>
      <c r="AX1487" s="147">
        <f t="shared" si="295"/>
        <v>0</v>
      </c>
      <c r="AY1487" s="34" t="s">
        <v>240</v>
      </c>
      <c r="AZ1487" s="34"/>
      <c r="BA1487" s="63"/>
      <c r="BB1487" s="63"/>
      <c r="BC1487" s="56"/>
      <c r="BI1487" s="42"/>
    </row>
    <row r="1488" spans="1:61" s="24" customFormat="1" ht="21.6" customHeight="1">
      <c r="A1488" s="32">
        <f>A1484+1</f>
        <v>863</v>
      </c>
      <c r="B1488" s="158" t="s">
        <v>186</v>
      </c>
      <c r="C1488" s="78" t="s">
        <v>59</v>
      </c>
      <c r="D1488" s="35">
        <f t="shared" si="294"/>
        <v>0.2</v>
      </c>
      <c r="E1488" s="108"/>
      <c r="F1488" s="35">
        <f t="shared" si="281"/>
        <v>0.2</v>
      </c>
      <c r="G1488" s="109"/>
      <c r="H1488" s="109"/>
      <c r="I1488" s="109"/>
      <c r="J1488" s="109">
        <v>0.2</v>
      </c>
      <c r="K1488" s="109"/>
      <c r="L1488" s="109"/>
      <c r="M1488" s="109"/>
      <c r="N1488" s="109"/>
      <c r="O1488" s="109"/>
      <c r="P1488" s="109"/>
      <c r="Q1488" s="109"/>
      <c r="R1488" s="109"/>
      <c r="S1488" s="109"/>
      <c r="T1488" s="109"/>
      <c r="U1488" s="109"/>
      <c r="V1488" s="109"/>
      <c r="W1488" s="109"/>
      <c r="X1488" s="109"/>
      <c r="Y1488" s="109"/>
      <c r="Z1488" s="109"/>
      <c r="AA1488" s="109"/>
      <c r="AB1488" s="109"/>
      <c r="AC1488" s="109"/>
      <c r="AD1488" s="109"/>
      <c r="AE1488" s="109"/>
      <c r="AF1488" s="109"/>
      <c r="AG1488" s="109"/>
      <c r="AH1488" s="109"/>
      <c r="AI1488" s="109"/>
      <c r="AJ1488" s="109"/>
      <c r="AK1488" s="109"/>
      <c r="AL1488" s="109"/>
      <c r="AM1488" s="109"/>
      <c r="AN1488" s="109"/>
      <c r="AO1488" s="109"/>
      <c r="AP1488" s="109"/>
      <c r="AQ1488" s="109"/>
      <c r="AR1488" s="109"/>
      <c r="AS1488" s="109"/>
      <c r="AT1488" s="109"/>
      <c r="AU1488" s="109"/>
      <c r="AV1488" s="109"/>
      <c r="AW1488" s="109"/>
      <c r="AX1488" s="109"/>
      <c r="AY1488" s="34" t="s">
        <v>240</v>
      </c>
      <c r="AZ1488" s="34" t="s">
        <v>1721</v>
      </c>
      <c r="BA1488" s="47" t="s">
        <v>298</v>
      </c>
      <c r="BB1488" s="47"/>
      <c r="BC1488" s="56" t="s">
        <v>1722</v>
      </c>
      <c r="BI1488" s="42">
        <v>1</v>
      </c>
    </row>
    <row r="1489" spans="1:61" s="24" customFormat="1" ht="21.6" customHeight="1">
      <c r="A1489" s="32">
        <f t="shared" ref="A1489:A1494" si="296">A1488+1</f>
        <v>864</v>
      </c>
      <c r="B1489" s="158" t="s">
        <v>186</v>
      </c>
      <c r="C1489" s="78" t="s">
        <v>59</v>
      </c>
      <c r="D1489" s="35">
        <f t="shared" si="294"/>
        <v>0.28000000000000003</v>
      </c>
      <c r="E1489" s="108"/>
      <c r="F1489" s="35">
        <f t="shared" ref="F1489:F1546" si="297">SUM(G1489:AX1489)</f>
        <v>0.28000000000000003</v>
      </c>
      <c r="G1489" s="109"/>
      <c r="H1489" s="109"/>
      <c r="I1489" s="109">
        <v>0.28000000000000003</v>
      </c>
      <c r="J1489" s="109"/>
      <c r="K1489" s="109"/>
      <c r="L1489" s="109"/>
      <c r="M1489" s="109"/>
      <c r="N1489" s="109"/>
      <c r="O1489" s="109"/>
      <c r="P1489" s="109"/>
      <c r="Q1489" s="109"/>
      <c r="R1489" s="109"/>
      <c r="S1489" s="109"/>
      <c r="T1489" s="109"/>
      <c r="U1489" s="109"/>
      <c r="V1489" s="109"/>
      <c r="W1489" s="109"/>
      <c r="X1489" s="109"/>
      <c r="Y1489" s="109"/>
      <c r="Z1489" s="109"/>
      <c r="AA1489" s="109"/>
      <c r="AB1489" s="109"/>
      <c r="AC1489" s="109"/>
      <c r="AD1489" s="109"/>
      <c r="AE1489" s="109"/>
      <c r="AF1489" s="109"/>
      <c r="AG1489" s="109"/>
      <c r="AH1489" s="109"/>
      <c r="AI1489" s="109"/>
      <c r="AJ1489" s="109"/>
      <c r="AK1489" s="109"/>
      <c r="AL1489" s="109"/>
      <c r="AM1489" s="109"/>
      <c r="AN1489" s="109"/>
      <c r="AO1489" s="109"/>
      <c r="AP1489" s="109"/>
      <c r="AQ1489" s="109"/>
      <c r="AR1489" s="109"/>
      <c r="AS1489" s="109"/>
      <c r="AT1489" s="109"/>
      <c r="AU1489" s="109"/>
      <c r="AV1489" s="109"/>
      <c r="AW1489" s="109"/>
      <c r="AX1489" s="109"/>
      <c r="AY1489" s="34" t="s">
        <v>240</v>
      </c>
      <c r="AZ1489" s="34" t="s">
        <v>1723</v>
      </c>
      <c r="BA1489" s="47" t="s">
        <v>298</v>
      </c>
      <c r="BB1489" s="47"/>
      <c r="BC1489" s="56" t="s">
        <v>1724</v>
      </c>
      <c r="BI1489" s="42">
        <v>1</v>
      </c>
    </row>
    <row r="1490" spans="1:61" s="24" customFormat="1" ht="21.6" customHeight="1">
      <c r="A1490" s="32">
        <f t="shared" si="296"/>
        <v>865</v>
      </c>
      <c r="B1490" s="158" t="s">
        <v>186</v>
      </c>
      <c r="C1490" s="78" t="s">
        <v>59</v>
      </c>
      <c r="D1490" s="35">
        <f t="shared" si="294"/>
        <v>0.2</v>
      </c>
      <c r="E1490" s="108"/>
      <c r="F1490" s="35">
        <f t="shared" si="297"/>
        <v>0.2</v>
      </c>
      <c r="G1490" s="109">
        <v>0.2</v>
      </c>
      <c r="H1490" s="109"/>
      <c r="I1490" s="109"/>
      <c r="J1490" s="109"/>
      <c r="K1490" s="109"/>
      <c r="L1490" s="109"/>
      <c r="M1490" s="109"/>
      <c r="N1490" s="109"/>
      <c r="O1490" s="109"/>
      <c r="P1490" s="109"/>
      <c r="Q1490" s="109"/>
      <c r="R1490" s="109"/>
      <c r="S1490" s="109"/>
      <c r="T1490" s="109"/>
      <c r="U1490" s="109"/>
      <c r="V1490" s="109"/>
      <c r="W1490" s="109"/>
      <c r="X1490" s="109"/>
      <c r="Y1490" s="109"/>
      <c r="Z1490" s="109"/>
      <c r="AA1490" s="109"/>
      <c r="AB1490" s="109"/>
      <c r="AC1490" s="109"/>
      <c r="AD1490" s="109"/>
      <c r="AE1490" s="109"/>
      <c r="AF1490" s="109"/>
      <c r="AG1490" s="109"/>
      <c r="AH1490" s="109"/>
      <c r="AI1490" s="109"/>
      <c r="AJ1490" s="109"/>
      <c r="AK1490" s="109"/>
      <c r="AL1490" s="109"/>
      <c r="AM1490" s="109"/>
      <c r="AN1490" s="109"/>
      <c r="AO1490" s="109"/>
      <c r="AP1490" s="109"/>
      <c r="AQ1490" s="109"/>
      <c r="AR1490" s="109"/>
      <c r="AS1490" s="109"/>
      <c r="AT1490" s="109"/>
      <c r="AU1490" s="109"/>
      <c r="AV1490" s="109"/>
      <c r="AW1490" s="109"/>
      <c r="AX1490" s="109"/>
      <c r="AY1490" s="34" t="s">
        <v>240</v>
      </c>
      <c r="AZ1490" s="34" t="s">
        <v>1725</v>
      </c>
      <c r="BA1490" s="63" t="s">
        <v>291</v>
      </c>
      <c r="BB1490" s="63"/>
      <c r="BC1490" s="56" t="s">
        <v>1726</v>
      </c>
      <c r="BI1490" s="42">
        <v>1</v>
      </c>
    </row>
    <row r="1491" spans="1:61" s="24" customFormat="1" ht="21.6" customHeight="1">
      <c r="A1491" s="32">
        <f t="shared" si="296"/>
        <v>866</v>
      </c>
      <c r="B1491" s="158" t="s">
        <v>186</v>
      </c>
      <c r="C1491" s="78" t="s">
        <v>59</v>
      </c>
      <c r="D1491" s="35">
        <f t="shared" si="294"/>
        <v>0.37</v>
      </c>
      <c r="E1491" s="108"/>
      <c r="F1491" s="35">
        <f t="shared" si="297"/>
        <v>0.37</v>
      </c>
      <c r="G1491" s="109">
        <v>0.17</v>
      </c>
      <c r="H1491" s="109"/>
      <c r="I1491" s="109">
        <v>0.2</v>
      </c>
      <c r="J1491" s="109"/>
      <c r="K1491" s="109"/>
      <c r="L1491" s="109"/>
      <c r="M1491" s="109"/>
      <c r="N1491" s="109"/>
      <c r="O1491" s="109"/>
      <c r="P1491" s="109"/>
      <c r="Q1491" s="109"/>
      <c r="R1491" s="109"/>
      <c r="S1491" s="109"/>
      <c r="T1491" s="109"/>
      <c r="U1491" s="109"/>
      <c r="V1491" s="109"/>
      <c r="W1491" s="109"/>
      <c r="X1491" s="109"/>
      <c r="Y1491" s="109"/>
      <c r="Z1491" s="109"/>
      <c r="AA1491" s="109"/>
      <c r="AB1491" s="109"/>
      <c r="AC1491" s="109"/>
      <c r="AD1491" s="109"/>
      <c r="AE1491" s="109"/>
      <c r="AF1491" s="109"/>
      <c r="AG1491" s="109"/>
      <c r="AH1491" s="109"/>
      <c r="AI1491" s="109"/>
      <c r="AJ1491" s="109"/>
      <c r="AK1491" s="109"/>
      <c r="AL1491" s="109"/>
      <c r="AM1491" s="109"/>
      <c r="AN1491" s="109"/>
      <c r="AO1491" s="109"/>
      <c r="AP1491" s="109"/>
      <c r="AQ1491" s="109"/>
      <c r="AR1491" s="109"/>
      <c r="AS1491" s="109"/>
      <c r="AT1491" s="109"/>
      <c r="AU1491" s="109"/>
      <c r="AV1491" s="109"/>
      <c r="AW1491" s="109"/>
      <c r="AX1491" s="109"/>
      <c r="AY1491" s="34" t="s">
        <v>240</v>
      </c>
      <c r="AZ1491" s="34" t="s">
        <v>1727</v>
      </c>
      <c r="BA1491" s="63" t="s">
        <v>291</v>
      </c>
      <c r="BB1491" s="63"/>
      <c r="BC1491" s="56" t="s">
        <v>1728</v>
      </c>
      <c r="BI1491" s="42">
        <v>1</v>
      </c>
    </row>
    <row r="1492" spans="1:61" s="24" customFormat="1" ht="21.6" customHeight="1">
      <c r="A1492" s="32">
        <f t="shared" si="296"/>
        <v>867</v>
      </c>
      <c r="B1492" s="158" t="s">
        <v>186</v>
      </c>
      <c r="C1492" s="78" t="s">
        <v>59</v>
      </c>
      <c r="D1492" s="35">
        <f t="shared" si="294"/>
        <v>0.37</v>
      </c>
      <c r="E1492" s="108"/>
      <c r="F1492" s="35">
        <f t="shared" si="297"/>
        <v>0.37</v>
      </c>
      <c r="G1492" s="109"/>
      <c r="H1492" s="109"/>
      <c r="I1492" s="109">
        <v>0.09</v>
      </c>
      <c r="J1492" s="109">
        <v>0.28000000000000003</v>
      </c>
      <c r="K1492" s="109"/>
      <c r="L1492" s="109"/>
      <c r="M1492" s="109"/>
      <c r="N1492" s="109"/>
      <c r="O1492" s="109"/>
      <c r="P1492" s="109"/>
      <c r="Q1492" s="109"/>
      <c r="R1492" s="109"/>
      <c r="S1492" s="109"/>
      <c r="T1492" s="109"/>
      <c r="U1492" s="109"/>
      <c r="V1492" s="109"/>
      <c r="W1492" s="109"/>
      <c r="X1492" s="109"/>
      <c r="Y1492" s="109"/>
      <c r="Z1492" s="109"/>
      <c r="AA1492" s="109"/>
      <c r="AB1492" s="109"/>
      <c r="AC1492" s="109"/>
      <c r="AD1492" s="109"/>
      <c r="AE1492" s="109"/>
      <c r="AF1492" s="109"/>
      <c r="AG1492" s="109"/>
      <c r="AH1492" s="109"/>
      <c r="AI1492" s="109"/>
      <c r="AJ1492" s="109"/>
      <c r="AK1492" s="109"/>
      <c r="AL1492" s="109"/>
      <c r="AM1492" s="109"/>
      <c r="AN1492" s="109"/>
      <c r="AO1492" s="109"/>
      <c r="AP1492" s="109"/>
      <c r="AQ1492" s="109"/>
      <c r="AR1492" s="109"/>
      <c r="AS1492" s="109"/>
      <c r="AT1492" s="109"/>
      <c r="AU1492" s="109"/>
      <c r="AV1492" s="109"/>
      <c r="AW1492" s="109"/>
      <c r="AX1492" s="109"/>
      <c r="AY1492" s="34" t="s">
        <v>240</v>
      </c>
      <c r="AZ1492" s="34" t="s">
        <v>1729</v>
      </c>
      <c r="BA1492" s="47" t="s">
        <v>298</v>
      </c>
      <c r="BB1492" s="47"/>
      <c r="BC1492" s="56" t="s">
        <v>1730</v>
      </c>
      <c r="BI1492" s="42">
        <v>1</v>
      </c>
    </row>
    <row r="1493" spans="1:61" s="24" customFormat="1" ht="21.6" customHeight="1">
      <c r="A1493" s="32">
        <f t="shared" si="296"/>
        <v>868</v>
      </c>
      <c r="B1493" s="158" t="s">
        <v>186</v>
      </c>
      <c r="C1493" s="78" t="s">
        <v>59</v>
      </c>
      <c r="D1493" s="35">
        <f t="shared" si="294"/>
        <v>0.34</v>
      </c>
      <c r="E1493" s="108"/>
      <c r="F1493" s="35">
        <f t="shared" si="297"/>
        <v>0.34</v>
      </c>
      <c r="G1493" s="109">
        <v>0.34</v>
      </c>
      <c r="H1493" s="109"/>
      <c r="I1493" s="109"/>
      <c r="J1493" s="109"/>
      <c r="K1493" s="109"/>
      <c r="L1493" s="109"/>
      <c r="M1493" s="109"/>
      <c r="N1493" s="109"/>
      <c r="O1493" s="109"/>
      <c r="P1493" s="109"/>
      <c r="Q1493" s="109"/>
      <c r="R1493" s="109"/>
      <c r="S1493" s="109"/>
      <c r="T1493" s="109"/>
      <c r="U1493" s="109"/>
      <c r="V1493" s="109"/>
      <c r="W1493" s="109"/>
      <c r="X1493" s="109"/>
      <c r="Y1493" s="109"/>
      <c r="Z1493" s="109"/>
      <c r="AA1493" s="109"/>
      <c r="AB1493" s="109"/>
      <c r="AC1493" s="109"/>
      <c r="AD1493" s="109"/>
      <c r="AE1493" s="109"/>
      <c r="AF1493" s="109"/>
      <c r="AG1493" s="109"/>
      <c r="AH1493" s="109"/>
      <c r="AI1493" s="109"/>
      <c r="AJ1493" s="109"/>
      <c r="AK1493" s="109"/>
      <c r="AL1493" s="109"/>
      <c r="AM1493" s="109"/>
      <c r="AN1493" s="109"/>
      <c r="AO1493" s="109"/>
      <c r="AP1493" s="109"/>
      <c r="AQ1493" s="109"/>
      <c r="AR1493" s="109"/>
      <c r="AS1493" s="109"/>
      <c r="AT1493" s="109"/>
      <c r="AU1493" s="109"/>
      <c r="AV1493" s="109"/>
      <c r="AW1493" s="109"/>
      <c r="AX1493" s="109"/>
      <c r="AY1493" s="34" t="s">
        <v>240</v>
      </c>
      <c r="AZ1493" s="34" t="s">
        <v>1731</v>
      </c>
      <c r="BA1493" s="47" t="s">
        <v>298</v>
      </c>
      <c r="BB1493" s="47"/>
      <c r="BC1493" s="56" t="s">
        <v>1732</v>
      </c>
      <c r="BI1493" s="42">
        <v>1</v>
      </c>
    </row>
    <row r="1494" spans="1:61" s="24" customFormat="1" ht="21.6" customHeight="1">
      <c r="A1494" s="32">
        <f t="shared" si="296"/>
        <v>869</v>
      </c>
      <c r="B1494" s="158" t="s">
        <v>186</v>
      </c>
      <c r="C1494" s="78" t="s">
        <v>1260</v>
      </c>
      <c r="D1494" s="35">
        <f t="shared" si="294"/>
        <v>0.4</v>
      </c>
      <c r="E1494" s="108"/>
      <c r="F1494" s="35">
        <f t="shared" si="297"/>
        <v>0.4</v>
      </c>
      <c r="G1494" s="109"/>
      <c r="H1494" s="109"/>
      <c r="I1494" s="109">
        <v>0.4</v>
      </c>
      <c r="J1494" s="109"/>
      <c r="K1494" s="109"/>
      <c r="L1494" s="109"/>
      <c r="M1494" s="109"/>
      <c r="N1494" s="109"/>
      <c r="O1494" s="109"/>
      <c r="P1494" s="109"/>
      <c r="Q1494" s="109"/>
      <c r="R1494" s="109"/>
      <c r="S1494" s="109"/>
      <c r="T1494" s="109"/>
      <c r="U1494" s="109"/>
      <c r="V1494" s="109"/>
      <c r="W1494" s="109"/>
      <c r="X1494" s="109"/>
      <c r="Y1494" s="109"/>
      <c r="Z1494" s="109"/>
      <c r="AA1494" s="109"/>
      <c r="AB1494" s="109"/>
      <c r="AC1494" s="109"/>
      <c r="AD1494" s="109"/>
      <c r="AE1494" s="109"/>
      <c r="AF1494" s="109"/>
      <c r="AG1494" s="109"/>
      <c r="AH1494" s="109"/>
      <c r="AI1494" s="109"/>
      <c r="AJ1494" s="109"/>
      <c r="AK1494" s="109"/>
      <c r="AL1494" s="109"/>
      <c r="AM1494" s="109"/>
      <c r="AN1494" s="109"/>
      <c r="AO1494" s="109"/>
      <c r="AP1494" s="109"/>
      <c r="AQ1494" s="109"/>
      <c r="AR1494" s="109"/>
      <c r="AS1494" s="109"/>
      <c r="AT1494" s="109"/>
      <c r="AU1494" s="109"/>
      <c r="AV1494" s="109"/>
      <c r="AW1494" s="109"/>
      <c r="AX1494" s="109"/>
      <c r="AY1494" s="34" t="s">
        <v>240</v>
      </c>
      <c r="AZ1494" s="34" t="s">
        <v>1733</v>
      </c>
      <c r="BA1494" s="63" t="s">
        <v>291</v>
      </c>
      <c r="BB1494" s="63"/>
      <c r="BC1494" s="56" t="s">
        <v>1734</v>
      </c>
      <c r="BI1494" s="42">
        <v>1</v>
      </c>
    </row>
    <row r="1495" spans="1:61" s="24" customFormat="1" ht="21.6" hidden="1" customHeight="1">
      <c r="A1495" s="32"/>
      <c r="B1495" s="158"/>
      <c r="C1495" s="78" t="s">
        <v>59</v>
      </c>
      <c r="D1495" s="35">
        <f t="shared" si="294"/>
        <v>0.16</v>
      </c>
      <c r="E1495" s="76"/>
      <c r="F1495" s="35">
        <f t="shared" si="297"/>
        <v>0.16</v>
      </c>
      <c r="G1495" s="109"/>
      <c r="H1495" s="109"/>
      <c r="I1495" s="109">
        <v>0.16</v>
      </c>
      <c r="J1495" s="109"/>
      <c r="K1495" s="109"/>
      <c r="L1495" s="109"/>
      <c r="M1495" s="109"/>
      <c r="N1495" s="109"/>
      <c r="O1495" s="109"/>
      <c r="P1495" s="109"/>
      <c r="Q1495" s="109"/>
      <c r="R1495" s="109"/>
      <c r="S1495" s="109"/>
      <c r="T1495" s="109"/>
      <c r="U1495" s="109"/>
      <c r="V1495" s="109"/>
      <c r="W1495" s="109"/>
      <c r="X1495" s="109"/>
      <c r="Y1495" s="109"/>
      <c r="Z1495" s="109"/>
      <c r="AA1495" s="109"/>
      <c r="AB1495" s="109"/>
      <c r="AC1495" s="109"/>
      <c r="AD1495" s="109"/>
      <c r="AE1495" s="109"/>
      <c r="AF1495" s="109"/>
      <c r="AG1495" s="109"/>
      <c r="AH1495" s="109"/>
      <c r="AI1495" s="109"/>
      <c r="AJ1495" s="109"/>
      <c r="AK1495" s="109"/>
      <c r="AL1495" s="109"/>
      <c r="AM1495" s="109"/>
      <c r="AN1495" s="109"/>
      <c r="AO1495" s="109"/>
      <c r="AP1495" s="109"/>
      <c r="AQ1495" s="109"/>
      <c r="AR1495" s="109"/>
      <c r="AS1495" s="109"/>
      <c r="AT1495" s="109"/>
      <c r="AU1495" s="109"/>
      <c r="AV1495" s="109"/>
      <c r="AW1495" s="109"/>
      <c r="AX1495" s="109"/>
      <c r="AY1495" s="34" t="s">
        <v>240</v>
      </c>
      <c r="AZ1495" s="34"/>
      <c r="BA1495" s="63"/>
      <c r="BB1495" s="64"/>
      <c r="BC1495" s="87"/>
      <c r="BI1495" s="42"/>
    </row>
    <row r="1496" spans="1:61" s="24" customFormat="1" ht="21.6" hidden="1" customHeight="1">
      <c r="A1496" s="32"/>
      <c r="B1496" s="158"/>
      <c r="C1496" s="78" t="s">
        <v>44</v>
      </c>
      <c r="D1496" s="35">
        <f t="shared" si="294"/>
        <v>0.16</v>
      </c>
      <c r="E1496" s="76"/>
      <c r="F1496" s="35">
        <f t="shared" si="297"/>
        <v>0.16</v>
      </c>
      <c r="G1496" s="109"/>
      <c r="H1496" s="109"/>
      <c r="I1496" s="109">
        <v>0.16</v>
      </c>
      <c r="J1496" s="109"/>
      <c r="K1496" s="109"/>
      <c r="L1496" s="109"/>
      <c r="M1496" s="109"/>
      <c r="N1496" s="109"/>
      <c r="O1496" s="109"/>
      <c r="P1496" s="109"/>
      <c r="Q1496" s="109"/>
      <c r="R1496" s="109"/>
      <c r="S1496" s="109"/>
      <c r="T1496" s="109"/>
      <c r="U1496" s="109"/>
      <c r="V1496" s="109"/>
      <c r="W1496" s="109"/>
      <c r="X1496" s="109"/>
      <c r="Y1496" s="109"/>
      <c r="Z1496" s="109"/>
      <c r="AA1496" s="109"/>
      <c r="AB1496" s="109"/>
      <c r="AC1496" s="109"/>
      <c r="AD1496" s="109"/>
      <c r="AE1496" s="109"/>
      <c r="AF1496" s="109"/>
      <c r="AG1496" s="109"/>
      <c r="AH1496" s="109"/>
      <c r="AI1496" s="109"/>
      <c r="AJ1496" s="109"/>
      <c r="AK1496" s="109"/>
      <c r="AL1496" s="109"/>
      <c r="AM1496" s="109"/>
      <c r="AN1496" s="109"/>
      <c r="AO1496" s="109"/>
      <c r="AP1496" s="109"/>
      <c r="AQ1496" s="109"/>
      <c r="AR1496" s="109"/>
      <c r="AS1496" s="109"/>
      <c r="AT1496" s="109"/>
      <c r="AU1496" s="109"/>
      <c r="AV1496" s="109"/>
      <c r="AW1496" s="109"/>
      <c r="AX1496" s="109"/>
      <c r="AY1496" s="34" t="s">
        <v>240</v>
      </c>
      <c r="AZ1496" s="34"/>
      <c r="BA1496" s="63"/>
      <c r="BB1496" s="64"/>
      <c r="BC1496" s="87"/>
      <c r="BI1496" s="42"/>
    </row>
    <row r="1497" spans="1:61" s="24" customFormat="1" ht="21.6" hidden="1" customHeight="1">
      <c r="A1497" s="32"/>
      <c r="B1497" s="158"/>
      <c r="C1497" s="78" t="s">
        <v>138</v>
      </c>
      <c r="D1497" s="35">
        <f t="shared" si="294"/>
        <v>8.0000000000000016E-2</v>
      </c>
      <c r="E1497" s="76"/>
      <c r="F1497" s="35">
        <f t="shared" si="297"/>
        <v>8.0000000000000016E-2</v>
      </c>
      <c r="G1497" s="147">
        <f>G1494-G1495-G1496</f>
        <v>0</v>
      </c>
      <c r="H1497" s="147">
        <f t="shared" ref="H1497:AX1497" si="298">H1494-H1495-H1496</f>
        <v>0</v>
      </c>
      <c r="I1497" s="147">
        <f t="shared" si="298"/>
        <v>8.0000000000000016E-2</v>
      </c>
      <c r="J1497" s="147">
        <f t="shared" si="298"/>
        <v>0</v>
      </c>
      <c r="K1497" s="147">
        <f t="shared" si="298"/>
        <v>0</v>
      </c>
      <c r="L1497" s="147">
        <f t="shared" si="298"/>
        <v>0</v>
      </c>
      <c r="M1497" s="147">
        <f t="shared" si="298"/>
        <v>0</v>
      </c>
      <c r="N1497" s="147">
        <f t="shared" si="298"/>
        <v>0</v>
      </c>
      <c r="O1497" s="147">
        <f t="shared" si="298"/>
        <v>0</v>
      </c>
      <c r="P1497" s="147">
        <f t="shared" si="298"/>
        <v>0</v>
      </c>
      <c r="Q1497" s="147">
        <f t="shared" si="298"/>
        <v>0</v>
      </c>
      <c r="R1497" s="147">
        <f t="shared" si="298"/>
        <v>0</v>
      </c>
      <c r="S1497" s="147">
        <f t="shared" si="298"/>
        <v>0</v>
      </c>
      <c r="T1497" s="147">
        <f t="shared" si="298"/>
        <v>0</v>
      </c>
      <c r="U1497" s="147">
        <f t="shared" si="298"/>
        <v>0</v>
      </c>
      <c r="V1497" s="147">
        <f t="shared" si="298"/>
        <v>0</v>
      </c>
      <c r="W1497" s="147">
        <f t="shared" si="298"/>
        <v>0</v>
      </c>
      <c r="X1497" s="147">
        <f t="shared" si="298"/>
        <v>0</v>
      </c>
      <c r="Y1497" s="147">
        <f t="shared" si="298"/>
        <v>0</v>
      </c>
      <c r="Z1497" s="147">
        <f t="shared" si="298"/>
        <v>0</v>
      </c>
      <c r="AA1497" s="147">
        <f t="shared" si="298"/>
        <v>0</v>
      </c>
      <c r="AB1497" s="147">
        <f t="shared" si="298"/>
        <v>0</v>
      </c>
      <c r="AC1497" s="147">
        <f t="shared" si="298"/>
        <v>0</v>
      </c>
      <c r="AD1497" s="147">
        <f t="shared" si="298"/>
        <v>0</v>
      </c>
      <c r="AE1497" s="147">
        <f t="shared" si="298"/>
        <v>0</v>
      </c>
      <c r="AF1497" s="147">
        <f t="shared" si="298"/>
        <v>0</v>
      </c>
      <c r="AG1497" s="147">
        <f t="shared" si="298"/>
        <v>0</v>
      </c>
      <c r="AH1497" s="147">
        <f t="shared" si="298"/>
        <v>0</v>
      </c>
      <c r="AI1497" s="147">
        <f t="shared" si="298"/>
        <v>0</v>
      </c>
      <c r="AJ1497" s="147">
        <f t="shared" si="298"/>
        <v>0</v>
      </c>
      <c r="AK1497" s="147">
        <f t="shared" si="298"/>
        <v>0</v>
      </c>
      <c r="AL1497" s="147">
        <f t="shared" si="298"/>
        <v>0</v>
      </c>
      <c r="AM1497" s="147">
        <f t="shared" si="298"/>
        <v>0</v>
      </c>
      <c r="AN1497" s="147">
        <f t="shared" si="298"/>
        <v>0</v>
      </c>
      <c r="AO1497" s="147">
        <f t="shared" si="298"/>
        <v>0</v>
      </c>
      <c r="AP1497" s="147">
        <f t="shared" si="298"/>
        <v>0</v>
      </c>
      <c r="AQ1497" s="147">
        <f t="shared" si="298"/>
        <v>0</v>
      </c>
      <c r="AR1497" s="147">
        <f t="shared" si="298"/>
        <v>0</v>
      </c>
      <c r="AS1497" s="147">
        <f t="shared" si="298"/>
        <v>0</v>
      </c>
      <c r="AT1497" s="147">
        <f t="shared" si="298"/>
        <v>0</v>
      </c>
      <c r="AU1497" s="147">
        <f t="shared" si="298"/>
        <v>0</v>
      </c>
      <c r="AV1497" s="147">
        <f t="shared" si="298"/>
        <v>0</v>
      </c>
      <c r="AW1497" s="147">
        <f t="shared" si="298"/>
        <v>0</v>
      </c>
      <c r="AX1497" s="147">
        <f t="shared" si="298"/>
        <v>0</v>
      </c>
      <c r="AY1497" s="34" t="s">
        <v>240</v>
      </c>
      <c r="AZ1497" s="34"/>
      <c r="BA1497" s="63"/>
      <c r="BB1497" s="64"/>
      <c r="BC1497" s="87"/>
      <c r="BI1497" s="42"/>
    </row>
    <row r="1498" spans="1:61" s="24" customFormat="1" ht="21.6" customHeight="1">
      <c r="A1498" s="32">
        <f>A1494+1</f>
        <v>870</v>
      </c>
      <c r="B1498" s="158" t="s">
        <v>186</v>
      </c>
      <c r="C1498" s="78" t="s">
        <v>1260</v>
      </c>
      <c r="D1498" s="35">
        <f t="shared" si="294"/>
        <v>0.4</v>
      </c>
      <c r="E1498" s="108"/>
      <c r="F1498" s="35">
        <f>SUM(G1498:AX1498)</f>
        <v>0.4</v>
      </c>
      <c r="G1498" s="109"/>
      <c r="H1498" s="109"/>
      <c r="I1498" s="109"/>
      <c r="J1498" s="109"/>
      <c r="K1498" s="109"/>
      <c r="L1498" s="109"/>
      <c r="M1498" s="109">
        <v>0.4</v>
      </c>
      <c r="N1498" s="109"/>
      <c r="O1498" s="109"/>
      <c r="P1498" s="109"/>
      <c r="Q1498" s="109"/>
      <c r="R1498" s="109"/>
      <c r="S1498" s="109"/>
      <c r="T1498" s="109"/>
      <c r="U1498" s="109"/>
      <c r="V1498" s="109"/>
      <c r="W1498" s="109"/>
      <c r="X1498" s="109"/>
      <c r="Y1498" s="109"/>
      <c r="Z1498" s="109"/>
      <c r="AA1498" s="109"/>
      <c r="AB1498" s="109"/>
      <c r="AC1498" s="109"/>
      <c r="AD1498" s="109"/>
      <c r="AE1498" s="109"/>
      <c r="AF1498" s="109"/>
      <c r="AG1498" s="109"/>
      <c r="AH1498" s="109"/>
      <c r="AI1498" s="109"/>
      <c r="AJ1498" s="109"/>
      <c r="AK1498" s="109"/>
      <c r="AL1498" s="109"/>
      <c r="AM1498" s="109"/>
      <c r="AN1498" s="109"/>
      <c r="AO1498" s="109"/>
      <c r="AP1498" s="109"/>
      <c r="AQ1498" s="109"/>
      <c r="AR1498" s="109"/>
      <c r="AS1498" s="109"/>
      <c r="AT1498" s="109"/>
      <c r="AU1498" s="109"/>
      <c r="AV1498" s="109"/>
      <c r="AW1498" s="109"/>
      <c r="AX1498" s="109"/>
      <c r="AY1498" s="34" t="s">
        <v>240</v>
      </c>
      <c r="AZ1498" s="34" t="s">
        <v>1735</v>
      </c>
      <c r="BA1498" s="47" t="s">
        <v>298</v>
      </c>
      <c r="BB1498" s="24" t="s">
        <v>311</v>
      </c>
      <c r="BI1498" s="42">
        <v>1</v>
      </c>
    </row>
    <row r="1499" spans="1:61" s="24" customFormat="1" ht="21.6" hidden="1" customHeight="1">
      <c r="A1499" s="32"/>
      <c r="B1499" s="158"/>
      <c r="C1499" s="78" t="s">
        <v>59</v>
      </c>
      <c r="D1499" s="35">
        <f t="shared" si="294"/>
        <v>0.16</v>
      </c>
      <c r="E1499" s="76"/>
      <c r="F1499" s="35">
        <f>SUM(G1499:AX1499)</f>
        <v>0.16</v>
      </c>
      <c r="G1499" s="109"/>
      <c r="H1499" s="109"/>
      <c r="I1499" s="109"/>
      <c r="J1499" s="109"/>
      <c r="K1499" s="109"/>
      <c r="L1499" s="109"/>
      <c r="M1499" s="109">
        <v>0.16</v>
      </c>
      <c r="N1499" s="109"/>
      <c r="O1499" s="109"/>
      <c r="P1499" s="109"/>
      <c r="Q1499" s="109"/>
      <c r="R1499" s="109"/>
      <c r="S1499" s="109"/>
      <c r="T1499" s="109"/>
      <c r="U1499" s="109"/>
      <c r="V1499" s="109"/>
      <c r="W1499" s="109"/>
      <c r="X1499" s="109"/>
      <c r="Y1499" s="109"/>
      <c r="Z1499" s="109"/>
      <c r="AA1499" s="109"/>
      <c r="AB1499" s="109"/>
      <c r="AC1499" s="109"/>
      <c r="AD1499" s="109"/>
      <c r="AE1499" s="109"/>
      <c r="AF1499" s="109"/>
      <c r="AG1499" s="109"/>
      <c r="AH1499" s="109"/>
      <c r="AI1499" s="109"/>
      <c r="AJ1499" s="109"/>
      <c r="AK1499" s="109"/>
      <c r="AL1499" s="109"/>
      <c r="AM1499" s="109"/>
      <c r="AN1499" s="109"/>
      <c r="AO1499" s="109"/>
      <c r="AP1499" s="109"/>
      <c r="AQ1499" s="109"/>
      <c r="AR1499" s="109"/>
      <c r="AS1499" s="109"/>
      <c r="AT1499" s="109"/>
      <c r="AU1499" s="109"/>
      <c r="AV1499" s="109"/>
      <c r="AW1499" s="109"/>
      <c r="AX1499" s="109"/>
      <c r="AY1499" s="34" t="s">
        <v>240</v>
      </c>
      <c r="AZ1499" s="34"/>
      <c r="BA1499" s="47"/>
      <c r="BI1499" s="42"/>
    </row>
    <row r="1500" spans="1:61" s="24" customFormat="1" ht="21.6" hidden="1" customHeight="1">
      <c r="A1500" s="32"/>
      <c r="B1500" s="158"/>
      <c r="C1500" s="78" t="s">
        <v>44</v>
      </c>
      <c r="D1500" s="35">
        <f t="shared" si="294"/>
        <v>0.16</v>
      </c>
      <c r="E1500" s="76"/>
      <c r="F1500" s="35">
        <f>SUM(G1500:AX1500)</f>
        <v>0.16</v>
      </c>
      <c r="G1500" s="109"/>
      <c r="H1500" s="109"/>
      <c r="I1500" s="109"/>
      <c r="J1500" s="109"/>
      <c r="K1500" s="109"/>
      <c r="L1500" s="109"/>
      <c r="M1500" s="109">
        <v>0.16</v>
      </c>
      <c r="N1500" s="109"/>
      <c r="O1500" s="109"/>
      <c r="P1500" s="109"/>
      <c r="Q1500" s="109"/>
      <c r="R1500" s="109"/>
      <c r="S1500" s="109"/>
      <c r="T1500" s="109"/>
      <c r="U1500" s="109"/>
      <c r="V1500" s="109"/>
      <c r="W1500" s="109"/>
      <c r="X1500" s="109"/>
      <c r="Y1500" s="109"/>
      <c r="Z1500" s="109"/>
      <c r="AA1500" s="109"/>
      <c r="AB1500" s="109"/>
      <c r="AC1500" s="109"/>
      <c r="AD1500" s="109"/>
      <c r="AE1500" s="109"/>
      <c r="AF1500" s="109"/>
      <c r="AG1500" s="109"/>
      <c r="AH1500" s="109"/>
      <c r="AI1500" s="109"/>
      <c r="AJ1500" s="109"/>
      <c r="AK1500" s="109"/>
      <c r="AL1500" s="109"/>
      <c r="AM1500" s="109"/>
      <c r="AN1500" s="109"/>
      <c r="AO1500" s="109"/>
      <c r="AP1500" s="109"/>
      <c r="AQ1500" s="109"/>
      <c r="AR1500" s="109"/>
      <c r="AS1500" s="109"/>
      <c r="AT1500" s="109"/>
      <c r="AU1500" s="109"/>
      <c r="AV1500" s="109"/>
      <c r="AW1500" s="109"/>
      <c r="AX1500" s="109"/>
      <c r="AY1500" s="34" t="s">
        <v>240</v>
      </c>
      <c r="AZ1500" s="34"/>
      <c r="BA1500" s="47"/>
      <c r="BI1500" s="42"/>
    </row>
    <row r="1501" spans="1:61" s="24" customFormat="1" ht="21.6" hidden="1" customHeight="1">
      <c r="A1501" s="32"/>
      <c r="B1501" s="158"/>
      <c r="C1501" s="78" t="s">
        <v>138</v>
      </c>
      <c r="D1501" s="35">
        <f t="shared" si="294"/>
        <v>8.0000000000000016E-2</v>
      </c>
      <c r="E1501" s="76"/>
      <c r="F1501" s="35">
        <f>SUM(G1501:AX1501)</f>
        <v>8.0000000000000016E-2</v>
      </c>
      <c r="G1501" s="147">
        <f>G1498-G1499-G1500</f>
        <v>0</v>
      </c>
      <c r="H1501" s="147">
        <f t="shared" ref="H1501:AX1501" si="299">H1498-H1499-H1500</f>
        <v>0</v>
      </c>
      <c r="I1501" s="147">
        <f t="shared" si="299"/>
        <v>0</v>
      </c>
      <c r="J1501" s="147">
        <f t="shared" si="299"/>
        <v>0</v>
      </c>
      <c r="K1501" s="147">
        <f t="shared" si="299"/>
        <v>0</v>
      </c>
      <c r="L1501" s="147">
        <f t="shared" si="299"/>
        <v>0</v>
      </c>
      <c r="M1501" s="147">
        <f t="shared" si="299"/>
        <v>8.0000000000000016E-2</v>
      </c>
      <c r="N1501" s="147">
        <f t="shared" si="299"/>
        <v>0</v>
      </c>
      <c r="O1501" s="147">
        <f t="shared" si="299"/>
        <v>0</v>
      </c>
      <c r="P1501" s="147">
        <f t="shared" si="299"/>
        <v>0</v>
      </c>
      <c r="Q1501" s="147">
        <f t="shared" si="299"/>
        <v>0</v>
      </c>
      <c r="R1501" s="147">
        <f t="shared" si="299"/>
        <v>0</v>
      </c>
      <c r="S1501" s="147">
        <f t="shared" si="299"/>
        <v>0</v>
      </c>
      <c r="T1501" s="147">
        <f t="shared" si="299"/>
        <v>0</v>
      </c>
      <c r="U1501" s="147">
        <f t="shared" si="299"/>
        <v>0</v>
      </c>
      <c r="V1501" s="147">
        <f t="shared" si="299"/>
        <v>0</v>
      </c>
      <c r="W1501" s="147">
        <f t="shared" si="299"/>
        <v>0</v>
      </c>
      <c r="X1501" s="147">
        <f t="shared" si="299"/>
        <v>0</v>
      </c>
      <c r="Y1501" s="147">
        <f t="shared" si="299"/>
        <v>0</v>
      </c>
      <c r="Z1501" s="147">
        <f t="shared" si="299"/>
        <v>0</v>
      </c>
      <c r="AA1501" s="147">
        <f t="shared" si="299"/>
        <v>0</v>
      </c>
      <c r="AB1501" s="147">
        <f t="shared" si="299"/>
        <v>0</v>
      </c>
      <c r="AC1501" s="147">
        <f t="shared" si="299"/>
        <v>0</v>
      </c>
      <c r="AD1501" s="147">
        <f t="shared" si="299"/>
        <v>0</v>
      </c>
      <c r="AE1501" s="147">
        <f t="shared" si="299"/>
        <v>0</v>
      </c>
      <c r="AF1501" s="147">
        <f t="shared" si="299"/>
        <v>0</v>
      </c>
      <c r="AG1501" s="147">
        <f t="shared" si="299"/>
        <v>0</v>
      </c>
      <c r="AH1501" s="147">
        <f t="shared" si="299"/>
        <v>0</v>
      </c>
      <c r="AI1501" s="147">
        <f t="shared" si="299"/>
        <v>0</v>
      </c>
      <c r="AJ1501" s="147">
        <f t="shared" si="299"/>
        <v>0</v>
      </c>
      <c r="AK1501" s="147">
        <f t="shared" si="299"/>
        <v>0</v>
      </c>
      <c r="AL1501" s="147">
        <f t="shared" si="299"/>
        <v>0</v>
      </c>
      <c r="AM1501" s="147">
        <f t="shared" si="299"/>
        <v>0</v>
      </c>
      <c r="AN1501" s="147">
        <f t="shared" si="299"/>
        <v>0</v>
      </c>
      <c r="AO1501" s="147">
        <f t="shared" si="299"/>
        <v>0</v>
      </c>
      <c r="AP1501" s="147">
        <f t="shared" si="299"/>
        <v>0</v>
      </c>
      <c r="AQ1501" s="147">
        <f t="shared" si="299"/>
        <v>0</v>
      </c>
      <c r="AR1501" s="147">
        <f t="shared" si="299"/>
        <v>0</v>
      </c>
      <c r="AS1501" s="147">
        <f t="shared" si="299"/>
        <v>0</v>
      </c>
      <c r="AT1501" s="147">
        <f t="shared" si="299"/>
        <v>0</v>
      </c>
      <c r="AU1501" s="147">
        <f t="shared" si="299"/>
        <v>0</v>
      </c>
      <c r="AV1501" s="147">
        <f t="shared" si="299"/>
        <v>0</v>
      </c>
      <c r="AW1501" s="147">
        <f t="shared" si="299"/>
        <v>0</v>
      </c>
      <c r="AX1501" s="147">
        <f t="shared" si="299"/>
        <v>0</v>
      </c>
      <c r="AY1501" s="34" t="s">
        <v>240</v>
      </c>
      <c r="AZ1501" s="34"/>
      <c r="BA1501" s="47"/>
      <c r="BI1501" s="42"/>
    </row>
    <row r="1502" spans="1:61" s="24" customFormat="1" ht="21.6" customHeight="1">
      <c r="A1502" s="32">
        <f>A1498+1</f>
        <v>871</v>
      </c>
      <c r="B1502" s="60" t="s">
        <v>1299</v>
      </c>
      <c r="C1502" s="78" t="s">
        <v>59</v>
      </c>
      <c r="D1502" s="35">
        <f t="shared" si="294"/>
        <v>1.08</v>
      </c>
      <c r="E1502" s="108"/>
      <c r="F1502" s="35">
        <f t="shared" si="297"/>
        <v>1.08</v>
      </c>
      <c r="G1502" s="109">
        <v>1.08</v>
      </c>
      <c r="H1502" s="109"/>
      <c r="I1502" s="109"/>
      <c r="J1502" s="109"/>
      <c r="K1502" s="109"/>
      <c r="L1502" s="109"/>
      <c r="M1502" s="109"/>
      <c r="N1502" s="109"/>
      <c r="O1502" s="109"/>
      <c r="P1502" s="109"/>
      <c r="Q1502" s="109"/>
      <c r="R1502" s="109"/>
      <c r="S1502" s="109"/>
      <c r="T1502" s="109"/>
      <c r="U1502" s="109"/>
      <c r="V1502" s="109"/>
      <c r="W1502" s="109"/>
      <c r="X1502" s="109"/>
      <c r="Y1502" s="109"/>
      <c r="Z1502" s="109"/>
      <c r="AA1502" s="109"/>
      <c r="AB1502" s="109"/>
      <c r="AC1502" s="109"/>
      <c r="AD1502" s="109"/>
      <c r="AE1502" s="109"/>
      <c r="AF1502" s="109"/>
      <c r="AG1502" s="109"/>
      <c r="AH1502" s="109"/>
      <c r="AI1502" s="109"/>
      <c r="AJ1502" s="109"/>
      <c r="AK1502" s="109"/>
      <c r="AL1502" s="109"/>
      <c r="AM1502" s="109"/>
      <c r="AN1502" s="109"/>
      <c r="AO1502" s="109"/>
      <c r="AP1502" s="109"/>
      <c r="AQ1502" s="109"/>
      <c r="AR1502" s="109"/>
      <c r="AS1502" s="109"/>
      <c r="AT1502" s="109"/>
      <c r="AU1502" s="109"/>
      <c r="AV1502" s="109"/>
      <c r="AW1502" s="109"/>
      <c r="AX1502" s="109"/>
      <c r="AY1502" s="34" t="s">
        <v>240</v>
      </c>
      <c r="AZ1502" s="34" t="s">
        <v>615</v>
      </c>
      <c r="BA1502" s="63" t="s">
        <v>291</v>
      </c>
      <c r="BB1502" s="64"/>
      <c r="BC1502" s="24" t="s">
        <v>1736</v>
      </c>
      <c r="BI1502" s="42">
        <v>1</v>
      </c>
    </row>
    <row r="1503" spans="1:61" s="24" customFormat="1" ht="21.6" customHeight="1">
      <c r="A1503" s="32" t="s">
        <v>719</v>
      </c>
      <c r="B1503" s="158" t="s">
        <v>186</v>
      </c>
      <c r="C1503" s="78" t="s">
        <v>1260</v>
      </c>
      <c r="D1503" s="35">
        <f>E1503+F1503</f>
        <v>10</v>
      </c>
      <c r="E1503" s="89">
        <f>E1504+E1508+E1512+E1516+E1521+E1522+E1527+E1531+E1532+E1536+E1537+E1538+E1546+E1542</f>
        <v>0</v>
      </c>
      <c r="F1503" s="141">
        <f>F1504+F1508+F1512+F1516+F1521+F1522+F1527+F1531+F1532+F1536+F1537+F1538+F1546+F1542</f>
        <v>10</v>
      </c>
      <c r="G1503" s="141">
        <f t="shared" ref="G1503:AX1503" si="300">G1504+G1508+G1512+G1516+G1521+G1522+G1527+G1531+G1532+G1536+G1537+G1538+G1546+G1542</f>
        <v>3.5099999999999993</v>
      </c>
      <c r="H1503" s="141">
        <f t="shared" si="300"/>
        <v>0.1</v>
      </c>
      <c r="I1503" s="141">
        <f t="shared" si="300"/>
        <v>1.36</v>
      </c>
      <c r="J1503" s="141">
        <f t="shared" si="300"/>
        <v>1.2</v>
      </c>
      <c r="K1503" s="141">
        <f t="shared" si="300"/>
        <v>0</v>
      </c>
      <c r="L1503" s="141">
        <f t="shared" si="300"/>
        <v>0</v>
      </c>
      <c r="M1503" s="141">
        <f t="shared" si="300"/>
        <v>3.77</v>
      </c>
      <c r="N1503" s="141">
        <f t="shared" si="300"/>
        <v>0</v>
      </c>
      <c r="O1503" s="141">
        <f t="shared" si="300"/>
        <v>0</v>
      </c>
      <c r="P1503" s="141">
        <f t="shared" si="300"/>
        <v>0.06</v>
      </c>
      <c r="Q1503" s="141">
        <f t="shared" si="300"/>
        <v>0</v>
      </c>
      <c r="R1503" s="141">
        <f t="shared" si="300"/>
        <v>0</v>
      </c>
      <c r="S1503" s="141">
        <f t="shared" si="300"/>
        <v>0</v>
      </c>
      <c r="T1503" s="141">
        <f t="shared" si="300"/>
        <v>0</v>
      </c>
      <c r="U1503" s="141">
        <f t="shared" si="300"/>
        <v>0</v>
      </c>
      <c r="V1503" s="141">
        <f t="shared" si="300"/>
        <v>0</v>
      </c>
      <c r="W1503" s="141">
        <f t="shared" si="300"/>
        <v>0</v>
      </c>
      <c r="X1503" s="141">
        <f t="shared" si="300"/>
        <v>0</v>
      </c>
      <c r="Y1503" s="141">
        <f t="shared" si="300"/>
        <v>0</v>
      </c>
      <c r="Z1503" s="141">
        <f t="shared" si="300"/>
        <v>0</v>
      </c>
      <c r="AA1503" s="141">
        <f t="shared" si="300"/>
        <v>0</v>
      </c>
      <c r="AB1503" s="141">
        <f t="shared" si="300"/>
        <v>0</v>
      </c>
      <c r="AC1503" s="141">
        <f t="shared" si="300"/>
        <v>0</v>
      </c>
      <c r="AD1503" s="141">
        <f t="shared" si="300"/>
        <v>0</v>
      </c>
      <c r="AE1503" s="141">
        <f t="shared" si="300"/>
        <v>0</v>
      </c>
      <c r="AF1503" s="141">
        <f t="shared" si="300"/>
        <v>0</v>
      </c>
      <c r="AG1503" s="141">
        <f t="shared" si="300"/>
        <v>0</v>
      </c>
      <c r="AH1503" s="141">
        <f t="shared" si="300"/>
        <v>0</v>
      </c>
      <c r="AI1503" s="141">
        <f t="shared" si="300"/>
        <v>0</v>
      </c>
      <c r="AJ1503" s="141">
        <f t="shared" si="300"/>
        <v>0</v>
      </c>
      <c r="AK1503" s="141">
        <f t="shared" si="300"/>
        <v>0</v>
      </c>
      <c r="AL1503" s="141">
        <f t="shared" si="300"/>
        <v>0</v>
      </c>
      <c r="AM1503" s="141">
        <f t="shared" si="300"/>
        <v>0</v>
      </c>
      <c r="AN1503" s="141">
        <f t="shared" si="300"/>
        <v>0</v>
      </c>
      <c r="AO1503" s="141">
        <f t="shared" si="300"/>
        <v>0</v>
      </c>
      <c r="AP1503" s="141">
        <f t="shared" si="300"/>
        <v>0</v>
      </c>
      <c r="AQ1503" s="141">
        <f t="shared" si="300"/>
        <v>0</v>
      </c>
      <c r="AR1503" s="141">
        <f t="shared" si="300"/>
        <v>0</v>
      </c>
      <c r="AS1503" s="141">
        <f t="shared" si="300"/>
        <v>0</v>
      </c>
      <c r="AT1503" s="141">
        <f t="shared" si="300"/>
        <v>0</v>
      </c>
      <c r="AU1503" s="141">
        <f t="shared" si="300"/>
        <v>0</v>
      </c>
      <c r="AV1503" s="141">
        <f t="shared" si="300"/>
        <v>0</v>
      </c>
      <c r="AW1503" s="141">
        <f t="shared" si="300"/>
        <v>0</v>
      </c>
      <c r="AX1503" s="141">
        <f t="shared" si="300"/>
        <v>0</v>
      </c>
      <c r="AY1503" s="34" t="s">
        <v>241</v>
      </c>
      <c r="AZ1503" s="34"/>
      <c r="BA1503" s="63"/>
      <c r="BB1503" s="64"/>
      <c r="BI1503" s="42"/>
    </row>
    <row r="1504" spans="1:61" s="24" customFormat="1" ht="21.6" customHeight="1">
      <c r="A1504" s="32">
        <f>A1502+1</f>
        <v>872</v>
      </c>
      <c r="B1504" s="158" t="s">
        <v>186</v>
      </c>
      <c r="C1504" s="78" t="s">
        <v>1260</v>
      </c>
      <c r="D1504" s="35">
        <f t="shared" ref="D1504:D1535" si="301">F1504+E1504</f>
        <v>0.83</v>
      </c>
      <c r="E1504" s="35"/>
      <c r="F1504" s="35">
        <f t="shared" si="297"/>
        <v>0.83</v>
      </c>
      <c r="G1504" s="109"/>
      <c r="H1504" s="109"/>
      <c r="I1504" s="109"/>
      <c r="J1504" s="109"/>
      <c r="K1504" s="109"/>
      <c r="L1504" s="109"/>
      <c r="M1504" s="109">
        <v>0.83</v>
      </c>
      <c r="N1504" s="109"/>
      <c r="O1504" s="109"/>
      <c r="P1504" s="109"/>
      <c r="Q1504" s="109"/>
      <c r="R1504" s="109"/>
      <c r="S1504" s="109"/>
      <c r="T1504" s="109"/>
      <c r="U1504" s="109"/>
      <c r="V1504" s="109"/>
      <c r="W1504" s="109"/>
      <c r="X1504" s="109"/>
      <c r="Y1504" s="109"/>
      <c r="Z1504" s="109"/>
      <c r="AA1504" s="109"/>
      <c r="AB1504" s="109"/>
      <c r="AC1504" s="109"/>
      <c r="AD1504" s="109"/>
      <c r="AE1504" s="109"/>
      <c r="AF1504" s="109"/>
      <c r="AG1504" s="109"/>
      <c r="AH1504" s="109"/>
      <c r="AI1504" s="109"/>
      <c r="AJ1504" s="109"/>
      <c r="AK1504" s="109"/>
      <c r="AL1504" s="109"/>
      <c r="AM1504" s="109"/>
      <c r="AN1504" s="109"/>
      <c r="AO1504" s="109"/>
      <c r="AP1504" s="109"/>
      <c r="AQ1504" s="109"/>
      <c r="AR1504" s="109"/>
      <c r="AS1504" s="109"/>
      <c r="AT1504" s="109"/>
      <c r="AU1504" s="109"/>
      <c r="AV1504" s="109"/>
      <c r="AW1504" s="109"/>
      <c r="AX1504" s="109"/>
      <c r="AY1504" s="34" t="s">
        <v>241</v>
      </c>
      <c r="AZ1504" s="34" t="s">
        <v>1737</v>
      </c>
      <c r="BA1504" s="63" t="s">
        <v>291</v>
      </c>
      <c r="BB1504" s="63"/>
      <c r="BC1504" s="163" t="s">
        <v>1738</v>
      </c>
      <c r="BI1504" s="42">
        <v>1</v>
      </c>
    </row>
    <row r="1505" spans="1:61" s="24" customFormat="1" ht="21.6" hidden="1" customHeight="1">
      <c r="A1505" s="32"/>
      <c r="B1505" s="158"/>
      <c r="C1505" s="78" t="s">
        <v>59</v>
      </c>
      <c r="D1505" s="35">
        <f t="shared" si="301"/>
        <v>0.28999999999999998</v>
      </c>
      <c r="E1505" s="76"/>
      <c r="F1505" s="35">
        <f t="shared" si="297"/>
        <v>0.28999999999999998</v>
      </c>
      <c r="G1505" s="109"/>
      <c r="H1505" s="109"/>
      <c r="I1505" s="109"/>
      <c r="J1505" s="109"/>
      <c r="K1505" s="109"/>
      <c r="L1505" s="109"/>
      <c r="M1505" s="109">
        <v>0.28999999999999998</v>
      </c>
      <c r="N1505" s="109"/>
      <c r="O1505" s="109"/>
      <c r="P1505" s="109"/>
      <c r="Q1505" s="109"/>
      <c r="R1505" s="109"/>
      <c r="S1505" s="109"/>
      <c r="T1505" s="109"/>
      <c r="U1505" s="109"/>
      <c r="V1505" s="109"/>
      <c r="W1505" s="109"/>
      <c r="X1505" s="109"/>
      <c r="Y1505" s="109"/>
      <c r="Z1505" s="109"/>
      <c r="AA1505" s="109"/>
      <c r="AB1505" s="109"/>
      <c r="AC1505" s="109"/>
      <c r="AD1505" s="109"/>
      <c r="AE1505" s="109"/>
      <c r="AF1505" s="109"/>
      <c r="AG1505" s="109"/>
      <c r="AH1505" s="109"/>
      <c r="AI1505" s="109"/>
      <c r="AJ1505" s="109"/>
      <c r="AK1505" s="109"/>
      <c r="AL1505" s="109"/>
      <c r="AM1505" s="109"/>
      <c r="AN1505" s="109"/>
      <c r="AO1505" s="109"/>
      <c r="AP1505" s="109"/>
      <c r="AQ1505" s="109"/>
      <c r="AR1505" s="109"/>
      <c r="AS1505" s="109"/>
      <c r="AT1505" s="109"/>
      <c r="AU1505" s="109"/>
      <c r="AV1505" s="109"/>
      <c r="AW1505" s="109"/>
      <c r="AX1505" s="109"/>
      <c r="AY1505" s="34" t="s">
        <v>241</v>
      </c>
      <c r="AZ1505" s="34"/>
      <c r="BA1505" s="63"/>
      <c r="BB1505" s="64"/>
      <c r="BC1505" s="163"/>
      <c r="BI1505" s="42"/>
    </row>
    <row r="1506" spans="1:61" s="24" customFormat="1" ht="21.6" hidden="1" customHeight="1">
      <c r="A1506" s="32"/>
      <c r="B1506" s="158"/>
      <c r="C1506" s="78" t="s">
        <v>44</v>
      </c>
      <c r="D1506" s="35">
        <f t="shared" si="301"/>
        <v>0.33</v>
      </c>
      <c r="E1506" s="76"/>
      <c r="F1506" s="35">
        <f t="shared" si="297"/>
        <v>0.33</v>
      </c>
      <c r="G1506" s="109"/>
      <c r="H1506" s="109"/>
      <c r="I1506" s="109"/>
      <c r="J1506" s="109"/>
      <c r="K1506" s="109"/>
      <c r="L1506" s="109"/>
      <c r="M1506" s="109">
        <v>0.33</v>
      </c>
      <c r="N1506" s="109"/>
      <c r="O1506" s="109"/>
      <c r="P1506" s="109"/>
      <c r="Q1506" s="109"/>
      <c r="R1506" s="109"/>
      <c r="S1506" s="109"/>
      <c r="T1506" s="109"/>
      <c r="U1506" s="109"/>
      <c r="V1506" s="109"/>
      <c r="W1506" s="109"/>
      <c r="X1506" s="109"/>
      <c r="Y1506" s="109"/>
      <c r="Z1506" s="109"/>
      <c r="AA1506" s="109"/>
      <c r="AB1506" s="109"/>
      <c r="AC1506" s="109"/>
      <c r="AD1506" s="109"/>
      <c r="AE1506" s="109"/>
      <c r="AF1506" s="109"/>
      <c r="AG1506" s="109"/>
      <c r="AH1506" s="109"/>
      <c r="AI1506" s="109"/>
      <c r="AJ1506" s="109"/>
      <c r="AK1506" s="109"/>
      <c r="AL1506" s="109"/>
      <c r="AM1506" s="109"/>
      <c r="AN1506" s="109"/>
      <c r="AO1506" s="109"/>
      <c r="AP1506" s="109"/>
      <c r="AQ1506" s="109"/>
      <c r="AR1506" s="109"/>
      <c r="AS1506" s="109"/>
      <c r="AT1506" s="109"/>
      <c r="AU1506" s="109"/>
      <c r="AV1506" s="109"/>
      <c r="AW1506" s="109"/>
      <c r="AX1506" s="109"/>
      <c r="AY1506" s="34" t="s">
        <v>241</v>
      </c>
      <c r="AZ1506" s="34"/>
      <c r="BA1506" s="63"/>
      <c r="BB1506" s="64"/>
      <c r="BC1506" s="163"/>
      <c r="BI1506" s="42"/>
    </row>
    <row r="1507" spans="1:61" s="24" customFormat="1" ht="21.6" hidden="1" customHeight="1">
      <c r="A1507" s="32"/>
      <c r="B1507" s="158"/>
      <c r="C1507" s="78" t="s">
        <v>138</v>
      </c>
      <c r="D1507" s="35">
        <f t="shared" si="301"/>
        <v>0.21000000000000002</v>
      </c>
      <c r="E1507" s="76"/>
      <c r="F1507" s="35">
        <f t="shared" si="297"/>
        <v>0.21000000000000002</v>
      </c>
      <c r="G1507" s="147">
        <f t="shared" ref="G1507:AW1507" si="302">G1504-G1505-G1506</f>
        <v>0</v>
      </c>
      <c r="H1507" s="147">
        <f t="shared" si="302"/>
        <v>0</v>
      </c>
      <c r="I1507" s="147">
        <f t="shared" si="302"/>
        <v>0</v>
      </c>
      <c r="J1507" s="147">
        <f t="shared" si="302"/>
        <v>0</v>
      </c>
      <c r="K1507" s="147">
        <f t="shared" si="302"/>
        <v>0</v>
      </c>
      <c r="L1507" s="147">
        <f t="shared" si="302"/>
        <v>0</v>
      </c>
      <c r="M1507" s="147">
        <f t="shared" si="302"/>
        <v>0.21000000000000002</v>
      </c>
      <c r="N1507" s="147">
        <f t="shared" si="302"/>
        <v>0</v>
      </c>
      <c r="O1507" s="147">
        <f t="shared" si="302"/>
        <v>0</v>
      </c>
      <c r="P1507" s="147">
        <f t="shared" si="302"/>
        <v>0</v>
      </c>
      <c r="Q1507" s="147">
        <f t="shared" si="302"/>
        <v>0</v>
      </c>
      <c r="R1507" s="147">
        <f t="shared" si="302"/>
        <v>0</v>
      </c>
      <c r="S1507" s="147">
        <f t="shared" si="302"/>
        <v>0</v>
      </c>
      <c r="T1507" s="147">
        <f t="shared" si="302"/>
        <v>0</v>
      </c>
      <c r="U1507" s="147">
        <f t="shared" si="302"/>
        <v>0</v>
      </c>
      <c r="V1507" s="147">
        <f t="shared" si="302"/>
        <v>0</v>
      </c>
      <c r="W1507" s="147">
        <f t="shared" si="302"/>
        <v>0</v>
      </c>
      <c r="X1507" s="147">
        <f t="shared" si="302"/>
        <v>0</v>
      </c>
      <c r="Y1507" s="147">
        <f t="shared" si="302"/>
        <v>0</v>
      </c>
      <c r="Z1507" s="147">
        <f t="shared" si="302"/>
        <v>0</v>
      </c>
      <c r="AA1507" s="147">
        <f t="shared" si="302"/>
        <v>0</v>
      </c>
      <c r="AB1507" s="147">
        <f t="shared" si="302"/>
        <v>0</v>
      </c>
      <c r="AC1507" s="147">
        <f t="shared" si="302"/>
        <v>0</v>
      </c>
      <c r="AD1507" s="147">
        <f t="shared" si="302"/>
        <v>0</v>
      </c>
      <c r="AE1507" s="147">
        <f t="shared" si="302"/>
        <v>0</v>
      </c>
      <c r="AF1507" s="147">
        <f t="shared" si="302"/>
        <v>0</v>
      </c>
      <c r="AG1507" s="147">
        <f t="shared" si="302"/>
        <v>0</v>
      </c>
      <c r="AH1507" s="147">
        <f t="shared" si="302"/>
        <v>0</v>
      </c>
      <c r="AI1507" s="147">
        <f t="shared" si="302"/>
        <v>0</v>
      </c>
      <c r="AJ1507" s="147">
        <f t="shared" si="302"/>
        <v>0</v>
      </c>
      <c r="AK1507" s="147">
        <f t="shared" si="302"/>
        <v>0</v>
      </c>
      <c r="AL1507" s="147">
        <f t="shared" si="302"/>
        <v>0</v>
      </c>
      <c r="AM1507" s="147">
        <f t="shared" si="302"/>
        <v>0</v>
      </c>
      <c r="AN1507" s="147">
        <f t="shared" si="302"/>
        <v>0</v>
      </c>
      <c r="AO1507" s="147">
        <f t="shared" si="302"/>
        <v>0</v>
      </c>
      <c r="AP1507" s="147">
        <f t="shared" si="302"/>
        <v>0</v>
      </c>
      <c r="AQ1507" s="147">
        <f t="shared" si="302"/>
        <v>0</v>
      </c>
      <c r="AR1507" s="147">
        <f t="shared" si="302"/>
        <v>0</v>
      </c>
      <c r="AS1507" s="147">
        <f t="shared" si="302"/>
        <v>0</v>
      </c>
      <c r="AT1507" s="147">
        <f t="shared" si="302"/>
        <v>0</v>
      </c>
      <c r="AU1507" s="147">
        <f t="shared" si="302"/>
        <v>0</v>
      </c>
      <c r="AV1507" s="147">
        <f t="shared" si="302"/>
        <v>0</v>
      </c>
      <c r="AW1507" s="147">
        <f t="shared" si="302"/>
        <v>0</v>
      </c>
      <c r="AX1507" s="147">
        <f>AX1504-AX1505-AX1506</f>
        <v>0</v>
      </c>
      <c r="AY1507" s="34" t="s">
        <v>241</v>
      </c>
      <c r="AZ1507" s="34"/>
      <c r="BA1507" s="63"/>
      <c r="BB1507" s="64"/>
      <c r="BC1507" s="163"/>
      <c r="BI1507" s="42"/>
    </row>
    <row r="1508" spans="1:61" s="24" customFormat="1" ht="19.350000000000001" customHeight="1">
      <c r="A1508" s="32">
        <f>A1504+1</f>
        <v>873</v>
      </c>
      <c r="B1508" s="158" t="s">
        <v>186</v>
      </c>
      <c r="C1508" s="78" t="s">
        <v>1260</v>
      </c>
      <c r="D1508" s="35">
        <f t="shared" si="301"/>
        <v>0.87999999999999989</v>
      </c>
      <c r="E1508" s="35"/>
      <c r="F1508" s="35">
        <f t="shared" si="297"/>
        <v>0.87999999999999989</v>
      </c>
      <c r="G1508" s="109">
        <v>0.08</v>
      </c>
      <c r="H1508" s="109"/>
      <c r="I1508" s="109">
        <v>0.74</v>
      </c>
      <c r="J1508" s="109"/>
      <c r="K1508" s="109"/>
      <c r="L1508" s="109"/>
      <c r="M1508" s="109"/>
      <c r="N1508" s="109"/>
      <c r="O1508" s="109"/>
      <c r="P1508" s="109">
        <v>0.06</v>
      </c>
      <c r="Q1508" s="109"/>
      <c r="R1508" s="109"/>
      <c r="S1508" s="109"/>
      <c r="T1508" s="109"/>
      <c r="U1508" s="109"/>
      <c r="V1508" s="109"/>
      <c r="W1508" s="109"/>
      <c r="X1508" s="109"/>
      <c r="Y1508" s="109"/>
      <c r="Z1508" s="109"/>
      <c r="AA1508" s="109"/>
      <c r="AB1508" s="109"/>
      <c r="AC1508" s="109"/>
      <c r="AD1508" s="109"/>
      <c r="AE1508" s="109"/>
      <c r="AF1508" s="109"/>
      <c r="AG1508" s="109"/>
      <c r="AH1508" s="109"/>
      <c r="AI1508" s="109"/>
      <c r="AJ1508" s="109"/>
      <c r="AK1508" s="109"/>
      <c r="AL1508" s="109"/>
      <c r="AM1508" s="109"/>
      <c r="AN1508" s="109"/>
      <c r="AO1508" s="109"/>
      <c r="AP1508" s="109"/>
      <c r="AQ1508" s="109"/>
      <c r="AR1508" s="109"/>
      <c r="AS1508" s="109"/>
      <c r="AT1508" s="109"/>
      <c r="AU1508" s="109"/>
      <c r="AV1508" s="109"/>
      <c r="AW1508" s="109"/>
      <c r="AX1508" s="109"/>
      <c r="AY1508" s="34" t="s">
        <v>241</v>
      </c>
      <c r="AZ1508" s="34" t="s">
        <v>451</v>
      </c>
      <c r="BA1508" s="63" t="s">
        <v>291</v>
      </c>
      <c r="BB1508" s="135" t="s">
        <v>917</v>
      </c>
      <c r="BC1508" s="163" t="s">
        <v>1264</v>
      </c>
      <c r="BI1508" s="42">
        <v>1</v>
      </c>
    </row>
    <row r="1509" spans="1:61" s="24" customFormat="1" ht="19.350000000000001" hidden="1" customHeight="1">
      <c r="A1509" s="32"/>
      <c r="B1509" s="158"/>
      <c r="C1509" s="78" t="s">
        <v>59</v>
      </c>
      <c r="D1509" s="35">
        <f t="shared" si="301"/>
        <v>0.31</v>
      </c>
      <c r="E1509" s="76"/>
      <c r="F1509" s="35">
        <f t="shared" si="297"/>
        <v>0.31</v>
      </c>
      <c r="G1509" s="109"/>
      <c r="H1509" s="109"/>
      <c r="I1509" s="109">
        <v>0.31</v>
      </c>
      <c r="J1509" s="109"/>
      <c r="K1509" s="109"/>
      <c r="L1509" s="109"/>
      <c r="M1509" s="109"/>
      <c r="N1509" s="109"/>
      <c r="O1509" s="109"/>
      <c r="P1509" s="109"/>
      <c r="Q1509" s="109"/>
      <c r="R1509" s="109"/>
      <c r="S1509" s="109"/>
      <c r="T1509" s="109"/>
      <c r="U1509" s="109"/>
      <c r="V1509" s="109"/>
      <c r="W1509" s="109"/>
      <c r="X1509" s="109"/>
      <c r="Y1509" s="109"/>
      <c r="Z1509" s="109"/>
      <c r="AA1509" s="109"/>
      <c r="AB1509" s="109"/>
      <c r="AC1509" s="109"/>
      <c r="AD1509" s="109"/>
      <c r="AE1509" s="109"/>
      <c r="AF1509" s="109"/>
      <c r="AG1509" s="109"/>
      <c r="AH1509" s="109"/>
      <c r="AI1509" s="109"/>
      <c r="AJ1509" s="109"/>
      <c r="AK1509" s="109"/>
      <c r="AL1509" s="109"/>
      <c r="AM1509" s="109"/>
      <c r="AN1509" s="109"/>
      <c r="AO1509" s="109"/>
      <c r="AP1509" s="109"/>
      <c r="AQ1509" s="109"/>
      <c r="AR1509" s="109"/>
      <c r="AS1509" s="109"/>
      <c r="AT1509" s="109"/>
      <c r="AU1509" s="109"/>
      <c r="AV1509" s="109"/>
      <c r="AW1509" s="109"/>
      <c r="AX1509" s="109"/>
      <c r="AY1509" s="34" t="s">
        <v>241</v>
      </c>
      <c r="AZ1509" s="34"/>
      <c r="BA1509" s="63"/>
      <c r="BB1509" s="135"/>
      <c r="BC1509" s="163"/>
      <c r="BI1509" s="42"/>
    </row>
    <row r="1510" spans="1:61" s="24" customFormat="1" ht="19.350000000000001" hidden="1" customHeight="1">
      <c r="A1510" s="32"/>
      <c r="B1510" s="158"/>
      <c r="C1510" s="78" t="s">
        <v>44</v>
      </c>
      <c r="D1510" s="35">
        <f t="shared" si="301"/>
        <v>0.34</v>
      </c>
      <c r="E1510" s="76"/>
      <c r="F1510" s="35">
        <f t="shared" si="297"/>
        <v>0.34</v>
      </c>
      <c r="G1510" s="109">
        <v>0.08</v>
      </c>
      <c r="H1510" s="109"/>
      <c r="I1510" s="109">
        <v>0.2</v>
      </c>
      <c r="J1510" s="109"/>
      <c r="K1510" s="109"/>
      <c r="L1510" s="109"/>
      <c r="M1510" s="109"/>
      <c r="N1510" s="109"/>
      <c r="O1510" s="109"/>
      <c r="P1510" s="109">
        <v>0.06</v>
      </c>
      <c r="Q1510" s="109"/>
      <c r="R1510" s="109"/>
      <c r="S1510" s="109"/>
      <c r="T1510" s="109"/>
      <c r="U1510" s="109"/>
      <c r="V1510" s="109"/>
      <c r="W1510" s="109"/>
      <c r="X1510" s="109"/>
      <c r="Y1510" s="109"/>
      <c r="Z1510" s="109"/>
      <c r="AA1510" s="109"/>
      <c r="AB1510" s="109"/>
      <c r="AC1510" s="109"/>
      <c r="AD1510" s="109"/>
      <c r="AE1510" s="109"/>
      <c r="AF1510" s="109"/>
      <c r="AG1510" s="109"/>
      <c r="AH1510" s="109"/>
      <c r="AI1510" s="109"/>
      <c r="AJ1510" s="109"/>
      <c r="AK1510" s="109"/>
      <c r="AL1510" s="109"/>
      <c r="AM1510" s="109"/>
      <c r="AN1510" s="109"/>
      <c r="AO1510" s="109"/>
      <c r="AP1510" s="109"/>
      <c r="AQ1510" s="109"/>
      <c r="AR1510" s="109"/>
      <c r="AS1510" s="109"/>
      <c r="AT1510" s="109"/>
      <c r="AU1510" s="109"/>
      <c r="AV1510" s="109"/>
      <c r="AW1510" s="109"/>
      <c r="AX1510" s="109"/>
      <c r="AY1510" s="34" t="s">
        <v>241</v>
      </c>
      <c r="AZ1510" s="34"/>
      <c r="BA1510" s="63"/>
      <c r="BB1510" s="135"/>
      <c r="BC1510" s="163"/>
      <c r="BI1510" s="42"/>
    </row>
    <row r="1511" spans="1:61" s="24" customFormat="1" ht="19.350000000000001" hidden="1" customHeight="1">
      <c r="A1511" s="32"/>
      <c r="B1511" s="158"/>
      <c r="C1511" s="78" t="s">
        <v>138</v>
      </c>
      <c r="D1511" s="35">
        <f t="shared" si="301"/>
        <v>0.22999999999999998</v>
      </c>
      <c r="E1511" s="76"/>
      <c r="F1511" s="35">
        <f t="shared" si="297"/>
        <v>0.22999999999999998</v>
      </c>
      <c r="G1511" s="147">
        <f>G1508-G1509-G1510</f>
        <v>0</v>
      </c>
      <c r="H1511" s="147">
        <f t="shared" ref="H1511:AX1511" si="303">H1508-H1509-H1510</f>
        <v>0</v>
      </c>
      <c r="I1511" s="147">
        <f t="shared" si="303"/>
        <v>0.22999999999999998</v>
      </c>
      <c r="J1511" s="147">
        <f t="shared" si="303"/>
        <v>0</v>
      </c>
      <c r="K1511" s="147">
        <f t="shared" si="303"/>
        <v>0</v>
      </c>
      <c r="L1511" s="147">
        <f t="shared" si="303"/>
        <v>0</v>
      </c>
      <c r="M1511" s="147">
        <f t="shared" si="303"/>
        <v>0</v>
      </c>
      <c r="N1511" s="147">
        <f t="shared" si="303"/>
        <v>0</v>
      </c>
      <c r="O1511" s="147">
        <f t="shared" si="303"/>
        <v>0</v>
      </c>
      <c r="P1511" s="147">
        <f t="shared" si="303"/>
        <v>0</v>
      </c>
      <c r="Q1511" s="147">
        <f t="shared" si="303"/>
        <v>0</v>
      </c>
      <c r="R1511" s="147">
        <f t="shared" si="303"/>
        <v>0</v>
      </c>
      <c r="S1511" s="147">
        <f t="shared" si="303"/>
        <v>0</v>
      </c>
      <c r="T1511" s="147">
        <f t="shared" si="303"/>
        <v>0</v>
      </c>
      <c r="U1511" s="147">
        <f t="shared" si="303"/>
        <v>0</v>
      </c>
      <c r="V1511" s="147">
        <f t="shared" si="303"/>
        <v>0</v>
      </c>
      <c r="W1511" s="147">
        <f t="shared" si="303"/>
        <v>0</v>
      </c>
      <c r="X1511" s="147">
        <f t="shared" si="303"/>
        <v>0</v>
      </c>
      <c r="Y1511" s="147">
        <f t="shared" si="303"/>
        <v>0</v>
      </c>
      <c r="Z1511" s="147">
        <f t="shared" si="303"/>
        <v>0</v>
      </c>
      <c r="AA1511" s="147">
        <f t="shared" si="303"/>
        <v>0</v>
      </c>
      <c r="AB1511" s="147">
        <f t="shared" si="303"/>
        <v>0</v>
      </c>
      <c r="AC1511" s="147">
        <f t="shared" si="303"/>
        <v>0</v>
      </c>
      <c r="AD1511" s="147">
        <f t="shared" si="303"/>
        <v>0</v>
      </c>
      <c r="AE1511" s="147">
        <f t="shared" si="303"/>
        <v>0</v>
      </c>
      <c r="AF1511" s="147">
        <f t="shared" si="303"/>
        <v>0</v>
      </c>
      <c r="AG1511" s="147">
        <f t="shared" si="303"/>
        <v>0</v>
      </c>
      <c r="AH1511" s="147">
        <f t="shared" si="303"/>
        <v>0</v>
      </c>
      <c r="AI1511" s="147">
        <f t="shared" si="303"/>
        <v>0</v>
      </c>
      <c r="AJ1511" s="147">
        <f t="shared" si="303"/>
        <v>0</v>
      </c>
      <c r="AK1511" s="147">
        <f t="shared" si="303"/>
        <v>0</v>
      </c>
      <c r="AL1511" s="147">
        <f t="shared" si="303"/>
        <v>0</v>
      </c>
      <c r="AM1511" s="147">
        <f t="shared" si="303"/>
        <v>0</v>
      </c>
      <c r="AN1511" s="147">
        <f t="shared" si="303"/>
        <v>0</v>
      </c>
      <c r="AO1511" s="147">
        <f t="shared" si="303"/>
        <v>0</v>
      </c>
      <c r="AP1511" s="147">
        <f t="shared" si="303"/>
        <v>0</v>
      </c>
      <c r="AQ1511" s="147">
        <f t="shared" si="303"/>
        <v>0</v>
      </c>
      <c r="AR1511" s="147">
        <f t="shared" si="303"/>
        <v>0</v>
      </c>
      <c r="AS1511" s="147">
        <f t="shared" si="303"/>
        <v>0</v>
      </c>
      <c r="AT1511" s="147">
        <f t="shared" si="303"/>
        <v>0</v>
      </c>
      <c r="AU1511" s="147">
        <f t="shared" si="303"/>
        <v>0</v>
      </c>
      <c r="AV1511" s="147">
        <f t="shared" si="303"/>
        <v>0</v>
      </c>
      <c r="AW1511" s="147">
        <f t="shared" si="303"/>
        <v>0</v>
      </c>
      <c r="AX1511" s="147">
        <f t="shared" si="303"/>
        <v>0</v>
      </c>
      <c r="AY1511" s="34" t="s">
        <v>241</v>
      </c>
      <c r="AZ1511" s="34"/>
      <c r="BA1511" s="63"/>
      <c r="BB1511" s="135"/>
      <c r="BC1511" s="163"/>
      <c r="BI1511" s="42"/>
    </row>
    <row r="1512" spans="1:61" s="24" customFormat="1" ht="31.35" customHeight="1">
      <c r="A1512" s="32">
        <f>A1508+1</f>
        <v>874</v>
      </c>
      <c r="B1512" s="158" t="s">
        <v>186</v>
      </c>
      <c r="C1512" s="78" t="s">
        <v>1260</v>
      </c>
      <c r="D1512" s="35">
        <f t="shared" si="301"/>
        <v>1.1499999999999999</v>
      </c>
      <c r="E1512" s="35"/>
      <c r="F1512" s="35">
        <f t="shared" si="297"/>
        <v>1.1499999999999999</v>
      </c>
      <c r="G1512" s="109">
        <v>0.83</v>
      </c>
      <c r="H1512" s="109"/>
      <c r="I1512" s="109">
        <v>0.32</v>
      </c>
      <c r="J1512" s="109"/>
      <c r="K1512" s="109"/>
      <c r="L1512" s="109"/>
      <c r="M1512" s="109"/>
      <c r="N1512" s="109"/>
      <c r="O1512" s="109"/>
      <c r="P1512" s="109"/>
      <c r="Q1512" s="109"/>
      <c r="R1512" s="109"/>
      <c r="S1512" s="109"/>
      <c r="T1512" s="109"/>
      <c r="U1512" s="109"/>
      <c r="V1512" s="109"/>
      <c r="W1512" s="109"/>
      <c r="X1512" s="109"/>
      <c r="Y1512" s="109"/>
      <c r="Z1512" s="109"/>
      <c r="AA1512" s="109"/>
      <c r="AB1512" s="109"/>
      <c r="AC1512" s="109"/>
      <c r="AD1512" s="109"/>
      <c r="AE1512" s="109"/>
      <c r="AF1512" s="109"/>
      <c r="AG1512" s="109"/>
      <c r="AH1512" s="109"/>
      <c r="AI1512" s="109"/>
      <c r="AJ1512" s="109"/>
      <c r="AK1512" s="109"/>
      <c r="AL1512" s="109"/>
      <c r="AM1512" s="109"/>
      <c r="AN1512" s="109"/>
      <c r="AO1512" s="109"/>
      <c r="AP1512" s="109"/>
      <c r="AQ1512" s="109"/>
      <c r="AR1512" s="109"/>
      <c r="AS1512" s="109"/>
      <c r="AT1512" s="109"/>
      <c r="AU1512" s="109"/>
      <c r="AV1512" s="109"/>
      <c r="AW1512" s="109"/>
      <c r="AX1512" s="109"/>
      <c r="AY1512" s="34" t="s">
        <v>241</v>
      </c>
      <c r="AZ1512" s="34" t="s">
        <v>1739</v>
      </c>
      <c r="BA1512" s="63" t="s">
        <v>291</v>
      </c>
      <c r="BB1512" s="135" t="s">
        <v>1740</v>
      </c>
      <c r="BC1512" s="163" t="s">
        <v>1741</v>
      </c>
      <c r="BI1512" s="42">
        <v>1</v>
      </c>
    </row>
    <row r="1513" spans="1:61" s="24" customFormat="1" ht="21.6" hidden="1" customHeight="1">
      <c r="A1513" s="32"/>
      <c r="B1513" s="158"/>
      <c r="C1513" s="78" t="s">
        <v>59</v>
      </c>
      <c r="D1513" s="35">
        <f t="shared" si="301"/>
        <v>0.4</v>
      </c>
      <c r="E1513" s="76"/>
      <c r="F1513" s="35">
        <f t="shared" si="297"/>
        <v>0.4</v>
      </c>
      <c r="G1513" s="109">
        <v>0.4</v>
      </c>
      <c r="H1513" s="109"/>
      <c r="I1513" s="109"/>
      <c r="J1513" s="109"/>
      <c r="K1513" s="109"/>
      <c r="L1513" s="109"/>
      <c r="M1513" s="109"/>
      <c r="N1513" s="109"/>
      <c r="O1513" s="109"/>
      <c r="P1513" s="109"/>
      <c r="Q1513" s="109"/>
      <c r="R1513" s="109"/>
      <c r="S1513" s="109"/>
      <c r="T1513" s="109"/>
      <c r="U1513" s="109"/>
      <c r="V1513" s="109"/>
      <c r="W1513" s="109"/>
      <c r="X1513" s="109"/>
      <c r="Y1513" s="109"/>
      <c r="Z1513" s="109"/>
      <c r="AA1513" s="109"/>
      <c r="AB1513" s="109"/>
      <c r="AC1513" s="109"/>
      <c r="AD1513" s="109"/>
      <c r="AE1513" s="109"/>
      <c r="AF1513" s="109"/>
      <c r="AG1513" s="109"/>
      <c r="AH1513" s="109"/>
      <c r="AI1513" s="109"/>
      <c r="AJ1513" s="109"/>
      <c r="AK1513" s="109"/>
      <c r="AL1513" s="109"/>
      <c r="AM1513" s="109"/>
      <c r="AN1513" s="109"/>
      <c r="AO1513" s="109"/>
      <c r="AP1513" s="109"/>
      <c r="AQ1513" s="109"/>
      <c r="AR1513" s="109"/>
      <c r="AS1513" s="109"/>
      <c r="AT1513" s="109"/>
      <c r="AU1513" s="109"/>
      <c r="AV1513" s="109"/>
      <c r="AW1513" s="109"/>
      <c r="AX1513" s="109"/>
      <c r="AY1513" s="34" t="s">
        <v>241</v>
      </c>
      <c r="AZ1513" s="34"/>
      <c r="BA1513" s="63"/>
      <c r="BB1513" s="135"/>
      <c r="BC1513" s="163"/>
      <c r="BI1513" s="42"/>
    </row>
    <row r="1514" spans="1:61" s="24" customFormat="1" ht="21.6" hidden="1" customHeight="1">
      <c r="A1514" s="32"/>
      <c r="B1514" s="158"/>
      <c r="C1514" s="78" t="s">
        <v>44</v>
      </c>
      <c r="D1514" s="35">
        <f t="shared" si="301"/>
        <v>0.45999999999999996</v>
      </c>
      <c r="E1514" s="76"/>
      <c r="F1514" s="35">
        <f t="shared" si="297"/>
        <v>0.45999999999999996</v>
      </c>
      <c r="G1514" s="109">
        <v>0.3</v>
      </c>
      <c r="H1514" s="109"/>
      <c r="I1514" s="109">
        <v>0.16</v>
      </c>
      <c r="J1514" s="109"/>
      <c r="K1514" s="109"/>
      <c r="L1514" s="109"/>
      <c r="M1514" s="109"/>
      <c r="N1514" s="109"/>
      <c r="O1514" s="109"/>
      <c r="P1514" s="109"/>
      <c r="Q1514" s="109"/>
      <c r="R1514" s="109"/>
      <c r="S1514" s="109"/>
      <c r="T1514" s="109"/>
      <c r="U1514" s="109"/>
      <c r="V1514" s="109"/>
      <c r="W1514" s="109"/>
      <c r="X1514" s="109"/>
      <c r="Y1514" s="109"/>
      <c r="Z1514" s="109"/>
      <c r="AA1514" s="109"/>
      <c r="AB1514" s="109"/>
      <c r="AC1514" s="109"/>
      <c r="AD1514" s="109"/>
      <c r="AE1514" s="109"/>
      <c r="AF1514" s="109"/>
      <c r="AG1514" s="109"/>
      <c r="AH1514" s="109"/>
      <c r="AI1514" s="109"/>
      <c r="AJ1514" s="109"/>
      <c r="AK1514" s="109"/>
      <c r="AL1514" s="109"/>
      <c r="AM1514" s="109"/>
      <c r="AN1514" s="109"/>
      <c r="AO1514" s="109"/>
      <c r="AP1514" s="109"/>
      <c r="AQ1514" s="109"/>
      <c r="AR1514" s="109"/>
      <c r="AS1514" s="109"/>
      <c r="AT1514" s="109"/>
      <c r="AU1514" s="109"/>
      <c r="AV1514" s="109"/>
      <c r="AW1514" s="109"/>
      <c r="AX1514" s="109"/>
      <c r="AY1514" s="34" t="s">
        <v>241</v>
      </c>
      <c r="AZ1514" s="34"/>
      <c r="BA1514" s="63"/>
      <c r="BB1514" s="135"/>
      <c r="BC1514" s="163"/>
      <c r="BI1514" s="42"/>
    </row>
    <row r="1515" spans="1:61" s="24" customFormat="1" ht="21.6" hidden="1" customHeight="1">
      <c r="A1515" s="32"/>
      <c r="B1515" s="158"/>
      <c r="C1515" s="78" t="s">
        <v>138</v>
      </c>
      <c r="D1515" s="35">
        <f t="shared" si="301"/>
        <v>0.28999999999999992</v>
      </c>
      <c r="E1515" s="76"/>
      <c r="F1515" s="35">
        <f t="shared" si="297"/>
        <v>0.28999999999999992</v>
      </c>
      <c r="G1515" s="147">
        <f>G1512-G1513-G1514</f>
        <v>0.12999999999999995</v>
      </c>
      <c r="H1515" s="147">
        <f t="shared" ref="H1515:AX1515" si="304">H1512-H1513-H1514</f>
        <v>0</v>
      </c>
      <c r="I1515" s="147">
        <f t="shared" si="304"/>
        <v>0.16</v>
      </c>
      <c r="J1515" s="147">
        <f t="shared" si="304"/>
        <v>0</v>
      </c>
      <c r="K1515" s="147">
        <f t="shared" si="304"/>
        <v>0</v>
      </c>
      <c r="L1515" s="147">
        <f t="shared" si="304"/>
        <v>0</v>
      </c>
      <c r="M1515" s="147">
        <f t="shared" si="304"/>
        <v>0</v>
      </c>
      <c r="N1515" s="147">
        <f t="shared" si="304"/>
        <v>0</v>
      </c>
      <c r="O1515" s="147">
        <f t="shared" si="304"/>
        <v>0</v>
      </c>
      <c r="P1515" s="147">
        <f t="shared" si="304"/>
        <v>0</v>
      </c>
      <c r="Q1515" s="147">
        <f t="shared" si="304"/>
        <v>0</v>
      </c>
      <c r="R1515" s="147">
        <f t="shared" si="304"/>
        <v>0</v>
      </c>
      <c r="S1515" s="147">
        <f t="shared" si="304"/>
        <v>0</v>
      </c>
      <c r="T1515" s="147">
        <f t="shared" si="304"/>
        <v>0</v>
      </c>
      <c r="U1515" s="147">
        <f t="shared" si="304"/>
        <v>0</v>
      </c>
      <c r="V1515" s="147">
        <f t="shared" si="304"/>
        <v>0</v>
      </c>
      <c r="W1515" s="147">
        <f t="shared" si="304"/>
        <v>0</v>
      </c>
      <c r="X1515" s="147">
        <f t="shared" si="304"/>
        <v>0</v>
      </c>
      <c r="Y1515" s="147">
        <f t="shared" si="304"/>
        <v>0</v>
      </c>
      <c r="Z1515" s="147">
        <f t="shared" si="304"/>
        <v>0</v>
      </c>
      <c r="AA1515" s="147">
        <f t="shared" si="304"/>
        <v>0</v>
      </c>
      <c r="AB1515" s="147">
        <f t="shared" si="304"/>
        <v>0</v>
      </c>
      <c r="AC1515" s="147">
        <f t="shared" si="304"/>
        <v>0</v>
      </c>
      <c r="AD1515" s="147">
        <f t="shared" si="304"/>
        <v>0</v>
      </c>
      <c r="AE1515" s="147">
        <f t="shared" si="304"/>
        <v>0</v>
      </c>
      <c r="AF1515" s="147">
        <f t="shared" si="304"/>
        <v>0</v>
      </c>
      <c r="AG1515" s="147">
        <f t="shared" si="304"/>
        <v>0</v>
      </c>
      <c r="AH1515" s="147">
        <f t="shared" si="304"/>
        <v>0</v>
      </c>
      <c r="AI1515" s="147">
        <f t="shared" si="304"/>
        <v>0</v>
      </c>
      <c r="AJ1515" s="147">
        <f t="shared" si="304"/>
        <v>0</v>
      </c>
      <c r="AK1515" s="147">
        <f t="shared" si="304"/>
        <v>0</v>
      </c>
      <c r="AL1515" s="147">
        <f t="shared" si="304"/>
        <v>0</v>
      </c>
      <c r="AM1515" s="147">
        <f t="shared" si="304"/>
        <v>0</v>
      </c>
      <c r="AN1515" s="147">
        <f t="shared" si="304"/>
        <v>0</v>
      </c>
      <c r="AO1515" s="147">
        <f t="shared" si="304"/>
        <v>0</v>
      </c>
      <c r="AP1515" s="147">
        <f t="shared" si="304"/>
        <v>0</v>
      </c>
      <c r="AQ1515" s="147">
        <f t="shared" si="304"/>
        <v>0</v>
      </c>
      <c r="AR1515" s="147">
        <f t="shared" si="304"/>
        <v>0</v>
      </c>
      <c r="AS1515" s="147">
        <f t="shared" si="304"/>
        <v>0</v>
      </c>
      <c r="AT1515" s="147">
        <f t="shared" si="304"/>
        <v>0</v>
      </c>
      <c r="AU1515" s="147">
        <f t="shared" si="304"/>
        <v>0</v>
      </c>
      <c r="AV1515" s="147">
        <f t="shared" si="304"/>
        <v>0</v>
      </c>
      <c r="AW1515" s="147">
        <f t="shared" si="304"/>
        <v>0</v>
      </c>
      <c r="AX1515" s="147">
        <f t="shared" si="304"/>
        <v>0</v>
      </c>
      <c r="AY1515" s="34" t="s">
        <v>241</v>
      </c>
      <c r="AZ1515" s="34"/>
      <c r="BA1515" s="63"/>
      <c r="BB1515" s="135"/>
      <c r="BC1515" s="163"/>
      <c r="BI1515" s="42"/>
    </row>
    <row r="1516" spans="1:61" s="24" customFormat="1" ht="31.35" customHeight="1">
      <c r="A1516" s="32">
        <f>A1512+1</f>
        <v>875</v>
      </c>
      <c r="B1516" s="158" t="s">
        <v>186</v>
      </c>
      <c r="C1516" s="78" t="s">
        <v>1260</v>
      </c>
      <c r="D1516" s="35">
        <f t="shared" si="301"/>
        <v>1.76</v>
      </c>
      <c r="E1516" s="35"/>
      <c r="F1516" s="35">
        <f t="shared" si="297"/>
        <v>1.76</v>
      </c>
      <c r="G1516" s="109">
        <v>0.15</v>
      </c>
      <c r="H1516" s="109"/>
      <c r="I1516" s="109"/>
      <c r="J1516" s="109"/>
      <c r="K1516" s="109"/>
      <c r="L1516" s="109"/>
      <c r="M1516" s="109">
        <f>1.76-0.15</f>
        <v>1.61</v>
      </c>
      <c r="N1516" s="109"/>
      <c r="O1516" s="109"/>
      <c r="P1516" s="109"/>
      <c r="Q1516" s="109"/>
      <c r="R1516" s="109"/>
      <c r="S1516" s="109"/>
      <c r="T1516" s="109"/>
      <c r="U1516" s="109"/>
      <c r="V1516" s="109"/>
      <c r="W1516" s="109"/>
      <c r="X1516" s="109"/>
      <c r="Y1516" s="109"/>
      <c r="Z1516" s="109"/>
      <c r="AA1516" s="109"/>
      <c r="AB1516" s="109"/>
      <c r="AC1516" s="109"/>
      <c r="AD1516" s="109"/>
      <c r="AE1516" s="109"/>
      <c r="AF1516" s="109"/>
      <c r="AG1516" s="109"/>
      <c r="AH1516" s="109"/>
      <c r="AI1516" s="109"/>
      <c r="AJ1516" s="109"/>
      <c r="AK1516" s="109"/>
      <c r="AL1516" s="109"/>
      <c r="AM1516" s="109"/>
      <c r="AN1516" s="109"/>
      <c r="AO1516" s="109"/>
      <c r="AP1516" s="109"/>
      <c r="AQ1516" s="109"/>
      <c r="AR1516" s="109"/>
      <c r="AS1516" s="109"/>
      <c r="AT1516" s="109"/>
      <c r="AU1516" s="109"/>
      <c r="AV1516" s="109"/>
      <c r="AW1516" s="109"/>
      <c r="AX1516" s="109"/>
      <c r="AY1516" s="34" t="s">
        <v>241</v>
      </c>
      <c r="AZ1516" s="34" t="s">
        <v>1742</v>
      </c>
      <c r="BA1516" s="63" t="s">
        <v>291</v>
      </c>
      <c r="BB1516" s="63"/>
      <c r="BC1516" s="163" t="s">
        <v>1743</v>
      </c>
      <c r="BI1516" s="42">
        <v>1</v>
      </c>
    </row>
    <row r="1517" spans="1:61" s="24" customFormat="1" ht="24.6" hidden="1" customHeight="1">
      <c r="A1517" s="32"/>
      <c r="B1517" s="158"/>
      <c r="C1517" s="78" t="s">
        <v>59</v>
      </c>
      <c r="D1517" s="35">
        <f t="shared" si="301"/>
        <v>0.62</v>
      </c>
      <c r="E1517" s="76"/>
      <c r="F1517" s="35">
        <f t="shared" si="297"/>
        <v>0.62</v>
      </c>
      <c r="G1517" s="109">
        <v>0.15</v>
      </c>
      <c r="H1517" s="109"/>
      <c r="I1517" s="109"/>
      <c r="J1517" s="109"/>
      <c r="K1517" s="109"/>
      <c r="L1517" s="109"/>
      <c r="M1517" s="109">
        <v>0.47</v>
      </c>
      <c r="N1517" s="109"/>
      <c r="O1517" s="109"/>
      <c r="P1517" s="109"/>
      <c r="Q1517" s="109"/>
      <c r="R1517" s="109"/>
      <c r="S1517" s="109"/>
      <c r="T1517" s="109"/>
      <c r="U1517" s="109"/>
      <c r="V1517" s="109"/>
      <c r="W1517" s="109"/>
      <c r="X1517" s="109"/>
      <c r="Y1517" s="109"/>
      <c r="Z1517" s="109"/>
      <c r="AA1517" s="109"/>
      <c r="AB1517" s="109"/>
      <c r="AC1517" s="109"/>
      <c r="AD1517" s="109"/>
      <c r="AE1517" s="109"/>
      <c r="AF1517" s="109"/>
      <c r="AG1517" s="109"/>
      <c r="AH1517" s="109"/>
      <c r="AI1517" s="109"/>
      <c r="AJ1517" s="109"/>
      <c r="AK1517" s="109"/>
      <c r="AL1517" s="109"/>
      <c r="AM1517" s="109"/>
      <c r="AN1517" s="109"/>
      <c r="AO1517" s="109"/>
      <c r="AP1517" s="109"/>
      <c r="AQ1517" s="109"/>
      <c r="AR1517" s="109"/>
      <c r="AS1517" s="109"/>
      <c r="AT1517" s="109"/>
      <c r="AU1517" s="109"/>
      <c r="AV1517" s="109"/>
      <c r="AW1517" s="109"/>
      <c r="AX1517" s="109"/>
      <c r="AY1517" s="34" t="s">
        <v>241</v>
      </c>
      <c r="AZ1517" s="34"/>
      <c r="BA1517" s="63"/>
      <c r="BB1517" s="63"/>
      <c r="BC1517" s="163"/>
      <c r="BI1517" s="42"/>
    </row>
    <row r="1518" spans="1:61" s="24" customFormat="1" ht="24.6" hidden="1" customHeight="1">
      <c r="A1518" s="32"/>
      <c r="B1518" s="158"/>
      <c r="C1518" s="78" t="s">
        <v>44</v>
      </c>
      <c r="D1518" s="35">
        <f t="shared" si="301"/>
        <v>0.62</v>
      </c>
      <c r="E1518" s="76"/>
      <c r="F1518" s="35">
        <f t="shared" si="297"/>
        <v>0.62</v>
      </c>
      <c r="G1518" s="109"/>
      <c r="H1518" s="109"/>
      <c r="I1518" s="109"/>
      <c r="J1518" s="109"/>
      <c r="K1518" s="109"/>
      <c r="L1518" s="109"/>
      <c r="M1518" s="109">
        <v>0.62</v>
      </c>
      <c r="N1518" s="109"/>
      <c r="O1518" s="109"/>
      <c r="P1518" s="109"/>
      <c r="Q1518" s="109"/>
      <c r="R1518" s="109"/>
      <c r="S1518" s="109"/>
      <c r="T1518" s="109"/>
      <c r="U1518" s="109"/>
      <c r="V1518" s="109"/>
      <c r="W1518" s="109"/>
      <c r="X1518" s="109"/>
      <c r="Y1518" s="109"/>
      <c r="Z1518" s="109"/>
      <c r="AA1518" s="109"/>
      <c r="AB1518" s="109"/>
      <c r="AC1518" s="109"/>
      <c r="AD1518" s="109"/>
      <c r="AE1518" s="109"/>
      <c r="AF1518" s="109"/>
      <c r="AG1518" s="109"/>
      <c r="AH1518" s="109"/>
      <c r="AI1518" s="109"/>
      <c r="AJ1518" s="109"/>
      <c r="AK1518" s="109"/>
      <c r="AL1518" s="109"/>
      <c r="AM1518" s="109"/>
      <c r="AN1518" s="109"/>
      <c r="AO1518" s="109"/>
      <c r="AP1518" s="109"/>
      <c r="AQ1518" s="109"/>
      <c r="AR1518" s="109"/>
      <c r="AS1518" s="109"/>
      <c r="AT1518" s="109"/>
      <c r="AU1518" s="109"/>
      <c r="AV1518" s="109"/>
      <c r="AW1518" s="109"/>
      <c r="AX1518" s="109"/>
      <c r="AY1518" s="34" t="s">
        <v>241</v>
      </c>
      <c r="AZ1518" s="34"/>
      <c r="BA1518" s="63"/>
      <c r="BB1518" s="63"/>
      <c r="BC1518" s="163"/>
      <c r="BI1518" s="42"/>
    </row>
    <row r="1519" spans="1:61" s="24" customFormat="1" ht="24.6" hidden="1" customHeight="1">
      <c r="A1519" s="32"/>
      <c r="B1519" s="158"/>
      <c r="C1519" s="78" t="s">
        <v>45</v>
      </c>
      <c r="D1519" s="35">
        <f t="shared" si="301"/>
        <v>0.17</v>
      </c>
      <c r="E1519" s="76"/>
      <c r="F1519" s="35">
        <f t="shared" si="297"/>
        <v>0.17</v>
      </c>
      <c r="G1519" s="109"/>
      <c r="H1519" s="109"/>
      <c r="I1519" s="109"/>
      <c r="J1519" s="109"/>
      <c r="K1519" s="109"/>
      <c r="L1519" s="109"/>
      <c r="M1519" s="109">
        <v>0.17</v>
      </c>
      <c r="N1519" s="109"/>
      <c r="O1519" s="109"/>
      <c r="P1519" s="109"/>
      <c r="Q1519" s="109"/>
      <c r="R1519" s="109"/>
      <c r="S1519" s="109"/>
      <c r="T1519" s="109"/>
      <c r="U1519" s="109"/>
      <c r="V1519" s="109"/>
      <c r="W1519" s="109"/>
      <c r="X1519" s="109"/>
      <c r="Y1519" s="109"/>
      <c r="Z1519" s="109"/>
      <c r="AA1519" s="109"/>
      <c r="AB1519" s="109"/>
      <c r="AC1519" s="109"/>
      <c r="AD1519" s="109"/>
      <c r="AE1519" s="109"/>
      <c r="AF1519" s="109"/>
      <c r="AG1519" s="109"/>
      <c r="AH1519" s="109"/>
      <c r="AI1519" s="109"/>
      <c r="AJ1519" s="109"/>
      <c r="AK1519" s="109"/>
      <c r="AL1519" s="109"/>
      <c r="AM1519" s="109"/>
      <c r="AN1519" s="109"/>
      <c r="AO1519" s="109"/>
      <c r="AP1519" s="109"/>
      <c r="AQ1519" s="109"/>
      <c r="AR1519" s="109"/>
      <c r="AS1519" s="109"/>
      <c r="AT1519" s="109"/>
      <c r="AU1519" s="109"/>
      <c r="AV1519" s="109"/>
      <c r="AW1519" s="109"/>
      <c r="AX1519" s="109"/>
      <c r="AY1519" s="34" t="s">
        <v>241</v>
      </c>
      <c r="AZ1519" s="34"/>
      <c r="BA1519" s="63"/>
      <c r="BB1519" s="63"/>
      <c r="BC1519" s="163"/>
      <c r="BI1519" s="42"/>
    </row>
    <row r="1520" spans="1:61" s="24" customFormat="1" ht="24.6" hidden="1" customHeight="1">
      <c r="A1520" s="32"/>
      <c r="B1520" s="158"/>
      <c r="C1520" s="78" t="s">
        <v>138</v>
      </c>
      <c r="D1520" s="35">
        <f t="shared" si="301"/>
        <v>0.35000000000000009</v>
      </c>
      <c r="E1520" s="76"/>
      <c r="F1520" s="35">
        <f t="shared" si="297"/>
        <v>0.35000000000000009</v>
      </c>
      <c r="G1520" s="147">
        <f>G1516-G1517-G1518-G1519</f>
        <v>0</v>
      </c>
      <c r="H1520" s="147">
        <f t="shared" ref="H1520:AX1520" si="305">H1516-H1517-H1518-H1519</f>
        <v>0</v>
      </c>
      <c r="I1520" s="147">
        <f t="shared" si="305"/>
        <v>0</v>
      </c>
      <c r="J1520" s="147">
        <f t="shared" si="305"/>
        <v>0</v>
      </c>
      <c r="K1520" s="147">
        <f t="shared" si="305"/>
        <v>0</v>
      </c>
      <c r="L1520" s="147">
        <f t="shared" si="305"/>
        <v>0</v>
      </c>
      <c r="M1520" s="147">
        <f t="shared" si="305"/>
        <v>0.35000000000000009</v>
      </c>
      <c r="N1520" s="147">
        <f t="shared" si="305"/>
        <v>0</v>
      </c>
      <c r="O1520" s="147">
        <f t="shared" si="305"/>
        <v>0</v>
      </c>
      <c r="P1520" s="147">
        <f t="shared" si="305"/>
        <v>0</v>
      </c>
      <c r="Q1520" s="147">
        <f t="shared" si="305"/>
        <v>0</v>
      </c>
      <c r="R1520" s="147">
        <f t="shared" si="305"/>
        <v>0</v>
      </c>
      <c r="S1520" s="147">
        <f t="shared" si="305"/>
        <v>0</v>
      </c>
      <c r="T1520" s="147">
        <f t="shared" si="305"/>
        <v>0</v>
      </c>
      <c r="U1520" s="147">
        <f t="shared" si="305"/>
        <v>0</v>
      </c>
      <c r="V1520" s="147">
        <f t="shared" si="305"/>
        <v>0</v>
      </c>
      <c r="W1520" s="147">
        <f t="shared" si="305"/>
        <v>0</v>
      </c>
      <c r="X1520" s="147">
        <f t="shared" si="305"/>
        <v>0</v>
      </c>
      <c r="Y1520" s="147">
        <f t="shared" si="305"/>
        <v>0</v>
      </c>
      <c r="Z1520" s="147">
        <f t="shared" si="305"/>
        <v>0</v>
      </c>
      <c r="AA1520" s="147">
        <f t="shared" si="305"/>
        <v>0</v>
      </c>
      <c r="AB1520" s="147">
        <f t="shared" si="305"/>
        <v>0</v>
      </c>
      <c r="AC1520" s="147">
        <f t="shared" si="305"/>
        <v>0</v>
      </c>
      <c r="AD1520" s="147">
        <f t="shared" si="305"/>
        <v>0</v>
      </c>
      <c r="AE1520" s="147">
        <f t="shared" si="305"/>
        <v>0</v>
      </c>
      <c r="AF1520" s="147">
        <f t="shared" si="305"/>
        <v>0</v>
      </c>
      <c r="AG1520" s="147">
        <f t="shared" si="305"/>
        <v>0</v>
      </c>
      <c r="AH1520" s="147">
        <f t="shared" si="305"/>
        <v>0</v>
      </c>
      <c r="AI1520" s="147">
        <f t="shared" si="305"/>
        <v>0</v>
      </c>
      <c r="AJ1520" s="147">
        <f t="shared" si="305"/>
        <v>0</v>
      </c>
      <c r="AK1520" s="147">
        <f t="shared" si="305"/>
        <v>0</v>
      </c>
      <c r="AL1520" s="147">
        <f t="shared" si="305"/>
        <v>0</v>
      </c>
      <c r="AM1520" s="147">
        <f t="shared" si="305"/>
        <v>0</v>
      </c>
      <c r="AN1520" s="147">
        <f t="shared" si="305"/>
        <v>0</v>
      </c>
      <c r="AO1520" s="147">
        <f t="shared" si="305"/>
        <v>0</v>
      </c>
      <c r="AP1520" s="147">
        <f t="shared" si="305"/>
        <v>0</v>
      </c>
      <c r="AQ1520" s="147">
        <f t="shared" si="305"/>
        <v>0</v>
      </c>
      <c r="AR1520" s="147">
        <f t="shared" si="305"/>
        <v>0</v>
      </c>
      <c r="AS1520" s="147">
        <f t="shared" si="305"/>
        <v>0</v>
      </c>
      <c r="AT1520" s="147">
        <f t="shared" si="305"/>
        <v>0</v>
      </c>
      <c r="AU1520" s="147">
        <f t="shared" si="305"/>
        <v>0</v>
      </c>
      <c r="AV1520" s="147">
        <f t="shared" si="305"/>
        <v>0</v>
      </c>
      <c r="AW1520" s="147">
        <f t="shared" si="305"/>
        <v>0</v>
      </c>
      <c r="AX1520" s="147">
        <f t="shared" si="305"/>
        <v>0</v>
      </c>
      <c r="AY1520" s="34" t="s">
        <v>241</v>
      </c>
      <c r="AZ1520" s="34"/>
      <c r="BA1520" s="63"/>
      <c r="BB1520" s="63"/>
      <c r="BC1520" s="163"/>
      <c r="BI1520" s="42"/>
    </row>
    <row r="1521" spans="1:61" s="24" customFormat="1" ht="21.6" customHeight="1">
      <c r="A1521" s="32">
        <f>A1516+1</f>
        <v>876</v>
      </c>
      <c r="B1521" s="158" t="s">
        <v>186</v>
      </c>
      <c r="C1521" s="78" t="s">
        <v>59</v>
      </c>
      <c r="D1521" s="35">
        <f t="shared" si="301"/>
        <v>0.27</v>
      </c>
      <c r="E1521" s="35"/>
      <c r="F1521" s="35">
        <f t="shared" si="297"/>
        <v>0.27</v>
      </c>
      <c r="G1521" s="109">
        <v>0.27</v>
      </c>
      <c r="H1521" s="109"/>
      <c r="I1521" s="109"/>
      <c r="J1521" s="43"/>
      <c r="K1521" s="109"/>
      <c r="L1521" s="109"/>
      <c r="M1521" s="109"/>
      <c r="N1521" s="109"/>
      <c r="O1521" s="109"/>
      <c r="P1521" s="109"/>
      <c r="Q1521" s="109"/>
      <c r="R1521" s="109"/>
      <c r="S1521" s="109"/>
      <c r="T1521" s="109"/>
      <c r="U1521" s="109"/>
      <c r="V1521" s="109"/>
      <c r="W1521" s="109"/>
      <c r="X1521" s="109"/>
      <c r="Y1521" s="109"/>
      <c r="Z1521" s="109"/>
      <c r="AA1521" s="109"/>
      <c r="AB1521" s="109"/>
      <c r="AC1521" s="109"/>
      <c r="AD1521" s="109"/>
      <c r="AE1521" s="109"/>
      <c r="AF1521" s="109"/>
      <c r="AG1521" s="109"/>
      <c r="AH1521" s="109"/>
      <c r="AI1521" s="109"/>
      <c r="AJ1521" s="109"/>
      <c r="AK1521" s="109"/>
      <c r="AL1521" s="109"/>
      <c r="AM1521" s="109"/>
      <c r="AN1521" s="109"/>
      <c r="AO1521" s="109"/>
      <c r="AP1521" s="109"/>
      <c r="AQ1521" s="109"/>
      <c r="AR1521" s="109"/>
      <c r="AS1521" s="109"/>
      <c r="AT1521" s="109"/>
      <c r="AU1521" s="109"/>
      <c r="AV1521" s="109"/>
      <c r="AW1521" s="109"/>
      <c r="AX1521" s="109"/>
      <c r="AY1521" s="34" t="s">
        <v>241</v>
      </c>
      <c r="AZ1521" s="34" t="s">
        <v>1744</v>
      </c>
      <c r="BA1521" s="63" t="s">
        <v>291</v>
      </c>
      <c r="BB1521" s="63"/>
      <c r="BC1521" s="163" t="s">
        <v>1745</v>
      </c>
      <c r="BI1521" s="42">
        <v>1</v>
      </c>
    </row>
    <row r="1522" spans="1:61" s="24" customFormat="1" ht="21.6" customHeight="1">
      <c r="A1522" s="32">
        <f>A1521+1</f>
        <v>877</v>
      </c>
      <c r="B1522" s="158" t="s">
        <v>186</v>
      </c>
      <c r="C1522" s="78" t="s">
        <v>1260</v>
      </c>
      <c r="D1522" s="35">
        <f t="shared" si="301"/>
        <v>1.3599999999999999</v>
      </c>
      <c r="E1522" s="35"/>
      <c r="F1522" s="35">
        <f t="shared" si="297"/>
        <v>1.3599999999999999</v>
      </c>
      <c r="G1522" s="109">
        <v>1.19</v>
      </c>
      <c r="H1522" s="109"/>
      <c r="I1522" s="109">
        <v>0.17</v>
      </c>
      <c r="J1522" s="109"/>
      <c r="K1522" s="109"/>
      <c r="L1522" s="109"/>
      <c r="M1522" s="109"/>
      <c r="N1522" s="109"/>
      <c r="O1522" s="109"/>
      <c r="P1522" s="109"/>
      <c r="Q1522" s="109"/>
      <c r="R1522" s="109"/>
      <c r="S1522" s="109"/>
      <c r="T1522" s="109"/>
      <c r="U1522" s="109"/>
      <c r="V1522" s="109"/>
      <c r="W1522" s="109"/>
      <c r="X1522" s="109"/>
      <c r="Y1522" s="109"/>
      <c r="Z1522" s="109"/>
      <c r="AA1522" s="109"/>
      <c r="AB1522" s="109"/>
      <c r="AC1522" s="109"/>
      <c r="AD1522" s="109"/>
      <c r="AE1522" s="109"/>
      <c r="AF1522" s="109"/>
      <c r="AG1522" s="109"/>
      <c r="AH1522" s="109"/>
      <c r="AI1522" s="109"/>
      <c r="AJ1522" s="109"/>
      <c r="AK1522" s="109"/>
      <c r="AL1522" s="109"/>
      <c r="AM1522" s="109"/>
      <c r="AN1522" s="109"/>
      <c r="AO1522" s="109"/>
      <c r="AP1522" s="109"/>
      <c r="AQ1522" s="109"/>
      <c r="AR1522" s="109"/>
      <c r="AS1522" s="109"/>
      <c r="AT1522" s="109"/>
      <c r="AU1522" s="109"/>
      <c r="AV1522" s="109"/>
      <c r="AW1522" s="109"/>
      <c r="AX1522" s="109"/>
      <c r="AY1522" s="34" t="s">
        <v>241</v>
      </c>
      <c r="AZ1522" s="166" t="s">
        <v>1746</v>
      </c>
      <c r="BA1522" s="63" t="s">
        <v>291</v>
      </c>
      <c r="BB1522" s="63"/>
      <c r="BC1522" s="163" t="s">
        <v>1747</v>
      </c>
      <c r="BI1522" s="42">
        <v>1</v>
      </c>
    </row>
    <row r="1523" spans="1:61" s="24" customFormat="1" ht="21.6" hidden="1" customHeight="1">
      <c r="A1523" s="32"/>
      <c r="B1523" s="158"/>
      <c r="C1523" s="78" t="s">
        <v>59</v>
      </c>
      <c r="D1523" s="35">
        <f t="shared" si="301"/>
        <v>0.48</v>
      </c>
      <c r="E1523" s="76"/>
      <c r="F1523" s="35">
        <f t="shared" si="297"/>
        <v>0.48</v>
      </c>
      <c r="G1523" s="109">
        <v>0.48</v>
      </c>
      <c r="H1523" s="109"/>
      <c r="I1523" s="109"/>
      <c r="J1523" s="109"/>
      <c r="K1523" s="109"/>
      <c r="L1523" s="109"/>
      <c r="M1523" s="109"/>
      <c r="N1523" s="109"/>
      <c r="O1523" s="109"/>
      <c r="P1523" s="109"/>
      <c r="Q1523" s="109"/>
      <c r="R1523" s="109"/>
      <c r="S1523" s="109"/>
      <c r="T1523" s="109"/>
      <c r="U1523" s="109"/>
      <c r="V1523" s="109"/>
      <c r="W1523" s="109"/>
      <c r="X1523" s="109"/>
      <c r="Y1523" s="109"/>
      <c r="Z1523" s="109"/>
      <c r="AA1523" s="109"/>
      <c r="AB1523" s="109"/>
      <c r="AC1523" s="109"/>
      <c r="AD1523" s="109"/>
      <c r="AE1523" s="109"/>
      <c r="AF1523" s="109"/>
      <c r="AG1523" s="109"/>
      <c r="AH1523" s="109"/>
      <c r="AI1523" s="109"/>
      <c r="AJ1523" s="109"/>
      <c r="AK1523" s="109"/>
      <c r="AL1523" s="109"/>
      <c r="AM1523" s="109"/>
      <c r="AN1523" s="109"/>
      <c r="AO1523" s="109"/>
      <c r="AP1523" s="109"/>
      <c r="AQ1523" s="109"/>
      <c r="AR1523" s="109"/>
      <c r="AS1523" s="109"/>
      <c r="AT1523" s="109"/>
      <c r="AU1523" s="109"/>
      <c r="AV1523" s="109"/>
      <c r="AW1523" s="109"/>
      <c r="AX1523" s="109"/>
      <c r="AY1523" s="34" t="s">
        <v>241</v>
      </c>
      <c r="AZ1523" s="166"/>
      <c r="BA1523" s="63"/>
      <c r="BB1523" s="64"/>
      <c r="BC1523" s="164"/>
      <c r="BI1523" s="42"/>
    </row>
    <row r="1524" spans="1:61" s="24" customFormat="1" ht="21.6" hidden="1" customHeight="1">
      <c r="A1524" s="32"/>
      <c r="B1524" s="158"/>
      <c r="C1524" s="78" t="s">
        <v>44</v>
      </c>
      <c r="D1524" s="35">
        <f t="shared" si="301"/>
        <v>0.48</v>
      </c>
      <c r="E1524" s="76"/>
      <c r="F1524" s="35">
        <f t="shared" si="297"/>
        <v>0.48</v>
      </c>
      <c r="G1524" s="109">
        <v>0.31</v>
      </c>
      <c r="H1524" s="109"/>
      <c r="I1524" s="109">
        <v>0.17</v>
      </c>
      <c r="J1524" s="109"/>
      <c r="K1524" s="109"/>
      <c r="L1524" s="109"/>
      <c r="M1524" s="109"/>
      <c r="N1524" s="109"/>
      <c r="O1524" s="109"/>
      <c r="P1524" s="109"/>
      <c r="Q1524" s="109"/>
      <c r="R1524" s="109"/>
      <c r="S1524" s="109"/>
      <c r="T1524" s="109"/>
      <c r="U1524" s="109"/>
      <c r="V1524" s="109"/>
      <c r="W1524" s="109"/>
      <c r="X1524" s="109"/>
      <c r="Y1524" s="109"/>
      <c r="Z1524" s="109"/>
      <c r="AA1524" s="109"/>
      <c r="AB1524" s="109"/>
      <c r="AC1524" s="109"/>
      <c r="AD1524" s="109"/>
      <c r="AE1524" s="109"/>
      <c r="AF1524" s="109"/>
      <c r="AG1524" s="109"/>
      <c r="AH1524" s="109"/>
      <c r="AI1524" s="109"/>
      <c r="AJ1524" s="109"/>
      <c r="AK1524" s="109"/>
      <c r="AL1524" s="109"/>
      <c r="AM1524" s="109"/>
      <c r="AN1524" s="109"/>
      <c r="AO1524" s="109"/>
      <c r="AP1524" s="109"/>
      <c r="AQ1524" s="109"/>
      <c r="AR1524" s="109"/>
      <c r="AS1524" s="109"/>
      <c r="AT1524" s="109"/>
      <c r="AU1524" s="109"/>
      <c r="AV1524" s="109"/>
      <c r="AW1524" s="109"/>
      <c r="AX1524" s="109"/>
      <c r="AY1524" s="34" t="s">
        <v>241</v>
      </c>
      <c r="AZ1524" s="166"/>
      <c r="BA1524" s="63"/>
      <c r="BB1524" s="64"/>
      <c r="BC1524" s="164"/>
      <c r="BI1524" s="42"/>
    </row>
    <row r="1525" spans="1:61" s="24" customFormat="1" ht="21.6" hidden="1" customHeight="1">
      <c r="A1525" s="32"/>
      <c r="B1525" s="158"/>
      <c r="C1525" s="78" t="s">
        <v>45</v>
      </c>
      <c r="D1525" s="35">
        <f t="shared" si="301"/>
        <v>0.14000000000000001</v>
      </c>
      <c r="E1525" s="76"/>
      <c r="F1525" s="35">
        <f t="shared" si="297"/>
        <v>0.14000000000000001</v>
      </c>
      <c r="G1525" s="109">
        <v>0.14000000000000001</v>
      </c>
      <c r="H1525" s="109"/>
      <c r="I1525" s="109"/>
      <c r="J1525" s="109"/>
      <c r="K1525" s="109"/>
      <c r="L1525" s="109"/>
      <c r="M1525" s="109"/>
      <c r="N1525" s="109"/>
      <c r="O1525" s="109"/>
      <c r="P1525" s="109"/>
      <c r="Q1525" s="109"/>
      <c r="R1525" s="109"/>
      <c r="S1525" s="109"/>
      <c r="T1525" s="109"/>
      <c r="U1525" s="109"/>
      <c r="V1525" s="109"/>
      <c r="W1525" s="109"/>
      <c r="X1525" s="109"/>
      <c r="Y1525" s="109"/>
      <c r="Z1525" s="109"/>
      <c r="AA1525" s="109"/>
      <c r="AB1525" s="109"/>
      <c r="AC1525" s="109"/>
      <c r="AD1525" s="109"/>
      <c r="AE1525" s="109"/>
      <c r="AF1525" s="109"/>
      <c r="AG1525" s="109"/>
      <c r="AH1525" s="109"/>
      <c r="AI1525" s="109"/>
      <c r="AJ1525" s="109"/>
      <c r="AK1525" s="109"/>
      <c r="AL1525" s="109"/>
      <c r="AM1525" s="109"/>
      <c r="AN1525" s="109"/>
      <c r="AO1525" s="109"/>
      <c r="AP1525" s="109"/>
      <c r="AQ1525" s="109"/>
      <c r="AR1525" s="109"/>
      <c r="AS1525" s="109"/>
      <c r="AT1525" s="109"/>
      <c r="AU1525" s="109"/>
      <c r="AV1525" s="109"/>
      <c r="AW1525" s="109"/>
      <c r="AX1525" s="109"/>
      <c r="AY1525" s="34" t="s">
        <v>241</v>
      </c>
      <c r="AZ1525" s="166"/>
      <c r="BA1525" s="63"/>
      <c r="BB1525" s="64"/>
      <c r="BC1525" s="164"/>
      <c r="BI1525" s="42"/>
    </row>
    <row r="1526" spans="1:61" s="24" customFormat="1" ht="21.6" hidden="1" customHeight="1">
      <c r="A1526" s="32"/>
      <c r="B1526" s="158"/>
      <c r="C1526" s="78" t="s">
        <v>138</v>
      </c>
      <c r="D1526" s="35">
        <f t="shared" si="301"/>
        <v>0.25999999999999995</v>
      </c>
      <c r="E1526" s="76"/>
      <c r="F1526" s="35">
        <f t="shared" si="297"/>
        <v>0.25999999999999995</v>
      </c>
      <c r="G1526" s="147">
        <f>G1522-G1523-G1524-G1525</f>
        <v>0.25999999999999995</v>
      </c>
      <c r="H1526" s="147">
        <f t="shared" ref="H1526:AX1526" si="306">H1522-H1523-H1524-H1525</f>
        <v>0</v>
      </c>
      <c r="I1526" s="147">
        <f t="shared" si="306"/>
        <v>0</v>
      </c>
      <c r="J1526" s="147">
        <f t="shared" si="306"/>
        <v>0</v>
      </c>
      <c r="K1526" s="147">
        <f t="shared" si="306"/>
        <v>0</v>
      </c>
      <c r="L1526" s="147">
        <f t="shared" si="306"/>
        <v>0</v>
      </c>
      <c r="M1526" s="147">
        <f t="shared" si="306"/>
        <v>0</v>
      </c>
      <c r="N1526" s="147">
        <f t="shared" si="306"/>
        <v>0</v>
      </c>
      <c r="O1526" s="147">
        <f t="shared" si="306"/>
        <v>0</v>
      </c>
      <c r="P1526" s="147">
        <f t="shared" si="306"/>
        <v>0</v>
      </c>
      <c r="Q1526" s="147">
        <f t="shared" si="306"/>
        <v>0</v>
      </c>
      <c r="R1526" s="147">
        <f t="shared" si="306"/>
        <v>0</v>
      </c>
      <c r="S1526" s="147">
        <f t="shared" si="306"/>
        <v>0</v>
      </c>
      <c r="T1526" s="147">
        <f t="shared" si="306"/>
        <v>0</v>
      </c>
      <c r="U1526" s="147">
        <f t="shared" si="306"/>
        <v>0</v>
      </c>
      <c r="V1526" s="147">
        <f t="shared" si="306"/>
        <v>0</v>
      </c>
      <c r="W1526" s="147">
        <f t="shared" si="306"/>
        <v>0</v>
      </c>
      <c r="X1526" s="147">
        <f t="shared" si="306"/>
        <v>0</v>
      </c>
      <c r="Y1526" s="147">
        <f t="shared" si="306"/>
        <v>0</v>
      </c>
      <c r="Z1526" s="147">
        <f t="shared" si="306"/>
        <v>0</v>
      </c>
      <c r="AA1526" s="147">
        <f t="shared" si="306"/>
        <v>0</v>
      </c>
      <c r="AB1526" s="147">
        <f t="shared" si="306"/>
        <v>0</v>
      </c>
      <c r="AC1526" s="147">
        <f t="shared" si="306"/>
        <v>0</v>
      </c>
      <c r="AD1526" s="147">
        <f t="shared" si="306"/>
        <v>0</v>
      </c>
      <c r="AE1526" s="147">
        <f t="shared" si="306"/>
        <v>0</v>
      </c>
      <c r="AF1526" s="147">
        <f t="shared" si="306"/>
        <v>0</v>
      </c>
      <c r="AG1526" s="147">
        <f t="shared" si="306"/>
        <v>0</v>
      </c>
      <c r="AH1526" s="147">
        <f t="shared" si="306"/>
        <v>0</v>
      </c>
      <c r="AI1526" s="147">
        <f t="shared" si="306"/>
        <v>0</v>
      </c>
      <c r="AJ1526" s="147">
        <f t="shared" si="306"/>
        <v>0</v>
      </c>
      <c r="AK1526" s="147">
        <f t="shared" si="306"/>
        <v>0</v>
      </c>
      <c r="AL1526" s="147">
        <f t="shared" si="306"/>
        <v>0</v>
      </c>
      <c r="AM1526" s="147">
        <f t="shared" si="306"/>
        <v>0</v>
      </c>
      <c r="AN1526" s="147">
        <f t="shared" si="306"/>
        <v>0</v>
      </c>
      <c r="AO1526" s="147">
        <f t="shared" si="306"/>
        <v>0</v>
      </c>
      <c r="AP1526" s="147">
        <f t="shared" si="306"/>
        <v>0</v>
      </c>
      <c r="AQ1526" s="147">
        <f t="shared" si="306"/>
        <v>0</v>
      </c>
      <c r="AR1526" s="147">
        <f t="shared" si="306"/>
        <v>0</v>
      </c>
      <c r="AS1526" s="147">
        <f t="shared" si="306"/>
        <v>0</v>
      </c>
      <c r="AT1526" s="147">
        <f t="shared" si="306"/>
        <v>0</v>
      </c>
      <c r="AU1526" s="147">
        <f t="shared" si="306"/>
        <v>0</v>
      </c>
      <c r="AV1526" s="147">
        <f t="shared" si="306"/>
        <v>0</v>
      </c>
      <c r="AW1526" s="147">
        <f t="shared" si="306"/>
        <v>0</v>
      </c>
      <c r="AX1526" s="147">
        <f t="shared" si="306"/>
        <v>0</v>
      </c>
      <c r="AY1526" s="34" t="s">
        <v>241</v>
      </c>
      <c r="AZ1526" s="166"/>
      <c r="BA1526" s="63"/>
      <c r="BB1526" s="64"/>
      <c r="BC1526" s="164"/>
      <c r="BI1526" s="42"/>
    </row>
    <row r="1527" spans="1:61" s="24" customFormat="1" ht="21.6" customHeight="1">
      <c r="A1527" s="32">
        <f>A1522+1</f>
        <v>878</v>
      </c>
      <c r="B1527" s="158" t="s">
        <v>186</v>
      </c>
      <c r="C1527" s="78" t="s">
        <v>1260</v>
      </c>
      <c r="D1527" s="35">
        <f t="shared" si="301"/>
        <v>0.65</v>
      </c>
      <c r="E1527" s="35"/>
      <c r="F1527" s="35">
        <f t="shared" si="297"/>
        <v>0.65</v>
      </c>
      <c r="G1527" s="109"/>
      <c r="H1527" s="109"/>
      <c r="I1527" s="109"/>
      <c r="J1527" s="109"/>
      <c r="K1527" s="109"/>
      <c r="L1527" s="109"/>
      <c r="M1527" s="109">
        <v>0.65</v>
      </c>
      <c r="N1527" s="109"/>
      <c r="O1527" s="109"/>
      <c r="P1527" s="109"/>
      <c r="Q1527" s="109"/>
      <c r="R1527" s="109"/>
      <c r="S1527" s="109"/>
      <c r="T1527" s="109"/>
      <c r="U1527" s="109"/>
      <c r="V1527" s="109"/>
      <c r="W1527" s="109"/>
      <c r="X1527" s="109"/>
      <c r="Y1527" s="109"/>
      <c r="Z1527" s="109"/>
      <c r="AA1527" s="109"/>
      <c r="AB1527" s="109"/>
      <c r="AC1527" s="109"/>
      <c r="AD1527" s="109"/>
      <c r="AE1527" s="109"/>
      <c r="AF1527" s="109"/>
      <c r="AG1527" s="109"/>
      <c r="AH1527" s="109"/>
      <c r="AI1527" s="109"/>
      <c r="AJ1527" s="109"/>
      <c r="AK1527" s="109"/>
      <c r="AL1527" s="109"/>
      <c r="AM1527" s="109"/>
      <c r="AN1527" s="109"/>
      <c r="AO1527" s="109"/>
      <c r="AP1527" s="109"/>
      <c r="AQ1527" s="109"/>
      <c r="AR1527" s="109"/>
      <c r="AS1527" s="109"/>
      <c r="AT1527" s="109"/>
      <c r="AU1527" s="109"/>
      <c r="AV1527" s="109"/>
      <c r="AW1527" s="109"/>
      <c r="AX1527" s="109"/>
      <c r="AY1527" s="34" t="s">
        <v>241</v>
      </c>
      <c r="AZ1527" s="166" t="s">
        <v>1748</v>
      </c>
      <c r="BA1527" s="63" t="s">
        <v>291</v>
      </c>
      <c r="BB1527" s="64"/>
      <c r="BC1527" s="164" t="s">
        <v>381</v>
      </c>
      <c r="BI1527" s="42">
        <v>1</v>
      </c>
    </row>
    <row r="1528" spans="1:61" s="24" customFormat="1" ht="21.6" hidden="1" customHeight="1">
      <c r="A1528" s="32"/>
      <c r="B1528" s="158"/>
      <c r="C1528" s="78" t="s">
        <v>59</v>
      </c>
      <c r="D1528" s="35">
        <f t="shared" si="301"/>
        <v>0.23</v>
      </c>
      <c r="E1528" s="76"/>
      <c r="F1528" s="35">
        <f t="shared" si="297"/>
        <v>0.23</v>
      </c>
      <c r="G1528" s="109"/>
      <c r="H1528" s="109"/>
      <c r="I1528" s="109"/>
      <c r="J1528" s="109"/>
      <c r="K1528" s="109"/>
      <c r="L1528" s="109"/>
      <c r="M1528" s="109">
        <v>0.23</v>
      </c>
      <c r="N1528" s="109"/>
      <c r="O1528" s="109"/>
      <c r="P1528" s="109"/>
      <c r="Q1528" s="109"/>
      <c r="R1528" s="109"/>
      <c r="S1528" s="109"/>
      <c r="T1528" s="109"/>
      <c r="U1528" s="109"/>
      <c r="V1528" s="109"/>
      <c r="W1528" s="109"/>
      <c r="X1528" s="109"/>
      <c r="Y1528" s="109"/>
      <c r="Z1528" s="109"/>
      <c r="AA1528" s="109"/>
      <c r="AB1528" s="109"/>
      <c r="AC1528" s="109"/>
      <c r="AD1528" s="109"/>
      <c r="AE1528" s="109"/>
      <c r="AF1528" s="109"/>
      <c r="AG1528" s="109"/>
      <c r="AH1528" s="109"/>
      <c r="AI1528" s="109"/>
      <c r="AJ1528" s="109"/>
      <c r="AK1528" s="109"/>
      <c r="AL1528" s="109"/>
      <c r="AM1528" s="109"/>
      <c r="AN1528" s="109"/>
      <c r="AO1528" s="109"/>
      <c r="AP1528" s="109"/>
      <c r="AQ1528" s="109"/>
      <c r="AR1528" s="109"/>
      <c r="AS1528" s="109"/>
      <c r="AT1528" s="109"/>
      <c r="AU1528" s="109"/>
      <c r="AV1528" s="109"/>
      <c r="AW1528" s="109"/>
      <c r="AX1528" s="109"/>
      <c r="AY1528" s="34" t="s">
        <v>241</v>
      </c>
      <c r="AZ1528" s="166"/>
      <c r="BA1528" s="63"/>
      <c r="BB1528" s="64"/>
      <c r="BC1528" s="164"/>
      <c r="BI1528" s="42"/>
    </row>
    <row r="1529" spans="1:61" s="24" customFormat="1" ht="21.6" hidden="1" customHeight="1">
      <c r="A1529" s="32"/>
      <c r="B1529" s="158"/>
      <c r="C1529" s="78" t="s">
        <v>44</v>
      </c>
      <c r="D1529" s="35">
        <f t="shared" si="301"/>
        <v>0.26</v>
      </c>
      <c r="E1529" s="76"/>
      <c r="F1529" s="35">
        <f t="shared" si="297"/>
        <v>0.26</v>
      </c>
      <c r="G1529" s="109"/>
      <c r="H1529" s="109"/>
      <c r="I1529" s="109"/>
      <c r="J1529" s="109"/>
      <c r="K1529" s="109"/>
      <c r="L1529" s="109"/>
      <c r="M1529" s="109">
        <v>0.26</v>
      </c>
      <c r="N1529" s="109"/>
      <c r="O1529" s="109"/>
      <c r="P1529" s="109"/>
      <c r="Q1529" s="109"/>
      <c r="R1529" s="109"/>
      <c r="S1529" s="109"/>
      <c r="T1529" s="109"/>
      <c r="U1529" s="109"/>
      <c r="V1529" s="109"/>
      <c r="W1529" s="109"/>
      <c r="X1529" s="109"/>
      <c r="Y1529" s="109"/>
      <c r="Z1529" s="109"/>
      <c r="AA1529" s="109"/>
      <c r="AB1529" s="109"/>
      <c r="AC1529" s="109"/>
      <c r="AD1529" s="109"/>
      <c r="AE1529" s="109"/>
      <c r="AF1529" s="109"/>
      <c r="AG1529" s="109"/>
      <c r="AH1529" s="109"/>
      <c r="AI1529" s="109"/>
      <c r="AJ1529" s="109"/>
      <c r="AK1529" s="109"/>
      <c r="AL1529" s="109"/>
      <c r="AM1529" s="109"/>
      <c r="AN1529" s="109"/>
      <c r="AO1529" s="109"/>
      <c r="AP1529" s="109"/>
      <c r="AQ1529" s="109"/>
      <c r="AR1529" s="109"/>
      <c r="AS1529" s="109"/>
      <c r="AT1529" s="109"/>
      <c r="AU1529" s="109"/>
      <c r="AV1529" s="109"/>
      <c r="AW1529" s="109"/>
      <c r="AX1529" s="109"/>
      <c r="AY1529" s="34" t="s">
        <v>241</v>
      </c>
      <c r="AZ1529" s="166"/>
      <c r="BA1529" s="63"/>
      <c r="BB1529" s="64"/>
      <c r="BC1529" s="164"/>
      <c r="BI1529" s="42"/>
    </row>
    <row r="1530" spans="1:61" s="24" customFormat="1" ht="21.6" hidden="1" customHeight="1">
      <c r="A1530" s="32"/>
      <c r="B1530" s="158"/>
      <c r="C1530" s="78" t="s">
        <v>138</v>
      </c>
      <c r="D1530" s="35">
        <f t="shared" si="301"/>
        <v>0.16000000000000003</v>
      </c>
      <c r="E1530" s="76"/>
      <c r="F1530" s="35">
        <f t="shared" si="297"/>
        <v>0.16000000000000003</v>
      </c>
      <c r="G1530" s="147">
        <f>G1527-G1528-G1529</f>
        <v>0</v>
      </c>
      <c r="H1530" s="147">
        <f t="shared" ref="H1530:AX1530" si="307">H1527-H1528-H1529</f>
        <v>0</v>
      </c>
      <c r="I1530" s="147">
        <f t="shared" si="307"/>
        <v>0</v>
      </c>
      <c r="J1530" s="147">
        <f t="shared" si="307"/>
        <v>0</v>
      </c>
      <c r="K1530" s="147">
        <f t="shared" si="307"/>
        <v>0</v>
      </c>
      <c r="L1530" s="147">
        <f t="shared" si="307"/>
        <v>0</v>
      </c>
      <c r="M1530" s="147">
        <f t="shared" si="307"/>
        <v>0.16000000000000003</v>
      </c>
      <c r="N1530" s="147">
        <f t="shared" si="307"/>
        <v>0</v>
      </c>
      <c r="O1530" s="147">
        <f t="shared" si="307"/>
        <v>0</v>
      </c>
      <c r="P1530" s="147">
        <f t="shared" si="307"/>
        <v>0</v>
      </c>
      <c r="Q1530" s="147">
        <f t="shared" si="307"/>
        <v>0</v>
      </c>
      <c r="R1530" s="147">
        <f t="shared" si="307"/>
        <v>0</v>
      </c>
      <c r="S1530" s="147">
        <f t="shared" si="307"/>
        <v>0</v>
      </c>
      <c r="T1530" s="147">
        <f t="shared" si="307"/>
        <v>0</v>
      </c>
      <c r="U1530" s="147">
        <f t="shared" si="307"/>
        <v>0</v>
      </c>
      <c r="V1530" s="147">
        <f t="shared" si="307"/>
        <v>0</v>
      </c>
      <c r="W1530" s="147">
        <f t="shared" si="307"/>
        <v>0</v>
      </c>
      <c r="X1530" s="147">
        <f t="shared" si="307"/>
        <v>0</v>
      </c>
      <c r="Y1530" s="147">
        <f t="shared" si="307"/>
        <v>0</v>
      </c>
      <c r="Z1530" s="147">
        <f t="shared" si="307"/>
        <v>0</v>
      </c>
      <c r="AA1530" s="147">
        <f t="shared" si="307"/>
        <v>0</v>
      </c>
      <c r="AB1530" s="147">
        <f t="shared" si="307"/>
        <v>0</v>
      </c>
      <c r="AC1530" s="147">
        <f t="shared" si="307"/>
        <v>0</v>
      </c>
      <c r="AD1530" s="147">
        <f t="shared" si="307"/>
        <v>0</v>
      </c>
      <c r="AE1530" s="147">
        <f t="shared" si="307"/>
        <v>0</v>
      </c>
      <c r="AF1530" s="147">
        <f t="shared" si="307"/>
        <v>0</v>
      </c>
      <c r="AG1530" s="147">
        <f t="shared" si="307"/>
        <v>0</v>
      </c>
      <c r="AH1530" s="147">
        <f t="shared" si="307"/>
        <v>0</v>
      </c>
      <c r="AI1530" s="147">
        <f t="shared" si="307"/>
        <v>0</v>
      </c>
      <c r="AJ1530" s="147">
        <f t="shared" si="307"/>
        <v>0</v>
      </c>
      <c r="AK1530" s="147">
        <f t="shared" si="307"/>
        <v>0</v>
      </c>
      <c r="AL1530" s="147">
        <f t="shared" si="307"/>
        <v>0</v>
      </c>
      <c r="AM1530" s="147">
        <f t="shared" si="307"/>
        <v>0</v>
      </c>
      <c r="AN1530" s="147">
        <f t="shared" si="307"/>
        <v>0</v>
      </c>
      <c r="AO1530" s="147">
        <f t="shared" si="307"/>
        <v>0</v>
      </c>
      <c r="AP1530" s="147">
        <f t="shared" si="307"/>
        <v>0</v>
      </c>
      <c r="AQ1530" s="147">
        <f t="shared" si="307"/>
        <v>0</v>
      </c>
      <c r="AR1530" s="147">
        <f t="shared" si="307"/>
        <v>0</v>
      </c>
      <c r="AS1530" s="147">
        <f t="shared" si="307"/>
        <v>0</v>
      </c>
      <c r="AT1530" s="147">
        <f t="shared" si="307"/>
        <v>0</v>
      </c>
      <c r="AU1530" s="147">
        <f t="shared" si="307"/>
        <v>0</v>
      </c>
      <c r="AV1530" s="147">
        <f t="shared" si="307"/>
        <v>0</v>
      </c>
      <c r="AW1530" s="147">
        <f t="shared" si="307"/>
        <v>0</v>
      </c>
      <c r="AX1530" s="147">
        <f t="shared" si="307"/>
        <v>0</v>
      </c>
      <c r="AY1530" s="34" t="s">
        <v>241</v>
      </c>
      <c r="AZ1530" s="166"/>
      <c r="BA1530" s="63"/>
      <c r="BB1530" s="64"/>
      <c r="BC1530" s="164"/>
      <c r="BI1530" s="42"/>
    </row>
    <row r="1531" spans="1:61" s="24" customFormat="1" ht="21.6" customHeight="1">
      <c r="A1531" s="32">
        <f>A1527+1</f>
        <v>879</v>
      </c>
      <c r="B1531" s="158" t="s">
        <v>186</v>
      </c>
      <c r="C1531" s="78" t="s">
        <v>59</v>
      </c>
      <c r="D1531" s="35">
        <f t="shared" si="301"/>
        <v>0.2</v>
      </c>
      <c r="E1531" s="35"/>
      <c r="F1531" s="35">
        <f t="shared" si="297"/>
        <v>0.2</v>
      </c>
      <c r="G1531" s="109"/>
      <c r="H1531" s="109"/>
      <c r="I1531" s="109"/>
      <c r="J1531" s="109">
        <v>0.2</v>
      </c>
      <c r="K1531" s="109"/>
      <c r="L1531" s="109"/>
      <c r="M1531" s="109"/>
      <c r="N1531" s="109"/>
      <c r="O1531" s="109"/>
      <c r="P1531" s="109"/>
      <c r="Q1531" s="109"/>
      <c r="R1531" s="109"/>
      <c r="S1531" s="109"/>
      <c r="T1531" s="109"/>
      <c r="U1531" s="109"/>
      <c r="V1531" s="109"/>
      <c r="W1531" s="109"/>
      <c r="X1531" s="109"/>
      <c r="Y1531" s="109"/>
      <c r="Z1531" s="109"/>
      <c r="AA1531" s="109"/>
      <c r="AB1531" s="109"/>
      <c r="AC1531" s="109"/>
      <c r="AD1531" s="109"/>
      <c r="AE1531" s="109"/>
      <c r="AF1531" s="109"/>
      <c r="AG1531" s="109"/>
      <c r="AH1531" s="109"/>
      <c r="AI1531" s="109"/>
      <c r="AJ1531" s="109"/>
      <c r="AK1531" s="109"/>
      <c r="AL1531" s="109"/>
      <c r="AM1531" s="109"/>
      <c r="AN1531" s="109"/>
      <c r="AO1531" s="109"/>
      <c r="AP1531" s="109"/>
      <c r="AQ1531" s="109"/>
      <c r="AR1531" s="109"/>
      <c r="AS1531" s="109"/>
      <c r="AT1531" s="109"/>
      <c r="AU1531" s="109"/>
      <c r="AV1531" s="109"/>
      <c r="AW1531" s="109"/>
      <c r="AX1531" s="109"/>
      <c r="AY1531" s="34" t="s">
        <v>241</v>
      </c>
      <c r="AZ1531" s="166" t="s">
        <v>1749</v>
      </c>
      <c r="BA1531" s="63" t="s">
        <v>291</v>
      </c>
      <c r="BB1531" s="64"/>
      <c r="BC1531" s="164" t="s">
        <v>381</v>
      </c>
      <c r="BI1531" s="42">
        <v>1</v>
      </c>
    </row>
    <row r="1532" spans="1:61" s="24" customFormat="1" ht="22.35" customHeight="1">
      <c r="A1532" s="32">
        <f>A1531+1</f>
        <v>880</v>
      </c>
      <c r="B1532" s="158" t="s">
        <v>186</v>
      </c>
      <c r="C1532" s="78" t="s">
        <v>1260</v>
      </c>
      <c r="D1532" s="35">
        <f t="shared" si="301"/>
        <v>0.4</v>
      </c>
      <c r="E1532" s="35"/>
      <c r="F1532" s="35">
        <f t="shared" si="297"/>
        <v>0.4</v>
      </c>
      <c r="G1532" s="109">
        <v>0.3</v>
      </c>
      <c r="H1532" s="109"/>
      <c r="I1532" s="109">
        <v>0.1</v>
      </c>
      <c r="J1532" s="109"/>
      <c r="K1532" s="109"/>
      <c r="L1532" s="109"/>
      <c r="M1532" s="109"/>
      <c r="N1532" s="109"/>
      <c r="O1532" s="109"/>
      <c r="P1532" s="109"/>
      <c r="Q1532" s="109"/>
      <c r="R1532" s="109"/>
      <c r="S1532" s="109"/>
      <c r="T1532" s="109"/>
      <c r="U1532" s="109"/>
      <c r="V1532" s="109"/>
      <c r="W1532" s="109"/>
      <c r="X1532" s="109"/>
      <c r="Y1532" s="109"/>
      <c r="Z1532" s="109"/>
      <c r="AA1532" s="109"/>
      <c r="AB1532" s="109"/>
      <c r="AC1532" s="109"/>
      <c r="AD1532" s="109"/>
      <c r="AE1532" s="109"/>
      <c r="AF1532" s="109"/>
      <c r="AG1532" s="109"/>
      <c r="AH1532" s="109"/>
      <c r="AI1532" s="109"/>
      <c r="AJ1532" s="109"/>
      <c r="AK1532" s="109"/>
      <c r="AL1532" s="109"/>
      <c r="AM1532" s="109"/>
      <c r="AN1532" s="109"/>
      <c r="AO1532" s="109"/>
      <c r="AP1532" s="109"/>
      <c r="AQ1532" s="109"/>
      <c r="AR1532" s="109"/>
      <c r="AS1532" s="109"/>
      <c r="AT1532" s="109"/>
      <c r="AU1532" s="109"/>
      <c r="AV1532" s="109"/>
      <c r="AW1532" s="109"/>
      <c r="AX1532" s="109"/>
      <c r="AY1532" s="34" t="s">
        <v>241</v>
      </c>
      <c r="AZ1532" s="166" t="s">
        <v>1750</v>
      </c>
      <c r="BA1532" s="63" t="s">
        <v>291</v>
      </c>
      <c r="BB1532" s="63"/>
      <c r="BC1532" s="163" t="s">
        <v>1751</v>
      </c>
      <c r="BI1532" s="42">
        <v>1</v>
      </c>
    </row>
    <row r="1533" spans="1:61" s="24" customFormat="1" ht="22.35" hidden="1" customHeight="1">
      <c r="A1533" s="32"/>
      <c r="B1533" s="158"/>
      <c r="C1533" s="78" t="s">
        <v>59</v>
      </c>
      <c r="D1533" s="35">
        <f t="shared" si="301"/>
        <v>0.16</v>
      </c>
      <c r="E1533" s="76"/>
      <c r="F1533" s="35">
        <f t="shared" si="297"/>
        <v>0.16</v>
      </c>
      <c r="G1533" s="109">
        <v>0.16</v>
      </c>
      <c r="H1533" s="109"/>
      <c r="I1533" s="109"/>
      <c r="J1533" s="109"/>
      <c r="K1533" s="109"/>
      <c r="L1533" s="109"/>
      <c r="M1533" s="109"/>
      <c r="N1533" s="109"/>
      <c r="O1533" s="109"/>
      <c r="P1533" s="109"/>
      <c r="Q1533" s="109"/>
      <c r="R1533" s="109"/>
      <c r="S1533" s="109"/>
      <c r="T1533" s="109"/>
      <c r="U1533" s="109"/>
      <c r="V1533" s="109"/>
      <c r="W1533" s="109"/>
      <c r="X1533" s="109"/>
      <c r="Y1533" s="109"/>
      <c r="Z1533" s="109"/>
      <c r="AA1533" s="109"/>
      <c r="AB1533" s="109"/>
      <c r="AC1533" s="109"/>
      <c r="AD1533" s="109"/>
      <c r="AE1533" s="109"/>
      <c r="AF1533" s="109"/>
      <c r="AG1533" s="109"/>
      <c r="AH1533" s="109"/>
      <c r="AI1533" s="109"/>
      <c r="AJ1533" s="109"/>
      <c r="AK1533" s="109"/>
      <c r="AL1533" s="109"/>
      <c r="AM1533" s="109"/>
      <c r="AN1533" s="109"/>
      <c r="AO1533" s="109"/>
      <c r="AP1533" s="109"/>
      <c r="AQ1533" s="109"/>
      <c r="AR1533" s="109"/>
      <c r="AS1533" s="109"/>
      <c r="AT1533" s="109"/>
      <c r="AU1533" s="109"/>
      <c r="AV1533" s="109"/>
      <c r="AW1533" s="109"/>
      <c r="AX1533" s="109"/>
      <c r="AY1533" s="34" t="s">
        <v>241</v>
      </c>
      <c r="AZ1533" s="166"/>
      <c r="BA1533" s="63"/>
      <c r="BB1533" s="64"/>
      <c r="BC1533" s="164"/>
      <c r="BI1533" s="42"/>
    </row>
    <row r="1534" spans="1:61" s="24" customFormat="1" ht="22.35" hidden="1" customHeight="1">
      <c r="A1534" s="32"/>
      <c r="B1534" s="158"/>
      <c r="C1534" s="78" t="s">
        <v>44</v>
      </c>
      <c r="D1534" s="35">
        <f t="shared" si="301"/>
        <v>0.16</v>
      </c>
      <c r="E1534" s="76"/>
      <c r="F1534" s="35">
        <f t="shared" si="297"/>
        <v>0.16</v>
      </c>
      <c r="G1534" s="109">
        <v>0.06</v>
      </c>
      <c r="H1534" s="109"/>
      <c r="I1534" s="109">
        <v>0.1</v>
      </c>
      <c r="J1534" s="109"/>
      <c r="K1534" s="109"/>
      <c r="L1534" s="109"/>
      <c r="M1534" s="109"/>
      <c r="N1534" s="109"/>
      <c r="O1534" s="109"/>
      <c r="P1534" s="109"/>
      <c r="Q1534" s="109"/>
      <c r="R1534" s="109"/>
      <c r="S1534" s="109"/>
      <c r="T1534" s="109"/>
      <c r="U1534" s="109"/>
      <c r="V1534" s="109"/>
      <c r="W1534" s="109"/>
      <c r="X1534" s="109"/>
      <c r="Y1534" s="109"/>
      <c r="Z1534" s="109"/>
      <c r="AA1534" s="109"/>
      <c r="AB1534" s="109"/>
      <c r="AC1534" s="109"/>
      <c r="AD1534" s="109"/>
      <c r="AE1534" s="109"/>
      <c r="AF1534" s="109"/>
      <c r="AG1534" s="109"/>
      <c r="AH1534" s="109"/>
      <c r="AI1534" s="109"/>
      <c r="AJ1534" s="109"/>
      <c r="AK1534" s="109"/>
      <c r="AL1534" s="109"/>
      <c r="AM1534" s="109"/>
      <c r="AN1534" s="109"/>
      <c r="AO1534" s="109"/>
      <c r="AP1534" s="109"/>
      <c r="AQ1534" s="109"/>
      <c r="AR1534" s="109"/>
      <c r="AS1534" s="109"/>
      <c r="AT1534" s="109"/>
      <c r="AU1534" s="109"/>
      <c r="AV1534" s="109"/>
      <c r="AW1534" s="109"/>
      <c r="AX1534" s="109"/>
      <c r="AY1534" s="34" t="s">
        <v>241</v>
      </c>
      <c r="AZ1534" s="166"/>
      <c r="BA1534" s="63"/>
      <c r="BB1534" s="64"/>
      <c r="BC1534" s="164"/>
      <c r="BI1534" s="42"/>
    </row>
    <row r="1535" spans="1:61" s="24" customFormat="1" ht="22.35" hidden="1" customHeight="1">
      <c r="A1535" s="32"/>
      <c r="B1535" s="158"/>
      <c r="C1535" s="78" t="s">
        <v>138</v>
      </c>
      <c r="D1535" s="35">
        <f t="shared" si="301"/>
        <v>7.9999999999999988E-2</v>
      </c>
      <c r="E1535" s="76"/>
      <c r="F1535" s="35">
        <f t="shared" si="297"/>
        <v>7.9999999999999988E-2</v>
      </c>
      <c r="G1535" s="147">
        <f>G1532-G1533-G1534</f>
        <v>7.9999999999999988E-2</v>
      </c>
      <c r="H1535" s="147">
        <f t="shared" ref="H1535:AX1535" si="308">H1532-H1533-H1534</f>
        <v>0</v>
      </c>
      <c r="I1535" s="147">
        <f t="shared" si="308"/>
        <v>0</v>
      </c>
      <c r="J1535" s="147">
        <f t="shared" si="308"/>
        <v>0</v>
      </c>
      <c r="K1535" s="147">
        <f t="shared" si="308"/>
        <v>0</v>
      </c>
      <c r="L1535" s="147">
        <f t="shared" si="308"/>
        <v>0</v>
      </c>
      <c r="M1535" s="147">
        <f t="shared" si="308"/>
        <v>0</v>
      </c>
      <c r="N1535" s="147">
        <f t="shared" si="308"/>
        <v>0</v>
      </c>
      <c r="O1535" s="147">
        <f t="shared" si="308"/>
        <v>0</v>
      </c>
      <c r="P1535" s="147">
        <f t="shared" si="308"/>
        <v>0</v>
      </c>
      <c r="Q1535" s="147">
        <f t="shared" si="308"/>
        <v>0</v>
      </c>
      <c r="R1535" s="147">
        <f t="shared" si="308"/>
        <v>0</v>
      </c>
      <c r="S1535" s="147">
        <f t="shared" si="308"/>
        <v>0</v>
      </c>
      <c r="T1535" s="147">
        <f t="shared" si="308"/>
        <v>0</v>
      </c>
      <c r="U1535" s="147">
        <f t="shared" si="308"/>
        <v>0</v>
      </c>
      <c r="V1535" s="147">
        <f t="shared" si="308"/>
        <v>0</v>
      </c>
      <c r="W1535" s="147">
        <f t="shared" si="308"/>
        <v>0</v>
      </c>
      <c r="X1535" s="147">
        <f t="shared" si="308"/>
        <v>0</v>
      </c>
      <c r="Y1535" s="147">
        <f t="shared" si="308"/>
        <v>0</v>
      </c>
      <c r="Z1535" s="147">
        <f t="shared" si="308"/>
        <v>0</v>
      </c>
      <c r="AA1535" s="147">
        <f t="shared" si="308"/>
        <v>0</v>
      </c>
      <c r="AB1535" s="147">
        <f t="shared" si="308"/>
        <v>0</v>
      </c>
      <c r="AC1535" s="147">
        <f t="shared" si="308"/>
        <v>0</v>
      </c>
      <c r="AD1535" s="147">
        <f t="shared" si="308"/>
        <v>0</v>
      </c>
      <c r="AE1535" s="147">
        <f t="shared" si="308"/>
        <v>0</v>
      </c>
      <c r="AF1535" s="147">
        <f t="shared" si="308"/>
        <v>0</v>
      </c>
      <c r="AG1535" s="147">
        <f t="shared" si="308"/>
        <v>0</v>
      </c>
      <c r="AH1535" s="147">
        <f t="shared" si="308"/>
        <v>0</v>
      </c>
      <c r="AI1535" s="147">
        <f t="shared" si="308"/>
        <v>0</v>
      </c>
      <c r="AJ1535" s="147">
        <f t="shared" si="308"/>
        <v>0</v>
      </c>
      <c r="AK1535" s="147">
        <f t="shared" si="308"/>
        <v>0</v>
      </c>
      <c r="AL1535" s="147">
        <f t="shared" si="308"/>
        <v>0</v>
      </c>
      <c r="AM1535" s="147">
        <f t="shared" si="308"/>
        <v>0</v>
      </c>
      <c r="AN1535" s="147">
        <f t="shared" si="308"/>
        <v>0</v>
      </c>
      <c r="AO1535" s="147">
        <f t="shared" si="308"/>
        <v>0</v>
      </c>
      <c r="AP1535" s="147">
        <f t="shared" si="308"/>
        <v>0</v>
      </c>
      <c r="AQ1535" s="147">
        <f t="shared" si="308"/>
        <v>0</v>
      </c>
      <c r="AR1535" s="147">
        <f t="shared" si="308"/>
        <v>0</v>
      </c>
      <c r="AS1535" s="147">
        <f t="shared" si="308"/>
        <v>0</v>
      </c>
      <c r="AT1535" s="147">
        <f t="shared" si="308"/>
        <v>0</v>
      </c>
      <c r="AU1535" s="147">
        <f t="shared" si="308"/>
        <v>0</v>
      </c>
      <c r="AV1535" s="147">
        <f t="shared" si="308"/>
        <v>0</v>
      </c>
      <c r="AW1535" s="147">
        <f t="shared" si="308"/>
        <v>0</v>
      </c>
      <c r="AX1535" s="147">
        <f t="shared" si="308"/>
        <v>0</v>
      </c>
      <c r="AY1535" s="34" t="s">
        <v>241</v>
      </c>
      <c r="AZ1535" s="166"/>
      <c r="BA1535" s="63"/>
      <c r="BB1535" s="64"/>
      <c r="BC1535" s="164"/>
      <c r="BI1535" s="42"/>
    </row>
    <row r="1536" spans="1:61" s="24" customFormat="1" ht="35.85" customHeight="1">
      <c r="A1536" s="32">
        <f>A1532+1</f>
        <v>881</v>
      </c>
      <c r="B1536" s="158" t="s">
        <v>186</v>
      </c>
      <c r="C1536" s="78" t="s">
        <v>59</v>
      </c>
      <c r="D1536" s="35">
        <f t="shared" ref="D1536:D1553" si="309">F1536+E1536</f>
        <v>0.25</v>
      </c>
      <c r="E1536" s="35"/>
      <c r="F1536" s="35">
        <f t="shared" si="297"/>
        <v>0.25</v>
      </c>
      <c r="G1536" s="109">
        <v>0.25</v>
      </c>
      <c r="H1536" s="109"/>
      <c r="I1536" s="109"/>
      <c r="J1536" s="109"/>
      <c r="K1536" s="109"/>
      <c r="L1536" s="109"/>
      <c r="M1536" s="109"/>
      <c r="N1536" s="109"/>
      <c r="O1536" s="109"/>
      <c r="P1536" s="109"/>
      <c r="Q1536" s="109"/>
      <c r="R1536" s="109"/>
      <c r="S1536" s="109"/>
      <c r="T1536" s="109"/>
      <c r="U1536" s="109"/>
      <c r="V1536" s="109"/>
      <c r="W1536" s="109"/>
      <c r="X1536" s="109"/>
      <c r="Y1536" s="109"/>
      <c r="Z1536" s="109"/>
      <c r="AA1536" s="109"/>
      <c r="AB1536" s="109"/>
      <c r="AC1536" s="109"/>
      <c r="AD1536" s="109"/>
      <c r="AE1536" s="109"/>
      <c r="AF1536" s="109"/>
      <c r="AG1536" s="109"/>
      <c r="AH1536" s="109"/>
      <c r="AI1536" s="109"/>
      <c r="AJ1536" s="109"/>
      <c r="AK1536" s="109"/>
      <c r="AL1536" s="109"/>
      <c r="AM1536" s="109"/>
      <c r="AN1536" s="109"/>
      <c r="AO1536" s="109"/>
      <c r="AP1536" s="109"/>
      <c r="AQ1536" s="109"/>
      <c r="AR1536" s="109"/>
      <c r="AS1536" s="109"/>
      <c r="AT1536" s="109"/>
      <c r="AU1536" s="109"/>
      <c r="AV1536" s="109"/>
      <c r="AW1536" s="109"/>
      <c r="AX1536" s="109"/>
      <c r="AY1536" s="34" t="s">
        <v>241</v>
      </c>
      <c r="AZ1536" s="34" t="s">
        <v>1752</v>
      </c>
      <c r="BA1536" s="47" t="s">
        <v>298</v>
      </c>
      <c r="BB1536" s="48"/>
      <c r="BI1536" s="42">
        <v>1</v>
      </c>
    </row>
    <row r="1537" spans="1:61" s="24" customFormat="1" ht="20.100000000000001" customHeight="1">
      <c r="A1537" s="32">
        <f>A1536+1</f>
        <v>882</v>
      </c>
      <c r="B1537" s="158" t="s">
        <v>186</v>
      </c>
      <c r="C1537" s="78" t="s">
        <v>59</v>
      </c>
      <c r="D1537" s="35">
        <f t="shared" si="309"/>
        <v>0.1</v>
      </c>
      <c r="E1537" s="35"/>
      <c r="F1537" s="35">
        <f t="shared" si="297"/>
        <v>0.1</v>
      </c>
      <c r="G1537" s="109"/>
      <c r="H1537" s="109">
        <v>0.1</v>
      </c>
      <c r="I1537" s="109"/>
      <c r="J1537" s="109"/>
      <c r="K1537" s="109"/>
      <c r="L1537" s="109"/>
      <c r="M1537" s="109"/>
      <c r="N1537" s="109"/>
      <c r="O1537" s="109"/>
      <c r="P1537" s="109"/>
      <c r="Q1537" s="109"/>
      <c r="R1537" s="109"/>
      <c r="S1537" s="109"/>
      <c r="T1537" s="109"/>
      <c r="U1537" s="109"/>
      <c r="V1537" s="109"/>
      <c r="W1537" s="109"/>
      <c r="X1537" s="109"/>
      <c r="Y1537" s="109"/>
      <c r="Z1537" s="109"/>
      <c r="AA1537" s="109"/>
      <c r="AB1537" s="109"/>
      <c r="AC1537" s="109"/>
      <c r="AD1537" s="109"/>
      <c r="AE1537" s="109"/>
      <c r="AF1537" s="109"/>
      <c r="AG1537" s="109"/>
      <c r="AH1537" s="109"/>
      <c r="AI1537" s="109"/>
      <c r="AJ1537" s="109"/>
      <c r="AK1537" s="109"/>
      <c r="AL1537" s="109"/>
      <c r="AM1537" s="109"/>
      <c r="AN1537" s="109"/>
      <c r="AO1537" s="109"/>
      <c r="AP1537" s="109"/>
      <c r="AQ1537" s="109"/>
      <c r="AR1537" s="109"/>
      <c r="AS1537" s="109"/>
      <c r="AT1537" s="109"/>
      <c r="AU1537" s="109"/>
      <c r="AV1537" s="109"/>
      <c r="AW1537" s="109"/>
      <c r="AX1537" s="109"/>
      <c r="AY1537" s="34" t="s">
        <v>241</v>
      </c>
      <c r="AZ1537" s="34" t="s">
        <v>1753</v>
      </c>
      <c r="BA1537" s="47" t="s">
        <v>298</v>
      </c>
      <c r="BB1537" s="48"/>
      <c r="BI1537" s="42">
        <v>1</v>
      </c>
    </row>
    <row r="1538" spans="1:61" s="24" customFormat="1" ht="79.349999999999994" customHeight="1">
      <c r="A1538" s="32">
        <f>A1537+1</f>
        <v>883</v>
      </c>
      <c r="B1538" s="60" t="s">
        <v>1754</v>
      </c>
      <c r="C1538" s="78" t="s">
        <v>1260</v>
      </c>
      <c r="D1538" s="35">
        <f t="shared" si="309"/>
        <v>0.47</v>
      </c>
      <c r="E1538" s="108"/>
      <c r="F1538" s="35">
        <f t="shared" si="297"/>
        <v>0.47</v>
      </c>
      <c r="G1538" s="109">
        <v>0.44</v>
      </c>
      <c r="H1538" s="109"/>
      <c r="I1538" s="109">
        <v>0.03</v>
      </c>
      <c r="J1538" s="109"/>
      <c r="K1538" s="109"/>
      <c r="L1538" s="109"/>
      <c r="M1538" s="109"/>
      <c r="N1538" s="109"/>
      <c r="O1538" s="109"/>
      <c r="P1538" s="109"/>
      <c r="Q1538" s="109"/>
      <c r="R1538" s="109"/>
      <c r="S1538" s="109"/>
      <c r="T1538" s="109"/>
      <c r="U1538" s="109"/>
      <c r="V1538" s="109"/>
      <c r="W1538" s="109"/>
      <c r="X1538" s="109"/>
      <c r="Y1538" s="109"/>
      <c r="Z1538" s="109"/>
      <c r="AA1538" s="109"/>
      <c r="AB1538" s="109"/>
      <c r="AC1538" s="109"/>
      <c r="AD1538" s="109"/>
      <c r="AE1538" s="109"/>
      <c r="AF1538" s="109"/>
      <c r="AG1538" s="109"/>
      <c r="AH1538" s="109"/>
      <c r="AI1538" s="109"/>
      <c r="AJ1538" s="109"/>
      <c r="AK1538" s="109"/>
      <c r="AL1538" s="109"/>
      <c r="AM1538" s="109"/>
      <c r="AN1538" s="109"/>
      <c r="AO1538" s="109"/>
      <c r="AP1538" s="109"/>
      <c r="AQ1538" s="109"/>
      <c r="AR1538" s="109"/>
      <c r="AS1538" s="109"/>
      <c r="AT1538" s="109"/>
      <c r="AU1538" s="109"/>
      <c r="AV1538" s="109"/>
      <c r="AW1538" s="109"/>
      <c r="AX1538" s="109"/>
      <c r="AY1538" s="34" t="s">
        <v>241</v>
      </c>
      <c r="AZ1538" s="34" t="s">
        <v>1755</v>
      </c>
      <c r="BA1538" s="63" t="s">
        <v>291</v>
      </c>
      <c r="BB1538" s="64"/>
      <c r="BI1538" s="42">
        <v>1</v>
      </c>
    </row>
    <row r="1539" spans="1:61" s="24" customFormat="1" ht="18" hidden="1" customHeight="1">
      <c r="A1539" s="32"/>
      <c r="B1539" s="60"/>
      <c r="C1539" s="78" t="s">
        <v>59</v>
      </c>
      <c r="D1539" s="35">
        <f t="shared" si="309"/>
        <v>0.16</v>
      </c>
      <c r="E1539" s="108"/>
      <c r="F1539" s="35">
        <f t="shared" si="297"/>
        <v>0.16</v>
      </c>
      <c r="G1539" s="109">
        <v>0.16</v>
      </c>
      <c r="H1539" s="109"/>
      <c r="I1539" s="109"/>
      <c r="J1539" s="109"/>
      <c r="K1539" s="109"/>
      <c r="L1539" s="109"/>
      <c r="M1539" s="109"/>
      <c r="N1539" s="109"/>
      <c r="O1539" s="109"/>
      <c r="P1539" s="109"/>
      <c r="Q1539" s="109"/>
      <c r="R1539" s="109"/>
      <c r="S1539" s="109"/>
      <c r="T1539" s="109"/>
      <c r="U1539" s="109"/>
      <c r="V1539" s="109"/>
      <c r="W1539" s="109"/>
      <c r="X1539" s="109"/>
      <c r="Y1539" s="109"/>
      <c r="Z1539" s="109"/>
      <c r="AA1539" s="109"/>
      <c r="AB1539" s="109"/>
      <c r="AC1539" s="109"/>
      <c r="AD1539" s="109"/>
      <c r="AE1539" s="109"/>
      <c r="AF1539" s="109"/>
      <c r="AG1539" s="109"/>
      <c r="AH1539" s="109"/>
      <c r="AI1539" s="109"/>
      <c r="AJ1539" s="109"/>
      <c r="AK1539" s="109"/>
      <c r="AL1539" s="109"/>
      <c r="AM1539" s="109"/>
      <c r="AN1539" s="109"/>
      <c r="AO1539" s="109"/>
      <c r="AP1539" s="109"/>
      <c r="AQ1539" s="109"/>
      <c r="AR1539" s="109"/>
      <c r="AS1539" s="109"/>
      <c r="AT1539" s="109"/>
      <c r="AU1539" s="109"/>
      <c r="AV1539" s="109"/>
      <c r="AW1539" s="109"/>
      <c r="AX1539" s="109"/>
      <c r="AY1539" s="34" t="s">
        <v>241</v>
      </c>
      <c r="AZ1539" s="34"/>
      <c r="BA1539" s="63"/>
      <c r="BB1539" s="64"/>
      <c r="BI1539" s="42"/>
    </row>
    <row r="1540" spans="1:61" s="24" customFormat="1" ht="18" hidden="1" customHeight="1">
      <c r="A1540" s="32"/>
      <c r="B1540" s="60"/>
      <c r="C1540" s="78" t="s">
        <v>44</v>
      </c>
      <c r="D1540" s="35">
        <f t="shared" si="309"/>
        <v>0.19</v>
      </c>
      <c r="E1540" s="108"/>
      <c r="F1540" s="35">
        <f t="shared" si="297"/>
        <v>0.19</v>
      </c>
      <c r="G1540" s="109">
        <v>0.19</v>
      </c>
      <c r="H1540" s="109"/>
      <c r="I1540" s="109"/>
      <c r="J1540" s="109"/>
      <c r="K1540" s="109"/>
      <c r="L1540" s="109"/>
      <c r="M1540" s="109"/>
      <c r="N1540" s="109"/>
      <c r="O1540" s="109"/>
      <c r="P1540" s="109"/>
      <c r="Q1540" s="109"/>
      <c r="R1540" s="109"/>
      <c r="S1540" s="109"/>
      <c r="T1540" s="109"/>
      <c r="U1540" s="109"/>
      <c r="V1540" s="109"/>
      <c r="W1540" s="109"/>
      <c r="X1540" s="109"/>
      <c r="Y1540" s="109"/>
      <c r="Z1540" s="109"/>
      <c r="AA1540" s="109"/>
      <c r="AB1540" s="109"/>
      <c r="AC1540" s="109"/>
      <c r="AD1540" s="109"/>
      <c r="AE1540" s="109"/>
      <c r="AF1540" s="109"/>
      <c r="AG1540" s="109"/>
      <c r="AH1540" s="109"/>
      <c r="AI1540" s="109"/>
      <c r="AJ1540" s="109"/>
      <c r="AK1540" s="109"/>
      <c r="AL1540" s="109"/>
      <c r="AM1540" s="109"/>
      <c r="AN1540" s="109"/>
      <c r="AO1540" s="109"/>
      <c r="AP1540" s="109"/>
      <c r="AQ1540" s="109"/>
      <c r="AR1540" s="109"/>
      <c r="AS1540" s="109"/>
      <c r="AT1540" s="109"/>
      <c r="AU1540" s="109"/>
      <c r="AV1540" s="109"/>
      <c r="AW1540" s="109"/>
      <c r="AX1540" s="109"/>
      <c r="AY1540" s="34" t="s">
        <v>241</v>
      </c>
      <c r="AZ1540" s="34"/>
      <c r="BA1540" s="63"/>
      <c r="BB1540" s="64"/>
      <c r="BI1540" s="42"/>
    </row>
    <row r="1541" spans="1:61" s="24" customFormat="1" ht="18" hidden="1" customHeight="1">
      <c r="A1541" s="32"/>
      <c r="B1541" s="60"/>
      <c r="C1541" s="78" t="s">
        <v>138</v>
      </c>
      <c r="D1541" s="35">
        <f t="shared" si="309"/>
        <v>0.12000000000000002</v>
      </c>
      <c r="E1541" s="108"/>
      <c r="F1541" s="35">
        <f t="shared" si="297"/>
        <v>0.12000000000000002</v>
      </c>
      <c r="G1541" s="147">
        <f>G1538-G1539-G1540</f>
        <v>9.0000000000000024E-2</v>
      </c>
      <c r="H1541" s="147">
        <f t="shared" ref="H1541:AX1541" si="310">H1538-H1539-H1540</f>
        <v>0</v>
      </c>
      <c r="I1541" s="147">
        <f t="shared" si="310"/>
        <v>0.03</v>
      </c>
      <c r="J1541" s="147">
        <f t="shared" si="310"/>
        <v>0</v>
      </c>
      <c r="K1541" s="147">
        <f t="shared" si="310"/>
        <v>0</v>
      </c>
      <c r="L1541" s="147">
        <f t="shared" si="310"/>
        <v>0</v>
      </c>
      <c r="M1541" s="147">
        <f t="shared" si="310"/>
        <v>0</v>
      </c>
      <c r="N1541" s="147">
        <f t="shared" si="310"/>
        <v>0</v>
      </c>
      <c r="O1541" s="147">
        <f t="shared" si="310"/>
        <v>0</v>
      </c>
      <c r="P1541" s="147">
        <f t="shared" si="310"/>
        <v>0</v>
      </c>
      <c r="Q1541" s="147">
        <f t="shared" si="310"/>
        <v>0</v>
      </c>
      <c r="R1541" s="147">
        <f t="shared" si="310"/>
        <v>0</v>
      </c>
      <c r="S1541" s="147">
        <f t="shared" si="310"/>
        <v>0</v>
      </c>
      <c r="T1541" s="147">
        <f t="shared" si="310"/>
        <v>0</v>
      </c>
      <c r="U1541" s="147">
        <f t="shared" si="310"/>
        <v>0</v>
      </c>
      <c r="V1541" s="147">
        <f t="shared" si="310"/>
        <v>0</v>
      </c>
      <c r="W1541" s="147">
        <f t="shared" si="310"/>
        <v>0</v>
      </c>
      <c r="X1541" s="147">
        <f t="shared" si="310"/>
        <v>0</v>
      </c>
      <c r="Y1541" s="147">
        <f t="shared" si="310"/>
        <v>0</v>
      </c>
      <c r="Z1541" s="147">
        <f t="shared" si="310"/>
        <v>0</v>
      </c>
      <c r="AA1541" s="147">
        <f t="shared" si="310"/>
        <v>0</v>
      </c>
      <c r="AB1541" s="147">
        <f t="shared" si="310"/>
        <v>0</v>
      </c>
      <c r="AC1541" s="147">
        <f t="shared" si="310"/>
        <v>0</v>
      </c>
      <c r="AD1541" s="147">
        <f t="shared" si="310"/>
        <v>0</v>
      </c>
      <c r="AE1541" s="147">
        <f t="shared" si="310"/>
        <v>0</v>
      </c>
      <c r="AF1541" s="147">
        <f t="shared" si="310"/>
        <v>0</v>
      </c>
      <c r="AG1541" s="147">
        <f t="shared" si="310"/>
        <v>0</v>
      </c>
      <c r="AH1541" s="147">
        <f t="shared" si="310"/>
        <v>0</v>
      </c>
      <c r="AI1541" s="147">
        <f t="shared" si="310"/>
        <v>0</v>
      </c>
      <c r="AJ1541" s="147">
        <f t="shared" si="310"/>
        <v>0</v>
      </c>
      <c r="AK1541" s="147">
        <f t="shared" si="310"/>
        <v>0</v>
      </c>
      <c r="AL1541" s="147">
        <f t="shared" si="310"/>
        <v>0</v>
      </c>
      <c r="AM1541" s="147">
        <f t="shared" si="310"/>
        <v>0</v>
      </c>
      <c r="AN1541" s="147">
        <f t="shared" si="310"/>
        <v>0</v>
      </c>
      <c r="AO1541" s="147">
        <f t="shared" si="310"/>
        <v>0</v>
      </c>
      <c r="AP1541" s="147">
        <f t="shared" si="310"/>
        <v>0</v>
      </c>
      <c r="AQ1541" s="147">
        <f t="shared" si="310"/>
        <v>0</v>
      </c>
      <c r="AR1541" s="147">
        <f t="shared" si="310"/>
        <v>0</v>
      </c>
      <c r="AS1541" s="147">
        <f t="shared" si="310"/>
        <v>0</v>
      </c>
      <c r="AT1541" s="147">
        <f t="shared" si="310"/>
        <v>0</v>
      </c>
      <c r="AU1541" s="147">
        <f t="shared" si="310"/>
        <v>0</v>
      </c>
      <c r="AV1541" s="147">
        <f t="shared" si="310"/>
        <v>0</v>
      </c>
      <c r="AW1541" s="147">
        <f t="shared" si="310"/>
        <v>0</v>
      </c>
      <c r="AX1541" s="147">
        <f t="shared" si="310"/>
        <v>0</v>
      </c>
      <c r="AY1541" s="34" t="s">
        <v>241</v>
      </c>
      <c r="AZ1541" s="34"/>
      <c r="BA1541" s="63"/>
      <c r="BB1541" s="64"/>
      <c r="BI1541" s="42"/>
    </row>
    <row r="1542" spans="1:61" s="24" customFormat="1" ht="22.35" customHeight="1">
      <c r="A1542" s="32">
        <f>A1538+1</f>
        <v>884</v>
      </c>
      <c r="B1542" s="158" t="s">
        <v>186</v>
      </c>
      <c r="C1542" s="78" t="s">
        <v>1260</v>
      </c>
      <c r="D1542" s="35">
        <f t="shared" si="309"/>
        <v>0.68</v>
      </c>
      <c r="E1542" s="108"/>
      <c r="F1542" s="35">
        <f>SUM(G1542:AX1542)</f>
        <v>0.68</v>
      </c>
      <c r="G1542" s="109"/>
      <c r="H1542" s="109"/>
      <c r="I1542" s="109"/>
      <c r="J1542" s="109"/>
      <c r="K1542" s="109"/>
      <c r="L1542" s="109"/>
      <c r="M1542" s="109">
        <v>0.68</v>
      </c>
      <c r="N1542" s="109"/>
      <c r="O1542" s="109"/>
      <c r="P1542" s="109"/>
      <c r="Q1542" s="109"/>
      <c r="R1542" s="109"/>
      <c r="S1542" s="109"/>
      <c r="T1542" s="109"/>
      <c r="U1542" s="109"/>
      <c r="V1542" s="109"/>
      <c r="W1542" s="109"/>
      <c r="X1542" s="109"/>
      <c r="Y1542" s="109"/>
      <c r="Z1542" s="109"/>
      <c r="AA1542" s="109"/>
      <c r="AB1542" s="109"/>
      <c r="AC1542" s="109"/>
      <c r="AD1542" s="109"/>
      <c r="AE1542" s="109"/>
      <c r="AF1542" s="109"/>
      <c r="AG1542" s="109"/>
      <c r="AH1542" s="109"/>
      <c r="AI1542" s="109"/>
      <c r="AJ1542" s="109"/>
      <c r="AK1542" s="109"/>
      <c r="AL1542" s="109"/>
      <c r="AM1542" s="109"/>
      <c r="AN1542" s="109"/>
      <c r="AO1542" s="109"/>
      <c r="AP1542" s="109"/>
      <c r="AQ1542" s="109"/>
      <c r="AR1542" s="109"/>
      <c r="AS1542" s="109"/>
      <c r="AT1542" s="109"/>
      <c r="AU1542" s="109"/>
      <c r="AV1542" s="109"/>
      <c r="AW1542" s="109"/>
      <c r="AX1542" s="109"/>
      <c r="AY1542" s="34" t="s">
        <v>241</v>
      </c>
      <c r="AZ1542" s="34" t="s">
        <v>387</v>
      </c>
      <c r="BA1542" s="63" t="s">
        <v>291</v>
      </c>
      <c r="BB1542" s="63"/>
      <c r="BC1542" s="60" t="s">
        <v>1756</v>
      </c>
      <c r="BI1542" s="42">
        <v>1</v>
      </c>
    </row>
    <row r="1543" spans="1:61" s="24" customFormat="1" ht="22.35" hidden="1" customHeight="1">
      <c r="A1543" s="32"/>
      <c r="B1543" s="158"/>
      <c r="C1543" s="78" t="s">
        <v>59</v>
      </c>
      <c r="D1543" s="35">
        <f t="shared" si="309"/>
        <v>0.24</v>
      </c>
      <c r="E1543" s="76"/>
      <c r="F1543" s="35">
        <f>SUM(G1543:AX1543)</f>
        <v>0.24</v>
      </c>
      <c r="G1543" s="109"/>
      <c r="H1543" s="109"/>
      <c r="I1543" s="109"/>
      <c r="J1543" s="109"/>
      <c r="K1543" s="109"/>
      <c r="L1543" s="109"/>
      <c r="M1543" s="109">
        <v>0.24</v>
      </c>
      <c r="N1543" s="109"/>
      <c r="O1543" s="109"/>
      <c r="P1543" s="109"/>
      <c r="Q1543" s="109"/>
      <c r="R1543" s="109"/>
      <c r="S1543" s="109"/>
      <c r="T1543" s="109"/>
      <c r="U1543" s="109"/>
      <c r="V1543" s="109"/>
      <c r="W1543" s="109"/>
      <c r="X1543" s="109"/>
      <c r="Y1543" s="109"/>
      <c r="Z1543" s="109"/>
      <c r="AA1543" s="109"/>
      <c r="AB1543" s="109"/>
      <c r="AC1543" s="109"/>
      <c r="AD1543" s="109"/>
      <c r="AE1543" s="109"/>
      <c r="AF1543" s="109"/>
      <c r="AG1543" s="109"/>
      <c r="AH1543" s="109"/>
      <c r="AI1543" s="109"/>
      <c r="AJ1543" s="109"/>
      <c r="AK1543" s="109"/>
      <c r="AL1543" s="109"/>
      <c r="AM1543" s="109"/>
      <c r="AN1543" s="109"/>
      <c r="AO1543" s="109"/>
      <c r="AP1543" s="109"/>
      <c r="AQ1543" s="109"/>
      <c r="AR1543" s="109"/>
      <c r="AS1543" s="109"/>
      <c r="AT1543" s="109"/>
      <c r="AU1543" s="109"/>
      <c r="AV1543" s="109"/>
      <c r="AW1543" s="109"/>
      <c r="AX1543" s="109"/>
      <c r="AY1543" s="34" t="s">
        <v>241</v>
      </c>
      <c r="AZ1543" s="34"/>
      <c r="BA1543" s="63"/>
      <c r="BB1543" s="64"/>
      <c r="BC1543" s="152"/>
      <c r="BI1543" s="42"/>
    </row>
    <row r="1544" spans="1:61" s="24" customFormat="1" ht="22.35" hidden="1" customHeight="1">
      <c r="A1544" s="32"/>
      <c r="B1544" s="158"/>
      <c r="C1544" s="78" t="s">
        <v>44</v>
      </c>
      <c r="D1544" s="35">
        <f t="shared" si="309"/>
        <v>0.28000000000000003</v>
      </c>
      <c r="E1544" s="76"/>
      <c r="F1544" s="35">
        <f>SUM(G1544:AX1544)</f>
        <v>0.28000000000000003</v>
      </c>
      <c r="G1544" s="109"/>
      <c r="H1544" s="109"/>
      <c r="I1544" s="109"/>
      <c r="J1544" s="109"/>
      <c r="K1544" s="109"/>
      <c r="L1544" s="109"/>
      <c r="M1544" s="109">
        <v>0.28000000000000003</v>
      </c>
      <c r="N1544" s="109"/>
      <c r="O1544" s="109"/>
      <c r="P1544" s="109"/>
      <c r="Q1544" s="109"/>
      <c r="R1544" s="109"/>
      <c r="S1544" s="109"/>
      <c r="T1544" s="109"/>
      <c r="U1544" s="109"/>
      <c r="V1544" s="109"/>
      <c r="W1544" s="109"/>
      <c r="X1544" s="109"/>
      <c r="Y1544" s="109"/>
      <c r="Z1544" s="109"/>
      <c r="AA1544" s="109"/>
      <c r="AB1544" s="109"/>
      <c r="AC1544" s="109"/>
      <c r="AD1544" s="109"/>
      <c r="AE1544" s="109"/>
      <c r="AF1544" s="109"/>
      <c r="AG1544" s="109"/>
      <c r="AH1544" s="109"/>
      <c r="AI1544" s="109"/>
      <c r="AJ1544" s="109"/>
      <c r="AK1544" s="109"/>
      <c r="AL1544" s="109"/>
      <c r="AM1544" s="109"/>
      <c r="AN1544" s="109"/>
      <c r="AO1544" s="109"/>
      <c r="AP1544" s="109"/>
      <c r="AQ1544" s="109"/>
      <c r="AR1544" s="109"/>
      <c r="AS1544" s="109"/>
      <c r="AT1544" s="109"/>
      <c r="AU1544" s="109"/>
      <c r="AV1544" s="109"/>
      <c r="AW1544" s="109"/>
      <c r="AX1544" s="109"/>
      <c r="AY1544" s="34" t="s">
        <v>241</v>
      </c>
      <c r="AZ1544" s="34"/>
      <c r="BA1544" s="63"/>
      <c r="BB1544" s="64"/>
      <c r="BC1544" s="152"/>
      <c r="BI1544" s="42"/>
    </row>
    <row r="1545" spans="1:61" s="24" customFormat="1" ht="22.35" hidden="1" customHeight="1">
      <c r="A1545" s="32"/>
      <c r="B1545" s="158"/>
      <c r="C1545" s="78" t="s">
        <v>138</v>
      </c>
      <c r="D1545" s="35">
        <f t="shared" si="309"/>
        <v>0.16000000000000003</v>
      </c>
      <c r="E1545" s="76"/>
      <c r="F1545" s="35">
        <f>SUM(G1545:AX1545)</f>
        <v>0.16000000000000003</v>
      </c>
      <c r="G1545" s="147">
        <f>G1542-G1543-G1544</f>
        <v>0</v>
      </c>
      <c r="H1545" s="147">
        <f t="shared" ref="H1545:AX1545" si="311">H1542-H1543-H1544</f>
        <v>0</v>
      </c>
      <c r="I1545" s="147">
        <f t="shared" si="311"/>
        <v>0</v>
      </c>
      <c r="J1545" s="147">
        <f t="shared" si="311"/>
        <v>0</v>
      </c>
      <c r="K1545" s="147">
        <f t="shared" si="311"/>
        <v>0</v>
      </c>
      <c r="L1545" s="147">
        <f t="shared" si="311"/>
        <v>0</v>
      </c>
      <c r="M1545" s="147">
        <f t="shared" si="311"/>
        <v>0.16000000000000003</v>
      </c>
      <c r="N1545" s="147">
        <f t="shared" si="311"/>
        <v>0</v>
      </c>
      <c r="O1545" s="147">
        <f t="shared" si="311"/>
        <v>0</v>
      </c>
      <c r="P1545" s="147">
        <f t="shared" si="311"/>
        <v>0</v>
      </c>
      <c r="Q1545" s="147">
        <f t="shared" si="311"/>
        <v>0</v>
      </c>
      <c r="R1545" s="147">
        <f t="shared" si="311"/>
        <v>0</v>
      </c>
      <c r="S1545" s="147">
        <f t="shared" si="311"/>
        <v>0</v>
      </c>
      <c r="T1545" s="147">
        <f t="shared" si="311"/>
        <v>0</v>
      </c>
      <c r="U1545" s="147">
        <f t="shared" si="311"/>
        <v>0</v>
      </c>
      <c r="V1545" s="147">
        <f t="shared" si="311"/>
        <v>0</v>
      </c>
      <c r="W1545" s="147">
        <f t="shared" si="311"/>
        <v>0</v>
      </c>
      <c r="X1545" s="147">
        <f t="shared" si="311"/>
        <v>0</v>
      </c>
      <c r="Y1545" s="147">
        <f t="shared" si="311"/>
        <v>0</v>
      </c>
      <c r="Z1545" s="147">
        <f t="shared" si="311"/>
        <v>0</v>
      </c>
      <c r="AA1545" s="147">
        <f t="shared" si="311"/>
        <v>0</v>
      </c>
      <c r="AB1545" s="147">
        <f t="shared" si="311"/>
        <v>0</v>
      </c>
      <c r="AC1545" s="147">
        <f t="shared" si="311"/>
        <v>0</v>
      </c>
      <c r="AD1545" s="147">
        <f t="shared" si="311"/>
        <v>0</v>
      </c>
      <c r="AE1545" s="147">
        <f t="shared" si="311"/>
        <v>0</v>
      </c>
      <c r="AF1545" s="147">
        <f t="shared" si="311"/>
        <v>0</v>
      </c>
      <c r="AG1545" s="147">
        <f t="shared" si="311"/>
        <v>0</v>
      </c>
      <c r="AH1545" s="147">
        <f t="shared" si="311"/>
        <v>0</v>
      </c>
      <c r="AI1545" s="147">
        <f t="shared" si="311"/>
        <v>0</v>
      </c>
      <c r="AJ1545" s="147">
        <f t="shared" si="311"/>
        <v>0</v>
      </c>
      <c r="AK1545" s="147">
        <f t="shared" si="311"/>
        <v>0</v>
      </c>
      <c r="AL1545" s="147">
        <f t="shared" si="311"/>
        <v>0</v>
      </c>
      <c r="AM1545" s="147">
        <f t="shared" si="311"/>
        <v>0</v>
      </c>
      <c r="AN1545" s="147">
        <f t="shared" si="311"/>
        <v>0</v>
      </c>
      <c r="AO1545" s="147">
        <f t="shared" si="311"/>
        <v>0</v>
      </c>
      <c r="AP1545" s="147">
        <f t="shared" si="311"/>
        <v>0</v>
      </c>
      <c r="AQ1545" s="147">
        <f t="shared" si="311"/>
        <v>0</v>
      </c>
      <c r="AR1545" s="147">
        <f t="shared" si="311"/>
        <v>0</v>
      </c>
      <c r="AS1545" s="147">
        <f t="shared" si="311"/>
        <v>0</v>
      </c>
      <c r="AT1545" s="147">
        <f t="shared" si="311"/>
        <v>0</v>
      </c>
      <c r="AU1545" s="147">
        <f t="shared" si="311"/>
        <v>0</v>
      </c>
      <c r="AV1545" s="147">
        <f t="shared" si="311"/>
        <v>0</v>
      </c>
      <c r="AW1545" s="147">
        <f t="shared" si="311"/>
        <v>0</v>
      </c>
      <c r="AX1545" s="147">
        <f t="shared" si="311"/>
        <v>0</v>
      </c>
      <c r="AY1545" s="34" t="s">
        <v>241</v>
      </c>
      <c r="AZ1545" s="34"/>
      <c r="BA1545" s="63"/>
      <c r="BB1545" s="64"/>
      <c r="BC1545" s="152"/>
      <c r="BI1545" s="42"/>
    </row>
    <row r="1546" spans="1:61" s="24" customFormat="1" ht="21" customHeight="1">
      <c r="A1546" s="32">
        <f>A1542+1</f>
        <v>885</v>
      </c>
      <c r="B1546" s="60" t="s">
        <v>1299</v>
      </c>
      <c r="C1546" s="78" t="s">
        <v>59</v>
      </c>
      <c r="D1546" s="35">
        <f t="shared" si="309"/>
        <v>1</v>
      </c>
      <c r="E1546" s="108"/>
      <c r="F1546" s="35">
        <f t="shared" si="297"/>
        <v>1</v>
      </c>
      <c r="G1546" s="109"/>
      <c r="H1546" s="109"/>
      <c r="I1546" s="109"/>
      <c r="J1546" s="109">
        <v>1</v>
      </c>
      <c r="K1546" s="109"/>
      <c r="L1546" s="109"/>
      <c r="M1546" s="109"/>
      <c r="N1546" s="109"/>
      <c r="O1546" s="109"/>
      <c r="P1546" s="109"/>
      <c r="Q1546" s="109"/>
      <c r="R1546" s="109"/>
      <c r="S1546" s="109"/>
      <c r="T1546" s="109"/>
      <c r="U1546" s="109"/>
      <c r="V1546" s="109"/>
      <c r="W1546" s="109"/>
      <c r="X1546" s="109"/>
      <c r="Y1546" s="109"/>
      <c r="Z1546" s="109"/>
      <c r="AA1546" s="109"/>
      <c r="AB1546" s="109"/>
      <c r="AC1546" s="109"/>
      <c r="AD1546" s="109"/>
      <c r="AE1546" s="109"/>
      <c r="AF1546" s="109"/>
      <c r="AG1546" s="109"/>
      <c r="AH1546" s="109"/>
      <c r="AI1546" s="109"/>
      <c r="AJ1546" s="109"/>
      <c r="AK1546" s="109"/>
      <c r="AL1546" s="109"/>
      <c r="AM1546" s="109"/>
      <c r="AN1546" s="109"/>
      <c r="AO1546" s="109"/>
      <c r="AP1546" s="109"/>
      <c r="AQ1546" s="109"/>
      <c r="AR1546" s="109"/>
      <c r="AS1546" s="109"/>
      <c r="AT1546" s="109"/>
      <c r="AU1546" s="109"/>
      <c r="AV1546" s="109"/>
      <c r="AW1546" s="109"/>
      <c r="AX1546" s="109"/>
      <c r="AY1546" s="34" t="s">
        <v>241</v>
      </c>
      <c r="AZ1546" s="34" t="s">
        <v>615</v>
      </c>
      <c r="BA1546" s="63" t="s">
        <v>291</v>
      </c>
      <c r="BB1546" s="64"/>
      <c r="BI1546" s="42">
        <v>1</v>
      </c>
    </row>
    <row r="1547" spans="1:61" s="24" customFormat="1" ht="110.25">
      <c r="A1547" s="32">
        <f>A1546+1</f>
        <v>886</v>
      </c>
      <c r="B1547" s="60" t="s">
        <v>1532</v>
      </c>
      <c r="C1547" s="78" t="s">
        <v>1260</v>
      </c>
      <c r="D1547" s="35">
        <f t="shared" si="309"/>
        <v>1.75</v>
      </c>
      <c r="E1547" s="35"/>
      <c r="F1547" s="35">
        <f>SUM(G1547:AX1547)</f>
        <v>1.75</v>
      </c>
      <c r="G1547" s="109">
        <v>0.55000000000000004</v>
      </c>
      <c r="H1547" s="109"/>
      <c r="I1547" s="109">
        <v>0.23</v>
      </c>
      <c r="J1547" s="109">
        <v>0.43</v>
      </c>
      <c r="K1547" s="109"/>
      <c r="L1547" s="109"/>
      <c r="M1547" s="109">
        <v>0.42</v>
      </c>
      <c r="N1547" s="109"/>
      <c r="O1547" s="109"/>
      <c r="P1547" s="109">
        <v>0.12</v>
      </c>
      <c r="Q1547" s="109"/>
      <c r="R1547" s="109"/>
      <c r="S1547" s="109"/>
      <c r="T1547" s="109"/>
      <c r="U1547" s="109"/>
      <c r="V1547" s="109"/>
      <c r="W1547" s="109"/>
      <c r="X1547" s="109"/>
      <c r="Y1547" s="109"/>
      <c r="Z1547" s="109"/>
      <c r="AA1547" s="109"/>
      <c r="AB1547" s="109"/>
      <c r="AC1547" s="109"/>
      <c r="AD1547" s="109"/>
      <c r="AE1547" s="109"/>
      <c r="AF1547" s="109"/>
      <c r="AG1547" s="109"/>
      <c r="AH1547" s="109"/>
      <c r="AI1547" s="109"/>
      <c r="AJ1547" s="109"/>
      <c r="AK1547" s="109"/>
      <c r="AL1547" s="109"/>
      <c r="AM1547" s="109"/>
      <c r="AN1547" s="109"/>
      <c r="AO1547" s="109"/>
      <c r="AP1547" s="109"/>
      <c r="AQ1547" s="109"/>
      <c r="AR1547" s="109"/>
      <c r="AS1547" s="109"/>
      <c r="AT1547" s="109"/>
      <c r="AU1547" s="109"/>
      <c r="AV1547" s="109"/>
      <c r="AW1547" s="109"/>
      <c r="AX1547" s="109"/>
      <c r="AY1547" s="34" t="s">
        <v>1757</v>
      </c>
      <c r="AZ1547" s="34"/>
      <c r="BA1547" s="47" t="s">
        <v>291</v>
      </c>
      <c r="BB1547" s="48"/>
      <c r="BC1547" s="135" t="s">
        <v>1758</v>
      </c>
      <c r="BI1547" s="42">
        <v>1</v>
      </c>
    </row>
    <row r="1548" spans="1:61" s="24" customFormat="1" hidden="1">
      <c r="A1548" s="32"/>
      <c r="B1548" s="60"/>
      <c r="C1548" s="78" t="s">
        <v>59</v>
      </c>
      <c r="D1548" s="35">
        <f t="shared" si="309"/>
        <v>0.29000000000000004</v>
      </c>
      <c r="E1548" s="35"/>
      <c r="F1548" s="35">
        <f t="shared" ref="F1548:F1553" si="312">SUM(G1548:AX1548)</f>
        <v>0.29000000000000004</v>
      </c>
      <c r="G1548" s="109">
        <v>0.1</v>
      </c>
      <c r="H1548" s="109"/>
      <c r="I1548" s="109">
        <v>0.04</v>
      </c>
      <c r="J1548" s="109">
        <v>7.0000000000000007E-2</v>
      </c>
      <c r="K1548" s="109"/>
      <c r="L1548" s="109"/>
      <c r="M1548" s="109">
        <v>0.06</v>
      </c>
      <c r="N1548" s="109"/>
      <c r="O1548" s="109"/>
      <c r="P1548" s="109">
        <v>0.02</v>
      </c>
      <c r="Q1548" s="109"/>
      <c r="R1548" s="109"/>
      <c r="S1548" s="109"/>
      <c r="T1548" s="109"/>
      <c r="U1548" s="109"/>
      <c r="V1548" s="109"/>
      <c r="W1548" s="109"/>
      <c r="X1548" s="109"/>
      <c r="Y1548" s="109"/>
      <c r="Z1548" s="109"/>
      <c r="AA1548" s="109"/>
      <c r="AB1548" s="109"/>
      <c r="AC1548" s="109"/>
      <c r="AD1548" s="109"/>
      <c r="AE1548" s="109"/>
      <c r="AF1548" s="109"/>
      <c r="AG1548" s="109"/>
      <c r="AH1548" s="109"/>
      <c r="AI1548" s="109"/>
      <c r="AJ1548" s="109"/>
      <c r="AK1548" s="109"/>
      <c r="AL1548" s="109"/>
      <c r="AM1548" s="109"/>
      <c r="AN1548" s="109"/>
      <c r="AO1548" s="109"/>
      <c r="AP1548" s="109"/>
      <c r="AQ1548" s="109"/>
      <c r="AR1548" s="109"/>
      <c r="AS1548" s="109"/>
      <c r="AT1548" s="109"/>
      <c r="AU1548" s="109"/>
      <c r="AV1548" s="109"/>
      <c r="AW1548" s="109"/>
      <c r="AX1548" s="109"/>
      <c r="AY1548" s="34" t="s">
        <v>224</v>
      </c>
      <c r="AZ1548" s="34"/>
      <c r="BA1548" s="47"/>
      <c r="BB1548" s="48"/>
      <c r="BC1548" s="135"/>
      <c r="BI1548" s="42"/>
    </row>
    <row r="1549" spans="1:61" s="24" customFormat="1" hidden="1">
      <c r="A1549" s="32"/>
      <c r="B1549" s="60"/>
      <c r="C1549" s="78" t="s">
        <v>59</v>
      </c>
      <c r="D1549" s="35">
        <f t="shared" si="309"/>
        <v>0.29000000000000004</v>
      </c>
      <c r="E1549" s="35"/>
      <c r="F1549" s="35">
        <f t="shared" si="312"/>
        <v>0.29000000000000004</v>
      </c>
      <c r="G1549" s="109">
        <v>0.1</v>
      </c>
      <c r="H1549" s="109"/>
      <c r="I1549" s="109">
        <v>0.04</v>
      </c>
      <c r="J1549" s="109">
        <v>7.0000000000000007E-2</v>
      </c>
      <c r="K1549" s="109"/>
      <c r="L1549" s="109"/>
      <c r="M1549" s="109">
        <v>0.06</v>
      </c>
      <c r="N1549" s="109"/>
      <c r="O1549" s="109"/>
      <c r="P1549" s="109">
        <v>0.02</v>
      </c>
      <c r="Q1549" s="109"/>
      <c r="R1549" s="109"/>
      <c r="S1549" s="109"/>
      <c r="T1549" s="109"/>
      <c r="U1549" s="109"/>
      <c r="V1549" s="109"/>
      <c r="W1549" s="109"/>
      <c r="X1549" s="109"/>
      <c r="Y1549" s="109"/>
      <c r="Z1549" s="109"/>
      <c r="AA1549" s="109"/>
      <c r="AB1549" s="109"/>
      <c r="AC1549" s="109"/>
      <c r="AD1549" s="109"/>
      <c r="AE1549" s="109"/>
      <c r="AF1549" s="109"/>
      <c r="AG1549" s="109"/>
      <c r="AH1549" s="109"/>
      <c r="AI1549" s="109"/>
      <c r="AJ1549" s="109"/>
      <c r="AK1549" s="109"/>
      <c r="AL1549" s="109"/>
      <c r="AM1549" s="109"/>
      <c r="AN1549" s="109"/>
      <c r="AO1549" s="109"/>
      <c r="AP1549" s="109"/>
      <c r="AQ1549" s="109"/>
      <c r="AR1549" s="109"/>
      <c r="AS1549" s="109"/>
      <c r="AT1549" s="109"/>
      <c r="AU1549" s="109"/>
      <c r="AV1549" s="109"/>
      <c r="AW1549" s="109"/>
      <c r="AX1549" s="109"/>
      <c r="AY1549" s="34" t="s">
        <v>232</v>
      </c>
      <c r="AZ1549" s="34"/>
      <c r="BA1549" s="47"/>
      <c r="BB1549" s="48"/>
      <c r="BC1549" s="135"/>
      <c r="BI1549" s="42"/>
    </row>
    <row r="1550" spans="1:61" s="24" customFormat="1" hidden="1">
      <c r="A1550" s="32"/>
      <c r="B1550" s="60"/>
      <c r="C1550" s="78" t="s">
        <v>59</v>
      </c>
      <c r="D1550" s="35">
        <f t="shared" si="309"/>
        <v>0.29000000000000004</v>
      </c>
      <c r="E1550" s="35"/>
      <c r="F1550" s="35">
        <f t="shared" si="312"/>
        <v>0.29000000000000004</v>
      </c>
      <c r="G1550" s="109">
        <v>0.1</v>
      </c>
      <c r="H1550" s="109"/>
      <c r="I1550" s="109">
        <v>0.04</v>
      </c>
      <c r="J1550" s="109">
        <v>7.0000000000000007E-2</v>
      </c>
      <c r="K1550" s="109"/>
      <c r="L1550" s="109"/>
      <c r="M1550" s="109">
        <v>0.06</v>
      </c>
      <c r="N1550" s="109"/>
      <c r="O1550" s="109"/>
      <c r="P1550" s="109">
        <v>0.02</v>
      </c>
      <c r="Q1550" s="109"/>
      <c r="R1550" s="109"/>
      <c r="S1550" s="109"/>
      <c r="T1550" s="109"/>
      <c r="U1550" s="109"/>
      <c r="V1550" s="109"/>
      <c r="W1550" s="109"/>
      <c r="X1550" s="109"/>
      <c r="Y1550" s="109"/>
      <c r="Z1550" s="109"/>
      <c r="AA1550" s="109"/>
      <c r="AB1550" s="109"/>
      <c r="AC1550" s="109"/>
      <c r="AD1550" s="109"/>
      <c r="AE1550" s="109"/>
      <c r="AF1550" s="109"/>
      <c r="AG1550" s="109"/>
      <c r="AH1550" s="109"/>
      <c r="AI1550" s="109"/>
      <c r="AJ1550" s="109"/>
      <c r="AK1550" s="109"/>
      <c r="AL1550" s="109"/>
      <c r="AM1550" s="109"/>
      <c r="AN1550" s="109"/>
      <c r="AO1550" s="109"/>
      <c r="AP1550" s="109"/>
      <c r="AQ1550" s="109"/>
      <c r="AR1550" s="109"/>
      <c r="AS1550" s="109"/>
      <c r="AT1550" s="109"/>
      <c r="AU1550" s="109"/>
      <c r="AV1550" s="109"/>
      <c r="AW1550" s="109"/>
      <c r="AX1550" s="109"/>
      <c r="AY1550" s="34" t="s">
        <v>233</v>
      </c>
      <c r="AZ1550" s="34"/>
      <c r="BA1550" s="47"/>
      <c r="BB1550" s="48"/>
      <c r="BC1550" s="135"/>
      <c r="BI1550" s="42"/>
    </row>
    <row r="1551" spans="1:61" s="24" customFormat="1" hidden="1">
      <c r="A1551" s="32"/>
      <c r="B1551" s="60"/>
      <c r="C1551" s="78" t="s">
        <v>59</v>
      </c>
      <c r="D1551" s="35">
        <f t="shared" si="309"/>
        <v>0.29000000000000004</v>
      </c>
      <c r="E1551" s="35"/>
      <c r="F1551" s="35">
        <f t="shared" si="312"/>
        <v>0.29000000000000004</v>
      </c>
      <c r="G1551" s="109">
        <v>0.1</v>
      </c>
      <c r="H1551" s="109"/>
      <c r="I1551" s="109">
        <v>0.04</v>
      </c>
      <c r="J1551" s="109">
        <v>7.0000000000000007E-2</v>
      </c>
      <c r="K1551" s="109"/>
      <c r="L1551" s="109"/>
      <c r="M1551" s="109">
        <v>0.06</v>
      </c>
      <c r="N1551" s="109"/>
      <c r="O1551" s="109"/>
      <c r="P1551" s="109">
        <v>0.02</v>
      </c>
      <c r="Q1551" s="109"/>
      <c r="R1551" s="109"/>
      <c r="S1551" s="109"/>
      <c r="T1551" s="109"/>
      <c r="U1551" s="109"/>
      <c r="V1551" s="109"/>
      <c r="W1551" s="109"/>
      <c r="X1551" s="109"/>
      <c r="Y1551" s="109"/>
      <c r="Z1551" s="109"/>
      <c r="AA1551" s="109"/>
      <c r="AB1551" s="109"/>
      <c r="AC1551" s="109"/>
      <c r="AD1551" s="109"/>
      <c r="AE1551" s="109"/>
      <c r="AF1551" s="109"/>
      <c r="AG1551" s="109"/>
      <c r="AH1551" s="109"/>
      <c r="AI1551" s="109"/>
      <c r="AJ1551" s="109"/>
      <c r="AK1551" s="109"/>
      <c r="AL1551" s="109"/>
      <c r="AM1551" s="109"/>
      <c r="AN1551" s="109"/>
      <c r="AO1551" s="109"/>
      <c r="AP1551" s="109"/>
      <c r="AQ1551" s="109"/>
      <c r="AR1551" s="109"/>
      <c r="AS1551" s="109"/>
      <c r="AT1551" s="109"/>
      <c r="AU1551" s="109"/>
      <c r="AV1551" s="109"/>
      <c r="AW1551" s="109"/>
      <c r="AX1551" s="109"/>
      <c r="AY1551" s="34" t="s">
        <v>231</v>
      </c>
      <c r="AZ1551" s="34"/>
      <c r="BA1551" s="47"/>
      <c r="BB1551" s="48"/>
      <c r="BC1551" s="135"/>
      <c r="BI1551" s="42"/>
    </row>
    <row r="1552" spans="1:61" s="24" customFormat="1" hidden="1">
      <c r="A1552" s="32"/>
      <c r="B1552" s="60"/>
      <c r="C1552" s="78" t="s">
        <v>59</v>
      </c>
      <c r="D1552" s="35">
        <f t="shared" si="309"/>
        <v>0.29000000000000004</v>
      </c>
      <c r="E1552" s="35"/>
      <c r="F1552" s="35">
        <f t="shared" si="312"/>
        <v>0.29000000000000004</v>
      </c>
      <c r="G1552" s="109">
        <v>0.1</v>
      </c>
      <c r="H1552" s="109"/>
      <c r="I1552" s="109">
        <v>0.04</v>
      </c>
      <c r="J1552" s="109">
        <v>7.0000000000000007E-2</v>
      </c>
      <c r="K1552" s="109"/>
      <c r="L1552" s="109"/>
      <c r="M1552" s="109">
        <v>0.06</v>
      </c>
      <c r="N1552" s="109"/>
      <c r="O1552" s="109"/>
      <c r="P1552" s="109">
        <v>0.02</v>
      </c>
      <c r="Q1552" s="109"/>
      <c r="R1552" s="109"/>
      <c r="S1552" s="109"/>
      <c r="T1552" s="109"/>
      <c r="U1552" s="109"/>
      <c r="V1552" s="109"/>
      <c r="W1552" s="109"/>
      <c r="X1552" s="109"/>
      <c r="Y1552" s="109"/>
      <c r="Z1552" s="109"/>
      <c r="AA1552" s="109"/>
      <c r="AB1552" s="109"/>
      <c r="AC1552" s="109"/>
      <c r="AD1552" s="109"/>
      <c r="AE1552" s="109"/>
      <c r="AF1552" s="109"/>
      <c r="AG1552" s="109"/>
      <c r="AH1552" s="109"/>
      <c r="AI1552" s="109"/>
      <c r="AJ1552" s="109"/>
      <c r="AK1552" s="109"/>
      <c r="AL1552" s="109"/>
      <c r="AM1552" s="109"/>
      <c r="AN1552" s="109"/>
      <c r="AO1552" s="109"/>
      <c r="AP1552" s="109"/>
      <c r="AQ1552" s="109"/>
      <c r="AR1552" s="109"/>
      <c r="AS1552" s="109"/>
      <c r="AT1552" s="109"/>
      <c r="AU1552" s="109"/>
      <c r="AV1552" s="109"/>
      <c r="AW1552" s="109"/>
      <c r="AX1552" s="109"/>
      <c r="AY1552" s="34" t="s">
        <v>237</v>
      </c>
      <c r="AZ1552" s="34"/>
      <c r="BA1552" s="47"/>
      <c r="BB1552" s="48"/>
      <c r="BC1552" s="135"/>
      <c r="BI1552" s="42"/>
    </row>
    <row r="1553" spans="1:63" s="24" customFormat="1" hidden="1">
      <c r="A1553" s="32"/>
      <c r="B1553" s="60"/>
      <c r="C1553" s="78" t="s">
        <v>59</v>
      </c>
      <c r="D1553" s="35">
        <f t="shared" si="309"/>
        <v>0.3</v>
      </c>
      <c r="E1553" s="35"/>
      <c r="F1553" s="35">
        <f t="shared" si="312"/>
        <v>0.3</v>
      </c>
      <c r="G1553" s="147">
        <f>G1547-G1548-G1549-G1550-G1551-G1552</f>
        <v>5.00000000000001E-2</v>
      </c>
      <c r="H1553" s="147">
        <f t="shared" ref="H1553:AX1553" si="313">H1547-H1548-H1549-H1550-H1551-H1552</f>
        <v>0</v>
      </c>
      <c r="I1553" s="147">
        <f t="shared" si="313"/>
        <v>2.9999999999999978E-2</v>
      </c>
      <c r="J1553" s="147">
        <f t="shared" si="313"/>
        <v>7.999999999999996E-2</v>
      </c>
      <c r="K1553" s="147">
        <f t="shared" si="313"/>
        <v>0</v>
      </c>
      <c r="L1553" s="147">
        <f t="shared" si="313"/>
        <v>0</v>
      </c>
      <c r="M1553" s="147">
        <f t="shared" si="313"/>
        <v>0.12</v>
      </c>
      <c r="N1553" s="147">
        <f t="shared" si="313"/>
        <v>0</v>
      </c>
      <c r="O1553" s="147">
        <f t="shared" si="313"/>
        <v>0</v>
      </c>
      <c r="P1553" s="147">
        <f t="shared" si="313"/>
        <v>1.999999999999998E-2</v>
      </c>
      <c r="Q1553" s="147">
        <f t="shared" si="313"/>
        <v>0</v>
      </c>
      <c r="R1553" s="147">
        <f t="shared" si="313"/>
        <v>0</v>
      </c>
      <c r="S1553" s="147">
        <f t="shared" si="313"/>
        <v>0</v>
      </c>
      <c r="T1553" s="147">
        <f t="shared" si="313"/>
        <v>0</v>
      </c>
      <c r="U1553" s="147">
        <f t="shared" si="313"/>
        <v>0</v>
      </c>
      <c r="V1553" s="147">
        <f t="shared" si="313"/>
        <v>0</v>
      </c>
      <c r="W1553" s="147">
        <f t="shared" si="313"/>
        <v>0</v>
      </c>
      <c r="X1553" s="147">
        <f t="shared" si="313"/>
        <v>0</v>
      </c>
      <c r="Y1553" s="147">
        <f t="shared" si="313"/>
        <v>0</v>
      </c>
      <c r="Z1553" s="147">
        <f t="shared" si="313"/>
        <v>0</v>
      </c>
      <c r="AA1553" s="147">
        <f t="shared" si="313"/>
        <v>0</v>
      </c>
      <c r="AB1553" s="147">
        <f t="shared" si="313"/>
        <v>0</v>
      </c>
      <c r="AC1553" s="147">
        <f t="shared" si="313"/>
        <v>0</v>
      </c>
      <c r="AD1553" s="147">
        <f t="shared" si="313"/>
        <v>0</v>
      </c>
      <c r="AE1553" s="147">
        <f t="shared" si="313"/>
        <v>0</v>
      </c>
      <c r="AF1553" s="147">
        <f t="shared" si="313"/>
        <v>0</v>
      </c>
      <c r="AG1553" s="147">
        <f t="shared" si="313"/>
        <v>0</v>
      </c>
      <c r="AH1553" s="147">
        <f t="shared" si="313"/>
        <v>0</v>
      </c>
      <c r="AI1553" s="147">
        <f t="shared" si="313"/>
        <v>0</v>
      </c>
      <c r="AJ1553" s="147">
        <f t="shared" si="313"/>
        <v>0</v>
      </c>
      <c r="AK1553" s="147">
        <f t="shared" si="313"/>
        <v>0</v>
      </c>
      <c r="AL1553" s="147">
        <f t="shared" si="313"/>
        <v>0</v>
      </c>
      <c r="AM1553" s="147">
        <f t="shared" si="313"/>
        <v>0</v>
      </c>
      <c r="AN1553" s="147">
        <f t="shared" si="313"/>
        <v>0</v>
      </c>
      <c r="AO1553" s="147">
        <f t="shared" si="313"/>
        <v>0</v>
      </c>
      <c r="AP1553" s="147">
        <f t="shared" si="313"/>
        <v>0</v>
      </c>
      <c r="AQ1553" s="147">
        <f t="shared" si="313"/>
        <v>0</v>
      </c>
      <c r="AR1553" s="147">
        <f t="shared" si="313"/>
        <v>0</v>
      </c>
      <c r="AS1553" s="147">
        <f t="shared" si="313"/>
        <v>0</v>
      </c>
      <c r="AT1553" s="147">
        <f t="shared" si="313"/>
        <v>0</v>
      </c>
      <c r="AU1553" s="147">
        <f t="shared" si="313"/>
        <v>0</v>
      </c>
      <c r="AV1553" s="147">
        <f t="shared" si="313"/>
        <v>0</v>
      </c>
      <c r="AW1553" s="147">
        <f t="shared" si="313"/>
        <v>0</v>
      </c>
      <c r="AX1553" s="147">
        <f t="shared" si="313"/>
        <v>0</v>
      </c>
      <c r="AY1553" s="34" t="s">
        <v>238</v>
      </c>
      <c r="AZ1553" s="34"/>
      <c r="BA1553" s="47"/>
      <c r="BB1553" s="48"/>
      <c r="BC1553" s="135"/>
      <c r="BI1553" s="42"/>
    </row>
    <row r="1554" spans="1:63" s="169" customFormat="1" ht="66" customHeight="1">
      <c r="A1554" s="130" t="s">
        <v>1759</v>
      </c>
      <c r="B1554" s="25" t="s">
        <v>1760</v>
      </c>
      <c r="C1554" s="130"/>
      <c r="D1554" s="27">
        <f>E1554+F1554</f>
        <v>84.65000000000002</v>
      </c>
      <c r="E1554" s="83">
        <f t="shared" ref="E1554:AX1554" si="314">E1555+E1567+E1574+E1578+E1585+E1590+E1595+E1600+E1605+E1609+E1613+E1617+E1621+E1625+E1629+E1633+E1637+E1638+E1642+E1643+E1644+E1645+E1646+E1650+E1651+E1652+E1653+E1654+E1661</f>
        <v>0.1</v>
      </c>
      <c r="F1554" s="143">
        <f t="shared" si="314"/>
        <v>84.550000000000026</v>
      </c>
      <c r="G1554" s="83">
        <f t="shared" si="314"/>
        <v>30.309999999999995</v>
      </c>
      <c r="H1554" s="83">
        <f t="shared" si="314"/>
        <v>2.76</v>
      </c>
      <c r="I1554" s="83">
        <f t="shared" si="314"/>
        <v>15.119999999999997</v>
      </c>
      <c r="J1554" s="83">
        <f t="shared" si="314"/>
        <v>10.96</v>
      </c>
      <c r="K1554" s="83">
        <f t="shared" si="314"/>
        <v>0</v>
      </c>
      <c r="L1554" s="83">
        <f t="shared" si="314"/>
        <v>0</v>
      </c>
      <c r="M1554" s="83">
        <f t="shared" si="314"/>
        <v>3.64</v>
      </c>
      <c r="N1554" s="83">
        <f t="shared" si="314"/>
        <v>0</v>
      </c>
      <c r="O1554" s="83">
        <f t="shared" si="314"/>
        <v>0</v>
      </c>
      <c r="P1554" s="83">
        <f t="shared" si="314"/>
        <v>1.61</v>
      </c>
      <c r="Q1554" s="83">
        <f t="shared" si="314"/>
        <v>0</v>
      </c>
      <c r="R1554" s="83">
        <f t="shared" si="314"/>
        <v>0</v>
      </c>
      <c r="S1554" s="83">
        <f t="shared" si="314"/>
        <v>0</v>
      </c>
      <c r="T1554" s="83">
        <f t="shared" si="314"/>
        <v>0</v>
      </c>
      <c r="U1554" s="83">
        <f t="shared" si="314"/>
        <v>0</v>
      </c>
      <c r="V1554" s="83">
        <f t="shared" si="314"/>
        <v>0</v>
      </c>
      <c r="W1554" s="83">
        <f t="shared" si="314"/>
        <v>0.25</v>
      </c>
      <c r="X1554" s="83">
        <f t="shared" si="314"/>
        <v>0</v>
      </c>
      <c r="Y1554" s="83">
        <f t="shared" si="314"/>
        <v>0</v>
      </c>
      <c r="Z1554" s="83">
        <f t="shared" si="314"/>
        <v>3.6699999999999995</v>
      </c>
      <c r="AA1554" s="83">
        <f t="shared" si="314"/>
        <v>1.1900000000000002</v>
      </c>
      <c r="AB1554" s="83">
        <f t="shared" si="314"/>
        <v>0</v>
      </c>
      <c r="AC1554" s="83">
        <f t="shared" si="314"/>
        <v>0.23</v>
      </c>
      <c r="AD1554" s="83">
        <f t="shared" si="314"/>
        <v>0</v>
      </c>
      <c r="AE1554" s="83">
        <f t="shared" si="314"/>
        <v>0</v>
      </c>
      <c r="AF1554" s="83">
        <f t="shared" si="314"/>
        <v>0</v>
      </c>
      <c r="AG1554" s="83">
        <f t="shared" si="314"/>
        <v>0</v>
      </c>
      <c r="AH1554" s="83">
        <f t="shared" si="314"/>
        <v>0</v>
      </c>
      <c r="AI1554" s="83">
        <f t="shared" si="314"/>
        <v>0</v>
      </c>
      <c r="AJ1554" s="83">
        <f t="shared" si="314"/>
        <v>0</v>
      </c>
      <c r="AK1554" s="83">
        <f t="shared" si="314"/>
        <v>1.4</v>
      </c>
      <c r="AL1554" s="83">
        <f t="shared" si="314"/>
        <v>0</v>
      </c>
      <c r="AM1554" s="83">
        <f t="shared" si="314"/>
        <v>0</v>
      </c>
      <c r="AN1554" s="83">
        <f t="shared" si="314"/>
        <v>0.13</v>
      </c>
      <c r="AO1554" s="83">
        <f t="shared" si="314"/>
        <v>0</v>
      </c>
      <c r="AP1554" s="83">
        <f t="shared" si="314"/>
        <v>0.3</v>
      </c>
      <c r="AQ1554" s="83">
        <f t="shared" si="314"/>
        <v>8.69</v>
      </c>
      <c r="AR1554" s="83">
        <f t="shared" si="314"/>
        <v>0</v>
      </c>
      <c r="AS1554" s="83">
        <f t="shared" si="314"/>
        <v>0.39</v>
      </c>
      <c r="AT1554" s="83">
        <f t="shared" si="314"/>
        <v>0</v>
      </c>
      <c r="AU1554" s="83">
        <f t="shared" si="314"/>
        <v>0.47</v>
      </c>
      <c r="AV1554" s="83">
        <f t="shared" si="314"/>
        <v>3.39</v>
      </c>
      <c r="AW1554" s="83">
        <f t="shared" si="314"/>
        <v>0</v>
      </c>
      <c r="AX1554" s="83">
        <f t="shared" si="314"/>
        <v>0.04</v>
      </c>
      <c r="AY1554" s="167"/>
      <c r="AZ1554" s="167"/>
      <c r="BA1554" s="167"/>
      <c r="BB1554" s="168"/>
      <c r="BI1554" s="42"/>
      <c r="BK1554" s="170"/>
    </row>
    <row r="1555" spans="1:63" s="169" customFormat="1" ht="32.1" customHeight="1">
      <c r="A1555" s="127">
        <f>A1547+1</f>
        <v>887</v>
      </c>
      <c r="B1555" s="33" t="s">
        <v>1761</v>
      </c>
      <c r="C1555" s="38" t="s">
        <v>1260</v>
      </c>
      <c r="D1555" s="35">
        <f>E1555+F1555</f>
        <v>27.32</v>
      </c>
      <c r="E1555" s="89"/>
      <c r="F1555" s="35">
        <f t="shared" ref="F1555:F1578" si="315">SUM(G1555:AX1555)</f>
        <v>27.32</v>
      </c>
      <c r="G1555" s="43">
        <f>0.42+9.54</f>
        <v>9.9599999999999991</v>
      </c>
      <c r="H1555" s="141"/>
      <c r="I1555" s="43">
        <f>2.03+2.88</f>
        <v>4.91</v>
      </c>
      <c r="J1555" s="43">
        <f>2.46+0.97+0.92+0.53</f>
        <v>4.88</v>
      </c>
      <c r="K1555" s="141"/>
      <c r="L1555" s="141"/>
      <c r="M1555" s="43">
        <f>0.82</f>
        <v>0.82</v>
      </c>
      <c r="N1555" s="141"/>
      <c r="O1555" s="141"/>
      <c r="P1555" s="43">
        <f>0.11+0.1</f>
        <v>0.21000000000000002</v>
      </c>
      <c r="Q1555" s="141"/>
      <c r="R1555" s="141"/>
      <c r="S1555" s="141"/>
      <c r="T1555" s="141"/>
      <c r="U1555" s="141"/>
      <c r="V1555" s="141"/>
      <c r="W1555" s="141"/>
      <c r="X1555" s="141"/>
      <c r="Y1555" s="43"/>
      <c r="Z1555" s="43">
        <v>1.25</v>
      </c>
      <c r="AA1555" s="43">
        <f>0.33+0.05</f>
        <v>0.38</v>
      </c>
      <c r="AB1555" s="141"/>
      <c r="AC1555" s="141"/>
      <c r="AD1555" s="141"/>
      <c r="AE1555" s="141"/>
      <c r="AF1555" s="141"/>
      <c r="AG1555" s="141"/>
      <c r="AH1555" s="141"/>
      <c r="AI1555" s="141"/>
      <c r="AJ1555" s="141"/>
      <c r="AK1555" s="43"/>
      <c r="AL1555" s="141"/>
      <c r="AM1555" s="141"/>
      <c r="AN1555" s="141"/>
      <c r="AO1555" s="141"/>
      <c r="AP1555" s="43">
        <v>0.3</v>
      </c>
      <c r="AQ1555" s="43">
        <v>0.75</v>
      </c>
      <c r="AR1555" s="141"/>
      <c r="AS1555" s="141"/>
      <c r="AT1555" s="141"/>
      <c r="AU1555" s="141">
        <v>0.47</v>
      </c>
      <c r="AV1555" s="141">
        <v>3.39</v>
      </c>
      <c r="AW1555" s="141"/>
      <c r="AX1555" s="141"/>
      <c r="AY1555" s="34" t="s">
        <v>1579</v>
      </c>
      <c r="AZ1555" s="34" t="s">
        <v>1762</v>
      </c>
      <c r="BA1555" s="47" t="s">
        <v>291</v>
      </c>
      <c r="BB1555" s="48"/>
      <c r="BI1555" s="42">
        <v>1</v>
      </c>
      <c r="BK1555" s="170"/>
    </row>
    <row r="1556" spans="1:63" s="169" customFormat="1" hidden="1">
      <c r="A1556" s="118"/>
      <c r="B1556" s="33"/>
      <c r="C1556" s="33" t="s">
        <v>59</v>
      </c>
      <c r="D1556" s="35">
        <f t="shared" ref="D1556:D1619" si="316">E1556+F1556</f>
        <v>6.76</v>
      </c>
      <c r="E1556" s="35"/>
      <c r="F1556" s="35">
        <f t="shared" si="315"/>
        <v>6.76</v>
      </c>
      <c r="G1556" s="43">
        <v>3.99</v>
      </c>
      <c r="H1556" s="141"/>
      <c r="I1556" s="43">
        <v>0.7</v>
      </c>
      <c r="J1556" s="43">
        <v>1.1200000000000001</v>
      </c>
      <c r="K1556" s="43"/>
      <c r="L1556" s="141"/>
      <c r="M1556" s="43"/>
      <c r="N1556" s="43"/>
      <c r="O1556" s="43"/>
      <c r="P1556" s="43">
        <v>0.05</v>
      </c>
      <c r="Q1556" s="43"/>
      <c r="R1556" s="43"/>
      <c r="S1556" s="43"/>
      <c r="T1556" s="43"/>
      <c r="U1556" s="43"/>
      <c r="V1556" s="43"/>
      <c r="W1556" s="43"/>
      <c r="X1556" s="43"/>
      <c r="Y1556" s="43"/>
      <c r="Z1556" s="43">
        <v>0.5</v>
      </c>
      <c r="AA1556" s="141">
        <v>0.1</v>
      </c>
      <c r="AB1556" s="43"/>
      <c r="AC1556" s="43"/>
      <c r="AD1556" s="43"/>
      <c r="AE1556" s="43"/>
      <c r="AF1556" s="43"/>
      <c r="AG1556" s="43"/>
      <c r="AH1556" s="43"/>
      <c r="AI1556" s="43"/>
      <c r="AJ1556" s="43"/>
      <c r="AK1556" s="43"/>
      <c r="AL1556" s="43"/>
      <c r="AM1556" s="43"/>
      <c r="AN1556" s="43"/>
      <c r="AO1556" s="43"/>
      <c r="AP1556" s="43">
        <v>0.3</v>
      </c>
      <c r="AQ1556" s="43"/>
      <c r="AR1556" s="43"/>
      <c r="AS1556" s="43"/>
      <c r="AT1556" s="43"/>
      <c r="AU1556" s="43"/>
      <c r="AV1556" s="43"/>
      <c r="AW1556" s="43"/>
      <c r="AX1556" s="43"/>
      <c r="AY1556" s="34" t="s">
        <v>235</v>
      </c>
      <c r="AZ1556" s="34"/>
      <c r="BA1556" s="47"/>
      <c r="BB1556" s="48"/>
      <c r="BI1556" s="42">
        <v>1</v>
      </c>
      <c r="BK1556" s="170"/>
    </row>
    <row r="1557" spans="1:63" s="169" customFormat="1" hidden="1">
      <c r="A1557" s="118"/>
      <c r="B1557" s="33"/>
      <c r="C1557" s="33" t="s">
        <v>57</v>
      </c>
      <c r="D1557" s="35">
        <f t="shared" si="316"/>
        <v>2.74</v>
      </c>
      <c r="E1557" s="35"/>
      <c r="F1557" s="35">
        <f t="shared" si="315"/>
        <v>2.74</v>
      </c>
      <c r="G1557" s="43">
        <v>0.2</v>
      </c>
      <c r="H1557" s="141"/>
      <c r="I1557" s="43">
        <v>0.27</v>
      </c>
      <c r="J1557" s="43">
        <v>1</v>
      </c>
      <c r="K1557" s="43"/>
      <c r="L1557" s="141"/>
      <c r="M1557" s="43">
        <v>0.56999999999999995</v>
      </c>
      <c r="N1557" s="43"/>
      <c r="O1557" s="43"/>
      <c r="P1557" s="43">
        <v>0.1</v>
      </c>
      <c r="Q1557" s="43"/>
      <c r="R1557" s="43"/>
      <c r="S1557" s="43"/>
      <c r="T1557" s="43"/>
      <c r="U1557" s="43"/>
      <c r="V1557" s="43"/>
      <c r="W1557" s="43"/>
      <c r="X1557" s="43"/>
      <c r="Y1557" s="43"/>
      <c r="Z1557" s="43">
        <v>0.1</v>
      </c>
      <c r="AA1557" s="43">
        <v>0.05</v>
      </c>
      <c r="AB1557" s="43"/>
      <c r="AC1557" s="43"/>
      <c r="AD1557" s="43"/>
      <c r="AE1557" s="43"/>
      <c r="AF1557" s="43"/>
      <c r="AG1557" s="43"/>
      <c r="AH1557" s="43"/>
      <c r="AI1557" s="43"/>
      <c r="AJ1557" s="43"/>
      <c r="AK1557" s="43"/>
      <c r="AL1557" s="43"/>
      <c r="AM1557" s="43"/>
      <c r="AN1557" s="43"/>
      <c r="AO1557" s="43"/>
      <c r="AP1557" s="43"/>
      <c r="AQ1557" s="43">
        <v>0.45</v>
      </c>
      <c r="AR1557" s="43"/>
      <c r="AS1557" s="43"/>
      <c r="AT1557" s="43"/>
      <c r="AU1557" s="43"/>
      <c r="AV1557" s="43"/>
      <c r="AW1557" s="43"/>
      <c r="AX1557" s="43"/>
      <c r="AY1557" s="34" t="s">
        <v>289</v>
      </c>
      <c r="AZ1557" s="34"/>
      <c r="BA1557" s="47"/>
      <c r="BB1557" s="48"/>
      <c r="BI1557" s="42">
        <v>1</v>
      </c>
      <c r="BK1557" s="170"/>
    </row>
    <row r="1558" spans="1:63" s="169" customFormat="1" hidden="1">
      <c r="A1558" s="118"/>
      <c r="B1558" s="33"/>
      <c r="C1558" s="33" t="s">
        <v>93</v>
      </c>
      <c r="D1558" s="35">
        <f t="shared" si="316"/>
        <v>0.32</v>
      </c>
      <c r="E1558" s="35"/>
      <c r="F1558" s="35">
        <f t="shared" si="315"/>
        <v>0.32</v>
      </c>
      <c r="G1558" s="43">
        <v>0.32</v>
      </c>
      <c r="H1558" s="43"/>
      <c r="I1558" s="43"/>
      <c r="J1558" s="43"/>
      <c r="K1558" s="43"/>
      <c r="L1558" s="43"/>
      <c r="M1558" s="43"/>
      <c r="N1558" s="43"/>
      <c r="O1558" s="43"/>
      <c r="P1558" s="43"/>
      <c r="Q1558" s="43"/>
      <c r="R1558" s="43"/>
      <c r="S1558" s="43"/>
      <c r="T1558" s="43"/>
      <c r="U1558" s="43"/>
      <c r="V1558" s="43"/>
      <c r="W1558" s="43"/>
      <c r="X1558" s="43"/>
      <c r="Y1558" s="43"/>
      <c r="Z1558" s="43"/>
      <c r="AA1558" s="43"/>
      <c r="AB1558" s="43"/>
      <c r="AC1558" s="43"/>
      <c r="AD1558" s="43"/>
      <c r="AE1558" s="43"/>
      <c r="AF1558" s="43"/>
      <c r="AG1558" s="43"/>
      <c r="AH1558" s="43"/>
      <c r="AI1558" s="43"/>
      <c r="AJ1558" s="43"/>
      <c r="AK1558" s="43"/>
      <c r="AL1558" s="43"/>
      <c r="AM1558" s="43"/>
      <c r="AN1558" s="43"/>
      <c r="AO1558" s="43"/>
      <c r="AP1558" s="43"/>
      <c r="AQ1558" s="43"/>
      <c r="AR1558" s="43"/>
      <c r="AS1558" s="43"/>
      <c r="AT1558" s="43"/>
      <c r="AU1558" s="43"/>
      <c r="AV1558" s="43"/>
      <c r="AW1558" s="43"/>
      <c r="AX1558" s="43"/>
      <c r="AY1558" s="34" t="s">
        <v>235</v>
      </c>
      <c r="AZ1558" s="34"/>
      <c r="BA1558" s="47"/>
      <c r="BB1558" s="48"/>
      <c r="BI1558" s="42">
        <v>1</v>
      </c>
      <c r="BK1558" s="170"/>
    </row>
    <row r="1559" spans="1:63" s="169" customFormat="1" hidden="1">
      <c r="A1559" s="118"/>
      <c r="B1559" s="33"/>
      <c r="C1559" s="33" t="s">
        <v>93</v>
      </c>
      <c r="D1559" s="35">
        <f t="shared" si="316"/>
        <v>0.22</v>
      </c>
      <c r="E1559" s="35"/>
      <c r="F1559" s="35">
        <f t="shared" si="315"/>
        <v>0.22</v>
      </c>
      <c r="G1559" s="43"/>
      <c r="H1559" s="43"/>
      <c r="I1559" s="43"/>
      <c r="J1559" s="43">
        <v>0.22</v>
      </c>
      <c r="K1559" s="43"/>
      <c r="L1559" s="43"/>
      <c r="M1559" s="43"/>
      <c r="N1559" s="43"/>
      <c r="O1559" s="43"/>
      <c r="P1559" s="43"/>
      <c r="Q1559" s="43"/>
      <c r="R1559" s="43"/>
      <c r="S1559" s="43"/>
      <c r="T1559" s="43"/>
      <c r="U1559" s="43"/>
      <c r="V1559" s="43"/>
      <c r="W1559" s="43"/>
      <c r="X1559" s="43"/>
      <c r="Y1559" s="43"/>
      <c r="Z1559" s="43"/>
      <c r="AA1559" s="43"/>
      <c r="AB1559" s="43"/>
      <c r="AC1559" s="43"/>
      <c r="AD1559" s="43"/>
      <c r="AE1559" s="43"/>
      <c r="AF1559" s="43"/>
      <c r="AG1559" s="43"/>
      <c r="AH1559" s="43"/>
      <c r="AI1559" s="43"/>
      <c r="AJ1559" s="43"/>
      <c r="AK1559" s="43"/>
      <c r="AL1559" s="43"/>
      <c r="AM1559" s="43"/>
      <c r="AN1559" s="43"/>
      <c r="AO1559" s="43"/>
      <c r="AP1559" s="43"/>
      <c r="AQ1559" s="43"/>
      <c r="AR1559" s="43"/>
      <c r="AS1559" s="43"/>
      <c r="AT1559" s="43"/>
      <c r="AU1559" s="43"/>
      <c r="AV1559" s="43"/>
      <c r="AW1559" s="43"/>
      <c r="AX1559" s="43"/>
      <c r="AY1559" s="34" t="s">
        <v>289</v>
      </c>
      <c r="AZ1559" s="34"/>
      <c r="BA1559" s="47"/>
      <c r="BB1559" s="48"/>
      <c r="BI1559" s="42"/>
      <c r="BK1559" s="170"/>
    </row>
    <row r="1560" spans="1:63" s="169" customFormat="1" hidden="1">
      <c r="A1560" s="118"/>
      <c r="B1560" s="33"/>
      <c r="C1560" s="33" t="s">
        <v>50</v>
      </c>
      <c r="D1560" s="35">
        <f t="shared" si="316"/>
        <v>0.27</v>
      </c>
      <c r="E1560" s="35"/>
      <c r="F1560" s="35">
        <f t="shared" si="315"/>
        <v>0.27</v>
      </c>
      <c r="G1560" s="43">
        <v>0.27</v>
      </c>
      <c r="H1560" s="43"/>
      <c r="I1560" s="43"/>
      <c r="J1560" s="43"/>
      <c r="K1560" s="43"/>
      <c r="L1560" s="43"/>
      <c r="M1560" s="43"/>
      <c r="N1560" s="43"/>
      <c r="O1560" s="43"/>
      <c r="P1560" s="43"/>
      <c r="Q1560" s="43"/>
      <c r="R1560" s="43"/>
      <c r="S1560" s="43"/>
      <c r="T1560" s="43"/>
      <c r="U1560" s="43"/>
      <c r="V1560" s="43"/>
      <c r="W1560" s="43"/>
      <c r="X1560" s="43"/>
      <c r="Y1560" s="43"/>
      <c r="Z1560" s="43"/>
      <c r="AA1560" s="43"/>
      <c r="AB1560" s="43"/>
      <c r="AC1560" s="43"/>
      <c r="AD1560" s="43"/>
      <c r="AE1560" s="43"/>
      <c r="AF1560" s="43"/>
      <c r="AG1560" s="43"/>
      <c r="AH1560" s="43"/>
      <c r="AI1560" s="43"/>
      <c r="AJ1560" s="43"/>
      <c r="AK1560" s="43"/>
      <c r="AL1560" s="43"/>
      <c r="AM1560" s="43"/>
      <c r="AN1560" s="43"/>
      <c r="AO1560" s="43"/>
      <c r="AP1560" s="43"/>
      <c r="AQ1560" s="43"/>
      <c r="AR1560" s="43"/>
      <c r="AS1560" s="43"/>
      <c r="AT1560" s="43"/>
      <c r="AU1560" s="43"/>
      <c r="AV1560" s="43"/>
      <c r="AW1560" s="43"/>
      <c r="AX1560" s="43"/>
      <c r="AY1560" s="34" t="s">
        <v>235</v>
      </c>
      <c r="AZ1560" s="34"/>
      <c r="BA1560" s="47"/>
      <c r="BB1560" s="48"/>
      <c r="BI1560" s="42">
        <v>1</v>
      </c>
      <c r="BK1560" s="170"/>
    </row>
    <row r="1561" spans="1:63" s="169" customFormat="1" hidden="1">
      <c r="A1561" s="118"/>
      <c r="B1561" s="33"/>
      <c r="C1561" s="33" t="s">
        <v>45</v>
      </c>
      <c r="D1561" s="35">
        <f t="shared" si="316"/>
        <v>0.15</v>
      </c>
      <c r="E1561" s="35"/>
      <c r="F1561" s="35">
        <f t="shared" si="315"/>
        <v>0.15</v>
      </c>
      <c r="G1561" s="43"/>
      <c r="H1561" s="43"/>
      <c r="I1561" s="43"/>
      <c r="J1561" s="43"/>
      <c r="K1561" s="43"/>
      <c r="L1561" s="43"/>
      <c r="M1561" s="43"/>
      <c r="N1561" s="43"/>
      <c r="O1561" s="43"/>
      <c r="P1561" s="43"/>
      <c r="Q1561" s="43"/>
      <c r="R1561" s="43"/>
      <c r="S1561" s="43"/>
      <c r="T1561" s="43"/>
      <c r="U1561" s="43"/>
      <c r="V1561" s="43"/>
      <c r="W1561" s="43"/>
      <c r="X1561" s="43"/>
      <c r="Y1561" s="43"/>
      <c r="Z1561" s="43"/>
      <c r="AA1561" s="43"/>
      <c r="AB1561" s="43"/>
      <c r="AC1561" s="43"/>
      <c r="AD1561" s="43"/>
      <c r="AE1561" s="43"/>
      <c r="AF1561" s="43"/>
      <c r="AG1561" s="43"/>
      <c r="AH1561" s="43"/>
      <c r="AI1561" s="43"/>
      <c r="AJ1561" s="43"/>
      <c r="AK1561" s="43"/>
      <c r="AL1561" s="43"/>
      <c r="AM1561" s="43"/>
      <c r="AN1561" s="43"/>
      <c r="AO1561" s="43"/>
      <c r="AP1561" s="43"/>
      <c r="AQ1561" s="43"/>
      <c r="AR1561" s="43"/>
      <c r="AS1561" s="43"/>
      <c r="AT1561" s="43"/>
      <c r="AU1561" s="43"/>
      <c r="AV1561" s="43">
        <v>0.15</v>
      </c>
      <c r="AW1561" s="43"/>
      <c r="AX1561" s="43"/>
      <c r="AY1561" s="34" t="s">
        <v>235</v>
      </c>
      <c r="AZ1561" s="34"/>
      <c r="BA1561" s="47"/>
      <c r="BB1561" s="48"/>
      <c r="BI1561" s="42"/>
      <c r="BK1561" s="170"/>
    </row>
    <row r="1562" spans="1:63" s="169" customFormat="1" hidden="1">
      <c r="A1562" s="118"/>
      <c r="B1562" s="33"/>
      <c r="C1562" s="33" t="s">
        <v>41</v>
      </c>
      <c r="D1562" s="35">
        <f t="shared" si="316"/>
        <v>1.24</v>
      </c>
      <c r="E1562" s="35"/>
      <c r="F1562" s="35">
        <f t="shared" si="315"/>
        <v>1.24</v>
      </c>
      <c r="G1562" s="43"/>
      <c r="H1562" s="43"/>
      <c r="I1562" s="43"/>
      <c r="J1562" s="43"/>
      <c r="K1562" s="43"/>
      <c r="L1562" s="43"/>
      <c r="M1562" s="43"/>
      <c r="N1562" s="43"/>
      <c r="O1562" s="43"/>
      <c r="P1562" s="43"/>
      <c r="Q1562" s="43"/>
      <c r="R1562" s="43"/>
      <c r="S1562" s="43"/>
      <c r="T1562" s="43"/>
      <c r="U1562" s="43"/>
      <c r="V1562" s="43"/>
      <c r="W1562" s="43"/>
      <c r="X1562" s="43"/>
      <c r="Y1562" s="43"/>
      <c r="Z1562" s="43"/>
      <c r="AA1562" s="43"/>
      <c r="AB1562" s="43"/>
      <c r="AC1562" s="43"/>
      <c r="AD1562" s="43"/>
      <c r="AE1562" s="43"/>
      <c r="AF1562" s="43"/>
      <c r="AG1562" s="43"/>
      <c r="AH1562" s="43"/>
      <c r="AI1562" s="43"/>
      <c r="AJ1562" s="43"/>
      <c r="AK1562" s="43"/>
      <c r="AL1562" s="43"/>
      <c r="AM1562" s="43"/>
      <c r="AN1562" s="43"/>
      <c r="AO1562" s="43"/>
      <c r="AP1562" s="43"/>
      <c r="AQ1562" s="43"/>
      <c r="AR1562" s="43"/>
      <c r="AS1562" s="43"/>
      <c r="AT1562" s="43"/>
      <c r="AU1562" s="43"/>
      <c r="AV1562" s="43">
        <v>1.24</v>
      </c>
      <c r="AW1562" s="43"/>
      <c r="AX1562" s="43"/>
      <c r="AY1562" s="34" t="s">
        <v>235</v>
      </c>
      <c r="AZ1562" s="34"/>
      <c r="BA1562" s="47"/>
      <c r="BB1562" s="48"/>
      <c r="BI1562" s="42">
        <v>1</v>
      </c>
      <c r="BK1562" s="170"/>
    </row>
    <row r="1563" spans="1:63" s="169" customFormat="1" hidden="1">
      <c r="A1563" s="118"/>
      <c r="B1563" s="33"/>
      <c r="C1563" s="33" t="s">
        <v>44</v>
      </c>
      <c r="D1563" s="35">
        <f t="shared" si="316"/>
        <v>6.3</v>
      </c>
      <c r="E1563" s="35"/>
      <c r="F1563" s="35">
        <f t="shared" si="315"/>
        <v>6.3</v>
      </c>
      <c r="G1563" s="43">
        <v>3.1</v>
      </c>
      <c r="H1563" s="43"/>
      <c r="I1563" s="43">
        <v>2</v>
      </c>
      <c r="J1563" s="43">
        <v>1</v>
      </c>
      <c r="K1563" s="43"/>
      <c r="L1563" s="43"/>
      <c r="M1563" s="43"/>
      <c r="N1563" s="43"/>
      <c r="O1563" s="43"/>
      <c r="P1563" s="43"/>
      <c r="Q1563" s="43"/>
      <c r="R1563" s="43"/>
      <c r="S1563" s="43"/>
      <c r="T1563" s="43"/>
      <c r="U1563" s="43"/>
      <c r="V1563" s="43"/>
      <c r="W1563" s="43"/>
      <c r="X1563" s="43"/>
      <c r="Y1563" s="43"/>
      <c r="Z1563" s="43">
        <v>0.2</v>
      </c>
      <c r="AA1563" s="43"/>
      <c r="AB1563" s="43"/>
      <c r="AC1563" s="43"/>
      <c r="AD1563" s="43"/>
      <c r="AE1563" s="43"/>
      <c r="AF1563" s="43"/>
      <c r="AG1563" s="43"/>
      <c r="AH1563" s="43"/>
      <c r="AI1563" s="43"/>
      <c r="AJ1563" s="43"/>
      <c r="AK1563" s="43"/>
      <c r="AL1563" s="43"/>
      <c r="AM1563" s="43"/>
      <c r="AN1563" s="43"/>
      <c r="AO1563" s="43"/>
      <c r="AP1563" s="43"/>
      <c r="AQ1563" s="43"/>
      <c r="AR1563" s="43"/>
      <c r="AS1563" s="43"/>
      <c r="AT1563" s="43"/>
      <c r="AU1563" s="43"/>
      <c r="AV1563" s="43"/>
      <c r="AW1563" s="43"/>
      <c r="AX1563" s="43"/>
      <c r="AY1563" s="34" t="s">
        <v>235</v>
      </c>
      <c r="AZ1563" s="34"/>
      <c r="BA1563" s="47"/>
      <c r="BB1563" s="48"/>
      <c r="BI1563" s="42">
        <v>1</v>
      </c>
      <c r="BK1563" s="170"/>
    </row>
    <row r="1564" spans="1:63" s="169" customFormat="1" hidden="1">
      <c r="A1564" s="118"/>
      <c r="B1564" s="33"/>
      <c r="C1564" s="33" t="s">
        <v>44</v>
      </c>
      <c r="D1564" s="35">
        <f t="shared" si="316"/>
        <v>4.1999999999999993</v>
      </c>
      <c r="E1564" s="35"/>
      <c r="F1564" s="35">
        <f t="shared" si="315"/>
        <v>4.1999999999999993</v>
      </c>
      <c r="G1564" s="43">
        <v>1.4</v>
      </c>
      <c r="H1564" s="43"/>
      <c r="I1564" s="43">
        <v>1</v>
      </c>
      <c r="J1564" s="43">
        <v>1.2</v>
      </c>
      <c r="K1564" s="43"/>
      <c r="L1564" s="43"/>
      <c r="M1564" s="43">
        <v>0.25</v>
      </c>
      <c r="N1564" s="43"/>
      <c r="O1564" s="43"/>
      <c r="P1564" s="43"/>
      <c r="Q1564" s="43"/>
      <c r="R1564" s="43"/>
      <c r="S1564" s="43"/>
      <c r="T1564" s="43"/>
      <c r="U1564" s="43"/>
      <c r="V1564" s="43"/>
      <c r="W1564" s="43"/>
      <c r="X1564" s="43"/>
      <c r="Y1564" s="43"/>
      <c r="Z1564" s="43">
        <v>0.1</v>
      </c>
      <c r="AA1564" s="43"/>
      <c r="AB1564" s="43"/>
      <c r="AC1564" s="43"/>
      <c r="AD1564" s="43"/>
      <c r="AE1564" s="43"/>
      <c r="AF1564" s="43"/>
      <c r="AG1564" s="43"/>
      <c r="AH1564" s="43"/>
      <c r="AI1564" s="43"/>
      <c r="AJ1564" s="43"/>
      <c r="AK1564" s="43"/>
      <c r="AL1564" s="43"/>
      <c r="AM1564" s="43"/>
      <c r="AN1564" s="43"/>
      <c r="AO1564" s="43"/>
      <c r="AP1564" s="43"/>
      <c r="AQ1564" s="43">
        <v>0.25</v>
      </c>
      <c r="AR1564" s="43"/>
      <c r="AS1564" s="43"/>
      <c r="AT1564" s="43"/>
      <c r="AU1564" s="43"/>
      <c r="AV1564" s="43"/>
      <c r="AW1564" s="43"/>
      <c r="AX1564" s="43"/>
      <c r="AY1564" s="34" t="s">
        <v>289</v>
      </c>
      <c r="AZ1564" s="34"/>
      <c r="BA1564" s="47"/>
      <c r="BB1564" s="48"/>
      <c r="BI1564" s="42"/>
      <c r="BK1564" s="170"/>
    </row>
    <row r="1565" spans="1:63" s="169" customFormat="1" hidden="1">
      <c r="A1565" s="118"/>
      <c r="B1565" s="33"/>
      <c r="C1565" s="33" t="s">
        <v>138</v>
      </c>
      <c r="D1565" s="35">
        <f t="shared" si="316"/>
        <v>0.4</v>
      </c>
      <c r="E1565" s="35"/>
      <c r="F1565" s="35">
        <f t="shared" si="315"/>
        <v>0.4</v>
      </c>
      <c r="G1565" s="43">
        <v>0.1</v>
      </c>
      <c r="H1565" s="43"/>
      <c r="I1565" s="43">
        <v>0.05</v>
      </c>
      <c r="J1565" s="43">
        <v>0.15</v>
      </c>
      <c r="K1565" s="43"/>
      <c r="L1565" s="43"/>
      <c r="M1565" s="43"/>
      <c r="N1565" s="43"/>
      <c r="O1565" s="43"/>
      <c r="P1565" s="43"/>
      <c r="Q1565" s="43"/>
      <c r="R1565" s="43"/>
      <c r="S1565" s="43"/>
      <c r="T1565" s="43"/>
      <c r="U1565" s="43"/>
      <c r="V1565" s="43"/>
      <c r="W1565" s="43"/>
      <c r="X1565" s="43"/>
      <c r="Y1565" s="43"/>
      <c r="Z1565" s="43">
        <v>0.05</v>
      </c>
      <c r="AA1565" s="43"/>
      <c r="AB1565" s="43"/>
      <c r="AC1565" s="43"/>
      <c r="AD1565" s="43"/>
      <c r="AE1565" s="43"/>
      <c r="AF1565" s="43"/>
      <c r="AG1565" s="43"/>
      <c r="AH1565" s="43"/>
      <c r="AI1565" s="43"/>
      <c r="AJ1565" s="43"/>
      <c r="AK1565" s="43"/>
      <c r="AL1565" s="43"/>
      <c r="AM1565" s="43"/>
      <c r="AN1565" s="43"/>
      <c r="AO1565" s="43"/>
      <c r="AP1565" s="43"/>
      <c r="AQ1565" s="43">
        <v>0.05</v>
      </c>
      <c r="AR1565" s="43"/>
      <c r="AS1565" s="43"/>
      <c r="AT1565" s="43"/>
      <c r="AU1565" s="43"/>
      <c r="AV1565" s="43"/>
      <c r="AW1565" s="43"/>
      <c r="AX1565" s="43"/>
      <c r="AY1565" s="34" t="s">
        <v>289</v>
      </c>
      <c r="AZ1565" s="34"/>
      <c r="BA1565" s="47"/>
      <c r="BB1565" s="48"/>
      <c r="BI1565" s="42"/>
      <c r="BK1565" s="170"/>
    </row>
    <row r="1566" spans="1:63" s="169" customFormat="1" hidden="1">
      <c r="A1566" s="118"/>
      <c r="B1566" s="33"/>
      <c r="C1566" s="33" t="s">
        <v>138</v>
      </c>
      <c r="D1566" s="35">
        <f t="shared" si="316"/>
        <v>4.719999999999998</v>
      </c>
      <c r="E1566" s="35"/>
      <c r="F1566" s="35">
        <f t="shared" si="315"/>
        <v>4.719999999999998</v>
      </c>
      <c r="G1566" s="141">
        <f>G1555-G1556-G1557-G1558-G1559-G1560-G1561-G1562-G1563-G1564-G1565</f>
        <v>0.57999999999999796</v>
      </c>
      <c r="H1566" s="141">
        <f t="shared" ref="H1566:AX1566" si="317">H1555-H1556-H1557-H1558-H1559-H1560-H1561-H1562-H1563-H1564-H1565</f>
        <v>0</v>
      </c>
      <c r="I1566" s="141">
        <f t="shared" si="317"/>
        <v>0.8899999999999999</v>
      </c>
      <c r="J1566" s="141">
        <f t="shared" si="317"/>
        <v>0.18999999999999964</v>
      </c>
      <c r="K1566" s="141">
        <f t="shared" si="317"/>
        <v>0</v>
      </c>
      <c r="L1566" s="141">
        <f t="shared" si="317"/>
        <v>0</v>
      </c>
      <c r="M1566" s="141">
        <f t="shared" si="317"/>
        <v>0</v>
      </c>
      <c r="N1566" s="141">
        <f t="shared" si="317"/>
        <v>0</v>
      </c>
      <c r="O1566" s="141">
        <f t="shared" si="317"/>
        <v>0</v>
      </c>
      <c r="P1566" s="141">
        <f t="shared" si="317"/>
        <v>6.0000000000000026E-2</v>
      </c>
      <c r="Q1566" s="141">
        <f t="shared" si="317"/>
        <v>0</v>
      </c>
      <c r="R1566" s="141">
        <f t="shared" si="317"/>
        <v>0</v>
      </c>
      <c r="S1566" s="141">
        <f t="shared" si="317"/>
        <v>0</v>
      </c>
      <c r="T1566" s="141">
        <f t="shared" si="317"/>
        <v>0</v>
      </c>
      <c r="U1566" s="141">
        <f t="shared" si="317"/>
        <v>0</v>
      </c>
      <c r="V1566" s="141">
        <f t="shared" si="317"/>
        <v>0</v>
      </c>
      <c r="W1566" s="141">
        <f t="shared" si="317"/>
        <v>0</v>
      </c>
      <c r="X1566" s="141">
        <f t="shared" si="317"/>
        <v>0</v>
      </c>
      <c r="Y1566" s="141">
        <f t="shared" si="317"/>
        <v>0</v>
      </c>
      <c r="Z1566" s="141">
        <f t="shared" si="317"/>
        <v>0.3</v>
      </c>
      <c r="AA1566" s="141">
        <f t="shared" si="317"/>
        <v>0.23000000000000004</v>
      </c>
      <c r="AB1566" s="141">
        <f t="shared" si="317"/>
        <v>0</v>
      </c>
      <c r="AC1566" s="141">
        <f t="shared" si="317"/>
        <v>0</v>
      </c>
      <c r="AD1566" s="141">
        <f t="shared" si="317"/>
        <v>0</v>
      </c>
      <c r="AE1566" s="141">
        <f t="shared" si="317"/>
        <v>0</v>
      </c>
      <c r="AF1566" s="141">
        <f t="shared" si="317"/>
        <v>0</v>
      </c>
      <c r="AG1566" s="141">
        <f t="shared" si="317"/>
        <v>0</v>
      </c>
      <c r="AH1566" s="141">
        <f t="shared" si="317"/>
        <v>0</v>
      </c>
      <c r="AI1566" s="141">
        <f t="shared" si="317"/>
        <v>0</v>
      </c>
      <c r="AJ1566" s="141">
        <f t="shared" si="317"/>
        <v>0</v>
      </c>
      <c r="AK1566" s="141">
        <f t="shared" si="317"/>
        <v>0</v>
      </c>
      <c r="AL1566" s="141">
        <f t="shared" si="317"/>
        <v>0</v>
      </c>
      <c r="AM1566" s="141">
        <f t="shared" si="317"/>
        <v>0</v>
      </c>
      <c r="AN1566" s="141">
        <f t="shared" si="317"/>
        <v>0</v>
      </c>
      <c r="AO1566" s="141">
        <f t="shared" si="317"/>
        <v>0</v>
      </c>
      <c r="AP1566" s="141">
        <f t="shared" si="317"/>
        <v>0</v>
      </c>
      <c r="AQ1566" s="141">
        <f t="shared" si="317"/>
        <v>0</v>
      </c>
      <c r="AR1566" s="141">
        <f t="shared" si="317"/>
        <v>0</v>
      </c>
      <c r="AS1566" s="141">
        <f t="shared" si="317"/>
        <v>0</v>
      </c>
      <c r="AT1566" s="141">
        <f t="shared" si="317"/>
        <v>0</v>
      </c>
      <c r="AU1566" s="141">
        <f t="shared" si="317"/>
        <v>0.47</v>
      </c>
      <c r="AV1566" s="141">
        <f t="shared" si="317"/>
        <v>2</v>
      </c>
      <c r="AW1566" s="141">
        <f t="shared" si="317"/>
        <v>0</v>
      </c>
      <c r="AX1566" s="141">
        <f t="shared" si="317"/>
        <v>0</v>
      </c>
      <c r="AY1566" s="34" t="s">
        <v>235</v>
      </c>
      <c r="AZ1566" s="34"/>
      <c r="BA1566" s="47"/>
      <c r="BB1566" s="48"/>
      <c r="BI1566" s="42"/>
      <c r="BK1566" s="170"/>
    </row>
    <row r="1567" spans="1:63" s="169" customFormat="1" ht="21.6" customHeight="1">
      <c r="A1567" s="127">
        <f>A1555+1</f>
        <v>888</v>
      </c>
      <c r="B1567" s="33" t="s">
        <v>1763</v>
      </c>
      <c r="C1567" s="38" t="s">
        <v>1260</v>
      </c>
      <c r="D1567" s="35">
        <f t="shared" si="316"/>
        <v>10.77</v>
      </c>
      <c r="E1567" s="89"/>
      <c r="F1567" s="35">
        <f t="shared" si="315"/>
        <v>10.77</v>
      </c>
      <c r="G1567" s="43">
        <v>6.3699999999999992</v>
      </c>
      <c r="H1567" s="141"/>
      <c r="I1567" s="141">
        <v>1.1000000000000001</v>
      </c>
      <c r="J1567" s="141">
        <v>1.25</v>
      </c>
      <c r="K1567" s="141"/>
      <c r="L1567" s="141"/>
      <c r="M1567" s="141"/>
      <c r="N1567" s="141"/>
      <c r="O1567" s="141"/>
      <c r="P1567" s="141"/>
      <c r="Q1567" s="141"/>
      <c r="R1567" s="141"/>
      <c r="S1567" s="141"/>
      <c r="T1567" s="141"/>
      <c r="U1567" s="141"/>
      <c r="V1567" s="141"/>
      <c r="W1567" s="141"/>
      <c r="X1567" s="141"/>
      <c r="Y1567" s="141"/>
      <c r="Z1567" s="141">
        <v>0.8</v>
      </c>
      <c r="AA1567" s="141">
        <v>0.27</v>
      </c>
      <c r="AB1567" s="141"/>
      <c r="AC1567" s="141"/>
      <c r="AD1567" s="141"/>
      <c r="AE1567" s="141"/>
      <c r="AF1567" s="141"/>
      <c r="AG1567" s="141"/>
      <c r="AH1567" s="141"/>
      <c r="AI1567" s="141"/>
      <c r="AJ1567" s="141"/>
      <c r="AK1567" s="141"/>
      <c r="AL1567" s="141"/>
      <c r="AM1567" s="141"/>
      <c r="AN1567" s="141"/>
      <c r="AO1567" s="141"/>
      <c r="AP1567" s="141"/>
      <c r="AQ1567" s="43">
        <v>0.98</v>
      </c>
      <c r="AR1567" s="141"/>
      <c r="AS1567" s="141"/>
      <c r="AT1567" s="141"/>
      <c r="AU1567" s="141"/>
      <c r="AV1567" s="141"/>
      <c r="AW1567" s="141"/>
      <c r="AX1567" s="141"/>
      <c r="AY1567" s="34" t="s">
        <v>289</v>
      </c>
      <c r="AZ1567" s="34" t="s">
        <v>315</v>
      </c>
      <c r="BA1567" s="47" t="s">
        <v>298</v>
      </c>
      <c r="BB1567" s="48"/>
      <c r="BI1567" s="42">
        <v>1</v>
      </c>
      <c r="BK1567" s="170"/>
    </row>
    <row r="1568" spans="1:63" s="169" customFormat="1" hidden="1">
      <c r="A1568" s="130"/>
      <c r="B1568" s="33"/>
      <c r="C1568" s="33" t="s">
        <v>57</v>
      </c>
      <c r="D1568" s="35">
        <f t="shared" si="316"/>
        <v>3.54</v>
      </c>
      <c r="E1568" s="35"/>
      <c r="F1568" s="35">
        <f t="shared" si="315"/>
        <v>3.54</v>
      </c>
      <c r="G1568" s="46">
        <v>1.1100000000000001</v>
      </c>
      <c r="H1568" s="46"/>
      <c r="I1568" s="46">
        <v>0.63</v>
      </c>
      <c r="J1568" s="46">
        <v>0.93</v>
      </c>
      <c r="K1568" s="46"/>
      <c r="L1568" s="46"/>
      <c r="M1568" s="46"/>
      <c r="N1568" s="46"/>
      <c r="O1568" s="46"/>
      <c r="P1568" s="46"/>
      <c r="Q1568" s="46"/>
      <c r="R1568" s="46"/>
      <c r="S1568" s="46"/>
      <c r="T1568" s="46"/>
      <c r="U1568" s="46"/>
      <c r="V1568" s="46"/>
      <c r="W1568" s="46"/>
      <c r="X1568" s="46"/>
      <c r="Y1568" s="46"/>
      <c r="Z1568" s="46">
        <v>0.25</v>
      </c>
      <c r="AA1568" s="46">
        <v>7.0000000000000007E-2</v>
      </c>
      <c r="AB1568" s="46"/>
      <c r="AC1568" s="46"/>
      <c r="AD1568" s="46"/>
      <c r="AE1568" s="46"/>
      <c r="AF1568" s="46"/>
      <c r="AG1568" s="46"/>
      <c r="AH1568" s="46"/>
      <c r="AI1568" s="46"/>
      <c r="AJ1568" s="46"/>
      <c r="AK1568" s="46"/>
      <c r="AL1568" s="46"/>
      <c r="AM1568" s="46"/>
      <c r="AN1568" s="46"/>
      <c r="AO1568" s="46"/>
      <c r="AP1568" s="46"/>
      <c r="AQ1568" s="46">
        <v>0.55000000000000004</v>
      </c>
      <c r="AR1568" s="46"/>
      <c r="AS1568" s="46"/>
      <c r="AT1568" s="46"/>
      <c r="AU1568" s="46"/>
      <c r="AV1568" s="46"/>
      <c r="AW1568" s="46"/>
      <c r="AX1568" s="46"/>
      <c r="AY1568" s="34" t="s">
        <v>289</v>
      </c>
      <c r="AZ1568" s="34"/>
      <c r="BA1568" s="47"/>
      <c r="BB1568" s="48"/>
      <c r="BI1568" s="42">
        <v>1</v>
      </c>
      <c r="BK1568" s="170"/>
    </row>
    <row r="1569" spans="1:63" s="169" customFormat="1" hidden="1">
      <c r="A1569" s="130"/>
      <c r="B1569" s="33"/>
      <c r="C1569" s="33" t="s">
        <v>44</v>
      </c>
      <c r="D1569" s="35">
        <f t="shared" si="316"/>
        <v>4.18</v>
      </c>
      <c r="E1569" s="35"/>
      <c r="F1569" s="35">
        <f t="shared" si="315"/>
        <v>4.18</v>
      </c>
      <c r="G1569" s="46">
        <v>3.71</v>
      </c>
      <c r="H1569" s="46"/>
      <c r="I1569" s="46">
        <v>0.37</v>
      </c>
      <c r="J1569" s="46"/>
      <c r="K1569" s="46"/>
      <c r="L1569" s="46"/>
      <c r="M1569" s="46"/>
      <c r="N1569" s="46"/>
      <c r="O1569" s="46"/>
      <c r="P1569" s="46"/>
      <c r="Q1569" s="46"/>
      <c r="R1569" s="46"/>
      <c r="S1569" s="46"/>
      <c r="T1569" s="46"/>
      <c r="U1569" s="46"/>
      <c r="V1569" s="46"/>
      <c r="W1569" s="46"/>
      <c r="X1569" s="46"/>
      <c r="Y1569" s="46"/>
      <c r="Z1569" s="46"/>
      <c r="AA1569" s="46">
        <v>0.1</v>
      </c>
      <c r="AB1569" s="46"/>
      <c r="AC1569" s="46"/>
      <c r="AD1569" s="46"/>
      <c r="AE1569" s="46"/>
      <c r="AF1569" s="46"/>
      <c r="AG1569" s="46"/>
      <c r="AH1569" s="46"/>
      <c r="AI1569" s="46"/>
      <c r="AJ1569" s="46"/>
      <c r="AK1569" s="46"/>
      <c r="AL1569" s="46"/>
      <c r="AM1569" s="46"/>
      <c r="AN1569" s="46"/>
      <c r="AO1569" s="46"/>
      <c r="AP1569" s="46"/>
      <c r="AQ1569" s="46"/>
      <c r="AR1569" s="46"/>
      <c r="AS1569" s="46"/>
      <c r="AT1569" s="46"/>
      <c r="AU1569" s="46"/>
      <c r="AV1569" s="46"/>
      <c r="AW1569" s="46"/>
      <c r="AX1569" s="46"/>
      <c r="AY1569" s="34" t="s">
        <v>289</v>
      </c>
      <c r="AZ1569" s="34"/>
      <c r="BA1569" s="47"/>
      <c r="BB1569" s="48"/>
      <c r="BI1569" s="42">
        <v>1</v>
      </c>
      <c r="BK1569" s="170"/>
    </row>
    <row r="1570" spans="1:63" s="169" customFormat="1" hidden="1">
      <c r="A1570" s="130"/>
      <c r="B1570" s="33"/>
      <c r="C1570" s="33" t="s">
        <v>50</v>
      </c>
      <c r="D1570" s="35">
        <f t="shared" si="316"/>
        <v>0.32</v>
      </c>
      <c r="E1570" s="35"/>
      <c r="F1570" s="35">
        <f t="shared" si="315"/>
        <v>0.32</v>
      </c>
      <c r="G1570" s="46"/>
      <c r="H1570" s="46"/>
      <c r="I1570" s="46"/>
      <c r="J1570" s="46">
        <v>0.32</v>
      </c>
      <c r="K1570" s="46"/>
      <c r="L1570" s="46"/>
      <c r="M1570" s="46"/>
      <c r="N1570" s="46"/>
      <c r="O1570" s="46"/>
      <c r="P1570" s="46"/>
      <c r="Q1570" s="46"/>
      <c r="R1570" s="46"/>
      <c r="S1570" s="46"/>
      <c r="T1570" s="46"/>
      <c r="U1570" s="46"/>
      <c r="V1570" s="46"/>
      <c r="W1570" s="46"/>
      <c r="X1570" s="46"/>
      <c r="Y1570" s="46"/>
      <c r="Z1570" s="46"/>
      <c r="AA1570" s="46"/>
      <c r="AB1570" s="46"/>
      <c r="AC1570" s="46"/>
      <c r="AD1570" s="46"/>
      <c r="AE1570" s="46"/>
      <c r="AF1570" s="46"/>
      <c r="AG1570" s="46"/>
      <c r="AH1570" s="46"/>
      <c r="AI1570" s="46"/>
      <c r="AJ1570" s="46"/>
      <c r="AK1570" s="46"/>
      <c r="AL1570" s="46"/>
      <c r="AM1570" s="46"/>
      <c r="AN1570" s="46"/>
      <c r="AO1570" s="46"/>
      <c r="AP1570" s="46"/>
      <c r="AQ1570" s="46"/>
      <c r="AR1570" s="46"/>
      <c r="AS1570" s="46"/>
      <c r="AT1570" s="46"/>
      <c r="AU1570" s="46"/>
      <c r="AV1570" s="46"/>
      <c r="AW1570" s="46"/>
      <c r="AX1570" s="46"/>
      <c r="AY1570" s="34" t="s">
        <v>289</v>
      </c>
      <c r="AZ1570" s="34"/>
      <c r="BA1570" s="47"/>
      <c r="BB1570" s="48"/>
      <c r="BI1570" s="42"/>
      <c r="BK1570" s="170"/>
    </row>
    <row r="1571" spans="1:63" s="169" customFormat="1" hidden="1">
      <c r="A1571" s="130"/>
      <c r="B1571" s="33"/>
      <c r="C1571" s="33" t="s">
        <v>93</v>
      </c>
      <c r="D1571" s="35">
        <f t="shared" si="316"/>
        <v>0.59</v>
      </c>
      <c r="E1571" s="35"/>
      <c r="F1571" s="35">
        <f t="shared" si="315"/>
        <v>0.59</v>
      </c>
      <c r="G1571" s="46">
        <v>0.59</v>
      </c>
      <c r="H1571" s="46"/>
      <c r="I1571" s="46"/>
      <c r="J1571" s="46"/>
      <c r="K1571" s="46"/>
      <c r="L1571" s="46"/>
      <c r="M1571" s="46"/>
      <c r="N1571" s="46"/>
      <c r="O1571" s="46"/>
      <c r="P1571" s="46"/>
      <c r="Q1571" s="46"/>
      <c r="R1571" s="46"/>
      <c r="S1571" s="46"/>
      <c r="T1571" s="46"/>
      <c r="U1571" s="46"/>
      <c r="V1571" s="46"/>
      <c r="W1571" s="46"/>
      <c r="X1571" s="46"/>
      <c r="Y1571" s="46"/>
      <c r="Z1571" s="46"/>
      <c r="AA1571" s="46"/>
      <c r="AB1571" s="46"/>
      <c r="AC1571" s="46"/>
      <c r="AD1571" s="46"/>
      <c r="AE1571" s="46"/>
      <c r="AF1571" s="46"/>
      <c r="AG1571" s="46"/>
      <c r="AH1571" s="46"/>
      <c r="AI1571" s="46"/>
      <c r="AJ1571" s="46"/>
      <c r="AK1571" s="46"/>
      <c r="AL1571" s="46"/>
      <c r="AM1571" s="46"/>
      <c r="AN1571" s="46"/>
      <c r="AO1571" s="46"/>
      <c r="AP1571" s="46"/>
      <c r="AQ1571" s="46"/>
      <c r="AR1571" s="46"/>
      <c r="AS1571" s="46"/>
      <c r="AT1571" s="46"/>
      <c r="AU1571" s="46"/>
      <c r="AV1571" s="46"/>
      <c r="AW1571" s="46"/>
      <c r="AX1571" s="46"/>
      <c r="AY1571" s="34" t="s">
        <v>289</v>
      </c>
      <c r="AZ1571" s="34"/>
      <c r="BA1571" s="47"/>
      <c r="BB1571" s="48"/>
      <c r="BI1571" s="42"/>
      <c r="BK1571" s="170"/>
    </row>
    <row r="1572" spans="1:63" s="169" customFormat="1" hidden="1">
      <c r="A1572" s="130"/>
      <c r="B1572" s="33"/>
      <c r="C1572" s="33" t="s">
        <v>41</v>
      </c>
      <c r="D1572" s="35">
        <f t="shared" si="316"/>
        <v>0.59</v>
      </c>
      <c r="E1572" s="35"/>
      <c r="F1572" s="35">
        <f t="shared" si="315"/>
        <v>0.59</v>
      </c>
      <c r="G1572" s="46">
        <v>0.16</v>
      </c>
      <c r="H1572" s="46"/>
      <c r="I1572" s="46"/>
      <c r="J1572" s="46"/>
      <c r="K1572" s="46"/>
      <c r="L1572" s="46"/>
      <c r="M1572" s="46"/>
      <c r="N1572" s="46"/>
      <c r="O1572" s="46"/>
      <c r="P1572" s="46"/>
      <c r="Q1572" s="46"/>
      <c r="R1572" s="46"/>
      <c r="S1572" s="46"/>
      <c r="T1572" s="46"/>
      <c r="U1572" s="46"/>
      <c r="V1572" s="46"/>
      <c r="W1572" s="46"/>
      <c r="X1572" s="46"/>
      <c r="Y1572" s="46"/>
      <c r="Z1572" s="46"/>
      <c r="AA1572" s="46"/>
      <c r="AB1572" s="46"/>
      <c r="AC1572" s="46"/>
      <c r="AD1572" s="46"/>
      <c r="AE1572" s="46"/>
      <c r="AF1572" s="46"/>
      <c r="AG1572" s="46"/>
      <c r="AH1572" s="46"/>
      <c r="AI1572" s="46"/>
      <c r="AJ1572" s="46"/>
      <c r="AK1572" s="46"/>
      <c r="AL1572" s="46"/>
      <c r="AM1572" s="46"/>
      <c r="AN1572" s="46"/>
      <c r="AO1572" s="46"/>
      <c r="AP1572" s="46"/>
      <c r="AQ1572" s="46">
        <v>0.43</v>
      </c>
      <c r="AR1572" s="46"/>
      <c r="AS1572" s="46"/>
      <c r="AT1572" s="46"/>
      <c r="AU1572" s="46"/>
      <c r="AV1572" s="46"/>
      <c r="AW1572" s="46"/>
      <c r="AX1572" s="46"/>
      <c r="AY1572" s="34" t="s">
        <v>289</v>
      </c>
      <c r="AZ1572" s="34"/>
      <c r="BA1572" s="47"/>
      <c r="BB1572" s="48"/>
      <c r="BI1572" s="42"/>
      <c r="BK1572" s="170"/>
    </row>
    <row r="1573" spans="1:63" s="169" customFormat="1" hidden="1">
      <c r="A1573" s="130"/>
      <c r="B1573" s="33"/>
      <c r="C1573" s="33" t="s">
        <v>138</v>
      </c>
      <c r="D1573" s="35">
        <f t="shared" si="316"/>
        <v>1.5499999999999992</v>
      </c>
      <c r="E1573" s="35"/>
      <c r="F1573" s="35">
        <f t="shared" si="315"/>
        <v>1.5499999999999992</v>
      </c>
      <c r="G1573" s="171">
        <f>G1567-G1568-G1569-G1570-G1571-G1572</f>
        <v>0.79999999999999893</v>
      </c>
      <c r="H1573" s="153">
        <f t="shared" ref="H1573:AW1573" si="318">H1567-H1568-H1569-H1570-H1571-H1572</f>
        <v>0</v>
      </c>
      <c r="I1573" s="153">
        <f t="shared" si="318"/>
        <v>0.10000000000000009</v>
      </c>
      <c r="J1573" s="154">
        <f>J1567-J1568-J1569-J1570-J1571-J1572</f>
        <v>-5.5511151231257827E-17</v>
      </c>
      <c r="K1573" s="153">
        <f t="shared" si="318"/>
        <v>0</v>
      </c>
      <c r="L1573" s="153">
        <f t="shared" si="318"/>
        <v>0</v>
      </c>
      <c r="M1573" s="153">
        <f t="shared" si="318"/>
        <v>0</v>
      </c>
      <c r="N1573" s="153">
        <f t="shared" si="318"/>
        <v>0</v>
      </c>
      <c r="O1573" s="153">
        <f t="shared" si="318"/>
        <v>0</v>
      </c>
      <c r="P1573" s="153">
        <f t="shared" si="318"/>
        <v>0</v>
      </c>
      <c r="Q1573" s="153">
        <f t="shared" si="318"/>
        <v>0</v>
      </c>
      <c r="R1573" s="153">
        <f t="shared" si="318"/>
        <v>0</v>
      </c>
      <c r="S1573" s="153">
        <f t="shared" si="318"/>
        <v>0</v>
      </c>
      <c r="T1573" s="153">
        <f t="shared" si="318"/>
        <v>0</v>
      </c>
      <c r="U1573" s="153">
        <f t="shared" si="318"/>
        <v>0</v>
      </c>
      <c r="V1573" s="153">
        <f t="shared" si="318"/>
        <v>0</v>
      </c>
      <c r="W1573" s="153">
        <f t="shared" si="318"/>
        <v>0</v>
      </c>
      <c r="X1573" s="153">
        <f t="shared" si="318"/>
        <v>0</v>
      </c>
      <c r="Y1573" s="153">
        <f t="shared" si="318"/>
        <v>0</v>
      </c>
      <c r="Z1573" s="153">
        <f t="shared" si="318"/>
        <v>0.55000000000000004</v>
      </c>
      <c r="AA1573" s="153">
        <f t="shared" si="318"/>
        <v>0.1</v>
      </c>
      <c r="AB1573" s="153">
        <f t="shared" si="318"/>
        <v>0</v>
      </c>
      <c r="AC1573" s="153">
        <f t="shared" si="318"/>
        <v>0</v>
      </c>
      <c r="AD1573" s="153">
        <f t="shared" si="318"/>
        <v>0</v>
      </c>
      <c r="AE1573" s="153">
        <f t="shared" si="318"/>
        <v>0</v>
      </c>
      <c r="AF1573" s="153">
        <f t="shared" si="318"/>
        <v>0</v>
      </c>
      <c r="AG1573" s="153">
        <f t="shared" si="318"/>
        <v>0</v>
      </c>
      <c r="AH1573" s="153">
        <f t="shared" si="318"/>
        <v>0</v>
      </c>
      <c r="AI1573" s="153">
        <f t="shared" si="318"/>
        <v>0</v>
      </c>
      <c r="AJ1573" s="153">
        <f t="shared" si="318"/>
        <v>0</v>
      </c>
      <c r="AK1573" s="153">
        <f t="shared" si="318"/>
        <v>0</v>
      </c>
      <c r="AL1573" s="153">
        <f t="shared" si="318"/>
        <v>0</v>
      </c>
      <c r="AM1573" s="153">
        <f t="shared" si="318"/>
        <v>0</v>
      </c>
      <c r="AN1573" s="153">
        <f t="shared" si="318"/>
        <v>0</v>
      </c>
      <c r="AO1573" s="153">
        <f t="shared" si="318"/>
        <v>0</v>
      </c>
      <c r="AP1573" s="153">
        <f t="shared" si="318"/>
        <v>0</v>
      </c>
      <c r="AQ1573" s="153">
        <f>AQ1567-AQ1568-AQ1569-AQ1570-AQ1571-AQ1572</f>
        <v>0</v>
      </c>
      <c r="AR1573" s="153">
        <f t="shared" si="318"/>
        <v>0</v>
      </c>
      <c r="AS1573" s="153">
        <f t="shared" si="318"/>
        <v>0</v>
      </c>
      <c r="AT1573" s="153">
        <f t="shared" si="318"/>
        <v>0</v>
      </c>
      <c r="AU1573" s="153">
        <f t="shared" si="318"/>
        <v>0</v>
      </c>
      <c r="AV1573" s="153">
        <f t="shared" si="318"/>
        <v>0</v>
      </c>
      <c r="AW1573" s="153">
        <f t="shared" si="318"/>
        <v>0</v>
      </c>
      <c r="AX1573" s="153">
        <f>AX1567-AX1568-AX1569-AX1570-AX1571-AX1572</f>
        <v>0</v>
      </c>
      <c r="AY1573" s="34" t="s">
        <v>289</v>
      </c>
      <c r="AZ1573" s="34"/>
      <c r="BA1573" s="47"/>
      <c r="BB1573" s="48"/>
      <c r="BI1573" s="42">
        <v>1</v>
      </c>
      <c r="BK1573" s="170"/>
    </row>
    <row r="1574" spans="1:63" s="169" customFormat="1" ht="19.350000000000001" customHeight="1">
      <c r="A1574" s="127">
        <f>A1567+1</f>
        <v>889</v>
      </c>
      <c r="B1574" s="33" t="s">
        <v>1764</v>
      </c>
      <c r="C1574" s="38" t="s">
        <v>1260</v>
      </c>
      <c r="D1574" s="35">
        <f t="shared" si="316"/>
        <v>4.6399999999999997</v>
      </c>
      <c r="E1574" s="35"/>
      <c r="F1574" s="35">
        <f t="shared" si="315"/>
        <v>4.6399999999999997</v>
      </c>
      <c r="G1574" s="107">
        <v>0.81</v>
      </c>
      <c r="H1574" s="107">
        <v>2.3199999999999998</v>
      </c>
      <c r="I1574" s="107">
        <v>0.68</v>
      </c>
      <c r="J1574" s="46">
        <v>7.0000000000000007E-2</v>
      </c>
      <c r="K1574" s="46"/>
      <c r="L1574" s="46"/>
      <c r="M1574" s="46"/>
      <c r="N1574" s="46"/>
      <c r="O1574" s="46"/>
      <c r="P1574" s="46"/>
      <c r="Q1574" s="46"/>
      <c r="R1574" s="46"/>
      <c r="S1574" s="46"/>
      <c r="T1574" s="46"/>
      <c r="U1574" s="46"/>
      <c r="V1574" s="46"/>
      <c r="W1574" s="46"/>
      <c r="X1574" s="46"/>
      <c r="Y1574" s="46"/>
      <c r="Z1574" s="46">
        <v>0.1</v>
      </c>
      <c r="AA1574" s="46">
        <v>0.03</v>
      </c>
      <c r="AB1574" s="46"/>
      <c r="AC1574" s="46"/>
      <c r="AD1574" s="46"/>
      <c r="AE1574" s="46"/>
      <c r="AF1574" s="46"/>
      <c r="AG1574" s="46"/>
      <c r="AH1574" s="46"/>
      <c r="AI1574" s="46"/>
      <c r="AJ1574" s="46"/>
      <c r="AK1574" s="46"/>
      <c r="AL1574" s="46"/>
      <c r="AM1574" s="46"/>
      <c r="AN1574" s="46"/>
      <c r="AO1574" s="46"/>
      <c r="AP1574" s="46"/>
      <c r="AQ1574" s="46">
        <v>0.63</v>
      </c>
      <c r="AR1574" s="46"/>
      <c r="AS1574" s="46"/>
      <c r="AT1574" s="46"/>
      <c r="AU1574" s="46"/>
      <c r="AV1574" s="46"/>
      <c r="AW1574" s="46"/>
      <c r="AX1574" s="46"/>
      <c r="AY1574" s="34" t="s">
        <v>289</v>
      </c>
      <c r="AZ1574" s="34" t="s">
        <v>385</v>
      </c>
      <c r="BA1574" s="47" t="s">
        <v>298</v>
      </c>
      <c r="BB1574" s="48"/>
      <c r="BI1574" s="42">
        <v>1</v>
      </c>
      <c r="BK1574" s="170"/>
    </row>
    <row r="1575" spans="1:63" s="169" customFormat="1" ht="19.350000000000001" hidden="1" customHeight="1">
      <c r="A1575" s="127"/>
      <c r="B1575" s="33"/>
      <c r="C1575" s="38" t="s">
        <v>57</v>
      </c>
      <c r="D1575" s="35">
        <f t="shared" si="316"/>
        <v>2.13</v>
      </c>
      <c r="E1575" s="35"/>
      <c r="F1575" s="35">
        <f t="shared" si="315"/>
        <v>2.13</v>
      </c>
      <c r="G1575" s="107">
        <v>0.81</v>
      </c>
      <c r="H1575" s="107">
        <v>1.02</v>
      </c>
      <c r="I1575" s="107"/>
      <c r="J1575" s="46">
        <v>7.0000000000000007E-2</v>
      </c>
      <c r="K1575" s="46"/>
      <c r="L1575" s="46"/>
      <c r="M1575" s="46"/>
      <c r="N1575" s="46"/>
      <c r="O1575" s="46"/>
      <c r="P1575" s="46"/>
      <c r="Q1575" s="46"/>
      <c r="R1575" s="46"/>
      <c r="S1575" s="46"/>
      <c r="T1575" s="46"/>
      <c r="U1575" s="46"/>
      <c r="V1575" s="46"/>
      <c r="W1575" s="46"/>
      <c r="X1575" s="46"/>
      <c r="Y1575" s="46"/>
      <c r="Z1575" s="46">
        <v>0.1</v>
      </c>
      <c r="AA1575" s="46">
        <v>0.03</v>
      </c>
      <c r="AB1575" s="46"/>
      <c r="AC1575" s="46"/>
      <c r="AD1575" s="46"/>
      <c r="AE1575" s="46"/>
      <c r="AF1575" s="46"/>
      <c r="AG1575" s="46"/>
      <c r="AH1575" s="46"/>
      <c r="AI1575" s="46"/>
      <c r="AJ1575" s="46"/>
      <c r="AK1575" s="46"/>
      <c r="AL1575" s="46"/>
      <c r="AM1575" s="46"/>
      <c r="AN1575" s="46"/>
      <c r="AO1575" s="46"/>
      <c r="AP1575" s="46"/>
      <c r="AQ1575" s="46">
        <v>0.1</v>
      </c>
      <c r="AR1575" s="46"/>
      <c r="AS1575" s="46"/>
      <c r="AT1575" s="46"/>
      <c r="AU1575" s="46"/>
      <c r="AV1575" s="46"/>
      <c r="AW1575" s="46"/>
      <c r="AX1575" s="46"/>
      <c r="AY1575" s="34" t="s">
        <v>289</v>
      </c>
      <c r="AZ1575" s="34"/>
      <c r="BA1575" s="47"/>
      <c r="BB1575" s="48"/>
      <c r="BI1575" s="42"/>
      <c r="BK1575" s="170"/>
    </row>
    <row r="1576" spans="1:63" s="169" customFormat="1" ht="19.350000000000001" hidden="1" customHeight="1">
      <c r="A1576" s="127"/>
      <c r="B1576" s="33"/>
      <c r="C1576" s="38" t="s">
        <v>44</v>
      </c>
      <c r="D1576" s="35">
        <f t="shared" si="316"/>
        <v>1.5</v>
      </c>
      <c r="E1576" s="35"/>
      <c r="F1576" s="35">
        <f t="shared" si="315"/>
        <v>1.5</v>
      </c>
      <c r="G1576" s="107"/>
      <c r="H1576" s="107">
        <v>1</v>
      </c>
      <c r="I1576" s="107">
        <v>0.25</v>
      </c>
      <c r="J1576" s="46"/>
      <c r="K1576" s="46"/>
      <c r="L1576" s="46"/>
      <c r="M1576" s="46"/>
      <c r="N1576" s="46"/>
      <c r="O1576" s="46"/>
      <c r="P1576" s="46"/>
      <c r="Q1576" s="46"/>
      <c r="R1576" s="46"/>
      <c r="S1576" s="46"/>
      <c r="T1576" s="46"/>
      <c r="U1576" s="46"/>
      <c r="V1576" s="46"/>
      <c r="W1576" s="46"/>
      <c r="X1576" s="46"/>
      <c r="Y1576" s="46"/>
      <c r="Z1576" s="46"/>
      <c r="AA1576" s="46"/>
      <c r="AB1576" s="46"/>
      <c r="AC1576" s="46"/>
      <c r="AD1576" s="46"/>
      <c r="AE1576" s="46"/>
      <c r="AF1576" s="46"/>
      <c r="AG1576" s="46"/>
      <c r="AH1576" s="46"/>
      <c r="AI1576" s="46"/>
      <c r="AJ1576" s="46"/>
      <c r="AK1576" s="46"/>
      <c r="AL1576" s="46"/>
      <c r="AM1576" s="46"/>
      <c r="AN1576" s="46"/>
      <c r="AO1576" s="46"/>
      <c r="AP1576" s="46"/>
      <c r="AQ1576" s="46">
        <v>0.25</v>
      </c>
      <c r="AR1576" s="46"/>
      <c r="AS1576" s="46"/>
      <c r="AT1576" s="46"/>
      <c r="AU1576" s="46"/>
      <c r="AV1576" s="46"/>
      <c r="AW1576" s="46"/>
      <c r="AX1576" s="46"/>
      <c r="AY1576" s="34" t="s">
        <v>289</v>
      </c>
      <c r="AZ1576" s="34"/>
      <c r="BA1576" s="47"/>
      <c r="BB1576" s="48"/>
      <c r="BI1576" s="42"/>
      <c r="BK1576" s="170"/>
    </row>
    <row r="1577" spans="1:63" s="169" customFormat="1" ht="19.350000000000001" hidden="1" customHeight="1">
      <c r="A1577" s="127"/>
      <c r="B1577" s="33"/>
      <c r="C1577" s="38" t="s">
        <v>138</v>
      </c>
      <c r="D1577" s="35">
        <f t="shared" si="316"/>
        <v>1.0099999999999998</v>
      </c>
      <c r="E1577" s="35"/>
      <c r="F1577" s="35">
        <f t="shared" si="315"/>
        <v>1.0099999999999998</v>
      </c>
      <c r="G1577" s="141">
        <f t="shared" ref="G1577:AX1577" si="319">G1574-G1575-G1576</f>
        <v>0</v>
      </c>
      <c r="H1577" s="141">
        <f t="shared" si="319"/>
        <v>0.29999999999999982</v>
      </c>
      <c r="I1577" s="141">
        <f t="shared" si="319"/>
        <v>0.43000000000000005</v>
      </c>
      <c r="J1577" s="141">
        <f t="shared" si="319"/>
        <v>0</v>
      </c>
      <c r="K1577" s="141">
        <f t="shared" si="319"/>
        <v>0</v>
      </c>
      <c r="L1577" s="141">
        <f t="shared" si="319"/>
        <v>0</v>
      </c>
      <c r="M1577" s="141">
        <f t="shared" si="319"/>
        <v>0</v>
      </c>
      <c r="N1577" s="141">
        <f t="shared" si="319"/>
        <v>0</v>
      </c>
      <c r="O1577" s="141">
        <f t="shared" si="319"/>
        <v>0</v>
      </c>
      <c r="P1577" s="141">
        <f t="shared" si="319"/>
        <v>0</v>
      </c>
      <c r="Q1577" s="141">
        <f t="shared" si="319"/>
        <v>0</v>
      </c>
      <c r="R1577" s="141">
        <f t="shared" si="319"/>
        <v>0</v>
      </c>
      <c r="S1577" s="141">
        <f t="shared" si="319"/>
        <v>0</v>
      </c>
      <c r="T1577" s="141">
        <f t="shared" si="319"/>
        <v>0</v>
      </c>
      <c r="U1577" s="141">
        <f t="shared" si="319"/>
        <v>0</v>
      </c>
      <c r="V1577" s="141">
        <f t="shared" si="319"/>
        <v>0</v>
      </c>
      <c r="W1577" s="141">
        <f t="shared" si="319"/>
        <v>0</v>
      </c>
      <c r="X1577" s="141">
        <f t="shared" si="319"/>
        <v>0</v>
      </c>
      <c r="Y1577" s="141">
        <f t="shared" si="319"/>
        <v>0</v>
      </c>
      <c r="Z1577" s="141">
        <f t="shared" si="319"/>
        <v>0</v>
      </c>
      <c r="AA1577" s="141">
        <f t="shared" si="319"/>
        <v>0</v>
      </c>
      <c r="AB1577" s="141">
        <f t="shared" si="319"/>
        <v>0</v>
      </c>
      <c r="AC1577" s="141">
        <f t="shared" si="319"/>
        <v>0</v>
      </c>
      <c r="AD1577" s="141">
        <f t="shared" si="319"/>
        <v>0</v>
      </c>
      <c r="AE1577" s="141">
        <f t="shared" si="319"/>
        <v>0</v>
      </c>
      <c r="AF1577" s="141">
        <f t="shared" si="319"/>
        <v>0</v>
      </c>
      <c r="AG1577" s="141">
        <f t="shared" si="319"/>
        <v>0</v>
      </c>
      <c r="AH1577" s="141">
        <f t="shared" si="319"/>
        <v>0</v>
      </c>
      <c r="AI1577" s="141">
        <f t="shared" si="319"/>
        <v>0</v>
      </c>
      <c r="AJ1577" s="141">
        <f t="shared" si="319"/>
        <v>0</v>
      </c>
      <c r="AK1577" s="141">
        <f t="shared" si="319"/>
        <v>0</v>
      </c>
      <c r="AL1577" s="141">
        <f t="shared" si="319"/>
        <v>0</v>
      </c>
      <c r="AM1577" s="141">
        <f t="shared" si="319"/>
        <v>0</v>
      </c>
      <c r="AN1577" s="141">
        <f t="shared" si="319"/>
        <v>0</v>
      </c>
      <c r="AO1577" s="141">
        <f t="shared" si="319"/>
        <v>0</v>
      </c>
      <c r="AP1577" s="141">
        <f t="shared" si="319"/>
        <v>0</v>
      </c>
      <c r="AQ1577" s="141">
        <f t="shared" si="319"/>
        <v>0.28000000000000003</v>
      </c>
      <c r="AR1577" s="141">
        <f t="shared" si="319"/>
        <v>0</v>
      </c>
      <c r="AS1577" s="141">
        <f t="shared" si="319"/>
        <v>0</v>
      </c>
      <c r="AT1577" s="141">
        <f t="shared" si="319"/>
        <v>0</v>
      </c>
      <c r="AU1577" s="141">
        <f t="shared" si="319"/>
        <v>0</v>
      </c>
      <c r="AV1577" s="141">
        <f t="shared" si="319"/>
        <v>0</v>
      </c>
      <c r="AW1577" s="141">
        <f t="shared" si="319"/>
        <v>0</v>
      </c>
      <c r="AX1577" s="141">
        <f t="shared" si="319"/>
        <v>0</v>
      </c>
      <c r="AY1577" s="34" t="s">
        <v>289</v>
      </c>
      <c r="AZ1577" s="34"/>
      <c r="BA1577" s="47"/>
      <c r="BB1577" s="48"/>
      <c r="BI1577" s="42"/>
      <c r="BK1577" s="170"/>
    </row>
    <row r="1578" spans="1:63" s="169" customFormat="1" ht="19.350000000000001" customHeight="1">
      <c r="A1578" s="127">
        <f>A1574+1</f>
        <v>890</v>
      </c>
      <c r="B1578" s="33" t="s">
        <v>1765</v>
      </c>
      <c r="C1578" s="38" t="s">
        <v>1260</v>
      </c>
      <c r="D1578" s="35">
        <f t="shared" si="316"/>
        <v>13.689999999999998</v>
      </c>
      <c r="E1578" s="35"/>
      <c r="F1578" s="35">
        <f t="shared" si="315"/>
        <v>13.689999999999998</v>
      </c>
      <c r="G1578" s="107">
        <v>3.81</v>
      </c>
      <c r="H1578" s="107"/>
      <c r="I1578" s="107">
        <v>2.89</v>
      </c>
      <c r="J1578" s="46"/>
      <c r="K1578" s="46"/>
      <c r="L1578" s="46"/>
      <c r="M1578" s="46"/>
      <c r="N1578" s="46"/>
      <c r="O1578" s="46"/>
      <c r="P1578" s="46"/>
      <c r="Q1578" s="46"/>
      <c r="R1578" s="46"/>
      <c r="S1578" s="46"/>
      <c r="T1578" s="46"/>
      <c r="U1578" s="46"/>
      <c r="V1578" s="46"/>
      <c r="W1578" s="46">
        <v>0.24</v>
      </c>
      <c r="X1578" s="46"/>
      <c r="Y1578" s="46"/>
      <c r="Z1578" s="46">
        <v>0.53</v>
      </c>
      <c r="AA1578" s="46">
        <v>0.14000000000000001</v>
      </c>
      <c r="AB1578" s="46"/>
      <c r="AC1578" s="46"/>
      <c r="AD1578" s="46"/>
      <c r="AE1578" s="46"/>
      <c r="AF1578" s="46"/>
      <c r="AG1578" s="46"/>
      <c r="AH1578" s="46"/>
      <c r="AI1578" s="46"/>
      <c r="AJ1578" s="46"/>
      <c r="AK1578" s="46">
        <v>1.1399999999999999</v>
      </c>
      <c r="AL1578" s="46"/>
      <c r="AM1578" s="46"/>
      <c r="AN1578" s="46"/>
      <c r="AO1578" s="46"/>
      <c r="AP1578" s="46"/>
      <c r="AQ1578" s="46">
        <f>3.57+0.28+0.39+0.54+0.05</f>
        <v>4.8299999999999992</v>
      </c>
      <c r="AR1578" s="46"/>
      <c r="AS1578" s="46">
        <v>0.11</v>
      </c>
      <c r="AT1578" s="46"/>
      <c r="AU1578" s="46"/>
      <c r="AV1578" s="46"/>
      <c r="AW1578" s="46"/>
      <c r="AX1578" s="46"/>
      <c r="AY1578" s="34" t="s">
        <v>289</v>
      </c>
      <c r="AZ1578" s="34" t="s">
        <v>290</v>
      </c>
      <c r="BA1578" s="47" t="s">
        <v>298</v>
      </c>
      <c r="BB1578" s="48"/>
      <c r="BI1578" s="42">
        <v>1</v>
      </c>
      <c r="BK1578" s="170"/>
    </row>
    <row r="1579" spans="1:63" s="169" customFormat="1" ht="19.350000000000001" hidden="1" customHeight="1">
      <c r="A1579" s="127"/>
      <c r="B1579" s="33"/>
      <c r="C1579" s="38" t="s">
        <v>57</v>
      </c>
      <c r="D1579" s="35">
        <f t="shared" si="316"/>
        <v>5.1300000000000008</v>
      </c>
      <c r="E1579" s="35"/>
      <c r="F1579" s="35">
        <f t="shared" ref="F1579:F1642" si="320">SUM(G1579:AX1579)</f>
        <v>5.1300000000000008</v>
      </c>
      <c r="G1579" s="107">
        <v>0.75</v>
      </c>
      <c r="H1579" s="107"/>
      <c r="I1579" s="107">
        <v>0.5</v>
      </c>
      <c r="J1579" s="46"/>
      <c r="K1579" s="46"/>
      <c r="L1579" s="46"/>
      <c r="M1579" s="46"/>
      <c r="N1579" s="46"/>
      <c r="O1579" s="46"/>
      <c r="P1579" s="46"/>
      <c r="Q1579" s="46"/>
      <c r="R1579" s="46"/>
      <c r="S1579" s="46"/>
      <c r="T1579" s="46"/>
      <c r="U1579" s="46"/>
      <c r="V1579" s="46"/>
      <c r="W1579" s="46"/>
      <c r="X1579" s="46"/>
      <c r="Y1579" s="46"/>
      <c r="Z1579" s="46">
        <v>0.33</v>
      </c>
      <c r="AA1579" s="46">
        <v>0.1</v>
      </c>
      <c r="AB1579" s="46"/>
      <c r="AC1579" s="46"/>
      <c r="AD1579" s="46"/>
      <c r="AE1579" s="46"/>
      <c r="AF1579" s="46"/>
      <c r="AG1579" s="46"/>
      <c r="AH1579" s="46"/>
      <c r="AI1579" s="46"/>
      <c r="AJ1579" s="46"/>
      <c r="AK1579" s="46"/>
      <c r="AL1579" s="46"/>
      <c r="AM1579" s="46"/>
      <c r="AN1579" s="46"/>
      <c r="AO1579" s="46"/>
      <c r="AP1579" s="46"/>
      <c r="AQ1579" s="46">
        <f>1.59+0.54+1.04+0.28</f>
        <v>3.45</v>
      </c>
      <c r="AR1579" s="46"/>
      <c r="AS1579" s="46"/>
      <c r="AT1579" s="46"/>
      <c r="AU1579" s="46"/>
      <c r="AV1579" s="46"/>
      <c r="AW1579" s="46"/>
      <c r="AX1579" s="46"/>
      <c r="AY1579" s="34" t="s">
        <v>289</v>
      </c>
      <c r="AZ1579" s="34"/>
      <c r="BA1579" s="47"/>
      <c r="BB1579" s="48"/>
      <c r="BI1579" s="42"/>
      <c r="BK1579" s="170"/>
    </row>
    <row r="1580" spans="1:63" s="169" customFormat="1" ht="19.350000000000001" hidden="1" customHeight="1">
      <c r="A1580" s="127"/>
      <c r="B1580" s="33"/>
      <c r="C1580" s="38" t="s">
        <v>44</v>
      </c>
      <c r="D1580" s="35">
        <f t="shared" si="316"/>
        <v>1.53</v>
      </c>
      <c r="E1580" s="35"/>
      <c r="F1580" s="35">
        <f t="shared" si="320"/>
        <v>1.53</v>
      </c>
      <c r="G1580" s="107">
        <v>0.83</v>
      </c>
      <c r="H1580" s="107"/>
      <c r="I1580" s="107">
        <v>0.5</v>
      </c>
      <c r="J1580" s="46"/>
      <c r="K1580" s="46"/>
      <c r="L1580" s="46"/>
      <c r="M1580" s="46"/>
      <c r="N1580" s="46"/>
      <c r="O1580" s="46"/>
      <c r="P1580" s="46"/>
      <c r="Q1580" s="46"/>
      <c r="R1580" s="46"/>
      <c r="S1580" s="46"/>
      <c r="T1580" s="46"/>
      <c r="U1580" s="46"/>
      <c r="V1580" s="46"/>
      <c r="W1580" s="46"/>
      <c r="X1580" s="46"/>
      <c r="Y1580" s="46"/>
      <c r="Z1580" s="46">
        <v>0.2</v>
      </c>
      <c r="AA1580" s="46"/>
      <c r="AB1580" s="46"/>
      <c r="AC1580" s="46"/>
      <c r="AD1580" s="46"/>
      <c r="AE1580" s="46"/>
      <c r="AF1580" s="46"/>
      <c r="AG1580" s="46"/>
      <c r="AH1580" s="46"/>
      <c r="AI1580" s="46"/>
      <c r="AJ1580" s="46"/>
      <c r="AK1580" s="46"/>
      <c r="AL1580" s="46"/>
      <c r="AM1580" s="46"/>
      <c r="AN1580" s="46"/>
      <c r="AO1580" s="46"/>
      <c r="AP1580" s="46"/>
      <c r="AQ1580" s="46"/>
      <c r="AR1580" s="46"/>
      <c r="AS1580" s="46"/>
      <c r="AT1580" s="46"/>
      <c r="AU1580" s="46"/>
      <c r="AV1580" s="46"/>
      <c r="AW1580" s="46"/>
      <c r="AX1580" s="46"/>
      <c r="AY1580" s="34" t="s">
        <v>289</v>
      </c>
      <c r="AZ1580" s="34"/>
      <c r="BA1580" s="47"/>
      <c r="BB1580" s="48"/>
      <c r="BI1580" s="42"/>
      <c r="BK1580" s="170"/>
    </row>
    <row r="1581" spans="1:63" s="169" customFormat="1" ht="19.350000000000001" hidden="1" customHeight="1">
      <c r="A1581" s="127"/>
      <c r="B1581" s="33"/>
      <c r="C1581" s="38" t="s">
        <v>40</v>
      </c>
      <c r="D1581" s="35">
        <f t="shared" si="316"/>
        <v>0.49</v>
      </c>
      <c r="E1581" s="35"/>
      <c r="F1581" s="35">
        <f t="shared" si="320"/>
        <v>0.49</v>
      </c>
      <c r="G1581" s="107"/>
      <c r="H1581" s="107"/>
      <c r="I1581" s="107"/>
      <c r="J1581" s="46"/>
      <c r="K1581" s="46"/>
      <c r="L1581" s="46"/>
      <c r="M1581" s="46"/>
      <c r="N1581" s="46"/>
      <c r="O1581" s="46"/>
      <c r="P1581" s="46"/>
      <c r="Q1581" s="46"/>
      <c r="R1581" s="46"/>
      <c r="S1581" s="46"/>
      <c r="T1581" s="46"/>
      <c r="U1581" s="46"/>
      <c r="V1581" s="46"/>
      <c r="W1581" s="46"/>
      <c r="X1581" s="46"/>
      <c r="Y1581" s="46"/>
      <c r="Z1581" s="46"/>
      <c r="AA1581" s="46"/>
      <c r="AB1581" s="46"/>
      <c r="AC1581" s="46"/>
      <c r="AD1581" s="46"/>
      <c r="AE1581" s="46"/>
      <c r="AF1581" s="46"/>
      <c r="AG1581" s="46"/>
      <c r="AH1581" s="46"/>
      <c r="AI1581" s="46"/>
      <c r="AJ1581" s="46"/>
      <c r="AK1581" s="46">
        <v>0.49</v>
      </c>
      <c r="AL1581" s="46"/>
      <c r="AM1581" s="46"/>
      <c r="AN1581" s="46"/>
      <c r="AO1581" s="46"/>
      <c r="AP1581" s="46"/>
      <c r="AQ1581" s="46"/>
      <c r="AR1581" s="46"/>
      <c r="AS1581" s="46"/>
      <c r="AT1581" s="46"/>
      <c r="AU1581" s="46"/>
      <c r="AV1581" s="46"/>
      <c r="AW1581" s="46"/>
      <c r="AX1581" s="46"/>
      <c r="AY1581" s="34" t="s">
        <v>289</v>
      </c>
      <c r="AZ1581" s="34"/>
      <c r="BA1581" s="47"/>
      <c r="BB1581" s="48"/>
      <c r="BI1581" s="42"/>
      <c r="BK1581" s="170"/>
    </row>
    <row r="1582" spans="1:63" s="169" customFormat="1" ht="19.350000000000001" hidden="1" customHeight="1">
      <c r="A1582" s="127"/>
      <c r="B1582" s="33"/>
      <c r="C1582" s="38" t="s">
        <v>41</v>
      </c>
      <c r="D1582" s="35">
        <f t="shared" si="316"/>
        <v>0.54</v>
      </c>
      <c r="E1582" s="35"/>
      <c r="F1582" s="35">
        <f t="shared" si="320"/>
        <v>0.54</v>
      </c>
      <c r="G1582" s="107"/>
      <c r="H1582" s="107"/>
      <c r="I1582" s="107">
        <v>0.24</v>
      </c>
      <c r="J1582" s="46"/>
      <c r="K1582" s="46"/>
      <c r="L1582" s="46"/>
      <c r="M1582" s="46"/>
      <c r="N1582" s="46"/>
      <c r="O1582" s="46"/>
      <c r="P1582" s="46"/>
      <c r="Q1582" s="46"/>
      <c r="R1582" s="46"/>
      <c r="S1582" s="46"/>
      <c r="T1582" s="46"/>
      <c r="U1582" s="46"/>
      <c r="V1582" s="46"/>
      <c r="W1582" s="46"/>
      <c r="X1582" s="46"/>
      <c r="Y1582" s="46"/>
      <c r="Z1582" s="46"/>
      <c r="AA1582" s="46"/>
      <c r="AB1582" s="46"/>
      <c r="AC1582" s="46"/>
      <c r="AD1582" s="46"/>
      <c r="AE1582" s="46"/>
      <c r="AF1582" s="46"/>
      <c r="AG1582" s="46"/>
      <c r="AH1582" s="46"/>
      <c r="AI1582" s="46"/>
      <c r="AJ1582" s="46"/>
      <c r="AK1582" s="46"/>
      <c r="AL1582" s="46"/>
      <c r="AM1582" s="46"/>
      <c r="AN1582" s="46"/>
      <c r="AO1582" s="46"/>
      <c r="AP1582" s="46"/>
      <c r="AQ1582" s="46">
        <v>0.3</v>
      </c>
      <c r="AR1582" s="46"/>
      <c r="AS1582" s="46"/>
      <c r="AT1582" s="46"/>
      <c r="AU1582" s="46"/>
      <c r="AV1582" s="46"/>
      <c r="AW1582" s="46"/>
      <c r="AX1582" s="46"/>
      <c r="AY1582" s="34" t="s">
        <v>289</v>
      </c>
      <c r="AZ1582" s="34"/>
      <c r="BA1582" s="47"/>
      <c r="BB1582" s="48"/>
      <c r="BI1582" s="42"/>
      <c r="BK1582" s="170"/>
    </row>
    <row r="1583" spans="1:63" s="169" customFormat="1" ht="19.350000000000001" hidden="1" customHeight="1">
      <c r="A1583" s="127"/>
      <c r="B1583" s="33"/>
      <c r="C1583" s="38" t="s">
        <v>96</v>
      </c>
      <c r="D1583" s="35">
        <f>E1583+F1583</f>
        <v>0.11</v>
      </c>
      <c r="E1583" s="35"/>
      <c r="F1583" s="35">
        <f>SUM(G1583:AX1583)</f>
        <v>0.11</v>
      </c>
      <c r="G1583" s="107"/>
      <c r="H1583" s="107"/>
      <c r="I1583" s="107"/>
      <c r="J1583" s="46"/>
      <c r="K1583" s="46"/>
      <c r="L1583" s="46"/>
      <c r="M1583" s="46"/>
      <c r="N1583" s="46"/>
      <c r="O1583" s="46"/>
      <c r="P1583" s="46"/>
      <c r="Q1583" s="46"/>
      <c r="R1583" s="46"/>
      <c r="S1583" s="46"/>
      <c r="T1583" s="46"/>
      <c r="U1583" s="46"/>
      <c r="V1583" s="46"/>
      <c r="W1583" s="46"/>
      <c r="X1583" s="46"/>
      <c r="Y1583" s="46"/>
      <c r="Z1583" s="46"/>
      <c r="AA1583" s="46"/>
      <c r="AB1583" s="46"/>
      <c r="AC1583" s="46"/>
      <c r="AD1583" s="46"/>
      <c r="AE1583" s="46"/>
      <c r="AF1583" s="46"/>
      <c r="AG1583" s="46"/>
      <c r="AH1583" s="46"/>
      <c r="AI1583" s="46"/>
      <c r="AJ1583" s="46"/>
      <c r="AK1583" s="46"/>
      <c r="AL1583" s="46"/>
      <c r="AM1583" s="46"/>
      <c r="AN1583" s="46"/>
      <c r="AO1583" s="46"/>
      <c r="AP1583" s="46"/>
      <c r="AQ1583" s="46"/>
      <c r="AR1583" s="46"/>
      <c r="AS1583" s="46">
        <v>0.11</v>
      </c>
      <c r="AT1583" s="46"/>
      <c r="AU1583" s="46"/>
      <c r="AV1583" s="46"/>
      <c r="AW1583" s="46"/>
      <c r="AX1583" s="46"/>
      <c r="AY1583" s="34" t="s">
        <v>289</v>
      </c>
      <c r="AZ1583" s="34"/>
      <c r="BA1583" s="47"/>
      <c r="BB1583" s="48"/>
      <c r="BI1583" s="42"/>
      <c r="BK1583" s="170"/>
    </row>
    <row r="1584" spans="1:63" s="169" customFormat="1" ht="19.350000000000001" hidden="1" customHeight="1">
      <c r="A1584" s="127"/>
      <c r="B1584" s="33"/>
      <c r="C1584" s="38" t="s">
        <v>138</v>
      </c>
      <c r="D1584" s="35">
        <f t="shared" si="316"/>
        <v>5.89</v>
      </c>
      <c r="E1584" s="35"/>
      <c r="F1584" s="35">
        <f t="shared" si="320"/>
        <v>5.89</v>
      </c>
      <c r="G1584" s="141">
        <f>G1578-G1579-G1580-G1581-G1582-G1583</f>
        <v>2.23</v>
      </c>
      <c r="H1584" s="141">
        <f t="shared" ref="H1584:AX1584" si="321">H1578-H1579-H1580-H1581-H1582-H1583</f>
        <v>0</v>
      </c>
      <c r="I1584" s="141">
        <f t="shared" si="321"/>
        <v>1.6500000000000001</v>
      </c>
      <c r="J1584" s="141">
        <f t="shared" si="321"/>
        <v>0</v>
      </c>
      <c r="K1584" s="141">
        <f t="shared" si="321"/>
        <v>0</v>
      </c>
      <c r="L1584" s="141">
        <f t="shared" si="321"/>
        <v>0</v>
      </c>
      <c r="M1584" s="141">
        <f t="shared" si="321"/>
        <v>0</v>
      </c>
      <c r="N1584" s="141">
        <f t="shared" si="321"/>
        <v>0</v>
      </c>
      <c r="O1584" s="141">
        <f t="shared" si="321"/>
        <v>0</v>
      </c>
      <c r="P1584" s="141">
        <f t="shared" si="321"/>
        <v>0</v>
      </c>
      <c r="Q1584" s="141">
        <f t="shared" si="321"/>
        <v>0</v>
      </c>
      <c r="R1584" s="141">
        <f t="shared" si="321"/>
        <v>0</v>
      </c>
      <c r="S1584" s="141">
        <f t="shared" si="321"/>
        <v>0</v>
      </c>
      <c r="T1584" s="141">
        <f t="shared" si="321"/>
        <v>0</v>
      </c>
      <c r="U1584" s="141">
        <f t="shared" si="321"/>
        <v>0</v>
      </c>
      <c r="V1584" s="141">
        <f t="shared" si="321"/>
        <v>0</v>
      </c>
      <c r="W1584" s="141">
        <f t="shared" si="321"/>
        <v>0.24</v>
      </c>
      <c r="X1584" s="141">
        <f t="shared" si="321"/>
        <v>0</v>
      </c>
      <c r="Y1584" s="141">
        <f t="shared" si="321"/>
        <v>0</v>
      </c>
      <c r="Z1584" s="141">
        <f t="shared" si="321"/>
        <v>0</v>
      </c>
      <c r="AA1584" s="141">
        <f t="shared" si="321"/>
        <v>4.0000000000000008E-2</v>
      </c>
      <c r="AB1584" s="141">
        <f t="shared" si="321"/>
        <v>0</v>
      </c>
      <c r="AC1584" s="141">
        <f t="shared" si="321"/>
        <v>0</v>
      </c>
      <c r="AD1584" s="141">
        <f t="shared" si="321"/>
        <v>0</v>
      </c>
      <c r="AE1584" s="141">
        <f t="shared" si="321"/>
        <v>0</v>
      </c>
      <c r="AF1584" s="141">
        <f t="shared" si="321"/>
        <v>0</v>
      </c>
      <c r="AG1584" s="141">
        <f t="shared" si="321"/>
        <v>0</v>
      </c>
      <c r="AH1584" s="141">
        <f t="shared" si="321"/>
        <v>0</v>
      </c>
      <c r="AI1584" s="141">
        <f t="shared" si="321"/>
        <v>0</v>
      </c>
      <c r="AJ1584" s="141">
        <f t="shared" si="321"/>
        <v>0</v>
      </c>
      <c r="AK1584" s="141">
        <f t="shared" si="321"/>
        <v>0.64999999999999991</v>
      </c>
      <c r="AL1584" s="141">
        <f t="shared" si="321"/>
        <v>0</v>
      </c>
      <c r="AM1584" s="141">
        <f t="shared" si="321"/>
        <v>0</v>
      </c>
      <c r="AN1584" s="141">
        <f t="shared" si="321"/>
        <v>0</v>
      </c>
      <c r="AO1584" s="141">
        <f t="shared" si="321"/>
        <v>0</v>
      </c>
      <c r="AP1584" s="141">
        <f t="shared" si="321"/>
        <v>0</v>
      </c>
      <c r="AQ1584" s="141">
        <f t="shared" si="321"/>
        <v>1.079999999999999</v>
      </c>
      <c r="AR1584" s="141">
        <f t="shared" si="321"/>
        <v>0</v>
      </c>
      <c r="AS1584" s="141">
        <f t="shared" si="321"/>
        <v>0</v>
      </c>
      <c r="AT1584" s="141">
        <f t="shared" si="321"/>
        <v>0</v>
      </c>
      <c r="AU1584" s="141">
        <f t="shared" si="321"/>
        <v>0</v>
      </c>
      <c r="AV1584" s="141">
        <f t="shared" si="321"/>
        <v>0</v>
      </c>
      <c r="AW1584" s="141">
        <f t="shared" si="321"/>
        <v>0</v>
      </c>
      <c r="AX1584" s="141">
        <f t="shared" si="321"/>
        <v>0</v>
      </c>
      <c r="AY1584" s="34" t="s">
        <v>289</v>
      </c>
      <c r="AZ1584" s="34"/>
      <c r="BA1584" s="47"/>
      <c r="BB1584" s="48"/>
      <c r="BI1584" s="42"/>
      <c r="BK1584" s="170"/>
    </row>
    <row r="1585" spans="1:63" s="169" customFormat="1" ht="19.350000000000001" customHeight="1">
      <c r="A1585" s="127">
        <f>A1578+1</f>
        <v>891</v>
      </c>
      <c r="B1585" s="33" t="s">
        <v>1766</v>
      </c>
      <c r="C1585" s="38" t="s">
        <v>1260</v>
      </c>
      <c r="D1585" s="35">
        <f t="shared" si="316"/>
        <v>2.2000000000000002</v>
      </c>
      <c r="E1585" s="35"/>
      <c r="F1585" s="35">
        <f t="shared" si="320"/>
        <v>2.2000000000000002</v>
      </c>
      <c r="G1585" s="107">
        <v>0.41</v>
      </c>
      <c r="H1585" s="107"/>
      <c r="I1585" s="107">
        <v>1.17</v>
      </c>
      <c r="J1585" s="46"/>
      <c r="K1585" s="46"/>
      <c r="L1585" s="46"/>
      <c r="M1585" s="46"/>
      <c r="N1585" s="46"/>
      <c r="O1585" s="46"/>
      <c r="P1585" s="46">
        <v>0.11</v>
      </c>
      <c r="Q1585" s="46"/>
      <c r="R1585" s="46"/>
      <c r="S1585" s="46"/>
      <c r="T1585" s="46"/>
      <c r="U1585" s="46"/>
      <c r="V1585" s="46"/>
      <c r="W1585" s="46"/>
      <c r="X1585" s="46"/>
      <c r="Y1585" s="46"/>
      <c r="Z1585" s="46"/>
      <c r="AA1585" s="46"/>
      <c r="AB1585" s="46"/>
      <c r="AC1585" s="46"/>
      <c r="AD1585" s="46"/>
      <c r="AE1585" s="46"/>
      <c r="AF1585" s="46"/>
      <c r="AG1585" s="46"/>
      <c r="AH1585" s="46"/>
      <c r="AI1585" s="46"/>
      <c r="AJ1585" s="46"/>
      <c r="AK1585" s="46"/>
      <c r="AL1585" s="46"/>
      <c r="AM1585" s="46"/>
      <c r="AN1585" s="46"/>
      <c r="AO1585" s="46"/>
      <c r="AP1585" s="46"/>
      <c r="AQ1585" s="46">
        <v>0.51</v>
      </c>
      <c r="AR1585" s="46"/>
      <c r="AS1585" s="46"/>
      <c r="AT1585" s="46"/>
      <c r="AU1585" s="46"/>
      <c r="AV1585" s="46"/>
      <c r="AW1585" s="46"/>
      <c r="AX1585" s="46"/>
      <c r="AY1585" s="34" t="s">
        <v>289</v>
      </c>
      <c r="AZ1585" s="34" t="s">
        <v>735</v>
      </c>
      <c r="BA1585" s="47" t="s">
        <v>298</v>
      </c>
      <c r="BB1585" s="48"/>
      <c r="BI1585" s="42">
        <v>1</v>
      </c>
      <c r="BK1585" s="170"/>
    </row>
    <row r="1586" spans="1:63" s="169" customFormat="1" ht="19.350000000000001" hidden="1" customHeight="1">
      <c r="A1586" s="127"/>
      <c r="B1586" s="33"/>
      <c r="C1586" s="38" t="s">
        <v>57</v>
      </c>
      <c r="D1586" s="35">
        <f t="shared" si="316"/>
        <v>0.84000000000000008</v>
      </c>
      <c r="E1586" s="35"/>
      <c r="F1586" s="35">
        <f t="shared" si="320"/>
        <v>0.84000000000000008</v>
      </c>
      <c r="G1586" s="107">
        <v>0.2</v>
      </c>
      <c r="H1586" s="107"/>
      <c r="I1586" s="107">
        <v>0.56999999999999995</v>
      </c>
      <c r="J1586" s="46"/>
      <c r="K1586" s="46"/>
      <c r="L1586" s="46"/>
      <c r="M1586" s="46"/>
      <c r="N1586" s="46"/>
      <c r="O1586" s="46"/>
      <c r="P1586" s="46">
        <v>7.0000000000000007E-2</v>
      </c>
      <c r="Q1586" s="46"/>
      <c r="R1586" s="46"/>
      <c r="S1586" s="46"/>
      <c r="T1586" s="46"/>
      <c r="U1586" s="46"/>
      <c r="V1586" s="46"/>
      <c r="W1586" s="46"/>
      <c r="X1586" s="46"/>
      <c r="Y1586" s="46"/>
      <c r="Z1586" s="46"/>
      <c r="AA1586" s="46"/>
      <c r="AB1586" s="46"/>
      <c r="AC1586" s="46"/>
      <c r="AD1586" s="46"/>
      <c r="AE1586" s="46"/>
      <c r="AF1586" s="46"/>
      <c r="AG1586" s="46"/>
      <c r="AH1586" s="46"/>
      <c r="AI1586" s="46"/>
      <c r="AJ1586" s="46"/>
      <c r="AK1586" s="46"/>
      <c r="AL1586" s="46"/>
      <c r="AM1586" s="46"/>
      <c r="AN1586" s="46"/>
      <c r="AO1586" s="46"/>
      <c r="AP1586" s="46"/>
      <c r="AQ1586" s="46"/>
      <c r="AR1586" s="46"/>
      <c r="AS1586" s="46"/>
      <c r="AT1586" s="46"/>
      <c r="AU1586" s="46"/>
      <c r="AV1586" s="46"/>
      <c r="AW1586" s="46"/>
      <c r="AX1586" s="46"/>
      <c r="AY1586" s="34" t="s">
        <v>289</v>
      </c>
      <c r="AZ1586" s="34"/>
      <c r="BA1586" s="47"/>
      <c r="BB1586" s="48"/>
      <c r="BI1586" s="42"/>
      <c r="BK1586" s="170"/>
    </row>
    <row r="1587" spans="1:63" s="169" customFormat="1" ht="19.350000000000001" hidden="1" customHeight="1">
      <c r="A1587" s="127"/>
      <c r="B1587" s="33"/>
      <c r="C1587" s="38" t="s">
        <v>44</v>
      </c>
      <c r="D1587" s="35">
        <f t="shared" si="316"/>
        <v>0.83000000000000007</v>
      </c>
      <c r="E1587" s="35"/>
      <c r="F1587" s="35">
        <f t="shared" si="320"/>
        <v>0.83000000000000007</v>
      </c>
      <c r="G1587" s="107">
        <v>0.1</v>
      </c>
      <c r="H1587" s="107"/>
      <c r="I1587" s="107">
        <v>0.45</v>
      </c>
      <c r="J1587" s="46"/>
      <c r="K1587" s="46"/>
      <c r="L1587" s="46"/>
      <c r="M1587" s="46"/>
      <c r="N1587" s="46"/>
      <c r="O1587" s="46"/>
      <c r="P1587" s="46"/>
      <c r="Q1587" s="46"/>
      <c r="R1587" s="46"/>
      <c r="S1587" s="46"/>
      <c r="T1587" s="46"/>
      <c r="U1587" s="46"/>
      <c r="V1587" s="46"/>
      <c r="W1587" s="46"/>
      <c r="X1587" s="46"/>
      <c r="Y1587" s="46"/>
      <c r="Z1587" s="46"/>
      <c r="AA1587" s="46"/>
      <c r="AB1587" s="46"/>
      <c r="AC1587" s="46"/>
      <c r="AD1587" s="46"/>
      <c r="AE1587" s="46"/>
      <c r="AF1587" s="46"/>
      <c r="AG1587" s="46"/>
      <c r="AH1587" s="46"/>
      <c r="AI1587" s="46"/>
      <c r="AJ1587" s="46"/>
      <c r="AK1587" s="46"/>
      <c r="AL1587" s="46"/>
      <c r="AM1587" s="46"/>
      <c r="AN1587" s="46"/>
      <c r="AO1587" s="46"/>
      <c r="AP1587" s="46"/>
      <c r="AQ1587" s="46">
        <v>0.28000000000000003</v>
      </c>
      <c r="AR1587" s="46"/>
      <c r="AS1587" s="46"/>
      <c r="AT1587" s="46"/>
      <c r="AU1587" s="46"/>
      <c r="AV1587" s="46"/>
      <c r="AW1587" s="46"/>
      <c r="AX1587" s="46"/>
      <c r="AY1587" s="34" t="s">
        <v>289</v>
      </c>
      <c r="AZ1587" s="34"/>
      <c r="BA1587" s="47"/>
      <c r="BB1587" s="48"/>
      <c r="BI1587" s="42"/>
      <c r="BK1587" s="170"/>
    </row>
    <row r="1588" spans="1:63" s="169" customFormat="1" ht="19.350000000000001" hidden="1" customHeight="1">
      <c r="A1588" s="127"/>
      <c r="B1588" s="33"/>
      <c r="C1588" s="38" t="s">
        <v>45</v>
      </c>
      <c r="D1588" s="35">
        <f>E1588+F1588</f>
        <v>0.2</v>
      </c>
      <c r="E1588" s="35"/>
      <c r="F1588" s="35">
        <f>SUM(G1588:AX1588)</f>
        <v>0.2</v>
      </c>
      <c r="G1588" s="107"/>
      <c r="H1588" s="107"/>
      <c r="I1588" s="107">
        <v>0.1</v>
      </c>
      <c r="J1588" s="46"/>
      <c r="K1588" s="46"/>
      <c r="L1588" s="46"/>
      <c r="M1588" s="46"/>
      <c r="N1588" s="46"/>
      <c r="O1588" s="46"/>
      <c r="P1588" s="46"/>
      <c r="Q1588" s="46"/>
      <c r="R1588" s="46"/>
      <c r="S1588" s="46"/>
      <c r="T1588" s="46"/>
      <c r="U1588" s="46"/>
      <c r="V1588" s="46"/>
      <c r="W1588" s="46"/>
      <c r="X1588" s="46"/>
      <c r="Y1588" s="46"/>
      <c r="Z1588" s="46"/>
      <c r="AA1588" s="46"/>
      <c r="AB1588" s="46"/>
      <c r="AC1588" s="46"/>
      <c r="AD1588" s="46"/>
      <c r="AE1588" s="46"/>
      <c r="AF1588" s="46"/>
      <c r="AG1588" s="46"/>
      <c r="AH1588" s="46"/>
      <c r="AI1588" s="46"/>
      <c r="AJ1588" s="46"/>
      <c r="AK1588" s="46"/>
      <c r="AL1588" s="46"/>
      <c r="AM1588" s="46"/>
      <c r="AN1588" s="46"/>
      <c r="AO1588" s="46"/>
      <c r="AP1588" s="46"/>
      <c r="AQ1588" s="46">
        <v>0.1</v>
      </c>
      <c r="AR1588" s="46"/>
      <c r="AS1588" s="46"/>
      <c r="AT1588" s="46"/>
      <c r="AU1588" s="46"/>
      <c r="AV1588" s="46"/>
      <c r="AW1588" s="46"/>
      <c r="AX1588" s="46"/>
      <c r="AY1588" s="34" t="s">
        <v>289</v>
      </c>
      <c r="AZ1588" s="34"/>
      <c r="BA1588" s="47"/>
      <c r="BB1588" s="48"/>
      <c r="BI1588" s="42"/>
      <c r="BK1588" s="170"/>
    </row>
    <row r="1589" spans="1:63" s="169" customFormat="1" ht="19.350000000000001" hidden="1" customHeight="1">
      <c r="A1589" s="127"/>
      <c r="B1589" s="33"/>
      <c r="C1589" s="38" t="s">
        <v>138</v>
      </c>
      <c r="D1589" s="35">
        <f t="shared" si="316"/>
        <v>0.32999999999999985</v>
      </c>
      <c r="E1589" s="35"/>
      <c r="F1589" s="35">
        <f t="shared" si="320"/>
        <v>0.32999999999999985</v>
      </c>
      <c r="G1589" s="141">
        <f>G1585-G1586-G1587-G1588</f>
        <v>0.10999999999999996</v>
      </c>
      <c r="H1589" s="141">
        <f t="shared" ref="H1589:AX1589" si="322">H1585-H1586-H1587-H1588</f>
        <v>0</v>
      </c>
      <c r="I1589" s="141">
        <f t="shared" si="322"/>
        <v>4.9999999999999961E-2</v>
      </c>
      <c r="J1589" s="141">
        <f t="shared" si="322"/>
        <v>0</v>
      </c>
      <c r="K1589" s="141">
        <f t="shared" si="322"/>
        <v>0</v>
      </c>
      <c r="L1589" s="141">
        <f t="shared" si="322"/>
        <v>0</v>
      </c>
      <c r="M1589" s="141">
        <f t="shared" si="322"/>
        <v>0</v>
      </c>
      <c r="N1589" s="141">
        <f t="shared" si="322"/>
        <v>0</v>
      </c>
      <c r="O1589" s="141">
        <f t="shared" si="322"/>
        <v>0</v>
      </c>
      <c r="P1589" s="141">
        <f t="shared" si="322"/>
        <v>3.9999999999999994E-2</v>
      </c>
      <c r="Q1589" s="141">
        <f t="shared" si="322"/>
        <v>0</v>
      </c>
      <c r="R1589" s="141">
        <f t="shared" si="322"/>
        <v>0</v>
      </c>
      <c r="S1589" s="141">
        <f t="shared" si="322"/>
        <v>0</v>
      </c>
      <c r="T1589" s="141">
        <f t="shared" si="322"/>
        <v>0</v>
      </c>
      <c r="U1589" s="141">
        <f t="shared" si="322"/>
        <v>0</v>
      </c>
      <c r="V1589" s="141">
        <f t="shared" si="322"/>
        <v>0</v>
      </c>
      <c r="W1589" s="141">
        <f t="shared" si="322"/>
        <v>0</v>
      </c>
      <c r="X1589" s="141">
        <f t="shared" si="322"/>
        <v>0</v>
      </c>
      <c r="Y1589" s="141">
        <f t="shared" si="322"/>
        <v>0</v>
      </c>
      <c r="Z1589" s="141">
        <f t="shared" si="322"/>
        <v>0</v>
      </c>
      <c r="AA1589" s="141">
        <f t="shared" si="322"/>
        <v>0</v>
      </c>
      <c r="AB1589" s="141">
        <f t="shared" si="322"/>
        <v>0</v>
      </c>
      <c r="AC1589" s="141">
        <f t="shared" si="322"/>
        <v>0</v>
      </c>
      <c r="AD1589" s="141">
        <f t="shared" si="322"/>
        <v>0</v>
      </c>
      <c r="AE1589" s="141">
        <f t="shared" si="322"/>
        <v>0</v>
      </c>
      <c r="AF1589" s="141">
        <f t="shared" si="322"/>
        <v>0</v>
      </c>
      <c r="AG1589" s="141">
        <f t="shared" si="322"/>
        <v>0</v>
      </c>
      <c r="AH1589" s="141">
        <f t="shared" si="322"/>
        <v>0</v>
      </c>
      <c r="AI1589" s="141">
        <f t="shared" si="322"/>
        <v>0</v>
      </c>
      <c r="AJ1589" s="141">
        <f t="shared" si="322"/>
        <v>0</v>
      </c>
      <c r="AK1589" s="141">
        <f t="shared" si="322"/>
        <v>0</v>
      </c>
      <c r="AL1589" s="141">
        <f t="shared" si="322"/>
        <v>0</v>
      </c>
      <c r="AM1589" s="141">
        <f t="shared" si="322"/>
        <v>0</v>
      </c>
      <c r="AN1589" s="141">
        <f t="shared" si="322"/>
        <v>0</v>
      </c>
      <c r="AO1589" s="141">
        <f t="shared" si="322"/>
        <v>0</v>
      </c>
      <c r="AP1589" s="141">
        <f t="shared" si="322"/>
        <v>0</v>
      </c>
      <c r="AQ1589" s="141">
        <f t="shared" si="322"/>
        <v>0.12999999999999998</v>
      </c>
      <c r="AR1589" s="141">
        <f t="shared" si="322"/>
        <v>0</v>
      </c>
      <c r="AS1589" s="141">
        <f t="shared" si="322"/>
        <v>0</v>
      </c>
      <c r="AT1589" s="141">
        <f t="shared" si="322"/>
        <v>0</v>
      </c>
      <c r="AU1589" s="141">
        <f t="shared" si="322"/>
        <v>0</v>
      </c>
      <c r="AV1589" s="141">
        <f t="shared" si="322"/>
        <v>0</v>
      </c>
      <c r="AW1589" s="141">
        <f t="shared" si="322"/>
        <v>0</v>
      </c>
      <c r="AX1589" s="141">
        <f t="shared" si="322"/>
        <v>0</v>
      </c>
      <c r="AY1589" s="34" t="s">
        <v>289</v>
      </c>
      <c r="AZ1589" s="34"/>
      <c r="BA1589" s="47"/>
      <c r="BB1589" s="48"/>
      <c r="BI1589" s="42"/>
      <c r="BK1589" s="170"/>
    </row>
    <row r="1590" spans="1:63" s="169" customFormat="1" ht="19.350000000000001" customHeight="1">
      <c r="A1590" s="127">
        <f>A1585+1</f>
        <v>892</v>
      </c>
      <c r="B1590" s="33" t="s">
        <v>1767</v>
      </c>
      <c r="C1590" s="38" t="s">
        <v>1260</v>
      </c>
      <c r="D1590" s="35">
        <f t="shared" si="316"/>
        <v>2.3199999999999998</v>
      </c>
      <c r="E1590" s="35"/>
      <c r="F1590" s="35">
        <f t="shared" si="320"/>
        <v>2.3199999999999998</v>
      </c>
      <c r="G1590" s="107"/>
      <c r="H1590" s="107"/>
      <c r="I1590" s="107"/>
      <c r="J1590" s="46"/>
      <c r="K1590" s="46"/>
      <c r="L1590" s="46"/>
      <c r="M1590" s="46">
        <v>1.89</v>
      </c>
      <c r="N1590" s="46"/>
      <c r="O1590" s="46"/>
      <c r="P1590" s="46">
        <v>0.18</v>
      </c>
      <c r="Q1590" s="46"/>
      <c r="R1590" s="46"/>
      <c r="S1590" s="46"/>
      <c r="T1590" s="46"/>
      <c r="U1590" s="46"/>
      <c r="V1590" s="46"/>
      <c r="W1590" s="46"/>
      <c r="X1590" s="46"/>
      <c r="Y1590" s="46"/>
      <c r="Z1590" s="46">
        <v>0.09</v>
      </c>
      <c r="AA1590" s="46"/>
      <c r="AB1590" s="46"/>
      <c r="AC1590" s="46"/>
      <c r="AD1590" s="46"/>
      <c r="AE1590" s="46"/>
      <c r="AF1590" s="46"/>
      <c r="AG1590" s="46"/>
      <c r="AH1590" s="46"/>
      <c r="AI1590" s="46"/>
      <c r="AJ1590" s="46"/>
      <c r="AK1590" s="46"/>
      <c r="AL1590" s="46"/>
      <c r="AM1590" s="46"/>
      <c r="AN1590" s="46"/>
      <c r="AO1590" s="46"/>
      <c r="AP1590" s="46"/>
      <c r="AQ1590" s="46">
        <v>0.16</v>
      </c>
      <c r="AR1590" s="46"/>
      <c r="AS1590" s="46"/>
      <c r="AT1590" s="46"/>
      <c r="AU1590" s="46"/>
      <c r="AV1590" s="46"/>
      <c r="AW1590" s="46"/>
      <c r="AX1590" s="46"/>
      <c r="AY1590" s="34" t="s">
        <v>289</v>
      </c>
      <c r="AZ1590" s="34" t="s">
        <v>467</v>
      </c>
      <c r="BA1590" s="47" t="s">
        <v>298</v>
      </c>
      <c r="BB1590" s="48"/>
      <c r="BI1590" s="42">
        <v>1</v>
      </c>
      <c r="BK1590" s="170"/>
    </row>
    <row r="1591" spans="1:63" s="169" customFormat="1" ht="19.350000000000001" hidden="1" customHeight="1">
      <c r="A1591" s="127"/>
      <c r="B1591" s="33"/>
      <c r="C1591" s="38" t="s">
        <v>57</v>
      </c>
      <c r="D1591" s="35">
        <f t="shared" si="316"/>
        <v>0.88</v>
      </c>
      <c r="E1591" s="35"/>
      <c r="F1591" s="35">
        <f t="shared" si="320"/>
        <v>0.88</v>
      </c>
      <c r="G1591" s="107"/>
      <c r="H1591" s="107"/>
      <c r="I1591" s="107"/>
      <c r="J1591" s="46"/>
      <c r="K1591" s="46"/>
      <c r="L1591" s="46"/>
      <c r="M1591" s="46">
        <v>0.61</v>
      </c>
      <c r="N1591" s="46"/>
      <c r="O1591" s="46"/>
      <c r="P1591" s="46">
        <v>0.18</v>
      </c>
      <c r="Q1591" s="46"/>
      <c r="R1591" s="46"/>
      <c r="S1591" s="46"/>
      <c r="T1591" s="46"/>
      <c r="U1591" s="46"/>
      <c r="V1591" s="46"/>
      <c r="W1591" s="46"/>
      <c r="X1591" s="46"/>
      <c r="Y1591" s="46"/>
      <c r="Z1591" s="46">
        <v>0.09</v>
      </c>
      <c r="AA1591" s="46"/>
      <c r="AB1591" s="46"/>
      <c r="AC1591" s="46"/>
      <c r="AD1591" s="46"/>
      <c r="AE1591" s="46"/>
      <c r="AF1591" s="46"/>
      <c r="AG1591" s="46"/>
      <c r="AH1591" s="46"/>
      <c r="AI1591" s="46"/>
      <c r="AJ1591" s="46"/>
      <c r="AK1591" s="46"/>
      <c r="AL1591" s="46"/>
      <c r="AM1591" s="46"/>
      <c r="AN1591" s="46"/>
      <c r="AO1591" s="46"/>
      <c r="AP1591" s="46"/>
      <c r="AQ1591" s="46"/>
      <c r="AR1591" s="46"/>
      <c r="AS1591" s="46"/>
      <c r="AT1591" s="46"/>
      <c r="AU1591" s="46"/>
      <c r="AV1591" s="46"/>
      <c r="AW1591" s="46"/>
      <c r="AX1591" s="46"/>
      <c r="AY1591" s="34" t="s">
        <v>289</v>
      </c>
      <c r="AZ1591" s="34"/>
      <c r="BA1591" s="47"/>
      <c r="BB1591" s="48"/>
      <c r="BI1591" s="42"/>
      <c r="BK1591" s="170"/>
    </row>
    <row r="1592" spans="1:63" s="169" customFormat="1" ht="19.350000000000001" hidden="1" customHeight="1">
      <c r="A1592" s="127"/>
      <c r="B1592" s="33"/>
      <c r="C1592" s="38" t="s">
        <v>44</v>
      </c>
      <c r="D1592" s="35">
        <f t="shared" si="316"/>
        <v>0.86</v>
      </c>
      <c r="E1592" s="35"/>
      <c r="F1592" s="35">
        <f t="shared" si="320"/>
        <v>0.86</v>
      </c>
      <c r="G1592" s="107"/>
      <c r="H1592" s="107"/>
      <c r="I1592" s="107"/>
      <c r="J1592" s="46"/>
      <c r="K1592" s="46"/>
      <c r="L1592" s="46"/>
      <c r="M1592" s="46">
        <v>0.76</v>
      </c>
      <c r="N1592" s="46"/>
      <c r="O1592" s="46"/>
      <c r="P1592" s="46"/>
      <c r="Q1592" s="46"/>
      <c r="R1592" s="46"/>
      <c r="S1592" s="46"/>
      <c r="T1592" s="46"/>
      <c r="U1592" s="46"/>
      <c r="V1592" s="46"/>
      <c r="W1592" s="46"/>
      <c r="X1592" s="46"/>
      <c r="Y1592" s="46"/>
      <c r="Z1592" s="46"/>
      <c r="AA1592" s="46"/>
      <c r="AB1592" s="46"/>
      <c r="AC1592" s="46"/>
      <c r="AD1592" s="46"/>
      <c r="AE1592" s="46"/>
      <c r="AF1592" s="46"/>
      <c r="AG1592" s="46"/>
      <c r="AH1592" s="46"/>
      <c r="AI1592" s="46"/>
      <c r="AJ1592" s="46"/>
      <c r="AK1592" s="46"/>
      <c r="AL1592" s="46"/>
      <c r="AM1592" s="46"/>
      <c r="AN1592" s="46"/>
      <c r="AO1592" s="46"/>
      <c r="AP1592" s="46"/>
      <c r="AQ1592" s="46">
        <v>0.1</v>
      </c>
      <c r="AR1592" s="46"/>
      <c r="AS1592" s="46"/>
      <c r="AT1592" s="46"/>
      <c r="AU1592" s="46"/>
      <c r="AV1592" s="46"/>
      <c r="AW1592" s="46"/>
      <c r="AX1592" s="46"/>
      <c r="AY1592" s="34" t="s">
        <v>289</v>
      </c>
      <c r="AZ1592" s="34"/>
      <c r="BA1592" s="47"/>
      <c r="BB1592" s="48"/>
      <c r="BI1592" s="42"/>
      <c r="BK1592" s="170"/>
    </row>
    <row r="1593" spans="1:63" s="169" customFormat="1" ht="19.350000000000001" hidden="1" customHeight="1">
      <c r="A1593" s="127"/>
      <c r="B1593" s="33"/>
      <c r="C1593" s="38" t="s">
        <v>45</v>
      </c>
      <c r="D1593" s="35">
        <f>E1593+F1593</f>
        <v>0.2</v>
      </c>
      <c r="E1593" s="35"/>
      <c r="F1593" s="35">
        <f>SUM(G1593:AX1593)</f>
        <v>0.2</v>
      </c>
      <c r="G1593" s="107"/>
      <c r="H1593" s="107"/>
      <c r="I1593" s="107"/>
      <c r="J1593" s="46"/>
      <c r="K1593" s="46"/>
      <c r="L1593" s="46"/>
      <c r="M1593" s="46">
        <v>0.2</v>
      </c>
      <c r="N1593" s="46"/>
      <c r="O1593" s="46"/>
      <c r="P1593" s="46"/>
      <c r="Q1593" s="46"/>
      <c r="R1593" s="46"/>
      <c r="S1593" s="46"/>
      <c r="T1593" s="46"/>
      <c r="U1593" s="46"/>
      <c r="V1593" s="46"/>
      <c r="W1593" s="46"/>
      <c r="X1593" s="46"/>
      <c r="Y1593" s="46"/>
      <c r="Z1593" s="46"/>
      <c r="AA1593" s="46"/>
      <c r="AB1593" s="46"/>
      <c r="AC1593" s="46"/>
      <c r="AD1593" s="46"/>
      <c r="AE1593" s="46"/>
      <c r="AF1593" s="46"/>
      <c r="AG1593" s="46"/>
      <c r="AH1593" s="46"/>
      <c r="AI1593" s="46"/>
      <c r="AJ1593" s="46"/>
      <c r="AK1593" s="46"/>
      <c r="AL1593" s="46"/>
      <c r="AM1593" s="46"/>
      <c r="AN1593" s="46"/>
      <c r="AO1593" s="46"/>
      <c r="AP1593" s="46"/>
      <c r="AQ1593" s="46"/>
      <c r="AR1593" s="46"/>
      <c r="AS1593" s="46"/>
      <c r="AT1593" s="46"/>
      <c r="AU1593" s="46"/>
      <c r="AV1593" s="46"/>
      <c r="AW1593" s="46"/>
      <c r="AX1593" s="46"/>
      <c r="AY1593" s="34" t="s">
        <v>289</v>
      </c>
      <c r="AZ1593" s="34"/>
      <c r="BA1593" s="47"/>
      <c r="BB1593" s="48"/>
      <c r="BI1593" s="42"/>
      <c r="BK1593" s="170"/>
    </row>
    <row r="1594" spans="1:63" s="169" customFormat="1" ht="19.350000000000001" hidden="1" customHeight="1">
      <c r="A1594" s="127"/>
      <c r="B1594" s="33"/>
      <c r="C1594" s="38" t="s">
        <v>138</v>
      </c>
      <c r="D1594" s="35">
        <f t="shared" si="316"/>
        <v>0.37999999999999978</v>
      </c>
      <c r="E1594" s="35"/>
      <c r="F1594" s="35">
        <f t="shared" si="320"/>
        <v>0.37999999999999978</v>
      </c>
      <c r="G1594" s="141">
        <f>G1590-G1591-G1592-G1593</f>
        <v>0</v>
      </c>
      <c r="H1594" s="141">
        <f t="shared" ref="H1594:AW1594" si="323">H1590-H1591-H1592-H1593</f>
        <v>0</v>
      </c>
      <c r="I1594" s="141">
        <f t="shared" si="323"/>
        <v>0</v>
      </c>
      <c r="J1594" s="141">
        <f t="shared" si="323"/>
        <v>0</v>
      </c>
      <c r="K1594" s="141">
        <f t="shared" si="323"/>
        <v>0</v>
      </c>
      <c r="L1594" s="141">
        <f t="shared" si="323"/>
        <v>0</v>
      </c>
      <c r="M1594" s="141">
        <f t="shared" si="323"/>
        <v>0.31999999999999978</v>
      </c>
      <c r="N1594" s="141">
        <f t="shared" si="323"/>
        <v>0</v>
      </c>
      <c r="O1594" s="141">
        <f t="shared" si="323"/>
        <v>0</v>
      </c>
      <c r="P1594" s="141">
        <f t="shared" si="323"/>
        <v>0</v>
      </c>
      <c r="Q1594" s="141">
        <f t="shared" si="323"/>
        <v>0</v>
      </c>
      <c r="R1594" s="141">
        <f t="shared" si="323"/>
        <v>0</v>
      </c>
      <c r="S1594" s="141">
        <f t="shared" si="323"/>
        <v>0</v>
      </c>
      <c r="T1594" s="141">
        <f t="shared" si="323"/>
        <v>0</v>
      </c>
      <c r="U1594" s="141">
        <f t="shared" si="323"/>
        <v>0</v>
      </c>
      <c r="V1594" s="141">
        <f t="shared" si="323"/>
        <v>0</v>
      </c>
      <c r="W1594" s="141">
        <f t="shared" si="323"/>
        <v>0</v>
      </c>
      <c r="X1594" s="141">
        <f t="shared" si="323"/>
        <v>0</v>
      </c>
      <c r="Y1594" s="141">
        <f t="shared" si="323"/>
        <v>0</v>
      </c>
      <c r="Z1594" s="141">
        <f t="shared" si="323"/>
        <v>0</v>
      </c>
      <c r="AA1594" s="141">
        <f t="shared" si="323"/>
        <v>0</v>
      </c>
      <c r="AB1594" s="141">
        <f t="shared" si="323"/>
        <v>0</v>
      </c>
      <c r="AC1594" s="141">
        <f t="shared" si="323"/>
        <v>0</v>
      </c>
      <c r="AD1594" s="141">
        <f t="shared" si="323"/>
        <v>0</v>
      </c>
      <c r="AE1594" s="141">
        <f t="shared" si="323"/>
        <v>0</v>
      </c>
      <c r="AF1594" s="141">
        <f t="shared" si="323"/>
        <v>0</v>
      </c>
      <c r="AG1594" s="141">
        <f t="shared" si="323"/>
        <v>0</v>
      </c>
      <c r="AH1594" s="141">
        <f t="shared" si="323"/>
        <v>0</v>
      </c>
      <c r="AI1594" s="141">
        <f t="shared" si="323"/>
        <v>0</v>
      </c>
      <c r="AJ1594" s="141">
        <f t="shared" si="323"/>
        <v>0</v>
      </c>
      <c r="AK1594" s="141">
        <f t="shared" si="323"/>
        <v>0</v>
      </c>
      <c r="AL1594" s="141">
        <f t="shared" si="323"/>
        <v>0</v>
      </c>
      <c r="AM1594" s="141">
        <f t="shared" si="323"/>
        <v>0</v>
      </c>
      <c r="AN1594" s="141">
        <f t="shared" si="323"/>
        <v>0</v>
      </c>
      <c r="AO1594" s="141">
        <f t="shared" si="323"/>
        <v>0</v>
      </c>
      <c r="AP1594" s="141">
        <f t="shared" si="323"/>
        <v>0</v>
      </c>
      <c r="AQ1594" s="141">
        <f t="shared" si="323"/>
        <v>0.06</v>
      </c>
      <c r="AR1594" s="141">
        <f t="shared" si="323"/>
        <v>0</v>
      </c>
      <c r="AS1594" s="141">
        <f t="shared" si="323"/>
        <v>0</v>
      </c>
      <c r="AT1594" s="141">
        <f t="shared" si="323"/>
        <v>0</v>
      </c>
      <c r="AU1594" s="141">
        <f t="shared" si="323"/>
        <v>0</v>
      </c>
      <c r="AV1594" s="141">
        <f t="shared" si="323"/>
        <v>0</v>
      </c>
      <c r="AW1594" s="141">
        <f t="shared" si="323"/>
        <v>0</v>
      </c>
      <c r="AX1594" s="141">
        <f>AX1590-AX1591-AX1592-AX1593</f>
        <v>0</v>
      </c>
      <c r="AY1594" s="34" t="s">
        <v>289</v>
      </c>
      <c r="AZ1594" s="34"/>
      <c r="BA1594" s="47"/>
      <c r="BB1594" s="48"/>
      <c r="BI1594" s="42"/>
      <c r="BK1594" s="170"/>
    </row>
    <row r="1595" spans="1:63" s="169" customFormat="1" ht="31.5">
      <c r="A1595" s="127">
        <f>A1590+1</f>
        <v>893</v>
      </c>
      <c r="B1595" s="33" t="s">
        <v>1768</v>
      </c>
      <c r="C1595" s="38" t="s">
        <v>1260</v>
      </c>
      <c r="D1595" s="35">
        <f t="shared" si="316"/>
        <v>2.5500000000000003</v>
      </c>
      <c r="E1595" s="35"/>
      <c r="F1595" s="35">
        <f t="shared" si="320"/>
        <v>2.5500000000000003</v>
      </c>
      <c r="G1595" s="46">
        <v>0.06</v>
      </c>
      <c r="H1595" s="46"/>
      <c r="I1595" s="46">
        <v>2.27</v>
      </c>
      <c r="J1595" s="46"/>
      <c r="K1595" s="46"/>
      <c r="L1595" s="46"/>
      <c r="M1595" s="46"/>
      <c r="N1595" s="46"/>
      <c r="O1595" s="46"/>
      <c r="P1595" s="46"/>
      <c r="Q1595" s="46"/>
      <c r="R1595" s="46"/>
      <c r="S1595" s="46"/>
      <c r="T1595" s="46"/>
      <c r="U1595" s="46"/>
      <c r="V1595" s="46"/>
      <c r="W1595" s="46"/>
      <c r="X1595" s="46"/>
      <c r="Y1595" s="46"/>
      <c r="Z1595" s="46">
        <v>0.04</v>
      </c>
      <c r="AA1595" s="46">
        <v>0.14000000000000001</v>
      </c>
      <c r="AB1595" s="46"/>
      <c r="AC1595" s="46"/>
      <c r="AD1595" s="46"/>
      <c r="AE1595" s="46"/>
      <c r="AF1595" s="46"/>
      <c r="AG1595" s="46"/>
      <c r="AH1595" s="46"/>
      <c r="AI1595" s="46"/>
      <c r="AJ1595" s="46"/>
      <c r="AK1595" s="46">
        <v>0.04</v>
      </c>
      <c r="AL1595" s="46"/>
      <c r="AM1595" s="46"/>
      <c r="AN1595" s="46"/>
      <c r="AO1595" s="46"/>
      <c r="AP1595" s="46"/>
      <c r="AQ1595" s="46"/>
      <c r="AR1595" s="46"/>
      <c r="AS1595" s="46"/>
      <c r="AT1595" s="46"/>
      <c r="AU1595" s="46"/>
      <c r="AV1595" s="46"/>
      <c r="AW1595" s="46"/>
      <c r="AX1595" s="46"/>
      <c r="AY1595" s="34" t="s">
        <v>289</v>
      </c>
      <c r="AZ1595" s="34" t="s">
        <v>384</v>
      </c>
      <c r="BA1595" s="63" t="s">
        <v>291</v>
      </c>
      <c r="BB1595" s="64"/>
      <c r="BI1595" s="42">
        <v>1</v>
      </c>
      <c r="BK1595" s="170"/>
    </row>
    <row r="1596" spans="1:63" s="169" customFormat="1" hidden="1">
      <c r="A1596" s="127"/>
      <c r="B1596" s="33"/>
      <c r="C1596" s="38" t="s">
        <v>57</v>
      </c>
      <c r="D1596" s="35">
        <f t="shared" si="316"/>
        <v>0.97</v>
      </c>
      <c r="E1596" s="35"/>
      <c r="F1596" s="35">
        <f t="shared" si="320"/>
        <v>0.97</v>
      </c>
      <c r="G1596" s="46">
        <v>0.06</v>
      </c>
      <c r="H1596" s="46"/>
      <c r="I1596" s="46">
        <v>0.86</v>
      </c>
      <c r="J1596" s="46"/>
      <c r="K1596" s="46"/>
      <c r="L1596" s="46"/>
      <c r="M1596" s="46"/>
      <c r="N1596" s="46"/>
      <c r="O1596" s="46"/>
      <c r="P1596" s="46"/>
      <c r="Q1596" s="46"/>
      <c r="R1596" s="46"/>
      <c r="S1596" s="46"/>
      <c r="T1596" s="46"/>
      <c r="U1596" s="46"/>
      <c r="V1596" s="46"/>
      <c r="W1596" s="46"/>
      <c r="X1596" s="46"/>
      <c r="Y1596" s="46"/>
      <c r="Z1596" s="46"/>
      <c r="AA1596" s="46">
        <v>0.05</v>
      </c>
      <c r="AB1596" s="46"/>
      <c r="AC1596" s="46"/>
      <c r="AD1596" s="46"/>
      <c r="AE1596" s="46"/>
      <c r="AF1596" s="46"/>
      <c r="AG1596" s="46"/>
      <c r="AH1596" s="46"/>
      <c r="AI1596" s="46"/>
      <c r="AJ1596" s="46"/>
      <c r="AK1596" s="46"/>
      <c r="AL1596" s="46"/>
      <c r="AM1596" s="46"/>
      <c r="AN1596" s="46"/>
      <c r="AO1596" s="46"/>
      <c r="AP1596" s="46"/>
      <c r="AQ1596" s="46"/>
      <c r="AR1596" s="46"/>
      <c r="AS1596" s="46"/>
      <c r="AT1596" s="46"/>
      <c r="AU1596" s="46"/>
      <c r="AV1596" s="46"/>
      <c r="AW1596" s="46"/>
      <c r="AX1596" s="46"/>
      <c r="AY1596" s="34" t="s">
        <v>289</v>
      </c>
      <c r="AZ1596" s="34"/>
      <c r="BA1596" s="63"/>
      <c r="BB1596" s="64"/>
      <c r="BI1596" s="42"/>
      <c r="BK1596" s="170"/>
    </row>
    <row r="1597" spans="1:63" s="169" customFormat="1" hidden="1">
      <c r="A1597" s="127"/>
      <c r="B1597" s="33"/>
      <c r="C1597" s="38" t="s">
        <v>44</v>
      </c>
      <c r="D1597" s="35">
        <f t="shared" si="316"/>
        <v>0.95</v>
      </c>
      <c r="E1597" s="35"/>
      <c r="F1597" s="35">
        <f t="shared" si="320"/>
        <v>0.95</v>
      </c>
      <c r="G1597" s="46"/>
      <c r="H1597" s="46"/>
      <c r="I1597" s="46">
        <v>0.82</v>
      </c>
      <c r="J1597" s="46"/>
      <c r="K1597" s="46"/>
      <c r="L1597" s="46"/>
      <c r="M1597" s="46"/>
      <c r="N1597" s="46"/>
      <c r="O1597" s="46"/>
      <c r="P1597" s="46"/>
      <c r="Q1597" s="46"/>
      <c r="R1597" s="46"/>
      <c r="S1597" s="46"/>
      <c r="T1597" s="46"/>
      <c r="U1597" s="46"/>
      <c r="V1597" s="46"/>
      <c r="W1597" s="46"/>
      <c r="X1597" s="46"/>
      <c r="Y1597" s="46"/>
      <c r="Z1597" s="46"/>
      <c r="AA1597" s="46">
        <v>0.09</v>
      </c>
      <c r="AB1597" s="46"/>
      <c r="AC1597" s="46"/>
      <c r="AD1597" s="46"/>
      <c r="AE1597" s="46"/>
      <c r="AF1597" s="46"/>
      <c r="AG1597" s="46"/>
      <c r="AH1597" s="46"/>
      <c r="AI1597" s="46"/>
      <c r="AJ1597" s="46"/>
      <c r="AK1597" s="46">
        <v>0.04</v>
      </c>
      <c r="AL1597" s="46"/>
      <c r="AM1597" s="46"/>
      <c r="AN1597" s="46"/>
      <c r="AO1597" s="46"/>
      <c r="AP1597" s="46"/>
      <c r="AQ1597" s="46"/>
      <c r="AR1597" s="46"/>
      <c r="AS1597" s="46"/>
      <c r="AT1597" s="46"/>
      <c r="AU1597" s="46"/>
      <c r="AV1597" s="46"/>
      <c r="AW1597" s="46"/>
      <c r="AX1597" s="46"/>
      <c r="AY1597" s="34" t="s">
        <v>289</v>
      </c>
      <c r="AZ1597" s="34"/>
      <c r="BA1597" s="63"/>
      <c r="BB1597" s="64"/>
      <c r="BI1597" s="42"/>
      <c r="BK1597" s="170"/>
    </row>
    <row r="1598" spans="1:63" s="169" customFormat="1" hidden="1">
      <c r="A1598" s="127"/>
      <c r="B1598" s="33"/>
      <c r="C1598" s="38" t="s">
        <v>45</v>
      </c>
      <c r="D1598" s="35">
        <f>E1598+F1598</f>
        <v>0.2</v>
      </c>
      <c r="E1598" s="35"/>
      <c r="F1598" s="35">
        <f>SUM(G1598:AX1598)</f>
        <v>0.2</v>
      </c>
      <c r="G1598" s="46"/>
      <c r="H1598" s="46"/>
      <c r="I1598" s="46">
        <v>0.2</v>
      </c>
      <c r="J1598" s="46"/>
      <c r="K1598" s="46"/>
      <c r="L1598" s="46"/>
      <c r="M1598" s="46"/>
      <c r="N1598" s="46"/>
      <c r="O1598" s="46"/>
      <c r="P1598" s="46"/>
      <c r="Q1598" s="46"/>
      <c r="R1598" s="46"/>
      <c r="S1598" s="46"/>
      <c r="T1598" s="46"/>
      <c r="U1598" s="46"/>
      <c r="V1598" s="46"/>
      <c r="W1598" s="46"/>
      <c r="X1598" s="46"/>
      <c r="Y1598" s="46"/>
      <c r="Z1598" s="46"/>
      <c r="AA1598" s="46"/>
      <c r="AB1598" s="46"/>
      <c r="AC1598" s="46"/>
      <c r="AD1598" s="46"/>
      <c r="AE1598" s="46"/>
      <c r="AF1598" s="46"/>
      <c r="AG1598" s="46"/>
      <c r="AH1598" s="46"/>
      <c r="AI1598" s="46"/>
      <c r="AJ1598" s="46"/>
      <c r="AK1598" s="46"/>
      <c r="AL1598" s="46"/>
      <c r="AM1598" s="46"/>
      <c r="AN1598" s="46"/>
      <c r="AO1598" s="46"/>
      <c r="AP1598" s="46"/>
      <c r="AQ1598" s="46"/>
      <c r="AR1598" s="46"/>
      <c r="AS1598" s="46"/>
      <c r="AT1598" s="46"/>
      <c r="AU1598" s="46"/>
      <c r="AV1598" s="46"/>
      <c r="AW1598" s="46"/>
      <c r="AX1598" s="46"/>
      <c r="AY1598" s="34" t="s">
        <v>289</v>
      </c>
      <c r="AZ1598" s="34"/>
      <c r="BA1598" s="63"/>
      <c r="BB1598" s="64"/>
      <c r="BI1598" s="42"/>
      <c r="BK1598" s="170"/>
    </row>
    <row r="1599" spans="1:63" s="169" customFormat="1" hidden="1">
      <c r="A1599" s="127"/>
      <c r="B1599" s="33"/>
      <c r="C1599" s="38" t="s">
        <v>138</v>
      </c>
      <c r="D1599" s="35">
        <f t="shared" si="316"/>
        <v>0.43000000000000016</v>
      </c>
      <c r="E1599" s="35"/>
      <c r="F1599" s="35">
        <f t="shared" si="320"/>
        <v>0.43000000000000016</v>
      </c>
      <c r="G1599" s="153">
        <f>G1595-G1596-G1597-G1598</f>
        <v>0</v>
      </c>
      <c r="H1599" s="153">
        <f t="shared" ref="H1599:AX1599" si="324">H1595-H1596-H1597-H1598</f>
        <v>0</v>
      </c>
      <c r="I1599" s="153">
        <f t="shared" si="324"/>
        <v>0.39000000000000018</v>
      </c>
      <c r="J1599" s="153">
        <f t="shared" si="324"/>
        <v>0</v>
      </c>
      <c r="K1599" s="153">
        <f t="shared" si="324"/>
        <v>0</v>
      </c>
      <c r="L1599" s="153">
        <f t="shared" si="324"/>
        <v>0</v>
      </c>
      <c r="M1599" s="153">
        <f t="shared" si="324"/>
        <v>0</v>
      </c>
      <c r="N1599" s="153">
        <f t="shared" si="324"/>
        <v>0</v>
      </c>
      <c r="O1599" s="153">
        <f t="shared" si="324"/>
        <v>0</v>
      </c>
      <c r="P1599" s="153">
        <f t="shared" si="324"/>
        <v>0</v>
      </c>
      <c r="Q1599" s="153">
        <f t="shared" si="324"/>
        <v>0</v>
      </c>
      <c r="R1599" s="153">
        <f t="shared" si="324"/>
        <v>0</v>
      </c>
      <c r="S1599" s="153">
        <f t="shared" si="324"/>
        <v>0</v>
      </c>
      <c r="T1599" s="153">
        <f t="shared" si="324"/>
        <v>0</v>
      </c>
      <c r="U1599" s="153">
        <f t="shared" si="324"/>
        <v>0</v>
      </c>
      <c r="V1599" s="153">
        <f t="shared" si="324"/>
        <v>0</v>
      </c>
      <c r="W1599" s="153">
        <f t="shared" si="324"/>
        <v>0</v>
      </c>
      <c r="X1599" s="153">
        <f t="shared" si="324"/>
        <v>0</v>
      </c>
      <c r="Y1599" s="153">
        <f t="shared" si="324"/>
        <v>0</v>
      </c>
      <c r="Z1599" s="153">
        <f t="shared" si="324"/>
        <v>0.04</v>
      </c>
      <c r="AA1599" s="153">
        <f t="shared" si="324"/>
        <v>1.3877787807814457E-17</v>
      </c>
      <c r="AB1599" s="153">
        <f t="shared" si="324"/>
        <v>0</v>
      </c>
      <c r="AC1599" s="153">
        <f t="shared" si="324"/>
        <v>0</v>
      </c>
      <c r="AD1599" s="153">
        <f t="shared" si="324"/>
        <v>0</v>
      </c>
      <c r="AE1599" s="153">
        <f t="shared" si="324"/>
        <v>0</v>
      </c>
      <c r="AF1599" s="153">
        <f t="shared" si="324"/>
        <v>0</v>
      </c>
      <c r="AG1599" s="153">
        <f t="shared" si="324"/>
        <v>0</v>
      </c>
      <c r="AH1599" s="153">
        <f t="shared" si="324"/>
        <v>0</v>
      </c>
      <c r="AI1599" s="153">
        <f t="shared" si="324"/>
        <v>0</v>
      </c>
      <c r="AJ1599" s="153">
        <f t="shared" si="324"/>
        <v>0</v>
      </c>
      <c r="AK1599" s="153">
        <f t="shared" si="324"/>
        <v>0</v>
      </c>
      <c r="AL1599" s="153">
        <f t="shared" si="324"/>
        <v>0</v>
      </c>
      <c r="AM1599" s="153">
        <f t="shared" si="324"/>
        <v>0</v>
      </c>
      <c r="AN1599" s="153">
        <f t="shared" si="324"/>
        <v>0</v>
      </c>
      <c r="AO1599" s="153">
        <f t="shared" si="324"/>
        <v>0</v>
      </c>
      <c r="AP1599" s="153">
        <f t="shared" si="324"/>
        <v>0</v>
      </c>
      <c r="AQ1599" s="153">
        <f t="shared" si="324"/>
        <v>0</v>
      </c>
      <c r="AR1599" s="153">
        <f t="shared" si="324"/>
        <v>0</v>
      </c>
      <c r="AS1599" s="153">
        <f t="shared" si="324"/>
        <v>0</v>
      </c>
      <c r="AT1599" s="153">
        <f t="shared" si="324"/>
        <v>0</v>
      </c>
      <c r="AU1599" s="153">
        <f t="shared" si="324"/>
        <v>0</v>
      </c>
      <c r="AV1599" s="153">
        <f t="shared" si="324"/>
        <v>0</v>
      </c>
      <c r="AW1599" s="153">
        <f t="shared" si="324"/>
        <v>0</v>
      </c>
      <c r="AX1599" s="153">
        <f t="shared" si="324"/>
        <v>0</v>
      </c>
      <c r="AY1599" s="34" t="s">
        <v>289</v>
      </c>
      <c r="AZ1599" s="34"/>
      <c r="BA1599" s="63"/>
      <c r="BB1599" s="64"/>
      <c r="BI1599" s="42"/>
      <c r="BK1599" s="170"/>
    </row>
    <row r="1600" spans="1:63" s="169" customFormat="1" ht="31.5">
      <c r="A1600" s="127">
        <f>A1595+1</f>
        <v>894</v>
      </c>
      <c r="B1600" s="33" t="s">
        <v>1769</v>
      </c>
      <c r="C1600" s="38" t="s">
        <v>1260</v>
      </c>
      <c r="D1600" s="35">
        <f t="shared" si="316"/>
        <v>3.7699999999999996</v>
      </c>
      <c r="E1600" s="35"/>
      <c r="F1600" s="35">
        <f t="shared" si="320"/>
        <v>3.7699999999999996</v>
      </c>
      <c r="G1600" s="46">
        <v>2.21</v>
      </c>
      <c r="H1600" s="46"/>
      <c r="I1600" s="46">
        <v>0.3</v>
      </c>
      <c r="J1600" s="46">
        <v>0.54</v>
      </c>
      <c r="K1600" s="46"/>
      <c r="L1600" s="46"/>
      <c r="M1600" s="46"/>
      <c r="N1600" s="46"/>
      <c r="O1600" s="46"/>
      <c r="P1600" s="46"/>
      <c r="Q1600" s="46"/>
      <c r="R1600" s="46"/>
      <c r="S1600" s="46"/>
      <c r="T1600" s="46"/>
      <c r="U1600" s="46"/>
      <c r="V1600" s="46"/>
      <c r="W1600" s="46"/>
      <c r="X1600" s="46"/>
      <c r="Y1600" s="46"/>
      <c r="Z1600" s="46">
        <f>0.41+0.2+0.04</f>
        <v>0.65</v>
      </c>
      <c r="AA1600" s="46">
        <v>7.0000000000000007E-2</v>
      </c>
      <c r="AB1600" s="46"/>
      <c r="AC1600" s="46"/>
      <c r="AD1600" s="46"/>
      <c r="AE1600" s="46"/>
      <c r="AF1600" s="46"/>
      <c r="AG1600" s="46"/>
      <c r="AH1600" s="46"/>
      <c r="AI1600" s="46"/>
      <c r="AJ1600" s="46"/>
      <c r="AK1600" s="46"/>
      <c r="AL1600" s="46"/>
      <c r="AM1600" s="46"/>
      <c r="AN1600" s="46"/>
      <c r="AO1600" s="46"/>
      <c r="AP1600" s="46"/>
      <c r="AQ1600" s="46"/>
      <c r="AR1600" s="46"/>
      <c r="AS1600" s="46"/>
      <c r="AT1600" s="46"/>
      <c r="AU1600" s="46"/>
      <c r="AV1600" s="46"/>
      <c r="AW1600" s="46"/>
      <c r="AX1600" s="46"/>
      <c r="AY1600" s="34" t="s">
        <v>289</v>
      </c>
      <c r="AZ1600" s="34" t="s">
        <v>1770</v>
      </c>
      <c r="BA1600" s="47" t="s">
        <v>298</v>
      </c>
      <c r="BB1600" s="64"/>
      <c r="BC1600" s="169" t="s">
        <v>381</v>
      </c>
      <c r="BI1600" s="42">
        <v>1</v>
      </c>
      <c r="BK1600" s="170"/>
    </row>
    <row r="1601" spans="1:63" s="169" customFormat="1" hidden="1">
      <c r="A1601" s="127"/>
      <c r="B1601" s="33"/>
      <c r="C1601" s="38" t="s">
        <v>57</v>
      </c>
      <c r="D1601" s="35">
        <f t="shared" si="316"/>
        <v>1.43</v>
      </c>
      <c r="E1601" s="35"/>
      <c r="F1601" s="35">
        <f t="shared" si="320"/>
        <v>1.43</v>
      </c>
      <c r="G1601" s="46">
        <v>0.67</v>
      </c>
      <c r="H1601" s="46"/>
      <c r="I1601" s="46">
        <v>0.1</v>
      </c>
      <c r="J1601" s="46">
        <v>0.24</v>
      </c>
      <c r="K1601" s="46"/>
      <c r="L1601" s="46"/>
      <c r="M1601" s="46"/>
      <c r="N1601" s="46"/>
      <c r="O1601" s="46"/>
      <c r="P1601" s="46"/>
      <c r="Q1601" s="46"/>
      <c r="R1601" s="46"/>
      <c r="S1601" s="46"/>
      <c r="T1601" s="46"/>
      <c r="U1601" s="46"/>
      <c r="V1601" s="46"/>
      <c r="W1601" s="46"/>
      <c r="X1601" s="46"/>
      <c r="Y1601" s="46"/>
      <c r="Z1601" s="46">
        <v>0.35</v>
      </c>
      <c r="AA1601" s="46">
        <v>7.0000000000000007E-2</v>
      </c>
      <c r="AB1601" s="46"/>
      <c r="AC1601" s="46"/>
      <c r="AD1601" s="46"/>
      <c r="AE1601" s="46"/>
      <c r="AF1601" s="46"/>
      <c r="AG1601" s="46"/>
      <c r="AH1601" s="46"/>
      <c r="AI1601" s="46"/>
      <c r="AJ1601" s="46"/>
      <c r="AK1601" s="46"/>
      <c r="AL1601" s="46"/>
      <c r="AM1601" s="46"/>
      <c r="AN1601" s="46"/>
      <c r="AO1601" s="46"/>
      <c r="AP1601" s="46"/>
      <c r="AQ1601" s="46"/>
      <c r="AR1601" s="46"/>
      <c r="AS1601" s="46"/>
      <c r="AT1601" s="46"/>
      <c r="AU1601" s="46"/>
      <c r="AV1601" s="46"/>
      <c r="AW1601" s="46"/>
      <c r="AX1601" s="46"/>
      <c r="AY1601" s="34" t="s">
        <v>289</v>
      </c>
      <c r="AZ1601" s="34"/>
      <c r="BA1601" s="47"/>
      <c r="BB1601" s="64"/>
      <c r="BI1601" s="42"/>
      <c r="BK1601" s="170"/>
    </row>
    <row r="1602" spans="1:63" s="169" customFormat="1" hidden="1">
      <c r="A1602" s="127"/>
      <c r="B1602" s="33"/>
      <c r="C1602" s="38" t="s">
        <v>44</v>
      </c>
      <c r="D1602" s="35">
        <f t="shared" si="316"/>
        <v>1.4</v>
      </c>
      <c r="E1602" s="35"/>
      <c r="F1602" s="35">
        <f t="shared" si="320"/>
        <v>1.4</v>
      </c>
      <c r="G1602" s="46">
        <v>1.1499999999999999</v>
      </c>
      <c r="H1602" s="46"/>
      <c r="I1602" s="46">
        <v>0.1</v>
      </c>
      <c r="J1602" s="46">
        <v>0.15</v>
      </c>
      <c r="K1602" s="46"/>
      <c r="L1602" s="46"/>
      <c r="M1602" s="46"/>
      <c r="N1602" s="46"/>
      <c r="O1602" s="46"/>
      <c r="P1602" s="46"/>
      <c r="Q1602" s="46"/>
      <c r="R1602" s="46"/>
      <c r="S1602" s="46"/>
      <c r="T1602" s="46"/>
      <c r="U1602" s="46"/>
      <c r="V1602" s="46"/>
      <c r="W1602" s="46"/>
      <c r="X1602" s="46"/>
      <c r="Y1602" s="46"/>
      <c r="Z1602" s="46"/>
      <c r="AA1602" s="46"/>
      <c r="AB1602" s="46"/>
      <c r="AC1602" s="46"/>
      <c r="AD1602" s="46"/>
      <c r="AE1602" s="46"/>
      <c r="AF1602" s="46"/>
      <c r="AG1602" s="46"/>
      <c r="AH1602" s="46"/>
      <c r="AI1602" s="46"/>
      <c r="AJ1602" s="46"/>
      <c r="AK1602" s="46"/>
      <c r="AL1602" s="46"/>
      <c r="AM1602" s="46"/>
      <c r="AN1602" s="46"/>
      <c r="AO1602" s="46"/>
      <c r="AP1602" s="46"/>
      <c r="AQ1602" s="46"/>
      <c r="AR1602" s="46"/>
      <c r="AS1602" s="46"/>
      <c r="AT1602" s="46"/>
      <c r="AU1602" s="46"/>
      <c r="AV1602" s="46"/>
      <c r="AW1602" s="46"/>
      <c r="AX1602" s="46"/>
      <c r="AY1602" s="34" t="s">
        <v>289</v>
      </c>
      <c r="AZ1602" s="34"/>
      <c r="BA1602" s="47"/>
      <c r="BB1602" s="64"/>
      <c r="BI1602" s="42"/>
      <c r="BK1602" s="170"/>
    </row>
    <row r="1603" spans="1:63" s="169" customFormat="1" hidden="1">
      <c r="A1603" s="127"/>
      <c r="B1603" s="33"/>
      <c r="C1603" s="38" t="s">
        <v>45</v>
      </c>
      <c r="D1603" s="35">
        <f>E1603+F1603</f>
        <v>0.35</v>
      </c>
      <c r="E1603" s="35"/>
      <c r="F1603" s="35">
        <f>SUM(G1603:AX1603)</f>
        <v>0.35</v>
      </c>
      <c r="G1603" s="46">
        <v>0.1</v>
      </c>
      <c r="H1603" s="46"/>
      <c r="I1603" s="46"/>
      <c r="J1603" s="46">
        <v>0.15</v>
      </c>
      <c r="K1603" s="46"/>
      <c r="L1603" s="46"/>
      <c r="M1603" s="46"/>
      <c r="N1603" s="46"/>
      <c r="O1603" s="46"/>
      <c r="P1603" s="46"/>
      <c r="Q1603" s="46"/>
      <c r="R1603" s="46"/>
      <c r="S1603" s="46"/>
      <c r="T1603" s="46"/>
      <c r="U1603" s="46"/>
      <c r="V1603" s="46"/>
      <c r="W1603" s="46"/>
      <c r="X1603" s="46"/>
      <c r="Y1603" s="46"/>
      <c r="Z1603" s="46">
        <v>0.1</v>
      </c>
      <c r="AA1603" s="46"/>
      <c r="AB1603" s="46"/>
      <c r="AC1603" s="46"/>
      <c r="AD1603" s="46"/>
      <c r="AE1603" s="46"/>
      <c r="AF1603" s="46"/>
      <c r="AG1603" s="46"/>
      <c r="AH1603" s="46"/>
      <c r="AI1603" s="46"/>
      <c r="AJ1603" s="46"/>
      <c r="AK1603" s="46"/>
      <c r="AL1603" s="46"/>
      <c r="AM1603" s="46"/>
      <c r="AN1603" s="46"/>
      <c r="AO1603" s="46"/>
      <c r="AP1603" s="46"/>
      <c r="AQ1603" s="46"/>
      <c r="AR1603" s="46"/>
      <c r="AS1603" s="46"/>
      <c r="AT1603" s="46"/>
      <c r="AU1603" s="46"/>
      <c r="AV1603" s="46"/>
      <c r="AW1603" s="46"/>
      <c r="AX1603" s="46"/>
      <c r="AY1603" s="34" t="s">
        <v>289</v>
      </c>
      <c r="AZ1603" s="34"/>
      <c r="BA1603" s="47"/>
      <c r="BB1603" s="64"/>
      <c r="BI1603" s="42"/>
      <c r="BK1603" s="170"/>
    </row>
    <row r="1604" spans="1:63" s="169" customFormat="1" hidden="1">
      <c r="A1604" s="127"/>
      <c r="B1604" s="33"/>
      <c r="C1604" s="38" t="s">
        <v>138</v>
      </c>
      <c r="D1604" s="35">
        <f t="shared" si="316"/>
        <v>0.59000000000000019</v>
      </c>
      <c r="E1604" s="35"/>
      <c r="F1604" s="35">
        <f t="shared" si="320"/>
        <v>0.59000000000000019</v>
      </c>
      <c r="G1604" s="153">
        <f>G1600-G1601-G1602-G1603</f>
        <v>0.29000000000000015</v>
      </c>
      <c r="H1604" s="153">
        <f t="shared" ref="H1604:AX1604" si="325">H1600-H1601-H1602-H1603</f>
        <v>0</v>
      </c>
      <c r="I1604" s="153">
        <f t="shared" si="325"/>
        <v>9.9999999999999978E-2</v>
      </c>
      <c r="J1604" s="153">
        <f t="shared" si="325"/>
        <v>0</v>
      </c>
      <c r="K1604" s="153">
        <f t="shared" si="325"/>
        <v>0</v>
      </c>
      <c r="L1604" s="153">
        <f t="shared" si="325"/>
        <v>0</v>
      </c>
      <c r="M1604" s="153">
        <f t="shared" si="325"/>
        <v>0</v>
      </c>
      <c r="N1604" s="153">
        <f t="shared" si="325"/>
        <v>0</v>
      </c>
      <c r="O1604" s="153">
        <f t="shared" si="325"/>
        <v>0</v>
      </c>
      <c r="P1604" s="153">
        <f t="shared" si="325"/>
        <v>0</v>
      </c>
      <c r="Q1604" s="153">
        <f t="shared" si="325"/>
        <v>0</v>
      </c>
      <c r="R1604" s="153">
        <f t="shared" si="325"/>
        <v>0</v>
      </c>
      <c r="S1604" s="153">
        <f t="shared" si="325"/>
        <v>0</v>
      </c>
      <c r="T1604" s="153">
        <f t="shared" si="325"/>
        <v>0</v>
      </c>
      <c r="U1604" s="153">
        <f t="shared" si="325"/>
        <v>0</v>
      </c>
      <c r="V1604" s="153">
        <f t="shared" si="325"/>
        <v>0</v>
      </c>
      <c r="W1604" s="153">
        <f t="shared" si="325"/>
        <v>0</v>
      </c>
      <c r="X1604" s="153">
        <f t="shared" si="325"/>
        <v>0</v>
      </c>
      <c r="Y1604" s="153">
        <f t="shared" si="325"/>
        <v>0</v>
      </c>
      <c r="Z1604" s="153">
        <f t="shared" si="325"/>
        <v>0.20000000000000004</v>
      </c>
      <c r="AA1604" s="153">
        <f t="shared" si="325"/>
        <v>0</v>
      </c>
      <c r="AB1604" s="153">
        <f t="shared" si="325"/>
        <v>0</v>
      </c>
      <c r="AC1604" s="153">
        <f t="shared" si="325"/>
        <v>0</v>
      </c>
      <c r="AD1604" s="153">
        <f t="shared" si="325"/>
        <v>0</v>
      </c>
      <c r="AE1604" s="153">
        <f t="shared" si="325"/>
        <v>0</v>
      </c>
      <c r="AF1604" s="153">
        <f t="shared" si="325"/>
        <v>0</v>
      </c>
      <c r="AG1604" s="153">
        <f t="shared" si="325"/>
        <v>0</v>
      </c>
      <c r="AH1604" s="153">
        <f t="shared" si="325"/>
        <v>0</v>
      </c>
      <c r="AI1604" s="153">
        <f t="shared" si="325"/>
        <v>0</v>
      </c>
      <c r="AJ1604" s="153">
        <f t="shared" si="325"/>
        <v>0</v>
      </c>
      <c r="AK1604" s="153">
        <f t="shared" si="325"/>
        <v>0</v>
      </c>
      <c r="AL1604" s="153">
        <f t="shared" si="325"/>
        <v>0</v>
      </c>
      <c r="AM1604" s="153">
        <f t="shared" si="325"/>
        <v>0</v>
      </c>
      <c r="AN1604" s="153">
        <f t="shared" si="325"/>
        <v>0</v>
      </c>
      <c r="AO1604" s="153">
        <f t="shared" si="325"/>
        <v>0</v>
      </c>
      <c r="AP1604" s="153">
        <f t="shared" si="325"/>
        <v>0</v>
      </c>
      <c r="AQ1604" s="153">
        <f t="shared" si="325"/>
        <v>0</v>
      </c>
      <c r="AR1604" s="153">
        <f t="shared" si="325"/>
        <v>0</v>
      </c>
      <c r="AS1604" s="153">
        <f t="shared" si="325"/>
        <v>0</v>
      </c>
      <c r="AT1604" s="153">
        <f t="shared" si="325"/>
        <v>0</v>
      </c>
      <c r="AU1604" s="153">
        <f t="shared" si="325"/>
        <v>0</v>
      </c>
      <c r="AV1604" s="153">
        <f t="shared" si="325"/>
        <v>0</v>
      </c>
      <c r="AW1604" s="153">
        <f t="shared" si="325"/>
        <v>0</v>
      </c>
      <c r="AX1604" s="153">
        <f t="shared" si="325"/>
        <v>0</v>
      </c>
      <c r="AY1604" s="34" t="s">
        <v>289</v>
      </c>
      <c r="AZ1604" s="34"/>
      <c r="BA1604" s="47"/>
      <c r="BB1604" s="64"/>
      <c r="BI1604" s="42"/>
      <c r="BK1604" s="170"/>
    </row>
    <row r="1605" spans="1:63" s="169" customFormat="1" ht="31.5">
      <c r="A1605" s="127">
        <f>A1600+1</f>
        <v>895</v>
      </c>
      <c r="B1605" s="33" t="s">
        <v>1769</v>
      </c>
      <c r="C1605" s="38" t="s">
        <v>1260</v>
      </c>
      <c r="D1605" s="35">
        <f t="shared" si="316"/>
        <v>1.34</v>
      </c>
      <c r="E1605" s="35"/>
      <c r="F1605" s="35">
        <f t="shared" si="320"/>
        <v>1.34</v>
      </c>
      <c r="G1605" s="46">
        <v>0.83</v>
      </c>
      <c r="H1605" s="46"/>
      <c r="I1605" s="46">
        <v>0.19</v>
      </c>
      <c r="J1605" s="46"/>
      <c r="K1605" s="46"/>
      <c r="L1605" s="46"/>
      <c r="M1605" s="46"/>
      <c r="N1605" s="46"/>
      <c r="O1605" s="46"/>
      <c r="P1605" s="46">
        <v>0.3</v>
      </c>
      <c r="Q1605" s="46"/>
      <c r="R1605" s="46"/>
      <c r="S1605" s="46"/>
      <c r="T1605" s="46"/>
      <c r="U1605" s="46"/>
      <c r="V1605" s="46"/>
      <c r="W1605" s="46"/>
      <c r="X1605" s="46"/>
      <c r="Y1605" s="46"/>
      <c r="Z1605" s="46"/>
      <c r="AA1605" s="46">
        <v>0.02</v>
      </c>
      <c r="AB1605" s="46"/>
      <c r="AC1605" s="46"/>
      <c r="AD1605" s="46"/>
      <c r="AE1605" s="46"/>
      <c r="AF1605" s="46"/>
      <c r="AG1605" s="46"/>
      <c r="AH1605" s="46"/>
      <c r="AI1605" s="46"/>
      <c r="AJ1605" s="46"/>
      <c r="AK1605" s="46"/>
      <c r="AL1605" s="46"/>
      <c r="AM1605" s="46"/>
      <c r="AN1605" s="46"/>
      <c r="AO1605" s="46"/>
      <c r="AP1605" s="46"/>
      <c r="AQ1605" s="46"/>
      <c r="AR1605" s="46"/>
      <c r="AS1605" s="46"/>
      <c r="AT1605" s="46"/>
      <c r="AU1605" s="46"/>
      <c r="AV1605" s="46"/>
      <c r="AW1605" s="46"/>
      <c r="AX1605" s="46"/>
      <c r="AY1605" s="34" t="s">
        <v>289</v>
      </c>
      <c r="AZ1605" s="34" t="s">
        <v>1771</v>
      </c>
      <c r="BA1605" s="47" t="s">
        <v>298</v>
      </c>
      <c r="BB1605" s="64"/>
      <c r="BC1605" s="169" t="s">
        <v>381</v>
      </c>
      <c r="BI1605" s="42">
        <v>1</v>
      </c>
      <c r="BK1605" s="170"/>
    </row>
    <row r="1606" spans="1:63" s="169" customFormat="1" hidden="1">
      <c r="A1606" s="127"/>
      <c r="B1606" s="33"/>
      <c r="C1606" s="38" t="s">
        <v>57</v>
      </c>
      <c r="D1606" s="35">
        <f t="shared" si="316"/>
        <v>0.51</v>
      </c>
      <c r="E1606" s="35"/>
      <c r="F1606" s="35">
        <f t="shared" si="320"/>
        <v>0.51</v>
      </c>
      <c r="G1606" s="46">
        <v>0.28999999999999998</v>
      </c>
      <c r="H1606" s="46"/>
      <c r="I1606" s="46">
        <v>0.1</v>
      </c>
      <c r="J1606" s="46"/>
      <c r="K1606" s="46"/>
      <c r="L1606" s="46"/>
      <c r="M1606" s="46"/>
      <c r="N1606" s="46"/>
      <c r="O1606" s="46"/>
      <c r="P1606" s="46">
        <v>0.1</v>
      </c>
      <c r="Q1606" s="46"/>
      <c r="R1606" s="46"/>
      <c r="S1606" s="46"/>
      <c r="T1606" s="46"/>
      <c r="U1606" s="46"/>
      <c r="V1606" s="46"/>
      <c r="W1606" s="46"/>
      <c r="X1606" s="46"/>
      <c r="Y1606" s="46"/>
      <c r="Z1606" s="46"/>
      <c r="AA1606" s="46">
        <v>0.02</v>
      </c>
      <c r="AB1606" s="46"/>
      <c r="AC1606" s="46"/>
      <c r="AD1606" s="46"/>
      <c r="AE1606" s="46"/>
      <c r="AF1606" s="46"/>
      <c r="AG1606" s="46"/>
      <c r="AH1606" s="46"/>
      <c r="AI1606" s="46"/>
      <c r="AJ1606" s="46"/>
      <c r="AK1606" s="46"/>
      <c r="AL1606" s="46"/>
      <c r="AM1606" s="46"/>
      <c r="AN1606" s="46"/>
      <c r="AO1606" s="46"/>
      <c r="AP1606" s="46"/>
      <c r="AQ1606" s="46"/>
      <c r="AR1606" s="46"/>
      <c r="AS1606" s="46"/>
      <c r="AT1606" s="46"/>
      <c r="AU1606" s="46"/>
      <c r="AV1606" s="46"/>
      <c r="AW1606" s="46"/>
      <c r="AX1606" s="46"/>
      <c r="AY1606" s="34" t="s">
        <v>289</v>
      </c>
      <c r="AZ1606" s="34"/>
      <c r="BA1606" s="47"/>
      <c r="BB1606" s="64"/>
      <c r="BI1606" s="42"/>
      <c r="BK1606" s="170"/>
    </row>
    <row r="1607" spans="1:63" s="169" customFormat="1" hidden="1">
      <c r="A1607" s="127"/>
      <c r="B1607" s="33"/>
      <c r="C1607" s="38" t="s">
        <v>44</v>
      </c>
      <c r="D1607" s="35">
        <f t="shared" si="316"/>
        <v>0.5</v>
      </c>
      <c r="E1607" s="35"/>
      <c r="F1607" s="35">
        <f t="shared" si="320"/>
        <v>0.5</v>
      </c>
      <c r="G1607" s="46">
        <v>0.31</v>
      </c>
      <c r="H1607" s="46"/>
      <c r="I1607" s="46">
        <v>0.09</v>
      </c>
      <c r="J1607" s="46"/>
      <c r="K1607" s="46"/>
      <c r="L1607" s="46"/>
      <c r="M1607" s="46"/>
      <c r="N1607" s="46"/>
      <c r="O1607" s="46"/>
      <c r="P1607" s="46">
        <v>0.1</v>
      </c>
      <c r="Q1607" s="46"/>
      <c r="R1607" s="46"/>
      <c r="S1607" s="46"/>
      <c r="T1607" s="46"/>
      <c r="U1607" s="46"/>
      <c r="V1607" s="46"/>
      <c r="W1607" s="46"/>
      <c r="X1607" s="46"/>
      <c r="Y1607" s="46"/>
      <c r="Z1607" s="46"/>
      <c r="AA1607" s="46"/>
      <c r="AB1607" s="46"/>
      <c r="AC1607" s="46"/>
      <c r="AD1607" s="46"/>
      <c r="AE1607" s="46"/>
      <c r="AF1607" s="46"/>
      <c r="AG1607" s="46"/>
      <c r="AH1607" s="46"/>
      <c r="AI1607" s="46"/>
      <c r="AJ1607" s="46"/>
      <c r="AK1607" s="46"/>
      <c r="AL1607" s="46"/>
      <c r="AM1607" s="46"/>
      <c r="AN1607" s="46"/>
      <c r="AO1607" s="46"/>
      <c r="AP1607" s="46"/>
      <c r="AQ1607" s="46"/>
      <c r="AR1607" s="46"/>
      <c r="AS1607" s="46"/>
      <c r="AT1607" s="46"/>
      <c r="AU1607" s="46"/>
      <c r="AV1607" s="46"/>
      <c r="AW1607" s="46"/>
      <c r="AX1607" s="46"/>
      <c r="AY1607" s="34" t="s">
        <v>289</v>
      </c>
      <c r="AZ1607" s="34"/>
      <c r="BA1607" s="47"/>
      <c r="BB1607" s="64"/>
      <c r="BI1607" s="42"/>
      <c r="BK1607" s="170"/>
    </row>
    <row r="1608" spans="1:63" s="169" customFormat="1" hidden="1">
      <c r="A1608" s="127"/>
      <c r="B1608" s="33"/>
      <c r="C1608" s="38" t="s">
        <v>138</v>
      </c>
      <c r="D1608" s="35">
        <f t="shared" si="316"/>
        <v>0.33</v>
      </c>
      <c r="E1608" s="35"/>
      <c r="F1608" s="35">
        <f t="shared" si="320"/>
        <v>0.33</v>
      </c>
      <c r="G1608" s="171">
        <f>G1605-G1606-G1607</f>
        <v>0.23000000000000004</v>
      </c>
      <c r="H1608" s="171">
        <f t="shared" ref="H1608:AX1608" si="326">H1605-H1606-H1607</f>
        <v>0</v>
      </c>
      <c r="I1608" s="171">
        <f t="shared" si="326"/>
        <v>0</v>
      </c>
      <c r="J1608" s="171">
        <f t="shared" si="326"/>
        <v>0</v>
      </c>
      <c r="K1608" s="171">
        <f t="shared" si="326"/>
        <v>0</v>
      </c>
      <c r="L1608" s="171">
        <f t="shared" si="326"/>
        <v>0</v>
      </c>
      <c r="M1608" s="171">
        <f t="shared" si="326"/>
        <v>0</v>
      </c>
      <c r="N1608" s="171">
        <f t="shared" si="326"/>
        <v>0</v>
      </c>
      <c r="O1608" s="171">
        <f t="shared" si="326"/>
        <v>0</v>
      </c>
      <c r="P1608" s="157">
        <f t="shared" si="326"/>
        <v>9.9999999999999978E-2</v>
      </c>
      <c r="Q1608" s="171">
        <f t="shared" si="326"/>
        <v>0</v>
      </c>
      <c r="R1608" s="171">
        <f t="shared" si="326"/>
        <v>0</v>
      </c>
      <c r="S1608" s="171">
        <f t="shared" si="326"/>
        <v>0</v>
      </c>
      <c r="T1608" s="171">
        <f t="shared" si="326"/>
        <v>0</v>
      </c>
      <c r="U1608" s="171">
        <f t="shared" si="326"/>
        <v>0</v>
      </c>
      <c r="V1608" s="171">
        <f t="shared" si="326"/>
        <v>0</v>
      </c>
      <c r="W1608" s="171">
        <f t="shared" si="326"/>
        <v>0</v>
      </c>
      <c r="X1608" s="171">
        <f t="shared" si="326"/>
        <v>0</v>
      </c>
      <c r="Y1608" s="171">
        <f t="shared" si="326"/>
        <v>0</v>
      </c>
      <c r="Z1608" s="171">
        <f t="shared" si="326"/>
        <v>0</v>
      </c>
      <c r="AA1608" s="171">
        <f t="shared" si="326"/>
        <v>0</v>
      </c>
      <c r="AB1608" s="171">
        <f t="shared" si="326"/>
        <v>0</v>
      </c>
      <c r="AC1608" s="171">
        <f t="shared" si="326"/>
        <v>0</v>
      </c>
      <c r="AD1608" s="171">
        <f t="shared" si="326"/>
        <v>0</v>
      </c>
      <c r="AE1608" s="171">
        <f t="shared" si="326"/>
        <v>0</v>
      </c>
      <c r="AF1608" s="171">
        <f t="shared" si="326"/>
        <v>0</v>
      </c>
      <c r="AG1608" s="171">
        <f t="shared" si="326"/>
        <v>0</v>
      </c>
      <c r="AH1608" s="171">
        <f t="shared" si="326"/>
        <v>0</v>
      </c>
      <c r="AI1608" s="171">
        <f t="shared" si="326"/>
        <v>0</v>
      </c>
      <c r="AJ1608" s="171">
        <f t="shared" si="326"/>
        <v>0</v>
      </c>
      <c r="AK1608" s="171">
        <f t="shared" si="326"/>
        <v>0</v>
      </c>
      <c r="AL1608" s="171">
        <f t="shared" si="326"/>
        <v>0</v>
      </c>
      <c r="AM1608" s="171">
        <f t="shared" si="326"/>
        <v>0</v>
      </c>
      <c r="AN1608" s="171">
        <f t="shared" si="326"/>
        <v>0</v>
      </c>
      <c r="AO1608" s="171">
        <f t="shared" si="326"/>
        <v>0</v>
      </c>
      <c r="AP1608" s="171">
        <f t="shared" si="326"/>
        <v>0</v>
      </c>
      <c r="AQ1608" s="171">
        <f t="shared" si="326"/>
        <v>0</v>
      </c>
      <c r="AR1608" s="171">
        <f t="shared" si="326"/>
        <v>0</v>
      </c>
      <c r="AS1608" s="171">
        <f t="shared" si="326"/>
        <v>0</v>
      </c>
      <c r="AT1608" s="171">
        <f t="shared" si="326"/>
        <v>0</v>
      </c>
      <c r="AU1608" s="171">
        <f t="shared" si="326"/>
        <v>0</v>
      </c>
      <c r="AV1608" s="171">
        <f t="shared" si="326"/>
        <v>0</v>
      </c>
      <c r="AW1608" s="171">
        <f t="shared" si="326"/>
        <v>0</v>
      </c>
      <c r="AX1608" s="171">
        <f t="shared" si="326"/>
        <v>0</v>
      </c>
      <c r="AY1608" s="34" t="s">
        <v>289</v>
      </c>
      <c r="AZ1608" s="34"/>
      <c r="BA1608" s="47"/>
      <c r="BB1608" s="64"/>
      <c r="BI1608" s="42"/>
      <c r="BK1608" s="170"/>
    </row>
    <row r="1609" spans="1:63" s="169" customFormat="1">
      <c r="A1609" s="127">
        <f>A1605+1</f>
        <v>896</v>
      </c>
      <c r="B1609" s="33" t="s">
        <v>1772</v>
      </c>
      <c r="C1609" s="38" t="s">
        <v>1260</v>
      </c>
      <c r="D1609" s="35">
        <f t="shared" si="316"/>
        <v>0.85</v>
      </c>
      <c r="E1609" s="35"/>
      <c r="F1609" s="35">
        <f t="shared" si="320"/>
        <v>0.85</v>
      </c>
      <c r="G1609" s="46">
        <v>0.64</v>
      </c>
      <c r="H1609" s="46"/>
      <c r="I1609" s="46">
        <v>0.1</v>
      </c>
      <c r="J1609" s="46">
        <v>0.11</v>
      </c>
      <c r="K1609" s="46"/>
      <c r="L1609" s="46"/>
      <c r="M1609" s="46"/>
      <c r="N1609" s="46"/>
      <c r="O1609" s="46"/>
      <c r="P1609" s="46"/>
      <c r="Q1609" s="46"/>
      <c r="R1609" s="46"/>
      <c r="S1609" s="46"/>
      <c r="T1609" s="46"/>
      <c r="U1609" s="46"/>
      <c r="V1609" s="46"/>
      <c r="W1609" s="46"/>
      <c r="X1609" s="46"/>
      <c r="Y1609" s="46"/>
      <c r="Z1609" s="46"/>
      <c r="AA1609" s="46"/>
      <c r="AB1609" s="46"/>
      <c r="AC1609" s="46"/>
      <c r="AD1609" s="46"/>
      <c r="AE1609" s="46"/>
      <c r="AF1609" s="46"/>
      <c r="AG1609" s="46"/>
      <c r="AH1609" s="46"/>
      <c r="AI1609" s="46"/>
      <c r="AJ1609" s="46"/>
      <c r="AK1609" s="46"/>
      <c r="AL1609" s="46"/>
      <c r="AM1609" s="46"/>
      <c r="AN1609" s="46"/>
      <c r="AO1609" s="46"/>
      <c r="AP1609" s="46"/>
      <c r="AQ1609" s="46"/>
      <c r="AR1609" s="46"/>
      <c r="AS1609" s="46"/>
      <c r="AT1609" s="46"/>
      <c r="AU1609" s="46"/>
      <c r="AV1609" s="46"/>
      <c r="AW1609" s="46"/>
      <c r="AX1609" s="46"/>
      <c r="AY1609" s="34" t="s">
        <v>289</v>
      </c>
      <c r="AZ1609" s="34" t="s">
        <v>1773</v>
      </c>
      <c r="BA1609" s="47" t="s">
        <v>298</v>
      </c>
      <c r="BB1609" s="64"/>
      <c r="BC1609" s="169" t="s">
        <v>381</v>
      </c>
      <c r="BI1609" s="42">
        <v>1</v>
      </c>
      <c r="BK1609" s="170"/>
    </row>
    <row r="1610" spans="1:63" s="169" customFormat="1" hidden="1">
      <c r="A1610" s="127"/>
      <c r="B1610" s="33"/>
      <c r="C1610" s="38" t="s">
        <v>57</v>
      </c>
      <c r="D1610" s="35">
        <f t="shared" si="316"/>
        <v>0.34</v>
      </c>
      <c r="E1610" s="35"/>
      <c r="F1610" s="35">
        <f t="shared" si="320"/>
        <v>0.34</v>
      </c>
      <c r="G1610" s="46">
        <v>0.23</v>
      </c>
      <c r="H1610" s="46"/>
      <c r="I1610" s="46">
        <v>0.05</v>
      </c>
      <c r="J1610" s="46">
        <v>0.06</v>
      </c>
      <c r="K1610" s="46"/>
      <c r="L1610" s="46"/>
      <c r="M1610" s="46"/>
      <c r="N1610" s="46"/>
      <c r="O1610" s="46"/>
      <c r="P1610" s="46"/>
      <c r="Q1610" s="46"/>
      <c r="R1610" s="46"/>
      <c r="S1610" s="46"/>
      <c r="T1610" s="46"/>
      <c r="U1610" s="46"/>
      <c r="V1610" s="46"/>
      <c r="W1610" s="46"/>
      <c r="X1610" s="46"/>
      <c r="Y1610" s="46"/>
      <c r="Z1610" s="46"/>
      <c r="AA1610" s="46"/>
      <c r="AB1610" s="46"/>
      <c r="AC1610" s="46"/>
      <c r="AD1610" s="46"/>
      <c r="AE1610" s="46"/>
      <c r="AF1610" s="46"/>
      <c r="AG1610" s="46"/>
      <c r="AH1610" s="46"/>
      <c r="AI1610" s="46"/>
      <c r="AJ1610" s="46"/>
      <c r="AK1610" s="46"/>
      <c r="AL1610" s="46"/>
      <c r="AM1610" s="46"/>
      <c r="AN1610" s="46"/>
      <c r="AO1610" s="46"/>
      <c r="AP1610" s="46"/>
      <c r="AQ1610" s="46"/>
      <c r="AR1610" s="46"/>
      <c r="AS1610" s="46"/>
      <c r="AT1610" s="46"/>
      <c r="AU1610" s="46"/>
      <c r="AV1610" s="46"/>
      <c r="AW1610" s="46"/>
      <c r="AX1610" s="46"/>
      <c r="AY1610" s="34" t="s">
        <v>289</v>
      </c>
      <c r="AZ1610" s="34"/>
      <c r="BA1610" s="47"/>
      <c r="BB1610" s="64"/>
      <c r="BI1610" s="42"/>
      <c r="BK1610" s="170"/>
    </row>
    <row r="1611" spans="1:63" s="169" customFormat="1" hidden="1">
      <c r="A1611" s="127"/>
      <c r="B1611" s="33"/>
      <c r="C1611" s="38" t="s">
        <v>44</v>
      </c>
      <c r="D1611" s="35">
        <f t="shared" si="316"/>
        <v>0.3</v>
      </c>
      <c r="E1611" s="35"/>
      <c r="F1611" s="35">
        <f t="shared" si="320"/>
        <v>0.3</v>
      </c>
      <c r="G1611" s="46">
        <v>0.2</v>
      </c>
      <c r="H1611" s="46"/>
      <c r="I1611" s="46">
        <v>0.05</v>
      </c>
      <c r="J1611" s="46">
        <v>0.05</v>
      </c>
      <c r="K1611" s="46"/>
      <c r="L1611" s="46"/>
      <c r="M1611" s="46"/>
      <c r="N1611" s="46"/>
      <c r="O1611" s="46"/>
      <c r="P1611" s="46"/>
      <c r="Q1611" s="46"/>
      <c r="R1611" s="46"/>
      <c r="S1611" s="46"/>
      <c r="T1611" s="46"/>
      <c r="U1611" s="46"/>
      <c r="V1611" s="46"/>
      <c r="W1611" s="46"/>
      <c r="X1611" s="46"/>
      <c r="Y1611" s="46"/>
      <c r="Z1611" s="46"/>
      <c r="AA1611" s="46"/>
      <c r="AB1611" s="46"/>
      <c r="AC1611" s="46"/>
      <c r="AD1611" s="46"/>
      <c r="AE1611" s="46"/>
      <c r="AF1611" s="46"/>
      <c r="AG1611" s="46"/>
      <c r="AH1611" s="46"/>
      <c r="AI1611" s="46"/>
      <c r="AJ1611" s="46"/>
      <c r="AK1611" s="46"/>
      <c r="AL1611" s="46"/>
      <c r="AM1611" s="46"/>
      <c r="AN1611" s="46"/>
      <c r="AO1611" s="46"/>
      <c r="AP1611" s="46"/>
      <c r="AQ1611" s="46"/>
      <c r="AR1611" s="46"/>
      <c r="AS1611" s="46"/>
      <c r="AT1611" s="46"/>
      <c r="AU1611" s="46"/>
      <c r="AV1611" s="46"/>
      <c r="AW1611" s="46"/>
      <c r="AX1611" s="46"/>
      <c r="AY1611" s="34" t="s">
        <v>289</v>
      </c>
      <c r="AZ1611" s="34"/>
      <c r="BA1611" s="47"/>
      <c r="BB1611" s="64"/>
      <c r="BI1611" s="42"/>
      <c r="BK1611" s="170"/>
    </row>
    <row r="1612" spans="1:63" s="169" customFormat="1" hidden="1">
      <c r="A1612" s="127"/>
      <c r="B1612" s="33"/>
      <c r="C1612" s="38" t="s">
        <v>138</v>
      </c>
      <c r="D1612" s="35">
        <f t="shared" si="316"/>
        <v>0.21000000000000002</v>
      </c>
      <c r="E1612" s="35"/>
      <c r="F1612" s="35">
        <f t="shared" si="320"/>
        <v>0.21000000000000002</v>
      </c>
      <c r="G1612" s="153">
        <f>G1609-G1610-G1611</f>
        <v>0.21000000000000002</v>
      </c>
      <c r="H1612" s="153">
        <f t="shared" ref="H1612:AX1612" si="327">H1609-H1610-H1611</f>
        <v>0</v>
      </c>
      <c r="I1612" s="153">
        <f t="shared" si="327"/>
        <v>0</v>
      </c>
      <c r="J1612" s="153">
        <f t="shared" si="327"/>
        <v>0</v>
      </c>
      <c r="K1612" s="153">
        <f t="shared" si="327"/>
        <v>0</v>
      </c>
      <c r="L1612" s="153">
        <f t="shared" si="327"/>
        <v>0</v>
      </c>
      <c r="M1612" s="153">
        <f t="shared" si="327"/>
        <v>0</v>
      </c>
      <c r="N1612" s="153">
        <f t="shared" si="327"/>
        <v>0</v>
      </c>
      <c r="O1612" s="153">
        <f t="shared" si="327"/>
        <v>0</v>
      </c>
      <c r="P1612" s="153">
        <f t="shared" si="327"/>
        <v>0</v>
      </c>
      <c r="Q1612" s="153">
        <f t="shared" si="327"/>
        <v>0</v>
      </c>
      <c r="R1612" s="153">
        <f t="shared" si="327"/>
        <v>0</v>
      </c>
      <c r="S1612" s="153">
        <f t="shared" si="327"/>
        <v>0</v>
      </c>
      <c r="T1612" s="153">
        <f t="shared" si="327"/>
        <v>0</v>
      </c>
      <c r="U1612" s="153">
        <f t="shared" si="327"/>
        <v>0</v>
      </c>
      <c r="V1612" s="153">
        <f t="shared" si="327"/>
        <v>0</v>
      </c>
      <c r="W1612" s="153">
        <f t="shared" si="327"/>
        <v>0</v>
      </c>
      <c r="X1612" s="153">
        <f t="shared" si="327"/>
        <v>0</v>
      </c>
      <c r="Y1612" s="153">
        <f t="shared" si="327"/>
        <v>0</v>
      </c>
      <c r="Z1612" s="153">
        <f t="shared" si="327"/>
        <v>0</v>
      </c>
      <c r="AA1612" s="153">
        <f t="shared" si="327"/>
        <v>0</v>
      </c>
      <c r="AB1612" s="153">
        <f t="shared" si="327"/>
        <v>0</v>
      </c>
      <c r="AC1612" s="153">
        <f t="shared" si="327"/>
        <v>0</v>
      </c>
      <c r="AD1612" s="153">
        <f t="shared" si="327"/>
        <v>0</v>
      </c>
      <c r="AE1612" s="153">
        <f t="shared" si="327"/>
        <v>0</v>
      </c>
      <c r="AF1612" s="153">
        <f t="shared" si="327"/>
        <v>0</v>
      </c>
      <c r="AG1612" s="153">
        <f t="shared" si="327"/>
        <v>0</v>
      </c>
      <c r="AH1612" s="153">
        <f t="shared" si="327"/>
        <v>0</v>
      </c>
      <c r="AI1612" s="153">
        <f t="shared" si="327"/>
        <v>0</v>
      </c>
      <c r="AJ1612" s="153">
        <f t="shared" si="327"/>
        <v>0</v>
      </c>
      <c r="AK1612" s="153">
        <f t="shared" si="327"/>
        <v>0</v>
      </c>
      <c r="AL1612" s="153">
        <f t="shared" si="327"/>
        <v>0</v>
      </c>
      <c r="AM1612" s="153">
        <f t="shared" si="327"/>
        <v>0</v>
      </c>
      <c r="AN1612" s="153">
        <f t="shared" si="327"/>
        <v>0</v>
      </c>
      <c r="AO1612" s="153">
        <f t="shared" si="327"/>
        <v>0</v>
      </c>
      <c r="AP1612" s="153">
        <f t="shared" si="327"/>
        <v>0</v>
      </c>
      <c r="AQ1612" s="153">
        <f t="shared" si="327"/>
        <v>0</v>
      </c>
      <c r="AR1612" s="153">
        <f t="shared" si="327"/>
        <v>0</v>
      </c>
      <c r="AS1612" s="153">
        <f t="shared" si="327"/>
        <v>0</v>
      </c>
      <c r="AT1612" s="153">
        <f t="shared" si="327"/>
        <v>0</v>
      </c>
      <c r="AU1612" s="153">
        <f t="shared" si="327"/>
        <v>0</v>
      </c>
      <c r="AV1612" s="153">
        <f t="shared" si="327"/>
        <v>0</v>
      </c>
      <c r="AW1612" s="153">
        <f t="shared" si="327"/>
        <v>0</v>
      </c>
      <c r="AX1612" s="153">
        <f t="shared" si="327"/>
        <v>0</v>
      </c>
      <c r="AY1612" s="34" t="s">
        <v>289</v>
      </c>
      <c r="AZ1612" s="34"/>
      <c r="BA1612" s="47"/>
      <c r="BB1612" s="64"/>
      <c r="BI1612" s="42"/>
      <c r="BK1612" s="170"/>
    </row>
    <row r="1613" spans="1:63" s="169" customFormat="1">
      <c r="A1613" s="127">
        <f>A1609+1</f>
        <v>897</v>
      </c>
      <c r="B1613" s="33" t="s">
        <v>1774</v>
      </c>
      <c r="C1613" s="38" t="s">
        <v>1260</v>
      </c>
      <c r="D1613" s="35">
        <f t="shared" si="316"/>
        <v>0.93</v>
      </c>
      <c r="E1613" s="35"/>
      <c r="F1613" s="35">
        <f t="shared" si="320"/>
        <v>0.93</v>
      </c>
      <c r="G1613" s="46">
        <v>0.74</v>
      </c>
      <c r="H1613" s="46"/>
      <c r="I1613" s="46">
        <v>0.08</v>
      </c>
      <c r="J1613" s="46">
        <v>0.03</v>
      </c>
      <c r="K1613" s="46"/>
      <c r="L1613" s="46"/>
      <c r="M1613" s="46"/>
      <c r="N1613" s="46"/>
      <c r="O1613" s="46"/>
      <c r="P1613" s="46"/>
      <c r="Q1613" s="46"/>
      <c r="R1613" s="46"/>
      <c r="S1613" s="46"/>
      <c r="T1613" s="46"/>
      <c r="U1613" s="46"/>
      <c r="V1613" s="46"/>
      <c r="W1613" s="46"/>
      <c r="X1613" s="46"/>
      <c r="Y1613" s="46"/>
      <c r="Z1613" s="46">
        <v>0.04</v>
      </c>
      <c r="AA1613" s="46">
        <v>0.04</v>
      </c>
      <c r="AB1613" s="46"/>
      <c r="AC1613" s="46"/>
      <c r="AD1613" s="46"/>
      <c r="AE1613" s="46"/>
      <c r="AF1613" s="46"/>
      <c r="AG1613" s="46"/>
      <c r="AH1613" s="46"/>
      <c r="AI1613" s="46"/>
      <c r="AJ1613" s="46"/>
      <c r="AK1613" s="46"/>
      <c r="AL1613" s="46"/>
      <c r="AM1613" s="46"/>
      <c r="AN1613" s="46"/>
      <c r="AO1613" s="46"/>
      <c r="AP1613" s="46"/>
      <c r="AQ1613" s="46"/>
      <c r="AR1613" s="46"/>
      <c r="AS1613" s="46"/>
      <c r="AT1613" s="46"/>
      <c r="AU1613" s="46"/>
      <c r="AV1613" s="46"/>
      <c r="AW1613" s="46"/>
      <c r="AX1613" s="46"/>
      <c r="AY1613" s="34" t="s">
        <v>289</v>
      </c>
      <c r="AZ1613" s="34" t="s">
        <v>380</v>
      </c>
      <c r="BA1613" s="47" t="s">
        <v>298</v>
      </c>
      <c r="BB1613" s="64"/>
      <c r="BC1613" s="169" t="s">
        <v>381</v>
      </c>
      <c r="BI1613" s="42">
        <v>1</v>
      </c>
      <c r="BK1613" s="170"/>
    </row>
    <row r="1614" spans="1:63" s="169" customFormat="1" hidden="1">
      <c r="A1614" s="127"/>
      <c r="B1614" s="33"/>
      <c r="C1614" s="38" t="s">
        <v>57</v>
      </c>
      <c r="D1614" s="35">
        <f t="shared" si="316"/>
        <v>0.44999999999999996</v>
      </c>
      <c r="E1614" s="35"/>
      <c r="F1614" s="35">
        <f t="shared" si="320"/>
        <v>0.44999999999999996</v>
      </c>
      <c r="G1614" s="46">
        <v>0.37</v>
      </c>
      <c r="H1614" s="46"/>
      <c r="I1614" s="46">
        <v>0.05</v>
      </c>
      <c r="J1614" s="46">
        <v>0.03</v>
      </c>
      <c r="K1614" s="46"/>
      <c r="L1614" s="46"/>
      <c r="M1614" s="46"/>
      <c r="N1614" s="46"/>
      <c r="O1614" s="46"/>
      <c r="P1614" s="46"/>
      <c r="Q1614" s="46"/>
      <c r="R1614" s="46"/>
      <c r="S1614" s="46"/>
      <c r="T1614" s="46"/>
      <c r="U1614" s="46"/>
      <c r="V1614" s="46"/>
      <c r="W1614" s="46"/>
      <c r="X1614" s="46"/>
      <c r="Y1614" s="46"/>
      <c r="Z1614" s="46"/>
      <c r="AA1614" s="46"/>
      <c r="AB1614" s="46"/>
      <c r="AC1614" s="46"/>
      <c r="AD1614" s="46"/>
      <c r="AE1614" s="46"/>
      <c r="AF1614" s="46"/>
      <c r="AG1614" s="46"/>
      <c r="AH1614" s="46"/>
      <c r="AI1614" s="46"/>
      <c r="AJ1614" s="46"/>
      <c r="AK1614" s="46"/>
      <c r="AL1614" s="46"/>
      <c r="AM1614" s="46"/>
      <c r="AN1614" s="46"/>
      <c r="AO1614" s="46"/>
      <c r="AP1614" s="46"/>
      <c r="AQ1614" s="46"/>
      <c r="AR1614" s="46"/>
      <c r="AS1614" s="46"/>
      <c r="AT1614" s="46"/>
      <c r="AU1614" s="46"/>
      <c r="AV1614" s="46"/>
      <c r="AW1614" s="46"/>
      <c r="AX1614" s="46"/>
      <c r="AY1614" s="34" t="s">
        <v>289</v>
      </c>
      <c r="AZ1614" s="34"/>
      <c r="BA1614" s="47"/>
      <c r="BB1614" s="64"/>
      <c r="BI1614" s="42"/>
      <c r="BK1614" s="170"/>
    </row>
    <row r="1615" spans="1:63" s="169" customFormat="1" hidden="1">
      <c r="A1615" s="127"/>
      <c r="B1615" s="33"/>
      <c r="C1615" s="38" t="s">
        <v>44</v>
      </c>
      <c r="D1615" s="35">
        <f t="shared" si="316"/>
        <v>0.33</v>
      </c>
      <c r="E1615" s="35"/>
      <c r="F1615" s="35">
        <f t="shared" si="320"/>
        <v>0.33</v>
      </c>
      <c r="G1615" s="46">
        <v>0.26</v>
      </c>
      <c r="H1615" s="46"/>
      <c r="I1615" s="46">
        <v>0.03</v>
      </c>
      <c r="J1615" s="46"/>
      <c r="K1615" s="46"/>
      <c r="L1615" s="46"/>
      <c r="M1615" s="46"/>
      <c r="N1615" s="46"/>
      <c r="O1615" s="46"/>
      <c r="P1615" s="46"/>
      <c r="Q1615" s="46"/>
      <c r="R1615" s="46"/>
      <c r="S1615" s="46"/>
      <c r="T1615" s="46"/>
      <c r="U1615" s="46"/>
      <c r="V1615" s="46"/>
      <c r="W1615" s="46"/>
      <c r="X1615" s="46"/>
      <c r="Y1615" s="46"/>
      <c r="Z1615" s="46"/>
      <c r="AA1615" s="46">
        <v>0.04</v>
      </c>
      <c r="AB1615" s="46"/>
      <c r="AC1615" s="46"/>
      <c r="AD1615" s="46"/>
      <c r="AE1615" s="46"/>
      <c r="AF1615" s="46"/>
      <c r="AG1615" s="46"/>
      <c r="AH1615" s="46"/>
      <c r="AI1615" s="46"/>
      <c r="AJ1615" s="46"/>
      <c r="AK1615" s="46"/>
      <c r="AL1615" s="46"/>
      <c r="AM1615" s="46"/>
      <c r="AN1615" s="46"/>
      <c r="AO1615" s="46"/>
      <c r="AP1615" s="46"/>
      <c r="AQ1615" s="46"/>
      <c r="AR1615" s="46"/>
      <c r="AS1615" s="46"/>
      <c r="AT1615" s="46"/>
      <c r="AU1615" s="46"/>
      <c r="AV1615" s="46"/>
      <c r="AW1615" s="46"/>
      <c r="AX1615" s="46"/>
      <c r="AY1615" s="34" t="s">
        <v>289</v>
      </c>
      <c r="AZ1615" s="34"/>
      <c r="BA1615" s="47"/>
      <c r="BB1615" s="64"/>
      <c r="BI1615" s="42"/>
      <c r="BK1615" s="170"/>
    </row>
    <row r="1616" spans="1:63" s="169" customFormat="1" hidden="1">
      <c r="A1616" s="127"/>
      <c r="B1616" s="33"/>
      <c r="C1616" s="38" t="s">
        <v>138</v>
      </c>
      <c r="D1616" s="35">
        <f t="shared" si="316"/>
        <v>0.15</v>
      </c>
      <c r="E1616" s="35"/>
      <c r="F1616" s="35">
        <f t="shared" si="320"/>
        <v>0.15</v>
      </c>
      <c r="G1616" s="153">
        <f>G1613-G1614-G1615</f>
        <v>0.10999999999999999</v>
      </c>
      <c r="H1616" s="153">
        <f t="shared" ref="H1616:AX1616" si="328">H1613-H1614-H1615</f>
        <v>0</v>
      </c>
      <c r="I1616" s="153">
        <f t="shared" si="328"/>
        <v>0</v>
      </c>
      <c r="J1616" s="153">
        <f t="shared" si="328"/>
        <v>0</v>
      </c>
      <c r="K1616" s="153">
        <f t="shared" si="328"/>
        <v>0</v>
      </c>
      <c r="L1616" s="153">
        <f t="shared" si="328"/>
        <v>0</v>
      </c>
      <c r="M1616" s="153">
        <f t="shared" si="328"/>
        <v>0</v>
      </c>
      <c r="N1616" s="153">
        <f t="shared" si="328"/>
        <v>0</v>
      </c>
      <c r="O1616" s="153">
        <f t="shared" si="328"/>
        <v>0</v>
      </c>
      <c r="P1616" s="153">
        <f t="shared" si="328"/>
        <v>0</v>
      </c>
      <c r="Q1616" s="153">
        <f t="shared" si="328"/>
        <v>0</v>
      </c>
      <c r="R1616" s="153">
        <f t="shared" si="328"/>
        <v>0</v>
      </c>
      <c r="S1616" s="153">
        <f t="shared" si="328"/>
        <v>0</v>
      </c>
      <c r="T1616" s="153">
        <f t="shared" si="328"/>
        <v>0</v>
      </c>
      <c r="U1616" s="153">
        <f t="shared" si="328"/>
        <v>0</v>
      </c>
      <c r="V1616" s="153">
        <f t="shared" si="328"/>
        <v>0</v>
      </c>
      <c r="W1616" s="153">
        <f t="shared" si="328"/>
        <v>0</v>
      </c>
      <c r="X1616" s="153">
        <f t="shared" si="328"/>
        <v>0</v>
      </c>
      <c r="Y1616" s="153">
        <f t="shared" si="328"/>
        <v>0</v>
      </c>
      <c r="Z1616" s="153">
        <f t="shared" si="328"/>
        <v>0.04</v>
      </c>
      <c r="AA1616" s="153">
        <f t="shared" si="328"/>
        <v>0</v>
      </c>
      <c r="AB1616" s="153">
        <f t="shared" si="328"/>
        <v>0</v>
      </c>
      <c r="AC1616" s="153">
        <f t="shared" si="328"/>
        <v>0</v>
      </c>
      <c r="AD1616" s="153">
        <f t="shared" si="328"/>
        <v>0</v>
      </c>
      <c r="AE1616" s="153">
        <f t="shared" si="328"/>
        <v>0</v>
      </c>
      <c r="AF1616" s="153">
        <f t="shared" si="328"/>
        <v>0</v>
      </c>
      <c r="AG1616" s="153">
        <f t="shared" si="328"/>
        <v>0</v>
      </c>
      <c r="AH1616" s="153">
        <f t="shared" si="328"/>
        <v>0</v>
      </c>
      <c r="AI1616" s="153">
        <f t="shared" si="328"/>
        <v>0</v>
      </c>
      <c r="AJ1616" s="153">
        <f t="shared" si="328"/>
        <v>0</v>
      </c>
      <c r="AK1616" s="153">
        <f t="shared" si="328"/>
        <v>0</v>
      </c>
      <c r="AL1616" s="153">
        <f t="shared" si="328"/>
        <v>0</v>
      </c>
      <c r="AM1616" s="153">
        <f t="shared" si="328"/>
        <v>0</v>
      </c>
      <c r="AN1616" s="153">
        <f t="shared" si="328"/>
        <v>0</v>
      </c>
      <c r="AO1616" s="153">
        <f t="shared" si="328"/>
        <v>0</v>
      </c>
      <c r="AP1616" s="153">
        <f t="shared" si="328"/>
        <v>0</v>
      </c>
      <c r="AQ1616" s="153">
        <f t="shared" si="328"/>
        <v>0</v>
      </c>
      <c r="AR1616" s="153">
        <f t="shared" si="328"/>
        <v>0</v>
      </c>
      <c r="AS1616" s="153">
        <f t="shared" si="328"/>
        <v>0</v>
      </c>
      <c r="AT1616" s="153">
        <f t="shared" si="328"/>
        <v>0</v>
      </c>
      <c r="AU1616" s="153">
        <f t="shared" si="328"/>
        <v>0</v>
      </c>
      <c r="AV1616" s="153">
        <f t="shared" si="328"/>
        <v>0</v>
      </c>
      <c r="AW1616" s="153">
        <f t="shared" si="328"/>
        <v>0</v>
      </c>
      <c r="AX1616" s="153">
        <f t="shared" si="328"/>
        <v>0</v>
      </c>
      <c r="AY1616" s="34" t="s">
        <v>289</v>
      </c>
      <c r="AZ1616" s="34"/>
      <c r="BA1616" s="47"/>
      <c r="BB1616" s="64"/>
      <c r="BI1616" s="42"/>
      <c r="BK1616" s="170"/>
    </row>
    <row r="1617" spans="1:63" s="169" customFormat="1">
      <c r="A1617" s="127">
        <f>A1613+1</f>
        <v>898</v>
      </c>
      <c r="B1617" s="33" t="s">
        <v>1775</v>
      </c>
      <c r="C1617" s="38" t="s">
        <v>1260</v>
      </c>
      <c r="D1617" s="35">
        <f t="shared" si="316"/>
        <v>0.46</v>
      </c>
      <c r="E1617" s="35"/>
      <c r="F1617" s="35">
        <f t="shared" si="320"/>
        <v>0.46</v>
      </c>
      <c r="G1617" s="46"/>
      <c r="H1617" s="46"/>
      <c r="I1617" s="46"/>
      <c r="J1617" s="46"/>
      <c r="K1617" s="46"/>
      <c r="L1617" s="46"/>
      <c r="M1617" s="46"/>
      <c r="N1617" s="46"/>
      <c r="O1617" s="46"/>
      <c r="P1617" s="46">
        <v>0.46</v>
      </c>
      <c r="Q1617" s="46"/>
      <c r="R1617" s="46"/>
      <c r="S1617" s="46"/>
      <c r="T1617" s="46"/>
      <c r="U1617" s="46"/>
      <c r="V1617" s="46"/>
      <c r="W1617" s="46"/>
      <c r="X1617" s="46"/>
      <c r="Y1617" s="46"/>
      <c r="Z1617" s="46"/>
      <c r="AA1617" s="46"/>
      <c r="AB1617" s="46"/>
      <c r="AC1617" s="46"/>
      <c r="AD1617" s="46"/>
      <c r="AE1617" s="46"/>
      <c r="AF1617" s="46"/>
      <c r="AG1617" s="46"/>
      <c r="AH1617" s="46"/>
      <c r="AI1617" s="46"/>
      <c r="AJ1617" s="46"/>
      <c r="AK1617" s="46"/>
      <c r="AL1617" s="46"/>
      <c r="AM1617" s="46"/>
      <c r="AN1617" s="46"/>
      <c r="AO1617" s="46"/>
      <c r="AP1617" s="46"/>
      <c r="AQ1617" s="46"/>
      <c r="AR1617" s="46"/>
      <c r="AS1617" s="46"/>
      <c r="AT1617" s="46"/>
      <c r="AU1617" s="46"/>
      <c r="AV1617" s="46"/>
      <c r="AW1617" s="46"/>
      <c r="AX1617" s="46"/>
      <c r="AY1617" s="34" t="s">
        <v>289</v>
      </c>
      <c r="AZ1617" s="34" t="s">
        <v>1776</v>
      </c>
      <c r="BA1617" s="47" t="s">
        <v>298</v>
      </c>
      <c r="BB1617" s="64"/>
      <c r="BC1617" s="169" t="s">
        <v>381</v>
      </c>
      <c r="BI1617" s="42">
        <v>1</v>
      </c>
      <c r="BK1617" s="170"/>
    </row>
    <row r="1618" spans="1:63" s="169" customFormat="1" hidden="1">
      <c r="A1618" s="127"/>
      <c r="B1618" s="33"/>
      <c r="C1618" s="38" t="s">
        <v>57</v>
      </c>
      <c r="D1618" s="35">
        <f t="shared" si="316"/>
        <v>0.18</v>
      </c>
      <c r="E1618" s="35"/>
      <c r="F1618" s="35">
        <f t="shared" si="320"/>
        <v>0.18</v>
      </c>
      <c r="G1618" s="46"/>
      <c r="H1618" s="46"/>
      <c r="I1618" s="46"/>
      <c r="J1618" s="46"/>
      <c r="K1618" s="46"/>
      <c r="L1618" s="46"/>
      <c r="M1618" s="46"/>
      <c r="N1618" s="46"/>
      <c r="O1618" s="46"/>
      <c r="P1618" s="46">
        <v>0.18</v>
      </c>
      <c r="Q1618" s="46"/>
      <c r="R1618" s="46"/>
      <c r="S1618" s="46"/>
      <c r="T1618" s="46"/>
      <c r="U1618" s="46"/>
      <c r="V1618" s="46"/>
      <c r="W1618" s="46"/>
      <c r="X1618" s="46"/>
      <c r="Y1618" s="46"/>
      <c r="Z1618" s="46"/>
      <c r="AA1618" s="46"/>
      <c r="AB1618" s="46"/>
      <c r="AC1618" s="46"/>
      <c r="AD1618" s="46"/>
      <c r="AE1618" s="46"/>
      <c r="AF1618" s="46"/>
      <c r="AG1618" s="46"/>
      <c r="AH1618" s="46"/>
      <c r="AI1618" s="46"/>
      <c r="AJ1618" s="46"/>
      <c r="AK1618" s="46"/>
      <c r="AL1618" s="46"/>
      <c r="AM1618" s="46"/>
      <c r="AN1618" s="46"/>
      <c r="AO1618" s="46"/>
      <c r="AP1618" s="46"/>
      <c r="AQ1618" s="46"/>
      <c r="AR1618" s="46"/>
      <c r="AS1618" s="46"/>
      <c r="AT1618" s="46"/>
      <c r="AU1618" s="46"/>
      <c r="AV1618" s="46"/>
      <c r="AW1618" s="46"/>
      <c r="AX1618" s="46"/>
      <c r="AY1618" s="34" t="s">
        <v>289</v>
      </c>
      <c r="AZ1618" s="34"/>
      <c r="BA1618" s="47"/>
      <c r="BB1618" s="64"/>
      <c r="BI1618" s="42"/>
      <c r="BK1618" s="170"/>
    </row>
    <row r="1619" spans="1:63" s="169" customFormat="1" hidden="1">
      <c r="A1619" s="127"/>
      <c r="B1619" s="33"/>
      <c r="C1619" s="38" t="s">
        <v>44</v>
      </c>
      <c r="D1619" s="35">
        <f t="shared" si="316"/>
        <v>0.16</v>
      </c>
      <c r="E1619" s="35"/>
      <c r="F1619" s="35">
        <f t="shared" si="320"/>
        <v>0.16</v>
      </c>
      <c r="G1619" s="46"/>
      <c r="H1619" s="46"/>
      <c r="I1619" s="46"/>
      <c r="J1619" s="46"/>
      <c r="K1619" s="46"/>
      <c r="L1619" s="46"/>
      <c r="M1619" s="46"/>
      <c r="N1619" s="46"/>
      <c r="O1619" s="46"/>
      <c r="P1619" s="46">
        <v>0.16</v>
      </c>
      <c r="Q1619" s="46"/>
      <c r="R1619" s="46"/>
      <c r="S1619" s="46"/>
      <c r="T1619" s="46"/>
      <c r="U1619" s="46"/>
      <c r="V1619" s="46"/>
      <c r="W1619" s="46"/>
      <c r="X1619" s="46"/>
      <c r="Y1619" s="46"/>
      <c r="Z1619" s="46"/>
      <c r="AA1619" s="46"/>
      <c r="AB1619" s="46"/>
      <c r="AC1619" s="46"/>
      <c r="AD1619" s="46"/>
      <c r="AE1619" s="46"/>
      <c r="AF1619" s="46"/>
      <c r="AG1619" s="46"/>
      <c r="AH1619" s="46"/>
      <c r="AI1619" s="46"/>
      <c r="AJ1619" s="46"/>
      <c r="AK1619" s="46"/>
      <c r="AL1619" s="46"/>
      <c r="AM1619" s="46"/>
      <c r="AN1619" s="46"/>
      <c r="AO1619" s="46"/>
      <c r="AP1619" s="46"/>
      <c r="AQ1619" s="46"/>
      <c r="AR1619" s="46"/>
      <c r="AS1619" s="46"/>
      <c r="AT1619" s="46"/>
      <c r="AU1619" s="46"/>
      <c r="AV1619" s="46"/>
      <c r="AW1619" s="46"/>
      <c r="AX1619" s="46"/>
      <c r="AY1619" s="34" t="s">
        <v>289</v>
      </c>
      <c r="AZ1619" s="34"/>
      <c r="BA1619" s="47"/>
      <c r="BB1619" s="64"/>
      <c r="BI1619" s="42"/>
      <c r="BK1619" s="170"/>
    </row>
    <row r="1620" spans="1:63" s="169" customFormat="1" hidden="1">
      <c r="A1620" s="127"/>
      <c r="B1620" s="33"/>
      <c r="C1620" s="38" t="s">
        <v>138</v>
      </c>
      <c r="D1620" s="35">
        <f t="shared" ref="D1620:D1683" si="329">E1620+F1620</f>
        <v>0.12000000000000002</v>
      </c>
      <c r="E1620" s="35"/>
      <c r="F1620" s="35">
        <f t="shared" si="320"/>
        <v>0.12000000000000002</v>
      </c>
      <c r="G1620" s="153">
        <f>G1617-G1618-G1619</f>
        <v>0</v>
      </c>
      <c r="H1620" s="153">
        <f t="shared" ref="H1620:AX1620" si="330">H1617-H1618-H1619</f>
        <v>0</v>
      </c>
      <c r="I1620" s="153">
        <f t="shared" si="330"/>
        <v>0</v>
      </c>
      <c r="J1620" s="153">
        <f t="shared" si="330"/>
        <v>0</v>
      </c>
      <c r="K1620" s="153">
        <f t="shared" si="330"/>
        <v>0</v>
      </c>
      <c r="L1620" s="153">
        <f t="shared" si="330"/>
        <v>0</v>
      </c>
      <c r="M1620" s="153">
        <f t="shared" si="330"/>
        <v>0</v>
      </c>
      <c r="N1620" s="153">
        <f t="shared" si="330"/>
        <v>0</v>
      </c>
      <c r="O1620" s="153">
        <f t="shared" si="330"/>
        <v>0</v>
      </c>
      <c r="P1620" s="154">
        <f t="shared" si="330"/>
        <v>0.12000000000000002</v>
      </c>
      <c r="Q1620" s="153">
        <f t="shared" si="330"/>
        <v>0</v>
      </c>
      <c r="R1620" s="153">
        <f t="shared" si="330"/>
        <v>0</v>
      </c>
      <c r="S1620" s="153">
        <f t="shared" si="330"/>
        <v>0</v>
      </c>
      <c r="T1620" s="153">
        <f t="shared" si="330"/>
        <v>0</v>
      </c>
      <c r="U1620" s="153">
        <f t="shared" si="330"/>
        <v>0</v>
      </c>
      <c r="V1620" s="153">
        <f t="shared" si="330"/>
        <v>0</v>
      </c>
      <c r="W1620" s="153">
        <f t="shared" si="330"/>
        <v>0</v>
      </c>
      <c r="X1620" s="153">
        <f t="shared" si="330"/>
        <v>0</v>
      </c>
      <c r="Y1620" s="153">
        <f t="shared" si="330"/>
        <v>0</v>
      </c>
      <c r="Z1620" s="153">
        <f t="shared" si="330"/>
        <v>0</v>
      </c>
      <c r="AA1620" s="153">
        <f t="shared" si="330"/>
        <v>0</v>
      </c>
      <c r="AB1620" s="153">
        <f t="shared" si="330"/>
        <v>0</v>
      </c>
      <c r="AC1620" s="153">
        <f t="shared" si="330"/>
        <v>0</v>
      </c>
      <c r="AD1620" s="153">
        <f t="shared" si="330"/>
        <v>0</v>
      </c>
      <c r="AE1620" s="153">
        <f t="shared" si="330"/>
        <v>0</v>
      </c>
      <c r="AF1620" s="153">
        <f t="shared" si="330"/>
        <v>0</v>
      </c>
      <c r="AG1620" s="153">
        <f t="shared" si="330"/>
        <v>0</v>
      </c>
      <c r="AH1620" s="153">
        <f t="shared" si="330"/>
        <v>0</v>
      </c>
      <c r="AI1620" s="153">
        <f t="shared" si="330"/>
        <v>0</v>
      </c>
      <c r="AJ1620" s="153">
        <f t="shared" si="330"/>
        <v>0</v>
      </c>
      <c r="AK1620" s="153">
        <f t="shared" si="330"/>
        <v>0</v>
      </c>
      <c r="AL1620" s="153">
        <f t="shared" si="330"/>
        <v>0</v>
      </c>
      <c r="AM1620" s="153">
        <f t="shared" si="330"/>
        <v>0</v>
      </c>
      <c r="AN1620" s="153">
        <f t="shared" si="330"/>
        <v>0</v>
      </c>
      <c r="AO1620" s="153">
        <f t="shared" si="330"/>
        <v>0</v>
      </c>
      <c r="AP1620" s="153">
        <f t="shared" si="330"/>
        <v>0</v>
      </c>
      <c r="AQ1620" s="153">
        <f t="shared" si="330"/>
        <v>0</v>
      </c>
      <c r="AR1620" s="153">
        <f t="shared" si="330"/>
        <v>0</v>
      </c>
      <c r="AS1620" s="153">
        <f t="shared" si="330"/>
        <v>0</v>
      </c>
      <c r="AT1620" s="153">
        <f t="shared" si="330"/>
        <v>0</v>
      </c>
      <c r="AU1620" s="153">
        <f t="shared" si="330"/>
        <v>0</v>
      </c>
      <c r="AV1620" s="153">
        <f t="shared" si="330"/>
        <v>0</v>
      </c>
      <c r="AW1620" s="153">
        <f t="shared" si="330"/>
        <v>0</v>
      </c>
      <c r="AX1620" s="153">
        <f t="shared" si="330"/>
        <v>0</v>
      </c>
      <c r="AY1620" s="34" t="s">
        <v>289</v>
      </c>
      <c r="AZ1620" s="34"/>
      <c r="BA1620" s="47"/>
      <c r="BB1620" s="64"/>
      <c r="BI1620" s="42"/>
      <c r="BK1620" s="170"/>
    </row>
    <row r="1621" spans="1:63" s="169" customFormat="1" ht="21" customHeight="1">
      <c r="A1621" s="127">
        <f>A1617+1</f>
        <v>899</v>
      </c>
      <c r="B1621" s="33" t="s">
        <v>1777</v>
      </c>
      <c r="C1621" s="38" t="s">
        <v>1260</v>
      </c>
      <c r="D1621" s="35">
        <f t="shared" si="329"/>
        <v>1.9000000000000001</v>
      </c>
      <c r="E1621" s="35"/>
      <c r="F1621" s="35">
        <f t="shared" si="320"/>
        <v>1.9000000000000001</v>
      </c>
      <c r="G1621" s="46">
        <v>0.38</v>
      </c>
      <c r="H1621" s="46"/>
      <c r="I1621" s="46">
        <v>0.01</v>
      </c>
      <c r="J1621" s="46"/>
      <c r="K1621" s="46"/>
      <c r="L1621" s="46"/>
      <c r="M1621" s="46"/>
      <c r="N1621" s="46"/>
      <c r="O1621" s="46"/>
      <c r="P1621" s="46"/>
      <c r="Q1621" s="46"/>
      <c r="R1621" s="46"/>
      <c r="S1621" s="46"/>
      <c r="T1621" s="46"/>
      <c r="U1621" s="46"/>
      <c r="V1621" s="46"/>
      <c r="W1621" s="46"/>
      <c r="X1621" s="46"/>
      <c r="Y1621" s="46"/>
      <c r="Z1621" s="46"/>
      <c r="AA1621" s="46">
        <v>0.06</v>
      </c>
      <c r="AB1621" s="46"/>
      <c r="AC1621" s="46"/>
      <c r="AD1621" s="46"/>
      <c r="AE1621" s="46"/>
      <c r="AF1621" s="46"/>
      <c r="AG1621" s="46"/>
      <c r="AH1621" s="46"/>
      <c r="AI1621" s="46"/>
      <c r="AJ1621" s="46"/>
      <c r="AK1621" s="46">
        <v>0.21</v>
      </c>
      <c r="AL1621" s="46"/>
      <c r="AM1621" s="46"/>
      <c r="AN1621" s="46">
        <v>0.13</v>
      </c>
      <c r="AO1621" s="46"/>
      <c r="AP1621" s="46"/>
      <c r="AQ1621" s="46">
        <v>0.83</v>
      </c>
      <c r="AR1621" s="46"/>
      <c r="AS1621" s="46">
        <v>0.28000000000000003</v>
      </c>
      <c r="AT1621" s="46"/>
      <c r="AU1621" s="46"/>
      <c r="AV1621" s="46"/>
      <c r="AW1621" s="46"/>
      <c r="AX1621" s="46"/>
      <c r="AY1621" s="34" t="s">
        <v>289</v>
      </c>
      <c r="AZ1621" s="34" t="s">
        <v>1776</v>
      </c>
      <c r="BA1621" s="63" t="s">
        <v>291</v>
      </c>
      <c r="BB1621" s="64"/>
      <c r="BI1621" s="42">
        <v>1</v>
      </c>
      <c r="BK1621" s="170"/>
    </row>
    <row r="1622" spans="1:63" s="169" customFormat="1" ht="21" hidden="1" customHeight="1">
      <c r="A1622" s="127"/>
      <c r="B1622" s="33"/>
      <c r="C1622" s="38" t="s">
        <v>57</v>
      </c>
      <c r="D1622" s="35">
        <f t="shared" si="329"/>
        <v>0.71000000000000008</v>
      </c>
      <c r="E1622" s="35"/>
      <c r="F1622" s="35">
        <f t="shared" si="320"/>
        <v>0.71000000000000008</v>
      </c>
      <c r="G1622" s="46">
        <v>7.0000000000000007E-2</v>
      </c>
      <c r="H1622" s="46"/>
      <c r="I1622" s="46"/>
      <c r="J1622" s="46"/>
      <c r="K1622" s="46"/>
      <c r="L1622" s="46"/>
      <c r="M1622" s="46"/>
      <c r="N1622" s="46"/>
      <c r="O1622" s="46"/>
      <c r="P1622" s="46"/>
      <c r="Q1622" s="46"/>
      <c r="R1622" s="46"/>
      <c r="S1622" s="46"/>
      <c r="T1622" s="46"/>
      <c r="U1622" s="46"/>
      <c r="V1622" s="46"/>
      <c r="W1622" s="46"/>
      <c r="X1622" s="46"/>
      <c r="Y1622" s="46"/>
      <c r="Z1622" s="46"/>
      <c r="AA1622" s="46">
        <v>0.06</v>
      </c>
      <c r="AB1622" s="46"/>
      <c r="AC1622" s="46"/>
      <c r="AD1622" s="46"/>
      <c r="AE1622" s="46"/>
      <c r="AF1622" s="46"/>
      <c r="AG1622" s="46"/>
      <c r="AH1622" s="46"/>
      <c r="AI1622" s="46"/>
      <c r="AJ1622" s="46"/>
      <c r="AK1622" s="46"/>
      <c r="AL1622" s="46"/>
      <c r="AM1622" s="46"/>
      <c r="AN1622" s="46">
        <v>0.13</v>
      </c>
      <c r="AO1622" s="46"/>
      <c r="AP1622" s="46"/>
      <c r="AQ1622" s="46">
        <v>0.3</v>
      </c>
      <c r="AR1622" s="46"/>
      <c r="AS1622" s="46">
        <v>0.15</v>
      </c>
      <c r="AT1622" s="46"/>
      <c r="AU1622" s="46"/>
      <c r="AV1622" s="46"/>
      <c r="AW1622" s="46"/>
      <c r="AX1622" s="46"/>
      <c r="AY1622" s="34" t="s">
        <v>289</v>
      </c>
      <c r="AZ1622" s="34"/>
      <c r="BA1622" s="63"/>
      <c r="BB1622" s="64"/>
      <c r="BI1622" s="42"/>
      <c r="BK1622" s="170"/>
    </row>
    <row r="1623" spans="1:63" s="169" customFormat="1" ht="21" hidden="1" customHeight="1">
      <c r="A1623" s="127"/>
      <c r="B1623" s="33"/>
      <c r="C1623" s="38" t="s">
        <v>44</v>
      </c>
      <c r="D1623" s="35">
        <f t="shared" si="329"/>
        <v>0.71</v>
      </c>
      <c r="E1623" s="35"/>
      <c r="F1623" s="35">
        <f t="shared" si="320"/>
        <v>0.71</v>
      </c>
      <c r="G1623" s="46">
        <v>0.25</v>
      </c>
      <c r="H1623" s="46"/>
      <c r="I1623" s="46">
        <v>0.01</v>
      </c>
      <c r="J1623" s="46"/>
      <c r="K1623" s="46"/>
      <c r="L1623" s="46"/>
      <c r="M1623" s="46"/>
      <c r="N1623" s="46"/>
      <c r="O1623" s="46"/>
      <c r="P1623" s="46"/>
      <c r="Q1623" s="46"/>
      <c r="R1623" s="46"/>
      <c r="S1623" s="46"/>
      <c r="T1623" s="46"/>
      <c r="U1623" s="46"/>
      <c r="V1623" s="46"/>
      <c r="W1623" s="46"/>
      <c r="X1623" s="46"/>
      <c r="Y1623" s="46"/>
      <c r="Z1623" s="46"/>
      <c r="AA1623" s="46"/>
      <c r="AB1623" s="46"/>
      <c r="AC1623" s="46"/>
      <c r="AD1623" s="46"/>
      <c r="AE1623" s="46"/>
      <c r="AF1623" s="46"/>
      <c r="AG1623" s="46"/>
      <c r="AH1623" s="46"/>
      <c r="AI1623" s="46"/>
      <c r="AJ1623" s="46"/>
      <c r="AK1623" s="46">
        <v>0.1</v>
      </c>
      <c r="AL1623" s="46"/>
      <c r="AM1623" s="46"/>
      <c r="AN1623" s="46"/>
      <c r="AO1623" s="46"/>
      <c r="AP1623" s="46"/>
      <c r="AQ1623" s="46">
        <v>0.3</v>
      </c>
      <c r="AR1623" s="46"/>
      <c r="AS1623" s="46">
        <v>0.05</v>
      </c>
      <c r="AT1623" s="46"/>
      <c r="AU1623" s="46"/>
      <c r="AV1623" s="46"/>
      <c r="AW1623" s="46"/>
      <c r="AX1623" s="46"/>
      <c r="AY1623" s="34" t="s">
        <v>289</v>
      </c>
      <c r="AZ1623" s="34"/>
      <c r="BA1623" s="63"/>
      <c r="BB1623" s="64"/>
      <c r="BI1623" s="42"/>
      <c r="BK1623" s="170"/>
    </row>
    <row r="1624" spans="1:63" s="169" customFormat="1" ht="21" hidden="1" customHeight="1">
      <c r="A1624" s="127"/>
      <c r="B1624" s="33"/>
      <c r="C1624" s="38" t="s">
        <v>138</v>
      </c>
      <c r="D1624" s="35">
        <f t="shared" si="329"/>
        <v>0.48000000000000004</v>
      </c>
      <c r="E1624" s="35"/>
      <c r="F1624" s="35">
        <f t="shared" si="320"/>
        <v>0.48000000000000004</v>
      </c>
      <c r="G1624" s="153">
        <f>G1621-G1622-G1623</f>
        <v>0.06</v>
      </c>
      <c r="H1624" s="153">
        <f t="shared" ref="H1624:AX1624" si="331">H1621-H1622-H1623</f>
        <v>0</v>
      </c>
      <c r="I1624" s="153">
        <f t="shared" si="331"/>
        <v>0</v>
      </c>
      <c r="J1624" s="153">
        <f t="shared" si="331"/>
        <v>0</v>
      </c>
      <c r="K1624" s="153">
        <f t="shared" si="331"/>
        <v>0</v>
      </c>
      <c r="L1624" s="153">
        <f t="shared" si="331"/>
        <v>0</v>
      </c>
      <c r="M1624" s="153">
        <f t="shared" si="331"/>
        <v>0</v>
      </c>
      <c r="N1624" s="153">
        <f t="shared" si="331"/>
        <v>0</v>
      </c>
      <c r="O1624" s="153">
        <f t="shared" si="331"/>
        <v>0</v>
      </c>
      <c r="P1624" s="153">
        <f t="shared" si="331"/>
        <v>0</v>
      </c>
      <c r="Q1624" s="153">
        <f t="shared" si="331"/>
        <v>0</v>
      </c>
      <c r="R1624" s="153">
        <f t="shared" si="331"/>
        <v>0</v>
      </c>
      <c r="S1624" s="153">
        <f t="shared" si="331"/>
        <v>0</v>
      </c>
      <c r="T1624" s="153">
        <f t="shared" si="331"/>
        <v>0</v>
      </c>
      <c r="U1624" s="153">
        <f t="shared" si="331"/>
        <v>0</v>
      </c>
      <c r="V1624" s="153">
        <f t="shared" si="331"/>
        <v>0</v>
      </c>
      <c r="W1624" s="153">
        <f t="shared" si="331"/>
        <v>0</v>
      </c>
      <c r="X1624" s="153">
        <f t="shared" si="331"/>
        <v>0</v>
      </c>
      <c r="Y1624" s="153">
        <f t="shared" si="331"/>
        <v>0</v>
      </c>
      <c r="Z1624" s="153">
        <f t="shared" si="331"/>
        <v>0</v>
      </c>
      <c r="AA1624" s="153">
        <f t="shared" si="331"/>
        <v>0</v>
      </c>
      <c r="AB1624" s="153">
        <f t="shared" si="331"/>
        <v>0</v>
      </c>
      <c r="AC1624" s="153">
        <f t="shared" si="331"/>
        <v>0</v>
      </c>
      <c r="AD1624" s="153">
        <f t="shared" si="331"/>
        <v>0</v>
      </c>
      <c r="AE1624" s="153">
        <f t="shared" si="331"/>
        <v>0</v>
      </c>
      <c r="AF1624" s="153">
        <f t="shared" si="331"/>
        <v>0</v>
      </c>
      <c r="AG1624" s="153">
        <f t="shared" si="331"/>
        <v>0</v>
      </c>
      <c r="AH1624" s="153">
        <f t="shared" si="331"/>
        <v>0</v>
      </c>
      <c r="AI1624" s="153">
        <f t="shared" si="331"/>
        <v>0</v>
      </c>
      <c r="AJ1624" s="153">
        <f t="shared" si="331"/>
        <v>0</v>
      </c>
      <c r="AK1624" s="154">
        <f t="shared" si="331"/>
        <v>0.10999999999999999</v>
      </c>
      <c r="AL1624" s="153">
        <f t="shared" si="331"/>
        <v>0</v>
      </c>
      <c r="AM1624" s="153">
        <f t="shared" si="331"/>
        <v>0</v>
      </c>
      <c r="AN1624" s="154">
        <f t="shared" si="331"/>
        <v>0</v>
      </c>
      <c r="AO1624" s="153">
        <f t="shared" si="331"/>
        <v>0</v>
      </c>
      <c r="AP1624" s="153">
        <f t="shared" si="331"/>
        <v>0</v>
      </c>
      <c r="AQ1624" s="154">
        <f t="shared" si="331"/>
        <v>0.23000000000000004</v>
      </c>
      <c r="AR1624" s="153">
        <f t="shared" si="331"/>
        <v>0</v>
      </c>
      <c r="AS1624" s="154">
        <f t="shared" si="331"/>
        <v>8.0000000000000029E-2</v>
      </c>
      <c r="AT1624" s="153">
        <f t="shared" si="331"/>
        <v>0</v>
      </c>
      <c r="AU1624" s="153">
        <f t="shared" si="331"/>
        <v>0</v>
      </c>
      <c r="AV1624" s="153">
        <f t="shared" si="331"/>
        <v>0</v>
      </c>
      <c r="AW1624" s="153">
        <f t="shared" si="331"/>
        <v>0</v>
      </c>
      <c r="AX1624" s="153">
        <f t="shared" si="331"/>
        <v>0</v>
      </c>
      <c r="AY1624" s="34" t="s">
        <v>289</v>
      </c>
      <c r="AZ1624" s="34"/>
      <c r="BA1624" s="63"/>
      <c r="BB1624" s="64"/>
      <c r="BI1624" s="42"/>
      <c r="BK1624" s="170"/>
    </row>
    <row r="1625" spans="1:63" s="169" customFormat="1" ht="31.5">
      <c r="A1625" s="127">
        <f>A1621+1</f>
        <v>900</v>
      </c>
      <c r="B1625" s="33" t="s">
        <v>1778</v>
      </c>
      <c r="C1625" s="38" t="s">
        <v>1260</v>
      </c>
      <c r="D1625" s="35">
        <f t="shared" si="329"/>
        <v>1.5799999999999998</v>
      </c>
      <c r="E1625" s="35"/>
      <c r="F1625" s="35">
        <f t="shared" si="320"/>
        <v>1.5799999999999998</v>
      </c>
      <c r="G1625" s="43">
        <v>1.1499999999999999</v>
      </c>
      <c r="H1625" s="43"/>
      <c r="I1625" s="43">
        <v>0.2</v>
      </c>
      <c r="J1625" s="43"/>
      <c r="K1625" s="43"/>
      <c r="L1625" s="43"/>
      <c r="M1625" s="43"/>
      <c r="N1625" s="43"/>
      <c r="O1625" s="43"/>
      <c r="P1625" s="43"/>
      <c r="Q1625" s="43"/>
      <c r="R1625" s="43"/>
      <c r="S1625" s="43"/>
      <c r="T1625" s="43"/>
      <c r="U1625" s="43"/>
      <c r="V1625" s="43"/>
      <c r="W1625" s="43"/>
      <c r="X1625" s="43"/>
      <c r="Y1625" s="43"/>
      <c r="Z1625" s="43"/>
      <c r="AA1625" s="43"/>
      <c r="AB1625" s="43"/>
      <c r="AC1625" s="43">
        <v>0.23</v>
      </c>
      <c r="AD1625" s="43"/>
      <c r="AE1625" s="43"/>
      <c r="AF1625" s="43"/>
      <c r="AG1625" s="43"/>
      <c r="AH1625" s="43"/>
      <c r="AI1625" s="43"/>
      <c r="AJ1625" s="43"/>
      <c r="AK1625" s="43"/>
      <c r="AL1625" s="43"/>
      <c r="AM1625" s="43"/>
      <c r="AN1625" s="43"/>
      <c r="AO1625" s="43"/>
      <c r="AP1625" s="43"/>
      <c r="AQ1625" s="43"/>
      <c r="AR1625" s="43"/>
      <c r="AS1625" s="43"/>
      <c r="AT1625" s="43"/>
      <c r="AU1625" s="43"/>
      <c r="AV1625" s="43"/>
      <c r="AW1625" s="43"/>
      <c r="AX1625" s="43"/>
      <c r="AY1625" s="34" t="s">
        <v>289</v>
      </c>
      <c r="AZ1625" s="34" t="s">
        <v>1779</v>
      </c>
      <c r="BA1625" s="47" t="s">
        <v>291</v>
      </c>
      <c r="BB1625" s="48"/>
      <c r="BI1625" s="42">
        <v>1</v>
      </c>
      <c r="BK1625" s="170"/>
    </row>
    <row r="1626" spans="1:63" s="169" customFormat="1" hidden="1">
      <c r="A1626" s="127"/>
      <c r="B1626" s="33"/>
      <c r="C1626" s="38" t="s">
        <v>57</v>
      </c>
      <c r="D1626" s="35">
        <f t="shared" si="329"/>
        <v>0.6</v>
      </c>
      <c r="E1626" s="35"/>
      <c r="F1626" s="35">
        <f t="shared" si="320"/>
        <v>0.6</v>
      </c>
      <c r="G1626" s="43">
        <v>0.27</v>
      </c>
      <c r="H1626" s="43"/>
      <c r="I1626" s="43">
        <v>0.1</v>
      </c>
      <c r="J1626" s="43"/>
      <c r="K1626" s="43"/>
      <c r="L1626" s="43"/>
      <c r="M1626" s="43"/>
      <c r="N1626" s="43"/>
      <c r="O1626" s="43"/>
      <c r="P1626" s="43"/>
      <c r="Q1626" s="43"/>
      <c r="R1626" s="43"/>
      <c r="S1626" s="43"/>
      <c r="T1626" s="43"/>
      <c r="U1626" s="43"/>
      <c r="V1626" s="43"/>
      <c r="W1626" s="43"/>
      <c r="X1626" s="43"/>
      <c r="Y1626" s="43"/>
      <c r="Z1626" s="43"/>
      <c r="AA1626" s="43"/>
      <c r="AB1626" s="43"/>
      <c r="AC1626" s="43">
        <v>0.23</v>
      </c>
      <c r="AD1626" s="43"/>
      <c r="AE1626" s="43"/>
      <c r="AF1626" s="43"/>
      <c r="AG1626" s="43"/>
      <c r="AH1626" s="43"/>
      <c r="AI1626" s="43"/>
      <c r="AJ1626" s="43"/>
      <c r="AK1626" s="43"/>
      <c r="AL1626" s="43"/>
      <c r="AM1626" s="43"/>
      <c r="AN1626" s="43"/>
      <c r="AO1626" s="43"/>
      <c r="AP1626" s="43"/>
      <c r="AQ1626" s="43"/>
      <c r="AR1626" s="43"/>
      <c r="AS1626" s="43"/>
      <c r="AT1626" s="43"/>
      <c r="AU1626" s="43"/>
      <c r="AV1626" s="43"/>
      <c r="AW1626" s="43"/>
      <c r="AX1626" s="43"/>
      <c r="AY1626" s="34" t="s">
        <v>289</v>
      </c>
      <c r="AZ1626" s="34"/>
      <c r="BA1626" s="47"/>
      <c r="BB1626" s="48"/>
      <c r="BI1626" s="42"/>
      <c r="BK1626" s="170"/>
    </row>
    <row r="1627" spans="1:63" s="169" customFormat="1" hidden="1">
      <c r="A1627" s="127"/>
      <c r="B1627" s="33"/>
      <c r="C1627" s="38" t="s">
        <v>44</v>
      </c>
      <c r="D1627" s="35">
        <f t="shared" si="329"/>
        <v>0.58000000000000007</v>
      </c>
      <c r="E1627" s="35"/>
      <c r="F1627" s="35">
        <f t="shared" si="320"/>
        <v>0.58000000000000007</v>
      </c>
      <c r="G1627" s="43">
        <v>0.53</v>
      </c>
      <c r="H1627" s="43"/>
      <c r="I1627" s="43">
        <v>0.05</v>
      </c>
      <c r="J1627" s="43"/>
      <c r="K1627" s="43"/>
      <c r="L1627" s="43"/>
      <c r="M1627" s="43"/>
      <c r="N1627" s="43"/>
      <c r="O1627" s="43"/>
      <c r="P1627" s="43"/>
      <c r="Q1627" s="43"/>
      <c r="R1627" s="43"/>
      <c r="S1627" s="43"/>
      <c r="T1627" s="43"/>
      <c r="U1627" s="43"/>
      <c r="V1627" s="43"/>
      <c r="W1627" s="43"/>
      <c r="X1627" s="43"/>
      <c r="Y1627" s="43"/>
      <c r="Z1627" s="43"/>
      <c r="AA1627" s="43"/>
      <c r="AB1627" s="43"/>
      <c r="AC1627" s="43"/>
      <c r="AD1627" s="43"/>
      <c r="AE1627" s="43"/>
      <c r="AF1627" s="43"/>
      <c r="AG1627" s="43"/>
      <c r="AH1627" s="43"/>
      <c r="AI1627" s="43"/>
      <c r="AJ1627" s="43"/>
      <c r="AK1627" s="43"/>
      <c r="AL1627" s="43"/>
      <c r="AM1627" s="43"/>
      <c r="AN1627" s="43"/>
      <c r="AO1627" s="43"/>
      <c r="AP1627" s="43"/>
      <c r="AQ1627" s="43"/>
      <c r="AR1627" s="43"/>
      <c r="AS1627" s="43"/>
      <c r="AT1627" s="43"/>
      <c r="AU1627" s="43"/>
      <c r="AV1627" s="43"/>
      <c r="AW1627" s="43"/>
      <c r="AX1627" s="43"/>
      <c r="AY1627" s="34" t="s">
        <v>289</v>
      </c>
      <c r="AZ1627" s="34"/>
      <c r="BA1627" s="47"/>
      <c r="BB1627" s="48"/>
      <c r="BI1627" s="42"/>
      <c r="BK1627" s="170"/>
    </row>
    <row r="1628" spans="1:63" s="169" customFormat="1" hidden="1">
      <c r="A1628" s="127"/>
      <c r="B1628" s="33"/>
      <c r="C1628" s="38" t="s">
        <v>138</v>
      </c>
      <c r="D1628" s="35">
        <f t="shared" si="329"/>
        <v>0.39999999999999986</v>
      </c>
      <c r="E1628" s="35"/>
      <c r="F1628" s="35">
        <f t="shared" si="320"/>
        <v>0.39999999999999986</v>
      </c>
      <c r="G1628" s="141">
        <f>G1625-G1626-G1627</f>
        <v>0.34999999999999987</v>
      </c>
      <c r="H1628" s="141">
        <f t="shared" ref="H1628:AX1628" si="332">H1625-H1626-H1627</f>
        <v>0</v>
      </c>
      <c r="I1628" s="141">
        <f t="shared" si="332"/>
        <v>0.05</v>
      </c>
      <c r="J1628" s="141">
        <f t="shared" si="332"/>
        <v>0</v>
      </c>
      <c r="K1628" s="141">
        <f t="shared" si="332"/>
        <v>0</v>
      </c>
      <c r="L1628" s="141">
        <f t="shared" si="332"/>
        <v>0</v>
      </c>
      <c r="M1628" s="141">
        <f t="shared" si="332"/>
        <v>0</v>
      </c>
      <c r="N1628" s="141">
        <f t="shared" si="332"/>
        <v>0</v>
      </c>
      <c r="O1628" s="141">
        <f t="shared" si="332"/>
        <v>0</v>
      </c>
      <c r="P1628" s="141">
        <f t="shared" si="332"/>
        <v>0</v>
      </c>
      <c r="Q1628" s="141">
        <f t="shared" si="332"/>
        <v>0</v>
      </c>
      <c r="R1628" s="141">
        <f t="shared" si="332"/>
        <v>0</v>
      </c>
      <c r="S1628" s="141">
        <f t="shared" si="332"/>
        <v>0</v>
      </c>
      <c r="T1628" s="141">
        <f t="shared" si="332"/>
        <v>0</v>
      </c>
      <c r="U1628" s="141">
        <f t="shared" si="332"/>
        <v>0</v>
      </c>
      <c r="V1628" s="141">
        <f t="shared" si="332"/>
        <v>0</v>
      </c>
      <c r="W1628" s="141">
        <f t="shared" si="332"/>
        <v>0</v>
      </c>
      <c r="X1628" s="141">
        <f t="shared" si="332"/>
        <v>0</v>
      </c>
      <c r="Y1628" s="141">
        <f t="shared" si="332"/>
        <v>0</v>
      </c>
      <c r="Z1628" s="141">
        <f t="shared" si="332"/>
        <v>0</v>
      </c>
      <c r="AA1628" s="141">
        <f t="shared" si="332"/>
        <v>0</v>
      </c>
      <c r="AB1628" s="141">
        <f t="shared" si="332"/>
        <v>0</v>
      </c>
      <c r="AC1628" s="141">
        <f t="shared" si="332"/>
        <v>0</v>
      </c>
      <c r="AD1628" s="141">
        <f t="shared" si="332"/>
        <v>0</v>
      </c>
      <c r="AE1628" s="141">
        <f t="shared" si="332"/>
        <v>0</v>
      </c>
      <c r="AF1628" s="141">
        <f t="shared" si="332"/>
        <v>0</v>
      </c>
      <c r="AG1628" s="141">
        <f t="shared" si="332"/>
        <v>0</v>
      </c>
      <c r="AH1628" s="141">
        <f t="shared" si="332"/>
        <v>0</v>
      </c>
      <c r="AI1628" s="141">
        <f t="shared" si="332"/>
        <v>0</v>
      </c>
      <c r="AJ1628" s="141">
        <f t="shared" si="332"/>
        <v>0</v>
      </c>
      <c r="AK1628" s="141">
        <f t="shared" si="332"/>
        <v>0</v>
      </c>
      <c r="AL1628" s="141">
        <f t="shared" si="332"/>
        <v>0</v>
      </c>
      <c r="AM1628" s="141">
        <f t="shared" si="332"/>
        <v>0</v>
      </c>
      <c r="AN1628" s="141">
        <f t="shared" si="332"/>
        <v>0</v>
      </c>
      <c r="AO1628" s="141">
        <f t="shared" si="332"/>
        <v>0</v>
      </c>
      <c r="AP1628" s="141">
        <f t="shared" si="332"/>
        <v>0</v>
      </c>
      <c r="AQ1628" s="141">
        <f t="shared" si="332"/>
        <v>0</v>
      </c>
      <c r="AR1628" s="141">
        <f t="shared" si="332"/>
        <v>0</v>
      </c>
      <c r="AS1628" s="141">
        <f t="shared" si="332"/>
        <v>0</v>
      </c>
      <c r="AT1628" s="141">
        <f t="shared" si="332"/>
        <v>0</v>
      </c>
      <c r="AU1628" s="141">
        <f t="shared" si="332"/>
        <v>0</v>
      </c>
      <c r="AV1628" s="141">
        <f t="shared" si="332"/>
        <v>0</v>
      </c>
      <c r="AW1628" s="141">
        <f t="shared" si="332"/>
        <v>0</v>
      </c>
      <c r="AX1628" s="141">
        <f t="shared" si="332"/>
        <v>0</v>
      </c>
      <c r="AY1628" s="34" t="s">
        <v>289</v>
      </c>
      <c r="AZ1628" s="34"/>
      <c r="BA1628" s="47"/>
      <c r="BB1628" s="48"/>
      <c r="BI1628" s="42"/>
      <c r="BK1628" s="170"/>
    </row>
    <row r="1629" spans="1:63" s="169" customFormat="1" ht="31.5">
      <c r="A1629" s="127">
        <f>A1625+1</f>
        <v>901</v>
      </c>
      <c r="B1629" s="33" t="s">
        <v>1780</v>
      </c>
      <c r="C1629" s="38" t="s">
        <v>1260</v>
      </c>
      <c r="D1629" s="35">
        <f t="shared" si="329"/>
        <v>1.4200000000000002</v>
      </c>
      <c r="E1629" s="35"/>
      <c r="F1629" s="35">
        <f t="shared" si="320"/>
        <v>1.4200000000000002</v>
      </c>
      <c r="G1629" s="46">
        <v>0.17</v>
      </c>
      <c r="H1629" s="46">
        <v>0.44</v>
      </c>
      <c r="I1629" s="46">
        <v>0.62</v>
      </c>
      <c r="J1629" s="46">
        <v>0.06</v>
      </c>
      <c r="K1629" s="46"/>
      <c r="L1629" s="46"/>
      <c r="M1629" s="46"/>
      <c r="N1629" s="46"/>
      <c r="O1629" s="46"/>
      <c r="P1629" s="46">
        <v>0.04</v>
      </c>
      <c r="Q1629" s="46"/>
      <c r="R1629" s="46"/>
      <c r="S1629" s="46"/>
      <c r="T1629" s="46"/>
      <c r="U1629" s="46"/>
      <c r="V1629" s="46"/>
      <c r="W1629" s="46"/>
      <c r="X1629" s="46"/>
      <c r="Y1629" s="46"/>
      <c r="Z1629" s="46">
        <v>0.02</v>
      </c>
      <c r="AA1629" s="46">
        <v>0.02</v>
      </c>
      <c r="AB1629" s="46"/>
      <c r="AC1629" s="46"/>
      <c r="AD1629" s="46"/>
      <c r="AE1629" s="46"/>
      <c r="AF1629" s="46"/>
      <c r="AG1629" s="46"/>
      <c r="AH1629" s="46"/>
      <c r="AI1629" s="46"/>
      <c r="AJ1629" s="46"/>
      <c r="AK1629" s="46">
        <v>0.01</v>
      </c>
      <c r="AL1629" s="46"/>
      <c r="AM1629" s="46"/>
      <c r="AN1629" s="46"/>
      <c r="AO1629" s="46"/>
      <c r="AP1629" s="46"/>
      <c r="AQ1629" s="46"/>
      <c r="AR1629" s="46"/>
      <c r="AS1629" s="46"/>
      <c r="AT1629" s="46"/>
      <c r="AU1629" s="46"/>
      <c r="AV1629" s="46"/>
      <c r="AW1629" s="46"/>
      <c r="AX1629" s="46">
        <v>0.04</v>
      </c>
      <c r="AY1629" s="34" t="s">
        <v>289</v>
      </c>
      <c r="AZ1629" s="34" t="s">
        <v>1781</v>
      </c>
      <c r="BA1629" s="63" t="s">
        <v>291</v>
      </c>
      <c r="BB1629" s="64"/>
      <c r="BI1629" s="42">
        <v>1</v>
      </c>
      <c r="BK1629" s="170"/>
    </row>
    <row r="1630" spans="1:63" s="169" customFormat="1" hidden="1">
      <c r="A1630" s="127"/>
      <c r="B1630" s="33"/>
      <c r="C1630" s="38" t="s">
        <v>57</v>
      </c>
      <c r="D1630" s="35">
        <f t="shared" si="329"/>
        <v>0.57000000000000006</v>
      </c>
      <c r="E1630" s="35"/>
      <c r="F1630" s="35">
        <f t="shared" si="320"/>
        <v>0.57000000000000006</v>
      </c>
      <c r="G1630" s="46">
        <v>0.17</v>
      </c>
      <c r="H1630" s="46">
        <v>0.4</v>
      </c>
      <c r="I1630" s="46"/>
      <c r="J1630" s="46"/>
      <c r="K1630" s="46"/>
      <c r="L1630" s="46"/>
      <c r="M1630" s="46"/>
      <c r="N1630" s="46"/>
      <c r="O1630" s="46"/>
      <c r="P1630" s="46"/>
      <c r="Q1630" s="46"/>
      <c r="R1630" s="46"/>
      <c r="S1630" s="46"/>
      <c r="T1630" s="46"/>
      <c r="U1630" s="46"/>
      <c r="V1630" s="46"/>
      <c r="W1630" s="46"/>
      <c r="X1630" s="46"/>
      <c r="Y1630" s="46"/>
      <c r="Z1630" s="46"/>
      <c r="AA1630" s="46"/>
      <c r="AB1630" s="46"/>
      <c r="AC1630" s="46"/>
      <c r="AD1630" s="46"/>
      <c r="AE1630" s="46"/>
      <c r="AF1630" s="46"/>
      <c r="AG1630" s="46"/>
      <c r="AH1630" s="46"/>
      <c r="AI1630" s="46"/>
      <c r="AJ1630" s="46"/>
      <c r="AK1630" s="46"/>
      <c r="AL1630" s="46"/>
      <c r="AM1630" s="46"/>
      <c r="AN1630" s="46"/>
      <c r="AO1630" s="46"/>
      <c r="AP1630" s="46"/>
      <c r="AQ1630" s="46"/>
      <c r="AR1630" s="46"/>
      <c r="AS1630" s="46"/>
      <c r="AT1630" s="46"/>
      <c r="AU1630" s="46"/>
      <c r="AV1630" s="46"/>
      <c r="AW1630" s="46"/>
      <c r="AX1630" s="46"/>
      <c r="AY1630" s="34" t="s">
        <v>289</v>
      </c>
      <c r="AZ1630" s="34"/>
      <c r="BA1630" s="63"/>
      <c r="BB1630" s="64"/>
      <c r="BI1630" s="42"/>
      <c r="BK1630" s="170"/>
    </row>
    <row r="1631" spans="1:63" s="169" customFormat="1" hidden="1">
      <c r="A1631" s="127"/>
      <c r="B1631" s="33"/>
      <c r="C1631" s="38" t="s">
        <v>44</v>
      </c>
      <c r="D1631" s="35">
        <f t="shared" si="329"/>
        <v>0.63000000000000012</v>
      </c>
      <c r="E1631" s="35"/>
      <c r="F1631" s="35">
        <f t="shared" si="320"/>
        <v>0.63000000000000012</v>
      </c>
      <c r="G1631" s="46"/>
      <c r="H1631" s="46">
        <v>0.04</v>
      </c>
      <c r="I1631" s="46">
        <v>0.44</v>
      </c>
      <c r="J1631" s="46">
        <v>0.06</v>
      </c>
      <c r="K1631" s="46"/>
      <c r="L1631" s="46"/>
      <c r="M1631" s="46"/>
      <c r="N1631" s="46"/>
      <c r="O1631" s="46"/>
      <c r="P1631" s="46">
        <v>0.04</v>
      </c>
      <c r="Q1631" s="46"/>
      <c r="R1631" s="46"/>
      <c r="S1631" s="46"/>
      <c r="T1631" s="46"/>
      <c r="U1631" s="46"/>
      <c r="V1631" s="46"/>
      <c r="W1631" s="46"/>
      <c r="X1631" s="46"/>
      <c r="Y1631" s="46"/>
      <c r="Z1631" s="46"/>
      <c r="AA1631" s="46"/>
      <c r="AB1631" s="46"/>
      <c r="AC1631" s="46"/>
      <c r="AD1631" s="46"/>
      <c r="AE1631" s="46"/>
      <c r="AF1631" s="46"/>
      <c r="AG1631" s="46"/>
      <c r="AH1631" s="46"/>
      <c r="AI1631" s="46"/>
      <c r="AJ1631" s="46"/>
      <c r="AK1631" s="46">
        <v>0.01</v>
      </c>
      <c r="AL1631" s="46"/>
      <c r="AM1631" s="46"/>
      <c r="AN1631" s="46"/>
      <c r="AO1631" s="46"/>
      <c r="AP1631" s="46"/>
      <c r="AQ1631" s="46"/>
      <c r="AR1631" s="46"/>
      <c r="AS1631" s="46"/>
      <c r="AT1631" s="46"/>
      <c r="AU1631" s="46"/>
      <c r="AV1631" s="46"/>
      <c r="AW1631" s="46"/>
      <c r="AX1631" s="46">
        <v>0.04</v>
      </c>
      <c r="AY1631" s="34" t="s">
        <v>289</v>
      </c>
      <c r="AZ1631" s="34"/>
      <c r="BA1631" s="63"/>
      <c r="BB1631" s="64"/>
      <c r="BI1631" s="42"/>
      <c r="BK1631" s="170"/>
    </row>
    <row r="1632" spans="1:63" s="169" customFormat="1" hidden="1">
      <c r="A1632" s="127"/>
      <c r="B1632" s="33"/>
      <c r="C1632" s="38" t="s">
        <v>138</v>
      </c>
      <c r="D1632" s="35">
        <f t="shared" si="329"/>
        <v>0.21999999999999997</v>
      </c>
      <c r="E1632" s="35"/>
      <c r="F1632" s="35">
        <f t="shared" si="320"/>
        <v>0.21999999999999997</v>
      </c>
      <c r="G1632" s="171">
        <f>G1629-G1630-G1631</f>
        <v>0</v>
      </c>
      <c r="H1632" s="171">
        <f t="shared" ref="H1632:AX1632" si="333">H1629-H1630-H1631</f>
        <v>0</v>
      </c>
      <c r="I1632" s="157">
        <f t="shared" si="333"/>
        <v>0.18</v>
      </c>
      <c r="J1632" s="171">
        <f t="shared" si="333"/>
        <v>0</v>
      </c>
      <c r="K1632" s="171">
        <f t="shared" si="333"/>
        <v>0</v>
      </c>
      <c r="L1632" s="171">
        <f t="shared" si="333"/>
        <v>0</v>
      </c>
      <c r="M1632" s="171">
        <f t="shared" si="333"/>
        <v>0</v>
      </c>
      <c r="N1632" s="171">
        <f t="shared" si="333"/>
        <v>0</v>
      </c>
      <c r="O1632" s="171">
        <f t="shared" si="333"/>
        <v>0</v>
      </c>
      <c r="P1632" s="171">
        <f t="shared" si="333"/>
        <v>0</v>
      </c>
      <c r="Q1632" s="171">
        <f t="shared" si="333"/>
        <v>0</v>
      </c>
      <c r="R1632" s="171">
        <f t="shared" si="333"/>
        <v>0</v>
      </c>
      <c r="S1632" s="171">
        <f t="shared" si="333"/>
        <v>0</v>
      </c>
      <c r="T1632" s="171">
        <f t="shared" si="333"/>
        <v>0</v>
      </c>
      <c r="U1632" s="171">
        <f t="shared" si="333"/>
        <v>0</v>
      </c>
      <c r="V1632" s="171">
        <f t="shared" si="333"/>
        <v>0</v>
      </c>
      <c r="W1632" s="171">
        <f t="shared" si="333"/>
        <v>0</v>
      </c>
      <c r="X1632" s="171">
        <f t="shared" si="333"/>
        <v>0</v>
      </c>
      <c r="Y1632" s="171">
        <f t="shared" si="333"/>
        <v>0</v>
      </c>
      <c r="Z1632" s="171">
        <f t="shared" si="333"/>
        <v>0.02</v>
      </c>
      <c r="AA1632" s="171">
        <f t="shared" si="333"/>
        <v>0.02</v>
      </c>
      <c r="AB1632" s="171">
        <f t="shared" si="333"/>
        <v>0</v>
      </c>
      <c r="AC1632" s="171">
        <f t="shared" si="333"/>
        <v>0</v>
      </c>
      <c r="AD1632" s="171">
        <f t="shared" si="333"/>
        <v>0</v>
      </c>
      <c r="AE1632" s="171">
        <f t="shared" si="333"/>
        <v>0</v>
      </c>
      <c r="AF1632" s="171">
        <f t="shared" si="333"/>
        <v>0</v>
      </c>
      <c r="AG1632" s="171">
        <f t="shared" si="333"/>
        <v>0</v>
      </c>
      <c r="AH1632" s="171">
        <f t="shared" si="333"/>
        <v>0</v>
      </c>
      <c r="AI1632" s="171">
        <f t="shared" si="333"/>
        <v>0</v>
      </c>
      <c r="AJ1632" s="171">
        <f t="shared" si="333"/>
        <v>0</v>
      </c>
      <c r="AK1632" s="171">
        <f t="shared" si="333"/>
        <v>0</v>
      </c>
      <c r="AL1632" s="171">
        <f t="shared" si="333"/>
        <v>0</v>
      </c>
      <c r="AM1632" s="171">
        <f t="shared" si="333"/>
        <v>0</v>
      </c>
      <c r="AN1632" s="171">
        <f t="shared" si="333"/>
        <v>0</v>
      </c>
      <c r="AO1632" s="171">
        <f t="shared" si="333"/>
        <v>0</v>
      </c>
      <c r="AP1632" s="171">
        <f t="shared" si="333"/>
        <v>0</v>
      </c>
      <c r="AQ1632" s="171">
        <f t="shared" si="333"/>
        <v>0</v>
      </c>
      <c r="AR1632" s="171">
        <f t="shared" si="333"/>
        <v>0</v>
      </c>
      <c r="AS1632" s="171">
        <f t="shared" si="333"/>
        <v>0</v>
      </c>
      <c r="AT1632" s="171">
        <f t="shared" si="333"/>
        <v>0</v>
      </c>
      <c r="AU1632" s="171">
        <f t="shared" si="333"/>
        <v>0</v>
      </c>
      <c r="AV1632" s="171">
        <f t="shared" si="333"/>
        <v>0</v>
      </c>
      <c r="AW1632" s="171">
        <f t="shared" si="333"/>
        <v>0</v>
      </c>
      <c r="AX1632" s="171">
        <f t="shared" si="333"/>
        <v>0</v>
      </c>
      <c r="AY1632" s="34" t="s">
        <v>289</v>
      </c>
      <c r="AZ1632" s="34"/>
      <c r="BA1632" s="63"/>
      <c r="BB1632" s="64"/>
      <c r="BI1632" s="42"/>
      <c r="BK1632" s="170"/>
    </row>
    <row r="1633" spans="1:63" s="169" customFormat="1" ht="34.35" customHeight="1">
      <c r="A1633" s="127">
        <f>A1629+1</f>
        <v>902</v>
      </c>
      <c r="B1633" s="33" t="s">
        <v>1782</v>
      </c>
      <c r="C1633" s="38" t="s">
        <v>1260</v>
      </c>
      <c r="D1633" s="35">
        <f t="shared" si="329"/>
        <v>1.23</v>
      </c>
      <c r="E1633" s="35"/>
      <c r="F1633" s="35">
        <f t="shared" si="320"/>
        <v>1.23</v>
      </c>
      <c r="G1633" s="43">
        <v>0.59</v>
      </c>
      <c r="H1633" s="43"/>
      <c r="I1633" s="43"/>
      <c r="J1633" s="46">
        <v>0.62</v>
      </c>
      <c r="K1633" s="46"/>
      <c r="L1633" s="46"/>
      <c r="M1633" s="46"/>
      <c r="N1633" s="46"/>
      <c r="O1633" s="46"/>
      <c r="P1633" s="46"/>
      <c r="Q1633" s="46"/>
      <c r="R1633" s="46"/>
      <c r="S1633" s="46"/>
      <c r="T1633" s="46"/>
      <c r="U1633" s="46"/>
      <c r="V1633" s="46"/>
      <c r="W1633" s="46"/>
      <c r="X1633" s="46"/>
      <c r="Y1633" s="46"/>
      <c r="Z1633" s="46"/>
      <c r="AA1633" s="46">
        <v>0.02</v>
      </c>
      <c r="AB1633" s="46"/>
      <c r="AC1633" s="46"/>
      <c r="AD1633" s="46"/>
      <c r="AE1633" s="46"/>
      <c r="AF1633" s="46"/>
      <c r="AG1633" s="46"/>
      <c r="AH1633" s="46"/>
      <c r="AI1633" s="46"/>
      <c r="AJ1633" s="46"/>
      <c r="AK1633" s="46"/>
      <c r="AL1633" s="46"/>
      <c r="AM1633" s="46"/>
      <c r="AN1633" s="46"/>
      <c r="AO1633" s="46"/>
      <c r="AP1633" s="46"/>
      <c r="AQ1633" s="46"/>
      <c r="AR1633" s="46"/>
      <c r="AS1633" s="46"/>
      <c r="AT1633" s="46"/>
      <c r="AU1633" s="46"/>
      <c r="AV1633" s="46"/>
      <c r="AW1633" s="46"/>
      <c r="AX1633" s="46"/>
      <c r="AY1633" s="34" t="s">
        <v>289</v>
      </c>
      <c r="AZ1633" s="34" t="s">
        <v>1783</v>
      </c>
      <c r="BA1633" s="63" t="s">
        <v>291</v>
      </c>
      <c r="BB1633" s="64"/>
      <c r="BI1633" s="42">
        <v>1</v>
      </c>
      <c r="BK1633" s="170"/>
    </row>
    <row r="1634" spans="1:63" s="169" customFormat="1" ht="23.1" hidden="1" customHeight="1">
      <c r="A1634" s="127"/>
      <c r="B1634" s="33"/>
      <c r="C1634" s="38" t="s">
        <v>57</v>
      </c>
      <c r="D1634" s="35">
        <f t="shared" si="329"/>
        <v>0.47000000000000003</v>
      </c>
      <c r="E1634" s="35"/>
      <c r="F1634" s="35">
        <f t="shared" si="320"/>
        <v>0.47000000000000003</v>
      </c>
      <c r="G1634" s="43">
        <v>0.2</v>
      </c>
      <c r="H1634" s="43"/>
      <c r="I1634" s="43"/>
      <c r="J1634" s="46">
        <v>0.27</v>
      </c>
      <c r="K1634" s="46"/>
      <c r="L1634" s="46"/>
      <c r="M1634" s="46"/>
      <c r="N1634" s="46"/>
      <c r="O1634" s="46"/>
      <c r="P1634" s="46"/>
      <c r="Q1634" s="46"/>
      <c r="R1634" s="46"/>
      <c r="S1634" s="46"/>
      <c r="T1634" s="46"/>
      <c r="U1634" s="46"/>
      <c r="V1634" s="46"/>
      <c r="W1634" s="46"/>
      <c r="X1634" s="46"/>
      <c r="Y1634" s="46"/>
      <c r="Z1634" s="46"/>
      <c r="AA1634" s="46"/>
      <c r="AB1634" s="46"/>
      <c r="AC1634" s="46"/>
      <c r="AD1634" s="46"/>
      <c r="AE1634" s="46"/>
      <c r="AF1634" s="46"/>
      <c r="AG1634" s="46"/>
      <c r="AH1634" s="46"/>
      <c r="AI1634" s="46"/>
      <c r="AJ1634" s="46"/>
      <c r="AK1634" s="46"/>
      <c r="AL1634" s="46"/>
      <c r="AM1634" s="46"/>
      <c r="AN1634" s="46"/>
      <c r="AO1634" s="46"/>
      <c r="AP1634" s="46"/>
      <c r="AQ1634" s="46"/>
      <c r="AR1634" s="46"/>
      <c r="AS1634" s="46"/>
      <c r="AT1634" s="46"/>
      <c r="AU1634" s="46"/>
      <c r="AV1634" s="46"/>
      <c r="AW1634" s="46"/>
      <c r="AX1634" s="46"/>
      <c r="AY1634" s="34" t="s">
        <v>289</v>
      </c>
      <c r="AZ1634" s="34"/>
      <c r="BA1634" s="63"/>
      <c r="BB1634" s="64"/>
      <c r="BI1634" s="42"/>
      <c r="BK1634" s="170"/>
    </row>
    <row r="1635" spans="1:63" s="169" customFormat="1" ht="23.1" hidden="1" customHeight="1">
      <c r="A1635" s="127"/>
      <c r="B1635" s="33"/>
      <c r="C1635" s="38" t="s">
        <v>44</v>
      </c>
      <c r="D1635" s="35">
        <f t="shared" si="329"/>
        <v>0.45</v>
      </c>
      <c r="E1635" s="35"/>
      <c r="F1635" s="35">
        <f t="shared" si="320"/>
        <v>0.45</v>
      </c>
      <c r="G1635" s="43">
        <v>0.25</v>
      </c>
      <c r="H1635" s="43"/>
      <c r="I1635" s="43"/>
      <c r="J1635" s="46">
        <v>0.18</v>
      </c>
      <c r="K1635" s="46"/>
      <c r="L1635" s="46"/>
      <c r="M1635" s="46"/>
      <c r="N1635" s="46"/>
      <c r="O1635" s="46"/>
      <c r="P1635" s="46"/>
      <c r="Q1635" s="46"/>
      <c r="R1635" s="46"/>
      <c r="S1635" s="46"/>
      <c r="T1635" s="46"/>
      <c r="U1635" s="46"/>
      <c r="V1635" s="46"/>
      <c r="W1635" s="46"/>
      <c r="X1635" s="46"/>
      <c r="Y1635" s="46"/>
      <c r="Z1635" s="46"/>
      <c r="AA1635" s="46">
        <v>0.02</v>
      </c>
      <c r="AB1635" s="46"/>
      <c r="AC1635" s="46"/>
      <c r="AD1635" s="46"/>
      <c r="AE1635" s="46"/>
      <c r="AF1635" s="46"/>
      <c r="AG1635" s="46"/>
      <c r="AH1635" s="46"/>
      <c r="AI1635" s="46"/>
      <c r="AJ1635" s="46"/>
      <c r="AK1635" s="46"/>
      <c r="AL1635" s="46"/>
      <c r="AM1635" s="46"/>
      <c r="AN1635" s="46"/>
      <c r="AO1635" s="46"/>
      <c r="AP1635" s="46"/>
      <c r="AQ1635" s="46"/>
      <c r="AR1635" s="46"/>
      <c r="AS1635" s="46"/>
      <c r="AT1635" s="46"/>
      <c r="AU1635" s="46"/>
      <c r="AV1635" s="46"/>
      <c r="AW1635" s="46"/>
      <c r="AX1635" s="46"/>
      <c r="AY1635" s="34" t="s">
        <v>289</v>
      </c>
      <c r="AZ1635" s="34"/>
      <c r="BA1635" s="63"/>
      <c r="BB1635" s="64"/>
      <c r="BI1635" s="42"/>
      <c r="BK1635" s="170"/>
    </row>
    <row r="1636" spans="1:63" s="169" customFormat="1" ht="23.1" hidden="1" customHeight="1">
      <c r="A1636" s="127"/>
      <c r="B1636" s="33"/>
      <c r="C1636" s="38" t="s">
        <v>138</v>
      </c>
      <c r="D1636" s="35">
        <f t="shared" si="329"/>
        <v>0.30999999999999994</v>
      </c>
      <c r="E1636" s="35"/>
      <c r="F1636" s="35">
        <f t="shared" si="320"/>
        <v>0.30999999999999994</v>
      </c>
      <c r="G1636" s="141">
        <f>G1633-G1634-G1635</f>
        <v>0.13999999999999996</v>
      </c>
      <c r="H1636" s="141">
        <f t="shared" ref="H1636:AX1636" si="334">H1633-H1634-H1635</f>
        <v>0</v>
      </c>
      <c r="I1636" s="141">
        <f t="shared" si="334"/>
        <v>0</v>
      </c>
      <c r="J1636" s="141">
        <f t="shared" si="334"/>
        <v>0.16999999999999998</v>
      </c>
      <c r="K1636" s="141">
        <f t="shared" si="334"/>
        <v>0</v>
      </c>
      <c r="L1636" s="141">
        <f t="shared" si="334"/>
        <v>0</v>
      </c>
      <c r="M1636" s="141">
        <f t="shared" si="334"/>
        <v>0</v>
      </c>
      <c r="N1636" s="141">
        <f t="shared" si="334"/>
        <v>0</v>
      </c>
      <c r="O1636" s="141">
        <f t="shared" si="334"/>
        <v>0</v>
      </c>
      <c r="P1636" s="141">
        <f t="shared" si="334"/>
        <v>0</v>
      </c>
      <c r="Q1636" s="141">
        <f t="shared" si="334"/>
        <v>0</v>
      </c>
      <c r="R1636" s="141">
        <f t="shared" si="334"/>
        <v>0</v>
      </c>
      <c r="S1636" s="141">
        <f t="shared" si="334"/>
        <v>0</v>
      </c>
      <c r="T1636" s="141">
        <f t="shared" si="334"/>
        <v>0</v>
      </c>
      <c r="U1636" s="141">
        <f t="shared" si="334"/>
        <v>0</v>
      </c>
      <c r="V1636" s="141">
        <f t="shared" si="334"/>
        <v>0</v>
      </c>
      <c r="W1636" s="141">
        <f t="shared" si="334"/>
        <v>0</v>
      </c>
      <c r="X1636" s="141">
        <f t="shared" si="334"/>
        <v>0</v>
      </c>
      <c r="Y1636" s="141">
        <f t="shared" si="334"/>
        <v>0</v>
      </c>
      <c r="Z1636" s="141">
        <f t="shared" si="334"/>
        <v>0</v>
      </c>
      <c r="AA1636" s="141">
        <f t="shared" si="334"/>
        <v>0</v>
      </c>
      <c r="AB1636" s="141">
        <f t="shared" si="334"/>
        <v>0</v>
      </c>
      <c r="AC1636" s="141">
        <f t="shared" si="334"/>
        <v>0</v>
      </c>
      <c r="AD1636" s="141">
        <f t="shared" si="334"/>
        <v>0</v>
      </c>
      <c r="AE1636" s="141">
        <f t="shared" si="334"/>
        <v>0</v>
      </c>
      <c r="AF1636" s="141">
        <f t="shared" si="334"/>
        <v>0</v>
      </c>
      <c r="AG1636" s="141">
        <f t="shared" si="334"/>
        <v>0</v>
      </c>
      <c r="AH1636" s="141">
        <f t="shared" si="334"/>
        <v>0</v>
      </c>
      <c r="AI1636" s="141">
        <f t="shared" si="334"/>
        <v>0</v>
      </c>
      <c r="AJ1636" s="141">
        <f t="shared" si="334"/>
        <v>0</v>
      </c>
      <c r="AK1636" s="141">
        <f t="shared" si="334"/>
        <v>0</v>
      </c>
      <c r="AL1636" s="141">
        <f t="shared" si="334"/>
        <v>0</v>
      </c>
      <c r="AM1636" s="141">
        <f t="shared" si="334"/>
        <v>0</v>
      </c>
      <c r="AN1636" s="141">
        <f t="shared" si="334"/>
        <v>0</v>
      </c>
      <c r="AO1636" s="141">
        <f t="shared" si="334"/>
        <v>0</v>
      </c>
      <c r="AP1636" s="141">
        <f t="shared" si="334"/>
        <v>0</v>
      </c>
      <c r="AQ1636" s="141">
        <f t="shared" si="334"/>
        <v>0</v>
      </c>
      <c r="AR1636" s="141">
        <f t="shared" si="334"/>
        <v>0</v>
      </c>
      <c r="AS1636" s="141">
        <f t="shared" si="334"/>
        <v>0</v>
      </c>
      <c r="AT1636" s="141">
        <f t="shared" si="334"/>
        <v>0</v>
      </c>
      <c r="AU1636" s="141">
        <f t="shared" si="334"/>
        <v>0</v>
      </c>
      <c r="AV1636" s="141">
        <f t="shared" si="334"/>
        <v>0</v>
      </c>
      <c r="AW1636" s="141">
        <f t="shared" si="334"/>
        <v>0</v>
      </c>
      <c r="AX1636" s="141">
        <f t="shared" si="334"/>
        <v>0</v>
      </c>
      <c r="AY1636" s="34" t="s">
        <v>289</v>
      </c>
      <c r="AZ1636" s="34"/>
      <c r="BA1636" s="63"/>
      <c r="BB1636" s="64"/>
      <c r="BI1636" s="42"/>
      <c r="BK1636" s="170"/>
    </row>
    <row r="1637" spans="1:63" s="169" customFormat="1" ht="21" customHeight="1">
      <c r="A1637" s="127">
        <f>A1633+1</f>
        <v>903</v>
      </c>
      <c r="B1637" s="33" t="s">
        <v>1784</v>
      </c>
      <c r="C1637" s="38" t="s">
        <v>57</v>
      </c>
      <c r="D1637" s="35">
        <f t="shared" si="329"/>
        <v>0.37</v>
      </c>
      <c r="E1637" s="35"/>
      <c r="F1637" s="35">
        <f t="shared" si="320"/>
        <v>0.37</v>
      </c>
      <c r="G1637" s="46">
        <v>0.37</v>
      </c>
      <c r="H1637" s="46"/>
      <c r="I1637" s="46"/>
      <c r="J1637" s="46"/>
      <c r="K1637" s="46"/>
      <c r="L1637" s="46"/>
      <c r="M1637" s="46"/>
      <c r="N1637" s="46"/>
      <c r="O1637" s="46"/>
      <c r="P1637" s="46"/>
      <c r="Q1637" s="46"/>
      <c r="R1637" s="46"/>
      <c r="S1637" s="46"/>
      <c r="T1637" s="46"/>
      <c r="U1637" s="46"/>
      <c r="V1637" s="46"/>
      <c r="W1637" s="46"/>
      <c r="X1637" s="46"/>
      <c r="Y1637" s="46"/>
      <c r="Z1637" s="46"/>
      <c r="AA1637" s="46"/>
      <c r="AB1637" s="46"/>
      <c r="AC1637" s="46"/>
      <c r="AD1637" s="46"/>
      <c r="AE1637" s="46"/>
      <c r="AF1637" s="46"/>
      <c r="AG1637" s="46"/>
      <c r="AH1637" s="46"/>
      <c r="AI1637" s="46"/>
      <c r="AJ1637" s="46"/>
      <c r="AK1637" s="46"/>
      <c r="AL1637" s="46"/>
      <c r="AM1637" s="46"/>
      <c r="AN1637" s="46"/>
      <c r="AO1637" s="46"/>
      <c r="AP1637" s="46"/>
      <c r="AQ1637" s="46"/>
      <c r="AR1637" s="46"/>
      <c r="AS1637" s="46"/>
      <c r="AT1637" s="46"/>
      <c r="AU1637" s="46"/>
      <c r="AV1637" s="46"/>
      <c r="AW1637" s="46"/>
      <c r="AX1637" s="46"/>
      <c r="AY1637" s="34" t="s">
        <v>289</v>
      </c>
      <c r="AZ1637" s="34" t="s">
        <v>385</v>
      </c>
      <c r="BA1637" s="63" t="s">
        <v>291</v>
      </c>
      <c r="BB1637" s="64"/>
      <c r="BI1637" s="42">
        <v>1</v>
      </c>
      <c r="BK1637" s="170"/>
    </row>
    <row r="1638" spans="1:63" s="169" customFormat="1" ht="21" customHeight="1">
      <c r="A1638" s="127">
        <f t="shared" ref="A1638:A1654" si="335">A1637+1</f>
        <v>904</v>
      </c>
      <c r="B1638" s="33" t="s">
        <v>1785</v>
      </c>
      <c r="C1638" s="38" t="s">
        <v>1260</v>
      </c>
      <c r="D1638" s="35">
        <f t="shared" si="329"/>
        <v>0.7</v>
      </c>
      <c r="E1638" s="35"/>
      <c r="F1638" s="35">
        <f t="shared" si="320"/>
        <v>0.7</v>
      </c>
      <c r="G1638" s="46"/>
      <c r="H1638" s="46"/>
      <c r="I1638" s="46"/>
      <c r="J1638" s="46"/>
      <c r="K1638" s="46"/>
      <c r="L1638" s="46"/>
      <c r="M1638" s="46">
        <v>0.7</v>
      </c>
      <c r="N1638" s="46"/>
      <c r="O1638" s="46"/>
      <c r="P1638" s="46"/>
      <c r="Q1638" s="46"/>
      <c r="R1638" s="46"/>
      <c r="S1638" s="46"/>
      <c r="T1638" s="46"/>
      <c r="U1638" s="46"/>
      <c r="V1638" s="46"/>
      <c r="W1638" s="46"/>
      <c r="X1638" s="46"/>
      <c r="Y1638" s="46"/>
      <c r="Z1638" s="46"/>
      <c r="AA1638" s="46"/>
      <c r="AB1638" s="46"/>
      <c r="AC1638" s="46"/>
      <c r="AD1638" s="46"/>
      <c r="AE1638" s="46"/>
      <c r="AF1638" s="46"/>
      <c r="AG1638" s="46"/>
      <c r="AH1638" s="46"/>
      <c r="AI1638" s="46"/>
      <c r="AJ1638" s="46"/>
      <c r="AK1638" s="46"/>
      <c r="AL1638" s="46"/>
      <c r="AM1638" s="46"/>
      <c r="AN1638" s="46"/>
      <c r="AO1638" s="46"/>
      <c r="AP1638" s="46"/>
      <c r="AQ1638" s="46"/>
      <c r="AR1638" s="46"/>
      <c r="AS1638" s="46"/>
      <c r="AT1638" s="46"/>
      <c r="AU1638" s="46"/>
      <c r="AV1638" s="46"/>
      <c r="AW1638" s="46"/>
      <c r="AX1638" s="46"/>
      <c r="AY1638" s="34" t="s">
        <v>289</v>
      </c>
      <c r="AZ1638" s="34" t="s">
        <v>295</v>
      </c>
      <c r="BA1638" s="63" t="s">
        <v>291</v>
      </c>
      <c r="BB1638" s="64"/>
      <c r="BI1638" s="42">
        <v>1</v>
      </c>
      <c r="BK1638" s="170"/>
    </row>
    <row r="1639" spans="1:63" s="169" customFormat="1" ht="21" hidden="1" customHeight="1">
      <c r="A1639" s="127"/>
      <c r="B1639" s="33"/>
      <c r="C1639" s="38" t="s">
        <v>57</v>
      </c>
      <c r="D1639" s="35">
        <f t="shared" si="329"/>
        <v>0.28000000000000003</v>
      </c>
      <c r="E1639" s="35"/>
      <c r="F1639" s="35">
        <f t="shared" si="320"/>
        <v>0.28000000000000003</v>
      </c>
      <c r="G1639" s="46"/>
      <c r="H1639" s="46"/>
      <c r="I1639" s="46"/>
      <c r="J1639" s="46"/>
      <c r="K1639" s="46"/>
      <c r="L1639" s="46"/>
      <c r="M1639" s="46">
        <v>0.28000000000000003</v>
      </c>
      <c r="N1639" s="46"/>
      <c r="O1639" s="46"/>
      <c r="P1639" s="46"/>
      <c r="Q1639" s="46"/>
      <c r="R1639" s="46"/>
      <c r="S1639" s="46"/>
      <c r="T1639" s="46"/>
      <c r="U1639" s="46"/>
      <c r="V1639" s="46"/>
      <c r="W1639" s="46"/>
      <c r="X1639" s="46"/>
      <c r="Y1639" s="46"/>
      <c r="Z1639" s="46"/>
      <c r="AA1639" s="46"/>
      <c r="AB1639" s="46"/>
      <c r="AC1639" s="46"/>
      <c r="AD1639" s="46"/>
      <c r="AE1639" s="46"/>
      <c r="AF1639" s="46"/>
      <c r="AG1639" s="46"/>
      <c r="AH1639" s="46"/>
      <c r="AI1639" s="46"/>
      <c r="AJ1639" s="46"/>
      <c r="AK1639" s="46"/>
      <c r="AL1639" s="46"/>
      <c r="AM1639" s="46"/>
      <c r="AN1639" s="46"/>
      <c r="AO1639" s="46"/>
      <c r="AP1639" s="46"/>
      <c r="AQ1639" s="46"/>
      <c r="AR1639" s="46"/>
      <c r="AS1639" s="46"/>
      <c r="AT1639" s="46"/>
      <c r="AU1639" s="46"/>
      <c r="AV1639" s="46"/>
      <c r="AW1639" s="46"/>
      <c r="AX1639" s="46"/>
      <c r="AY1639" s="34" t="s">
        <v>289</v>
      </c>
      <c r="AZ1639" s="34"/>
      <c r="BA1639" s="63"/>
      <c r="BB1639" s="64"/>
      <c r="BI1639" s="42"/>
      <c r="BK1639" s="170"/>
    </row>
    <row r="1640" spans="1:63" s="169" customFormat="1" ht="21" hidden="1" customHeight="1">
      <c r="A1640" s="127"/>
      <c r="B1640" s="33"/>
      <c r="C1640" s="38" t="s">
        <v>44</v>
      </c>
      <c r="D1640" s="35">
        <f t="shared" si="329"/>
        <v>0.25</v>
      </c>
      <c r="E1640" s="35"/>
      <c r="F1640" s="35">
        <f t="shared" si="320"/>
        <v>0.25</v>
      </c>
      <c r="G1640" s="46"/>
      <c r="H1640" s="46"/>
      <c r="I1640" s="46"/>
      <c r="J1640" s="46"/>
      <c r="K1640" s="46"/>
      <c r="L1640" s="46"/>
      <c r="M1640" s="46">
        <v>0.25</v>
      </c>
      <c r="N1640" s="46"/>
      <c r="O1640" s="46"/>
      <c r="P1640" s="46"/>
      <c r="Q1640" s="46"/>
      <c r="R1640" s="46"/>
      <c r="S1640" s="46"/>
      <c r="T1640" s="46"/>
      <c r="U1640" s="46"/>
      <c r="V1640" s="46"/>
      <c r="W1640" s="46"/>
      <c r="X1640" s="46"/>
      <c r="Y1640" s="46"/>
      <c r="Z1640" s="46"/>
      <c r="AA1640" s="46"/>
      <c r="AB1640" s="46"/>
      <c r="AC1640" s="46"/>
      <c r="AD1640" s="46"/>
      <c r="AE1640" s="46"/>
      <c r="AF1640" s="46"/>
      <c r="AG1640" s="46"/>
      <c r="AH1640" s="46"/>
      <c r="AI1640" s="46"/>
      <c r="AJ1640" s="46"/>
      <c r="AK1640" s="46"/>
      <c r="AL1640" s="46"/>
      <c r="AM1640" s="46"/>
      <c r="AN1640" s="46"/>
      <c r="AO1640" s="46"/>
      <c r="AP1640" s="46"/>
      <c r="AQ1640" s="46"/>
      <c r="AR1640" s="46"/>
      <c r="AS1640" s="46"/>
      <c r="AT1640" s="46"/>
      <c r="AU1640" s="46"/>
      <c r="AV1640" s="46"/>
      <c r="AW1640" s="46"/>
      <c r="AX1640" s="46"/>
      <c r="AY1640" s="34" t="s">
        <v>289</v>
      </c>
      <c r="AZ1640" s="34"/>
      <c r="BA1640" s="63"/>
      <c r="BB1640" s="64"/>
      <c r="BI1640" s="42"/>
      <c r="BK1640" s="170"/>
    </row>
    <row r="1641" spans="1:63" s="169" customFormat="1" ht="21" hidden="1" customHeight="1">
      <c r="A1641" s="127"/>
      <c r="B1641" s="33"/>
      <c r="C1641" s="38" t="s">
        <v>138</v>
      </c>
      <c r="D1641" s="35">
        <f t="shared" si="329"/>
        <v>0.16999999999999993</v>
      </c>
      <c r="E1641" s="35"/>
      <c r="F1641" s="35">
        <f t="shared" si="320"/>
        <v>0.16999999999999993</v>
      </c>
      <c r="G1641" s="153">
        <f>G1638-G1639-G1640</f>
        <v>0</v>
      </c>
      <c r="H1641" s="153">
        <f t="shared" ref="H1641:AX1641" si="336">H1638-H1639-H1640</f>
        <v>0</v>
      </c>
      <c r="I1641" s="153">
        <f t="shared" si="336"/>
        <v>0</v>
      </c>
      <c r="J1641" s="153">
        <f t="shared" si="336"/>
        <v>0</v>
      </c>
      <c r="K1641" s="153">
        <f t="shared" si="336"/>
        <v>0</v>
      </c>
      <c r="L1641" s="153">
        <f t="shared" si="336"/>
        <v>0</v>
      </c>
      <c r="M1641" s="153">
        <f t="shared" si="336"/>
        <v>0.16999999999999993</v>
      </c>
      <c r="N1641" s="153">
        <f t="shared" si="336"/>
        <v>0</v>
      </c>
      <c r="O1641" s="153">
        <f t="shared" si="336"/>
        <v>0</v>
      </c>
      <c r="P1641" s="153">
        <f t="shared" si="336"/>
        <v>0</v>
      </c>
      <c r="Q1641" s="153">
        <f t="shared" si="336"/>
        <v>0</v>
      </c>
      <c r="R1641" s="153">
        <f t="shared" si="336"/>
        <v>0</v>
      </c>
      <c r="S1641" s="153">
        <f t="shared" si="336"/>
        <v>0</v>
      </c>
      <c r="T1641" s="153">
        <f t="shared" si="336"/>
        <v>0</v>
      </c>
      <c r="U1641" s="153">
        <f t="shared" si="336"/>
        <v>0</v>
      </c>
      <c r="V1641" s="153">
        <f t="shared" si="336"/>
        <v>0</v>
      </c>
      <c r="W1641" s="153">
        <f t="shared" si="336"/>
        <v>0</v>
      </c>
      <c r="X1641" s="153">
        <f t="shared" si="336"/>
        <v>0</v>
      </c>
      <c r="Y1641" s="153">
        <f t="shared" si="336"/>
        <v>0</v>
      </c>
      <c r="Z1641" s="153">
        <f t="shared" si="336"/>
        <v>0</v>
      </c>
      <c r="AA1641" s="153">
        <f t="shared" si="336"/>
        <v>0</v>
      </c>
      <c r="AB1641" s="153">
        <f t="shared" si="336"/>
        <v>0</v>
      </c>
      <c r="AC1641" s="153">
        <f t="shared" si="336"/>
        <v>0</v>
      </c>
      <c r="AD1641" s="153">
        <f t="shared" si="336"/>
        <v>0</v>
      </c>
      <c r="AE1641" s="153">
        <f t="shared" si="336"/>
        <v>0</v>
      </c>
      <c r="AF1641" s="153">
        <f t="shared" si="336"/>
        <v>0</v>
      </c>
      <c r="AG1641" s="153">
        <f t="shared" si="336"/>
        <v>0</v>
      </c>
      <c r="AH1641" s="153">
        <f t="shared" si="336"/>
        <v>0</v>
      </c>
      <c r="AI1641" s="153">
        <f t="shared" si="336"/>
        <v>0</v>
      </c>
      <c r="AJ1641" s="153">
        <f t="shared" si="336"/>
        <v>0</v>
      </c>
      <c r="AK1641" s="153">
        <f t="shared" si="336"/>
        <v>0</v>
      </c>
      <c r="AL1641" s="153">
        <f t="shared" si="336"/>
        <v>0</v>
      </c>
      <c r="AM1641" s="153">
        <f t="shared" si="336"/>
        <v>0</v>
      </c>
      <c r="AN1641" s="153">
        <f t="shared" si="336"/>
        <v>0</v>
      </c>
      <c r="AO1641" s="153">
        <f t="shared" si="336"/>
        <v>0</v>
      </c>
      <c r="AP1641" s="153">
        <f t="shared" si="336"/>
        <v>0</v>
      </c>
      <c r="AQ1641" s="153">
        <f t="shared" si="336"/>
        <v>0</v>
      </c>
      <c r="AR1641" s="153">
        <f t="shared" si="336"/>
        <v>0</v>
      </c>
      <c r="AS1641" s="153">
        <f t="shared" si="336"/>
        <v>0</v>
      </c>
      <c r="AT1641" s="153">
        <f t="shared" si="336"/>
        <v>0</v>
      </c>
      <c r="AU1641" s="153">
        <f t="shared" si="336"/>
        <v>0</v>
      </c>
      <c r="AV1641" s="153">
        <f t="shared" si="336"/>
        <v>0</v>
      </c>
      <c r="AW1641" s="153">
        <f t="shared" si="336"/>
        <v>0</v>
      </c>
      <c r="AX1641" s="153">
        <f t="shared" si="336"/>
        <v>0</v>
      </c>
      <c r="AY1641" s="34" t="s">
        <v>289</v>
      </c>
      <c r="AZ1641" s="34"/>
      <c r="BA1641" s="63"/>
      <c r="BB1641" s="64"/>
      <c r="BI1641" s="42"/>
      <c r="BK1641" s="170"/>
    </row>
    <row r="1642" spans="1:63" s="169" customFormat="1" ht="21" customHeight="1">
      <c r="A1642" s="127">
        <f>A1638+1</f>
        <v>905</v>
      </c>
      <c r="B1642" s="33" t="s">
        <v>1786</v>
      </c>
      <c r="C1642" s="38" t="s">
        <v>57</v>
      </c>
      <c r="D1642" s="35">
        <f t="shared" si="329"/>
        <v>7.0000000000000007E-2</v>
      </c>
      <c r="E1642" s="35"/>
      <c r="F1642" s="35">
        <f t="shared" si="320"/>
        <v>7.0000000000000007E-2</v>
      </c>
      <c r="G1642" s="46">
        <v>7.0000000000000007E-2</v>
      </c>
      <c r="H1642" s="46"/>
      <c r="I1642" s="46"/>
      <c r="J1642" s="46"/>
      <c r="K1642" s="46"/>
      <c r="L1642" s="46"/>
      <c r="M1642" s="46"/>
      <c r="N1642" s="46"/>
      <c r="O1642" s="46"/>
      <c r="P1642" s="46"/>
      <c r="Q1642" s="46"/>
      <c r="R1642" s="46"/>
      <c r="S1642" s="46"/>
      <c r="T1642" s="46"/>
      <c r="U1642" s="46"/>
      <c r="V1642" s="46"/>
      <c r="W1642" s="46"/>
      <c r="X1642" s="46"/>
      <c r="Y1642" s="46"/>
      <c r="Z1642" s="46"/>
      <c r="AA1642" s="46"/>
      <c r="AB1642" s="46"/>
      <c r="AC1642" s="46"/>
      <c r="AD1642" s="46"/>
      <c r="AE1642" s="46"/>
      <c r="AF1642" s="46"/>
      <c r="AG1642" s="46"/>
      <c r="AH1642" s="46"/>
      <c r="AI1642" s="46"/>
      <c r="AJ1642" s="46"/>
      <c r="AK1642" s="46"/>
      <c r="AL1642" s="46"/>
      <c r="AM1642" s="46"/>
      <c r="AN1642" s="46"/>
      <c r="AO1642" s="46"/>
      <c r="AP1642" s="46"/>
      <c r="AQ1642" s="46"/>
      <c r="AR1642" s="46"/>
      <c r="AS1642" s="46"/>
      <c r="AT1642" s="46"/>
      <c r="AU1642" s="46"/>
      <c r="AV1642" s="46"/>
      <c r="AW1642" s="46"/>
      <c r="AX1642" s="46"/>
      <c r="AY1642" s="34" t="s">
        <v>289</v>
      </c>
      <c r="AZ1642" s="34" t="s">
        <v>295</v>
      </c>
      <c r="BA1642" s="63" t="s">
        <v>291</v>
      </c>
      <c r="BB1642" s="64"/>
      <c r="BI1642" s="42">
        <v>1</v>
      </c>
      <c r="BK1642" s="170"/>
    </row>
    <row r="1643" spans="1:63" s="169" customFormat="1" ht="33" customHeight="1">
      <c r="A1643" s="127">
        <f t="shared" si="335"/>
        <v>906</v>
      </c>
      <c r="B1643" s="33" t="s">
        <v>1787</v>
      </c>
      <c r="C1643" s="38" t="s">
        <v>57</v>
      </c>
      <c r="D1643" s="35">
        <f t="shared" si="329"/>
        <v>0.08</v>
      </c>
      <c r="E1643" s="35"/>
      <c r="F1643" s="35">
        <f t="shared" ref="F1643:F1706" si="337">SUM(G1643:AX1643)</f>
        <v>0.08</v>
      </c>
      <c r="G1643" s="46"/>
      <c r="H1643" s="46"/>
      <c r="I1643" s="46"/>
      <c r="J1643" s="46"/>
      <c r="K1643" s="46"/>
      <c r="L1643" s="46"/>
      <c r="M1643" s="46"/>
      <c r="N1643" s="46"/>
      <c r="O1643" s="46"/>
      <c r="P1643" s="46">
        <v>0.08</v>
      </c>
      <c r="Q1643" s="46"/>
      <c r="R1643" s="46"/>
      <c r="S1643" s="46"/>
      <c r="T1643" s="46"/>
      <c r="U1643" s="46"/>
      <c r="V1643" s="46"/>
      <c r="W1643" s="46"/>
      <c r="X1643" s="46"/>
      <c r="Y1643" s="46"/>
      <c r="Z1643" s="46"/>
      <c r="AA1643" s="46"/>
      <c r="AB1643" s="46"/>
      <c r="AC1643" s="46"/>
      <c r="AD1643" s="46"/>
      <c r="AE1643" s="46"/>
      <c r="AF1643" s="46"/>
      <c r="AG1643" s="46"/>
      <c r="AH1643" s="46"/>
      <c r="AI1643" s="46"/>
      <c r="AJ1643" s="46"/>
      <c r="AK1643" s="46"/>
      <c r="AL1643" s="46"/>
      <c r="AM1643" s="46"/>
      <c r="AN1643" s="46"/>
      <c r="AO1643" s="46"/>
      <c r="AP1643" s="46"/>
      <c r="AQ1643" s="46"/>
      <c r="AR1643" s="46"/>
      <c r="AS1643" s="46"/>
      <c r="AT1643" s="46"/>
      <c r="AU1643" s="46"/>
      <c r="AV1643" s="46"/>
      <c r="AW1643" s="46"/>
      <c r="AX1643" s="46"/>
      <c r="AY1643" s="34" t="s">
        <v>289</v>
      </c>
      <c r="AZ1643" s="34" t="s">
        <v>290</v>
      </c>
      <c r="BA1643" s="63" t="s">
        <v>291</v>
      </c>
      <c r="BB1643" s="64"/>
      <c r="BI1643" s="42">
        <v>1</v>
      </c>
      <c r="BK1643" s="170"/>
    </row>
    <row r="1644" spans="1:63" s="169" customFormat="1" ht="21" customHeight="1">
      <c r="A1644" s="127">
        <f t="shared" si="335"/>
        <v>907</v>
      </c>
      <c r="B1644" s="33" t="s">
        <v>1788</v>
      </c>
      <c r="C1644" s="38" t="s">
        <v>57</v>
      </c>
      <c r="D1644" s="35">
        <f t="shared" si="329"/>
        <v>0.19</v>
      </c>
      <c r="E1644" s="35"/>
      <c r="F1644" s="35">
        <f t="shared" si="337"/>
        <v>0.19</v>
      </c>
      <c r="G1644" s="46">
        <v>0.14000000000000001</v>
      </c>
      <c r="H1644" s="46"/>
      <c r="I1644" s="46">
        <v>0.05</v>
      </c>
      <c r="J1644" s="46"/>
      <c r="K1644" s="46"/>
      <c r="L1644" s="46"/>
      <c r="M1644" s="46"/>
      <c r="N1644" s="46"/>
      <c r="O1644" s="46"/>
      <c r="P1644" s="46"/>
      <c r="Q1644" s="46"/>
      <c r="R1644" s="46"/>
      <c r="S1644" s="46"/>
      <c r="T1644" s="46"/>
      <c r="U1644" s="46"/>
      <c r="V1644" s="46"/>
      <c r="W1644" s="46"/>
      <c r="X1644" s="46"/>
      <c r="Y1644" s="46"/>
      <c r="Z1644" s="46"/>
      <c r="AA1644" s="46"/>
      <c r="AB1644" s="46"/>
      <c r="AC1644" s="46"/>
      <c r="AD1644" s="46"/>
      <c r="AE1644" s="46"/>
      <c r="AF1644" s="46"/>
      <c r="AG1644" s="46"/>
      <c r="AH1644" s="46"/>
      <c r="AI1644" s="46"/>
      <c r="AJ1644" s="46"/>
      <c r="AK1644" s="46"/>
      <c r="AL1644" s="46"/>
      <c r="AM1644" s="46"/>
      <c r="AN1644" s="46"/>
      <c r="AO1644" s="46"/>
      <c r="AP1644" s="46"/>
      <c r="AQ1644" s="46"/>
      <c r="AR1644" s="46"/>
      <c r="AS1644" s="46"/>
      <c r="AT1644" s="46"/>
      <c r="AU1644" s="46"/>
      <c r="AV1644" s="46"/>
      <c r="AW1644" s="46"/>
      <c r="AX1644" s="46"/>
      <c r="AY1644" s="34" t="s">
        <v>289</v>
      </c>
      <c r="AZ1644" s="34" t="s">
        <v>290</v>
      </c>
      <c r="BA1644" s="63" t="s">
        <v>291</v>
      </c>
      <c r="BB1644" s="64"/>
      <c r="BI1644" s="42">
        <v>1</v>
      </c>
      <c r="BK1644" s="170"/>
    </row>
    <row r="1645" spans="1:63" s="169" customFormat="1" ht="21" customHeight="1">
      <c r="A1645" s="127">
        <f t="shared" si="335"/>
        <v>908</v>
      </c>
      <c r="B1645" s="33" t="s">
        <v>1789</v>
      </c>
      <c r="C1645" s="38" t="s">
        <v>57</v>
      </c>
      <c r="D1645" s="35">
        <f t="shared" si="329"/>
        <v>0.2</v>
      </c>
      <c r="E1645" s="35"/>
      <c r="F1645" s="35">
        <f t="shared" si="337"/>
        <v>0.2</v>
      </c>
      <c r="G1645" s="43"/>
      <c r="H1645" s="43"/>
      <c r="I1645" s="43"/>
      <c r="J1645" s="46"/>
      <c r="K1645" s="46"/>
      <c r="L1645" s="46"/>
      <c r="M1645" s="46">
        <v>0.2</v>
      </c>
      <c r="N1645" s="46"/>
      <c r="O1645" s="46"/>
      <c r="P1645" s="46"/>
      <c r="Q1645" s="46"/>
      <c r="R1645" s="46"/>
      <c r="S1645" s="46"/>
      <c r="T1645" s="46"/>
      <c r="U1645" s="46"/>
      <c r="V1645" s="46"/>
      <c r="W1645" s="46"/>
      <c r="X1645" s="46"/>
      <c r="Y1645" s="46"/>
      <c r="Z1645" s="46"/>
      <c r="AA1645" s="46"/>
      <c r="AB1645" s="46"/>
      <c r="AC1645" s="46"/>
      <c r="AD1645" s="46"/>
      <c r="AE1645" s="46"/>
      <c r="AF1645" s="46"/>
      <c r="AG1645" s="46"/>
      <c r="AH1645" s="46"/>
      <c r="AI1645" s="46"/>
      <c r="AJ1645" s="46"/>
      <c r="AK1645" s="46"/>
      <c r="AL1645" s="46"/>
      <c r="AM1645" s="46"/>
      <c r="AN1645" s="46"/>
      <c r="AO1645" s="46"/>
      <c r="AP1645" s="46"/>
      <c r="AQ1645" s="46"/>
      <c r="AR1645" s="46"/>
      <c r="AS1645" s="46"/>
      <c r="AT1645" s="46"/>
      <c r="AU1645" s="46"/>
      <c r="AV1645" s="46"/>
      <c r="AW1645" s="46"/>
      <c r="AX1645" s="46"/>
      <c r="AY1645" s="34" t="s">
        <v>289</v>
      </c>
      <c r="AZ1645" s="34" t="s">
        <v>1790</v>
      </c>
      <c r="BA1645" s="63" t="s">
        <v>291</v>
      </c>
      <c r="BB1645" s="64"/>
      <c r="BI1645" s="42">
        <v>1</v>
      </c>
      <c r="BK1645" s="170"/>
    </row>
    <row r="1646" spans="1:63" s="169" customFormat="1" ht="26.1" customHeight="1">
      <c r="A1646" s="127">
        <f t="shared" si="335"/>
        <v>909</v>
      </c>
      <c r="B1646" s="33" t="s">
        <v>1791</v>
      </c>
      <c r="C1646" s="38" t="s">
        <v>1260</v>
      </c>
      <c r="D1646" s="35">
        <f t="shared" si="329"/>
        <v>0.65</v>
      </c>
      <c r="E1646" s="35"/>
      <c r="F1646" s="35">
        <f t="shared" si="337"/>
        <v>0.65</v>
      </c>
      <c r="G1646" s="46">
        <v>0.35</v>
      </c>
      <c r="H1646" s="46"/>
      <c r="I1646" s="46">
        <v>0.03</v>
      </c>
      <c r="J1646" s="46">
        <v>0.16</v>
      </c>
      <c r="K1646" s="46"/>
      <c r="L1646" s="46"/>
      <c r="M1646" s="46"/>
      <c r="N1646" s="46"/>
      <c r="O1646" s="46"/>
      <c r="P1646" s="46"/>
      <c r="Q1646" s="46"/>
      <c r="R1646" s="46"/>
      <c r="S1646" s="46"/>
      <c r="T1646" s="46"/>
      <c r="U1646" s="46"/>
      <c r="V1646" s="46"/>
      <c r="W1646" s="46">
        <v>0.01</v>
      </c>
      <c r="X1646" s="46"/>
      <c r="Y1646" s="46"/>
      <c r="Z1646" s="46">
        <v>0.1</v>
      </c>
      <c r="AA1646" s="46"/>
      <c r="AB1646" s="46"/>
      <c r="AC1646" s="46"/>
      <c r="AD1646" s="46"/>
      <c r="AE1646" s="46"/>
      <c r="AF1646" s="46"/>
      <c r="AG1646" s="46"/>
      <c r="AH1646" s="46"/>
      <c r="AI1646" s="46"/>
      <c r="AJ1646" s="46"/>
      <c r="AK1646" s="46"/>
      <c r="AL1646" s="46"/>
      <c r="AM1646" s="46"/>
      <c r="AN1646" s="46"/>
      <c r="AO1646" s="46"/>
      <c r="AP1646" s="46"/>
      <c r="AQ1646" s="46"/>
      <c r="AR1646" s="46"/>
      <c r="AS1646" s="46"/>
      <c r="AT1646" s="46"/>
      <c r="AU1646" s="46"/>
      <c r="AV1646" s="46"/>
      <c r="AW1646" s="46"/>
      <c r="AX1646" s="46"/>
      <c r="AY1646" s="172" t="s">
        <v>289</v>
      </c>
      <c r="AZ1646" s="172" t="s">
        <v>315</v>
      </c>
      <c r="BA1646" s="63" t="s">
        <v>291</v>
      </c>
      <c r="BB1646" s="64"/>
      <c r="BI1646" s="42">
        <v>1</v>
      </c>
      <c r="BK1646" s="170"/>
    </row>
    <row r="1647" spans="1:63" s="169" customFormat="1" ht="24" hidden="1" customHeight="1">
      <c r="A1647" s="127"/>
      <c r="B1647" s="33"/>
      <c r="C1647" s="38" t="s">
        <v>57</v>
      </c>
      <c r="D1647" s="35">
        <f t="shared" si="329"/>
        <v>0.23</v>
      </c>
      <c r="E1647" s="35"/>
      <c r="F1647" s="35">
        <f t="shared" si="337"/>
        <v>0.23</v>
      </c>
      <c r="G1647" s="46">
        <v>0.2</v>
      </c>
      <c r="H1647" s="46"/>
      <c r="I1647" s="46"/>
      <c r="J1647" s="46"/>
      <c r="K1647" s="46"/>
      <c r="L1647" s="46"/>
      <c r="M1647" s="46"/>
      <c r="N1647" s="46"/>
      <c r="O1647" s="46"/>
      <c r="P1647" s="46"/>
      <c r="Q1647" s="46"/>
      <c r="R1647" s="46"/>
      <c r="S1647" s="46"/>
      <c r="T1647" s="46"/>
      <c r="U1647" s="46"/>
      <c r="V1647" s="46"/>
      <c r="W1647" s="46"/>
      <c r="X1647" s="46"/>
      <c r="Y1647" s="46"/>
      <c r="Z1647" s="46">
        <v>0.03</v>
      </c>
      <c r="AA1647" s="46"/>
      <c r="AB1647" s="46"/>
      <c r="AC1647" s="46"/>
      <c r="AD1647" s="46"/>
      <c r="AE1647" s="46"/>
      <c r="AF1647" s="46"/>
      <c r="AG1647" s="46"/>
      <c r="AH1647" s="46"/>
      <c r="AI1647" s="46"/>
      <c r="AJ1647" s="46"/>
      <c r="AK1647" s="46"/>
      <c r="AL1647" s="46"/>
      <c r="AM1647" s="46"/>
      <c r="AN1647" s="46"/>
      <c r="AO1647" s="46"/>
      <c r="AP1647" s="46"/>
      <c r="AQ1647" s="46"/>
      <c r="AR1647" s="46"/>
      <c r="AS1647" s="46"/>
      <c r="AT1647" s="46"/>
      <c r="AU1647" s="46"/>
      <c r="AV1647" s="46"/>
      <c r="AW1647" s="46"/>
      <c r="AX1647" s="46"/>
      <c r="AY1647" s="172" t="s">
        <v>289</v>
      </c>
      <c r="AZ1647" s="172"/>
      <c r="BA1647" s="63"/>
      <c r="BB1647" s="64"/>
      <c r="BI1647" s="42"/>
      <c r="BK1647" s="170"/>
    </row>
    <row r="1648" spans="1:63" s="169" customFormat="1" ht="24" hidden="1" customHeight="1">
      <c r="A1648" s="127"/>
      <c r="B1648" s="33"/>
      <c r="C1648" s="38" t="s">
        <v>44</v>
      </c>
      <c r="D1648" s="35">
        <f t="shared" si="329"/>
        <v>0.36</v>
      </c>
      <c r="E1648" s="35"/>
      <c r="F1648" s="35">
        <f t="shared" si="337"/>
        <v>0.36</v>
      </c>
      <c r="G1648" s="46">
        <v>0.15</v>
      </c>
      <c r="H1648" s="46"/>
      <c r="I1648" s="46">
        <v>0.03</v>
      </c>
      <c r="J1648" s="46">
        <v>0.12</v>
      </c>
      <c r="K1648" s="46"/>
      <c r="L1648" s="46"/>
      <c r="M1648" s="46"/>
      <c r="N1648" s="46"/>
      <c r="O1648" s="46"/>
      <c r="P1648" s="46"/>
      <c r="Q1648" s="46"/>
      <c r="R1648" s="46"/>
      <c r="S1648" s="46"/>
      <c r="T1648" s="46"/>
      <c r="U1648" s="46"/>
      <c r="V1648" s="46"/>
      <c r="W1648" s="46">
        <v>0.01</v>
      </c>
      <c r="X1648" s="46"/>
      <c r="Y1648" s="46"/>
      <c r="Z1648" s="46">
        <v>0.05</v>
      </c>
      <c r="AA1648" s="46"/>
      <c r="AB1648" s="46"/>
      <c r="AC1648" s="46"/>
      <c r="AD1648" s="46"/>
      <c r="AE1648" s="46"/>
      <c r="AF1648" s="46"/>
      <c r="AG1648" s="46"/>
      <c r="AH1648" s="46"/>
      <c r="AI1648" s="46"/>
      <c r="AJ1648" s="46"/>
      <c r="AK1648" s="46"/>
      <c r="AL1648" s="46"/>
      <c r="AM1648" s="46"/>
      <c r="AN1648" s="46"/>
      <c r="AO1648" s="46"/>
      <c r="AP1648" s="46"/>
      <c r="AQ1648" s="46"/>
      <c r="AR1648" s="46"/>
      <c r="AS1648" s="46"/>
      <c r="AT1648" s="46"/>
      <c r="AU1648" s="46"/>
      <c r="AV1648" s="46"/>
      <c r="AW1648" s="46"/>
      <c r="AX1648" s="46"/>
      <c r="AY1648" s="172" t="s">
        <v>289</v>
      </c>
      <c r="AZ1648" s="172"/>
      <c r="BA1648" s="63"/>
      <c r="BB1648" s="64"/>
      <c r="BI1648" s="42"/>
      <c r="BK1648" s="170"/>
    </row>
    <row r="1649" spans="1:72" s="169" customFormat="1" ht="24" hidden="1" customHeight="1">
      <c r="A1649" s="127"/>
      <c r="B1649" s="33"/>
      <c r="C1649" s="38" t="s">
        <v>138</v>
      </c>
      <c r="D1649" s="35">
        <f t="shared" si="329"/>
        <v>6.0000000000000012E-2</v>
      </c>
      <c r="E1649" s="35"/>
      <c r="F1649" s="35">
        <f t="shared" si="337"/>
        <v>6.0000000000000012E-2</v>
      </c>
      <c r="G1649" s="171">
        <f>G1646-G1647-G1648</f>
        <v>0</v>
      </c>
      <c r="H1649" s="171">
        <f t="shared" ref="H1649:AX1649" si="338">H1646-H1647-H1648</f>
        <v>0</v>
      </c>
      <c r="I1649" s="171">
        <f t="shared" si="338"/>
        <v>0</v>
      </c>
      <c r="J1649" s="171">
        <f t="shared" si="338"/>
        <v>4.0000000000000008E-2</v>
      </c>
      <c r="K1649" s="171">
        <f t="shared" si="338"/>
        <v>0</v>
      </c>
      <c r="L1649" s="171">
        <f t="shared" si="338"/>
        <v>0</v>
      </c>
      <c r="M1649" s="171">
        <f t="shared" si="338"/>
        <v>0</v>
      </c>
      <c r="N1649" s="171">
        <f t="shared" si="338"/>
        <v>0</v>
      </c>
      <c r="O1649" s="171">
        <f t="shared" si="338"/>
        <v>0</v>
      </c>
      <c r="P1649" s="171">
        <f t="shared" si="338"/>
        <v>0</v>
      </c>
      <c r="Q1649" s="171">
        <f t="shared" si="338"/>
        <v>0</v>
      </c>
      <c r="R1649" s="171">
        <f t="shared" si="338"/>
        <v>0</v>
      </c>
      <c r="S1649" s="171">
        <f t="shared" si="338"/>
        <v>0</v>
      </c>
      <c r="T1649" s="171">
        <f t="shared" si="338"/>
        <v>0</v>
      </c>
      <c r="U1649" s="171">
        <f t="shared" si="338"/>
        <v>0</v>
      </c>
      <c r="V1649" s="171">
        <f t="shared" si="338"/>
        <v>0</v>
      </c>
      <c r="W1649" s="171">
        <f t="shared" si="338"/>
        <v>0</v>
      </c>
      <c r="X1649" s="171">
        <f t="shared" si="338"/>
        <v>0</v>
      </c>
      <c r="Y1649" s="171">
        <f t="shared" si="338"/>
        <v>0</v>
      </c>
      <c r="Z1649" s="171">
        <f t="shared" si="338"/>
        <v>2.0000000000000004E-2</v>
      </c>
      <c r="AA1649" s="171">
        <f t="shared" si="338"/>
        <v>0</v>
      </c>
      <c r="AB1649" s="171">
        <f t="shared" si="338"/>
        <v>0</v>
      </c>
      <c r="AC1649" s="171">
        <f t="shared" si="338"/>
        <v>0</v>
      </c>
      <c r="AD1649" s="171">
        <f t="shared" si="338"/>
        <v>0</v>
      </c>
      <c r="AE1649" s="171">
        <f t="shared" si="338"/>
        <v>0</v>
      </c>
      <c r="AF1649" s="171">
        <f t="shared" si="338"/>
        <v>0</v>
      </c>
      <c r="AG1649" s="171">
        <f t="shared" si="338"/>
        <v>0</v>
      </c>
      <c r="AH1649" s="171">
        <f t="shared" si="338"/>
        <v>0</v>
      </c>
      <c r="AI1649" s="171">
        <f t="shared" si="338"/>
        <v>0</v>
      </c>
      <c r="AJ1649" s="171">
        <f t="shared" si="338"/>
        <v>0</v>
      </c>
      <c r="AK1649" s="171">
        <f t="shared" si="338"/>
        <v>0</v>
      </c>
      <c r="AL1649" s="171">
        <f t="shared" si="338"/>
        <v>0</v>
      </c>
      <c r="AM1649" s="171">
        <f t="shared" si="338"/>
        <v>0</v>
      </c>
      <c r="AN1649" s="171">
        <f t="shared" si="338"/>
        <v>0</v>
      </c>
      <c r="AO1649" s="171">
        <f t="shared" si="338"/>
        <v>0</v>
      </c>
      <c r="AP1649" s="171">
        <f t="shared" si="338"/>
        <v>0</v>
      </c>
      <c r="AQ1649" s="171">
        <f t="shared" si="338"/>
        <v>0</v>
      </c>
      <c r="AR1649" s="171">
        <f t="shared" si="338"/>
        <v>0</v>
      </c>
      <c r="AS1649" s="171">
        <f t="shared" si="338"/>
        <v>0</v>
      </c>
      <c r="AT1649" s="171">
        <f t="shared" si="338"/>
        <v>0</v>
      </c>
      <c r="AU1649" s="171">
        <f t="shared" si="338"/>
        <v>0</v>
      </c>
      <c r="AV1649" s="171">
        <f t="shared" si="338"/>
        <v>0</v>
      </c>
      <c r="AW1649" s="171">
        <f t="shared" si="338"/>
        <v>0</v>
      </c>
      <c r="AX1649" s="171">
        <f t="shared" si="338"/>
        <v>0</v>
      </c>
      <c r="AY1649" s="172" t="s">
        <v>289</v>
      </c>
      <c r="AZ1649" s="172"/>
      <c r="BA1649" s="63"/>
      <c r="BB1649" s="64"/>
      <c r="BI1649" s="42"/>
      <c r="BK1649" s="170"/>
    </row>
    <row r="1650" spans="1:72" s="169" customFormat="1" ht="20.85" customHeight="1">
      <c r="A1650" s="127">
        <f>A1646+1</f>
        <v>910</v>
      </c>
      <c r="B1650" s="33" t="s">
        <v>1792</v>
      </c>
      <c r="C1650" s="38" t="s">
        <v>57</v>
      </c>
      <c r="D1650" s="35">
        <f t="shared" si="329"/>
        <v>0.36</v>
      </c>
      <c r="E1650" s="35"/>
      <c r="F1650" s="35">
        <f t="shared" si="337"/>
        <v>0.36</v>
      </c>
      <c r="G1650" s="107"/>
      <c r="H1650" s="107"/>
      <c r="I1650" s="107">
        <v>0.12</v>
      </c>
      <c r="J1650" s="46">
        <v>0.24</v>
      </c>
      <c r="K1650" s="46"/>
      <c r="L1650" s="46"/>
      <c r="M1650" s="46"/>
      <c r="N1650" s="46"/>
      <c r="O1650" s="46"/>
      <c r="P1650" s="46"/>
      <c r="Q1650" s="46"/>
      <c r="R1650" s="46"/>
      <c r="S1650" s="46"/>
      <c r="T1650" s="46"/>
      <c r="U1650" s="46"/>
      <c r="V1650" s="46"/>
      <c r="W1650" s="46"/>
      <c r="X1650" s="46"/>
      <c r="Y1650" s="46"/>
      <c r="Z1650" s="46"/>
      <c r="AA1650" s="46"/>
      <c r="AB1650" s="46"/>
      <c r="AC1650" s="46"/>
      <c r="AD1650" s="46"/>
      <c r="AE1650" s="46"/>
      <c r="AF1650" s="46"/>
      <c r="AG1650" s="46"/>
      <c r="AH1650" s="46"/>
      <c r="AI1650" s="46"/>
      <c r="AJ1650" s="46"/>
      <c r="AK1650" s="46"/>
      <c r="AL1650" s="46"/>
      <c r="AM1650" s="46"/>
      <c r="AN1650" s="46"/>
      <c r="AO1650" s="46"/>
      <c r="AP1650" s="46"/>
      <c r="AQ1650" s="46"/>
      <c r="AR1650" s="46"/>
      <c r="AS1650" s="46"/>
      <c r="AT1650" s="46"/>
      <c r="AU1650" s="46"/>
      <c r="AV1650" s="46"/>
      <c r="AW1650" s="46"/>
      <c r="AX1650" s="46"/>
      <c r="AY1650" s="34" t="s">
        <v>289</v>
      </c>
      <c r="AZ1650" s="34" t="s">
        <v>315</v>
      </c>
      <c r="BA1650" s="47" t="s">
        <v>298</v>
      </c>
      <c r="BB1650" s="48"/>
      <c r="BI1650" s="42">
        <v>1</v>
      </c>
      <c r="BK1650" s="170"/>
    </row>
    <row r="1651" spans="1:72" s="169" customFormat="1" ht="20.85" customHeight="1">
      <c r="A1651" s="127">
        <f t="shared" si="335"/>
        <v>911</v>
      </c>
      <c r="B1651" s="33" t="s">
        <v>1793</v>
      </c>
      <c r="C1651" s="38" t="s">
        <v>57</v>
      </c>
      <c r="D1651" s="35">
        <f t="shared" si="329"/>
        <v>0.1</v>
      </c>
      <c r="E1651" s="35">
        <v>0.1</v>
      </c>
      <c r="F1651" s="89">
        <f t="shared" si="337"/>
        <v>0</v>
      </c>
      <c r="G1651" s="107"/>
      <c r="H1651" s="107"/>
      <c r="I1651" s="107"/>
      <c r="J1651" s="46"/>
      <c r="K1651" s="46"/>
      <c r="L1651" s="46"/>
      <c r="M1651" s="46"/>
      <c r="N1651" s="46"/>
      <c r="O1651" s="46"/>
      <c r="P1651" s="46"/>
      <c r="Q1651" s="46"/>
      <c r="R1651" s="46"/>
      <c r="S1651" s="46"/>
      <c r="T1651" s="46"/>
      <c r="U1651" s="46"/>
      <c r="V1651" s="46"/>
      <c r="W1651" s="46"/>
      <c r="X1651" s="46"/>
      <c r="Y1651" s="46"/>
      <c r="Z1651" s="46"/>
      <c r="AA1651" s="46"/>
      <c r="AB1651" s="46"/>
      <c r="AC1651" s="46"/>
      <c r="AD1651" s="46"/>
      <c r="AE1651" s="46"/>
      <c r="AF1651" s="46"/>
      <c r="AG1651" s="46"/>
      <c r="AH1651" s="46"/>
      <c r="AI1651" s="46"/>
      <c r="AJ1651" s="46"/>
      <c r="AK1651" s="46"/>
      <c r="AL1651" s="46"/>
      <c r="AM1651" s="46"/>
      <c r="AN1651" s="46"/>
      <c r="AO1651" s="46"/>
      <c r="AP1651" s="46"/>
      <c r="AQ1651" s="46"/>
      <c r="AR1651" s="46"/>
      <c r="AS1651" s="46"/>
      <c r="AT1651" s="46"/>
      <c r="AU1651" s="46"/>
      <c r="AV1651" s="46"/>
      <c r="AW1651" s="46"/>
      <c r="AX1651" s="46"/>
      <c r="AY1651" s="34" t="s">
        <v>289</v>
      </c>
      <c r="AZ1651" s="34" t="s">
        <v>318</v>
      </c>
      <c r="BA1651" s="47" t="s">
        <v>298</v>
      </c>
      <c r="BB1651" s="48"/>
      <c r="BG1651" s="169" t="s">
        <v>1794</v>
      </c>
      <c r="BI1651" s="42">
        <v>1</v>
      </c>
      <c r="BK1651" s="170"/>
    </row>
    <row r="1652" spans="1:72" s="169" customFormat="1" ht="31.5">
      <c r="A1652" s="127">
        <f t="shared" si="335"/>
        <v>912</v>
      </c>
      <c r="B1652" s="33" t="s">
        <v>1795</v>
      </c>
      <c r="C1652" s="38" t="s">
        <v>57</v>
      </c>
      <c r="D1652" s="35">
        <f t="shared" si="329"/>
        <v>0.2</v>
      </c>
      <c r="E1652" s="35"/>
      <c r="F1652" s="35">
        <f t="shared" si="337"/>
        <v>0.2</v>
      </c>
      <c r="G1652" s="107">
        <v>0.2</v>
      </c>
      <c r="H1652" s="107"/>
      <c r="I1652" s="107"/>
      <c r="J1652" s="46"/>
      <c r="K1652" s="46"/>
      <c r="L1652" s="46"/>
      <c r="M1652" s="46"/>
      <c r="N1652" s="46"/>
      <c r="O1652" s="46"/>
      <c r="P1652" s="46"/>
      <c r="Q1652" s="46"/>
      <c r="R1652" s="46"/>
      <c r="S1652" s="46"/>
      <c r="T1652" s="46"/>
      <c r="U1652" s="46"/>
      <c r="V1652" s="46"/>
      <c r="W1652" s="46"/>
      <c r="X1652" s="46"/>
      <c r="Y1652" s="46"/>
      <c r="Z1652" s="46"/>
      <c r="AA1652" s="46"/>
      <c r="AB1652" s="46"/>
      <c r="AC1652" s="46"/>
      <c r="AD1652" s="46"/>
      <c r="AE1652" s="46"/>
      <c r="AF1652" s="46"/>
      <c r="AG1652" s="46"/>
      <c r="AH1652" s="46"/>
      <c r="AI1652" s="46"/>
      <c r="AJ1652" s="46"/>
      <c r="AK1652" s="46"/>
      <c r="AL1652" s="46"/>
      <c r="AM1652" s="46"/>
      <c r="AN1652" s="46"/>
      <c r="AO1652" s="46"/>
      <c r="AP1652" s="46"/>
      <c r="AQ1652" s="46"/>
      <c r="AR1652" s="46"/>
      <c r="AS1652" s="46"/>
      <c r="AT1652" s="46"/>
      <c r="AU1652" s="46"/>
      <c r="AV1652" s="46"/>
      <c r="AW1652" s="46"/>
      <c r="AX1652" s="46"/>
      <c r="AY1652" s="34" t="s">
        <v>289</v>
      </c>
      <c r="AZ1652" s="34" t="s">
        <v>1796</v>
      </c>
      <c r="BA1652" s="47" t="s">
        <v>298</v>
      </c>
      <c r="BB1652" s="48"/>
      <c r="BG1652" s="169" t="s">
        <v>353</v>
      </c>
      <c r="BI1652" s="42">
        <v>1</v>
      </c>
      <c r="BK1652" s="170"/>
      <c r="BT1652" s="169" t="s">
        <v>353</v>
      </c>
    </row>
    <row r="1653" spans="1:72" s="169" customFormat="1" ht="64.349999999999994" customHeight="1">
      <c r="A1653" s="127">
        <f>A1652+1</f>
        <v>913</v>
      </c>
      <c r="B1653" s="33" t="s">
        <v>1797</v>
      </c>
      <c r="C1653" s="38" t="s">
        <v>57</v>
      </c>
      <c r="D1653" s="35">
        <f t="shared" si="329"/>
        <v>0.03</v>
      </c>
      <c r="E1653" s="35"/>
      <c r="F1653" s="35">
        <f t="shared" si="337"/>
        <v>0.03</v>
      </c>
      <c r="G1653" s="107"/>
      <c r="H1653" s="107"/>
      <c r="I1653" s="107"/>
      <c r="J1653" s="46"/>
      <c r="K1653" s="46"/>
      <c r="L1653" s="46"/>
      <c r="M1653" s="46">
        <v>0.03</v>
      </c>
      <c r="N1653" s="46"/>
      <c r="O1653" s="46"/>
      <c r="P1653" s="46"/>
      <c r="Q1653" s="46"/>
      <c r="R1653" s="46"/>
      <c r="S1653" s="46"/>
      <c r="T1653" s="46"/>
      <c r="U1653" s="46"/>
      <c r="V1653" s="46"/>
      <c r="W1653" s="46"/>
      <c r="X1653" s="46"/>
      <c r="Y1653" s="46"/>
      <c r="Z1653" s="46"/>
      <c r="AA1653" s="46"/>
      <c r="AB1653" s="46"/>
      <c r="AC1653" s="46"/>
      <c r="AD1653" s="46"/>
      <c r="AE1653" s="46"/>
      <c r="AF1653" s="46"/>
      <c r="AG1653" s="46"/>
      <c r="AH1653" s="46"/>
      <c r="AI1653" s="46"/>
      <c r="AJ1653" s="46"/>
      <c r="AK1653" s="46"/>
      <c r="AL1653" s="46"/>
      <c r="AM1653" s="46"/>
      <c r="AN1653" s="46"/>
      <c r="AO1653" s="46"/>
      <c r="AP1653" s="46"/>
      <c r="AQ1653" s="46"/>
      <c r="AR1653" s="46"/>
      <c r="AS1653" s="46"/>
      <c r="AT1653" s="46"/>
      <c r="AU1653" s="46"/>
      <c r="AV1653" s="46"/>
      <c r="AW1653" s="46"/>
      <c r="AX1653" s="46"/>
      <c r="AY1653" s="34" t="s">
        <v>289</v>
      </c>
      <c r="AZ1653" s="34"/>
      <c r="BA1653" s="39" t="s">
        <v>291</v>
      </c>
      <c r="BB1653" s="40"/>
      <c r="BI1653" s="42">
        <v>1</v>
      </c>
      <c r="BK1653" s="170"/>
    </row>
    <row r="1654" spans="1:72" s="169" customFormat="1" ht="53.85" customHeight="1">
      <c r="A1654" s="127">
        <f t="shared" si="335"/>
        <v>914</v>
      </c>
      <c r="B1654" s="33" t="s">
        <v>1598</v>
      </c>
      <c r="C1654" s="38" t="s">
        <v>1260</v>
      </c>
      <c r="D1654" s="35">
        <f t="shared" si="329"/>
        <v>1.7300000000000002</v>
      </c>
      <c r="E1654" s="35"/>
      <c r="F1654" s="35">
        <f t="shared" si="337"/>
        <v>1.7300000000000002</v>
      </c>
      <c r="G1654" s="107">
        <f>0.91+0.14</f>
        <v>1.05</v>
      </c>
      <c r="H1654" s="107"/>
      <c r="I1654" s="107">
        <f>0.28+0.12</f>
        <v>0.4</v>
      </c>
      <c r="J1654" s="46"/>
      <c r="K1654" s="46"/>
      <c r="L1654" s="46"/>
      <c r="M1654" s="46"/>
      <c r="N1654" s="46"/>
      <c r="O1654" s="46"/>
      <c r="P1654" s="46">
        <v>0.23</v>
      </c>
      <c r="Q1654" s="46"/>
      <c r="R1654" s="46"/>
      <c r="S1654" s="46"/>
      <c r="T1654" s="46"/>
      <c r="U1654" s="46"/>
      <c r="V1654" s="46"/>
      <c r="W1654" s="46"/>
      <c r="X1654" s="46"/>
      <c r="Y1654" s="46"/>
      <c r="Z1654" s="46">
        <v>0.05</v>
      </c>
      <c r="AA1654" s="46"/>
      <c r="AB1654" s="46"/>
      <c r="AC1654" s="46"/>
      <c r="AD1654" s="46"/>
      <c r="AE1654" s="46"/>
      <c r="AF1654" s="46"/>
      <c r="AG1654" s="46"/>
      <c r="AH1654" s="46"/>
      <c r="AI1654" s="46"/>
      <c r="AJ1654" s="46"/>
      <c r="AK1654" s="46"/>
      <c r="AL1654" s="46"/>
      <c r="AM1654" s="46"/>
      <c r="AN1654" s="46"/>
      <c r="AO1654" s="46"/>
      <c r="AP1654" s="46"/>
      <c r="AQ1654" s="46"/>
      <c r="AR1654" s="46"/>
      <c r="AS1654" s="46"/>
      <c r="AT1654" s="46"/>
      <c r="AU1654" s="46"/>
      <c r="AV1654" s="46"/>
      <c r="AW1654" s="46"/>
      <c r="AX1654" s="46"/>
      <c r="AY1654" s="34" t="s">
        <v>289</v>
      </c>
      <c r="AZ1654" s="34" t="s">
        <v>1798</v>
      </c>
      <c r="BA1654" s="39" t="s">
        <v>291</v>
      </c>
      <c r="BB1654" s="40"/>
      <c r="BI1654" s="42">
        <v>1</v>
      </c>
      <c r="BK1654" s="170"/>
      <c r="BL1654" s="169" t="s">
        <v>1799</v>
      </c>
    </row>
    <row r="1655" spans="1:72" s="169" customFormat="1" ht="24" hidden="1" customHeight="1">
      <c r="A1655" s="127"/>
      <c r="B1655" s="33"/>
      <c r="C1655" s="38" t="s">
        <v>57</v>
      </c>
      <c r="D1655" s="35">
        <f t="shared" si="329"/>
        <v>0.46</v>
      </c>
      <c r="E1655" s="35"/>
      <c r="F1655" s="35">
        <f t="shared" si="337"/>
        <v>0.46</v>
      </c>
      <c r="G1655" s="107">
        <v>0.46</v>
      </c>
      <c r="H1655" s="107"/>
      <c r="I1655" s="107"/>
      <c r="J1655" s="46"/>
      <c r="K1655" s="46"/>
      <c r="L1655" s="46"/>
      <c r="M1655" s="46"/>
      <c r="N1655" s="46"/>
      <c r="O1655" s="46"/>
      <c r="P1655" s="46"/>
      <c r="Q1655" s="46"/>
      <c r="R1655" s="46"/>
      <c r="S1655" s="46"/>
      <c r="T1655" s="46"/>
      <c r="U1655" s="46"/>
      <c r="V1655" s="46"/>
      <c r="W1655" s="46"/>
      <c r="X1655" s="46"/>
      <c r="Y1655" s="46"/>
      <c r="Z1655" s="46"/>
      <c r="AA1655" s="46"/>
      <c r="AB1655" s="46"/>
      <c r="AC1655" s="46"/>
      <c r="AD1655" s="46"/>
      <c r="AE1655" s="46"/>
      <c r="AF1655" s="46"/>
      <c r="AG1655" s="46"/>
      <c r="AH1655" s="46"/>
      <c r="AI1655" s="46"/>
      <c r="AJ1655" s="46"/>
      <c r="AK1655" s="46"/>
      <c r="AL1655" s="46"/>
      <c r="AM1655" s="46"/>
      <c r="AN1655" s="46"/>
      <c r="AO1655" s="46"/>
      <c r="AP1655" s="46"/>
      <c r="AQ1655" s="46"/>
      <c r="AR1655" s="46"/>
      <c r="AS1655" s="46"/>
      <c r="AT1655" s="46"/>
      <c r="AU1655" s="46"/>
      <c r="AV1655" s="46"/>
      <c r="AW1655" s="46"/>
      <c r="AX1655" s="46"/>
      <c r="AY1655" s="34" t="s">
        <v>289</v>
      </c>
      <c r="AZ1655" s="34"/>
      <c r="BA1655" s="39"/>
      <c r="BB1655" s="40"/>
      <c r="BI1655" s="42"/>
      <c r="BK1655" s="170"/>
    </row>
    <row r="1656" spans="1:72" s="169" customFormat="1" ht="24" hidden="1" customHeight="1">
      <c r="A1656" s="127"/>
      <c r="B1656" s="33"/>
      <c r="C1656" s="38" t="s">
        <v>44</v>
      </c>
      <c r="D1656" s="35">
        <f t="shared" si="329"/>
        <v>0.95000000000000007</v>
      </c>
      <c r="E1656" s="35"/>
      <c r="F1656" s="35">
        <f t="shared" si="337"/>
        <v>0.95000000000000007</v>
      </c>
      <c r="G1656" s="107">
        <v>0.54</v>
      </c>
      <c r="H1656" s="107"/>
      <c r="I1656" s="107">
        <v>0.3</v>
      </c>
      <c r="J1656" s="46"/>
      <c r="K1656" s="46"/>
      <c r="L1656" s="46"/>
      <c r="M1656" s="46"/>
      <c r="N1656" s="46"/>
      <c r="O1656" s="46"/>
      <c r="P1656" s="46">
        <v>0.11</v>
      </c>
      <c r="Q1656" s="46"/>
      <c r="R1656" s="46"/>
      <c r="S1656" s="46"/>
      <c r="T1656" s="46"/>
      <c r="U1656" s="46"/>
      <c r="V1656" s="46"/>
      <c r="W1656" s="46"/>
      <c r="X1656" s="46"/>
      <c r="Y1656" s="46"/>
      <c r="Z1656" s="46"/>
      <c r="AA1656" s="46"/>
      <c r="AB1656" s="46"/>
      <c r="AC1656" s="46"/>
      <c r="AD1656" s="46"/>
      <c r="AE1656" s="46"/>
      <c r="AF1656" s="46"/>
      <c r="AG1656" s="46"/>
      <c r="AH1656" s="46"/>
      <c r="AI1656" s="46"/>
      <c r="AJ1656" s="46"/>
      <c r="AK1656" s="46"/>
      <c r="AL1656" s="46"/>
      <c r="AM1656" s="46"/>
      <c r="AN1656" s="46"/>
      <c r="AO1656" s="46"/>
      <c r="AP1656" s="46"/>
      <c r="AQ1656" s="46"/>
      <c r="AR1656" s="46"/>
      <c r="AS1656" s="46"/>
      <c r="AT1656" s="46"/>
      <c r="AU1656" s="46"/>
      <c r="AV1656" s="46"/>
      <c r="AW1656" s="46"/>
      <c r="AX1656" s="46"/>
      <c r="AY1656" s="34" t="s">
        <v>289</v>
      </c>
      <c r="AZ1656" s="34"/>
      <c r="BA1656" s="39"/>
      <c r="BB1656" s="40"/>
      <c r="BI1656" s="42"/>
      <c r="BK1656" s="170"/>
    </row>
    <row r="1657" spans="1:72" s="169" customFormat="1" ht="24" hidden="1" customHeight="1">
      <c r="A1657" s="127"/>
      <c r="B1657" s="33"/>
      <c r="C1657" s="38" t="s">
        <v>112</v>
      </c>
      <c r="D1657" s="35">
        <f>E1657+F1657</f>
        <v>0.12</v>
      </c>
      <c r="E1657" s="35"/>
      <c r="F1657" s="35">
        <f>SUM(G1657:AX1657)</f>
        <v>0.12</v>
      </c>
      <c r="G1657" s="107"/>
      <c r="H1657" s="107"/>
      <c r="I1657" s="107"/>
      <c r="J1657" s="46"/>
      <c r="K1657" s="46"/>
      <c r="L1657" s="46"/>
      <c r="M1657" s="46"/>
      <c r="N1657" s="46"/>
      <c r="O1657" s="46"/>
      <c r="P1657" s="46">
        <v>0.12</v>
      </c>
      <c r="Q1657" s="46"/>
      <c r="R1657" s="46"/>
      <c r="S1657" s="46"/>
      <c r="T1657" s="46"/>
      <c r="U1657" s="46"/>
      <c r="V1657" s="46"/>
      <c r="W1657" s="46"/>
      <c r="X1657" s="46"/>
      <c r="Y1657" s="46"/>
      <c r="Z1657" s="46"/>
      <c r="AA1657" s="46"/>
      <c r="AB1657" s="46"/>
      <c r="AC1657" s="46"/>
      <c r="AD1657" s="46"/>
      <c r="AE1657" s="46"/>
      <c r="AF1657" s="46"/>
      <c r="AG1657" s="46"/>
      <c r="AH1657" s="46"/>
      <c r="AI1657" s="46"/>
      <c r="AJ1657" s="46"/>
      <c r="AK1657" s="46"/>
      <c r="AL1657" s="46"/>
      <c r="AM1657" s="46"/>
      <c r="AN1657" s="46"/>
      <c r="AO1657" s="46"/>
      <c r="AP1657" s="46"/>
      <c r="AQ1657" s="46"/>
      <c r="AR1657" s="46"/>
      <c r="AS1657" s="46"/>
      <c r="AT1657" s="46"/>
      <c r="AU1657" s="46"/>
      <c r="AV1657" s="46"/>
      <c r="AW1657" s="46"/>
      <c r="AX1657" s="46"/>
      <c r="AY1657" s="34" t="s">
        <v>289</v>
      </c>
      <c r="AZ1657" s="34"/>
      <c r="BA1657" s="39"/>
      <c r="BB1657" s="40"/>
      <c r="BI1657" s="42"/>
      <c r="BK1657" s="170"/>
      <c r="BL1657" s="169" t="s">
        <v>1800</v>
      </c>
    </row>
    <row r="1658" spans="1:72" s="169" customFormat="1" ht="24" hidden="1" customHeight="1">
      <c r="A1658" s="127"/>
      <c r="B1658" s="33"/>
      <c r="C1658" s="38" t="s">
        <v>138</v>
      </c>
      <c r="D1658" s="35">
        <f t="shared" si="329"/>
        <v>0.20000000000000007</v>
      </c>
      <c r="E1658" s="35"/>
      <c r="F1658" s="35">
        <f t="shared" si="337"/>
        <v>0.20000000000000007</v>
      </c>
      <c r="G1658" s="141">
        <f>G1654-G1655-G1656-G1657</f>
        <v>5.0000000000000044E-2</v>
      </c>
      <c r="H1658" s="141">
        <f t="shared" ref="H1658:AX1658" si="339">H1654-H1655-H1656-H1657</f>
        <v>0</v>
      </c>
      <c r="I1658" s="141">
        <f t="shared" si="339"/>
        <v>0.10000000000000003</v>
      </c>
      <c r="J1658" s="141">
        <f t="shared" si="339"/>
        <v>0</v>
      </c>
      <c r="K1658" s="141">
        <f t="shared" si="339"/>
        <v>0</v>
      </c>
      <c r="L1658" s="141">
        <f t="shared" si="339"/>
        <v>0</v>
      </c>
      <c r="M1658" s="141">
        <f t="shared" si="339"/>
        <v>0</v>
      </c>
      <c r="N1658" s="141">
        <f t="shared" si="339"/>
        <v>0</v>
      </c>
      <c r="O1658" s="141">
        <f t="shared" si="339"/>
        <v>0</v>
      </c>
      <c r="P1658" s="141">
        <f>P1654-P1655-P1656-P1657</f>
        <v>0</v>
      </c>
      <c r="Q1658" s="141">
        <f t="shared" si="339"/>
        <v>0</v>
      </c>
      <c r="R1658" s="141">
        <f t="shared" si="339"/>
        <v>0</v>
      </c>
      <c r="S1658" s="141">
        <f t="shared" si="339"/>
        <v>0</v>
      </c>
      <c r="T1658" s="141">
        <f t="shared" si="339"/>
        <v>0</v>
      </c>
      <c r="U1658" s="141">
        <f t="shared" si="339"/>
        <v>0</v>
      </c>
      <c r="V1658" s="141">
        <f t="shared" si="339"/>
        <v>0</v>
      </c>
      <c r="W1658" s="141">
        <f t="shared" si="339"/>
        <v>0</v>
      </c>
      <c r="X1658" s="141">
        <f t="shared" si="339"/>
        <v>0</v>
      </c>
      <c r="Y1658" s="141">
        <f t="shared" si="339"/>
        <v>0</v>
      </c>
      <c r="Z1658" s="141">
        <f t="shared" si="339"/>
        <v>0.05</v>
      </c>
      <c r="AA1658" s="141">
        <f t="shared" si="339"/>
        <v>0</v>
      </c>
      <c r="AB1658" s="141">
        <f t="shared" si="339"/>
        <v>0</v>
      </c>
      <c r="AC1658" s="141">
        <f t="shared" si="339"/>
        <v>0</v>
      </c>
      <c r="AD1658" s="141">
        <f t="shared" si="339"/>
        <v>0</v>
      </c>
      <c r="AE1658" s="141">
        <f t="shared" si="339"/>
        <v>0</v>
      </c>
      <c r="AF1658" s="141">
        <f t="shared" si="339"/>
        <v>0</v>
      </c>
      <c r="AG1658" s="141">
        <f t="shared" si="339"/>
        <v>0</v>
      </c>
      <c r="AH1658" s="141">
        <f t="shared" si="339"/>
        <v>0</v>
      </c>
      <c r="AI1658" s="141">
        <f t="shared" si="339"/>
        <v>0</v>
      </c>
      <c r="AJ1658" s="141">
        <f t="shared" si="339"/>
        <v>0</v>
      </c>
      <c r="AK1658" s="141">
        <f t="shared" si="339"/>
        <v>0</v>
      </c>
      <c r="AL1658" s="141">
        <f t="shared" si="339"/>
        <v>0</v>
      </c>
      <c r="AM1658" s="141">
        <f t="shared" si="339"/>
        <v>0</v>
      </c>
      <c r="AN1658" s="141">
        <f t="shared" si="339"/>
        <v>0</v>
      </c>
      <c r="AO1658" s="141">
        <f t="shared" si="339"/>
        <v>0</v>
      </c>
      <c r="AP1658" s="141">
        <f t="shared" si="339"/>
        <v>0</v>
      </c>
      <c r="AQ1658" s="141">
        <f t="shared" si="339"/>
        <v>0</v>
      </c>
      <c r="AR1658" s="141">
        <f t="shared" si="339"/>
        <v>0</v>
      </c>
      <c r="AS1658" s="141">
        <f t="shared" si="339"/>
        <v>0</v>
      </c>
      <c r="AT1658" s="141">
        <f t="shared" si="339"/>
        <v>0</v>
      </c>
      <c r="AU1658" s="141">
        <f t="shared" si="339"/>
        <v>0</v>
      </c>
      <c r="AV1658" s="141">
        <f t="shared" si="339"/>
        <v>0</v>
      </c>
      <c r="AW1658" s="141">
        <f t="shared" si="339"/>
        <v>0</v>
      </c>
      <c r="AX1658" s="141">
        <f t="shared" si="339"/>
        <v>0</v>
      </c>
      <c r="AY1658" s="34" t="s">
        <v>289</v>
      </c>
      <c r="AZ1658" s="34"/>
      <c r="BA1658" s="39"/>
      <c r="BB1658" s="40"/>
      <c r="BI1658" s="42"/>
      <c r="BK1658" s="170"/>
    </row>
    <row r="1659" spans="1:72" s="169" customFormat="1" ht="24" customHeight="1">
      <c r="A1659" s="127">
        <f>A1654+1</f>
        <v>915</v>
      </c>
      <c r="B1659" s="33" t="s">
        <v>1801</v>
      </c>
      <c r="C1659" s="38" t="s">
        <v>57</v>
      </c>
      <c r="D1659" s="35">
        <f t="shared" si="329"/>
        <v>0.7</v>
      </c>
      <c r="E1659" s="35"/>
      <c r="F1659" s="35">
        <f t="shared" si="337"/>
        <v>0.7</v>
      </c>
      <c r="G1659" s="107"/>
      <c r="H1659" s="107"/>
      <c r="I1659" s="107"/>
      <c r="J1659" s="46"/>
      <c r="K1659" s="46"/>
      <c r="L1659" s="46"/>
      <c r="M1659" s="46">
        <v>0.7</v>
      </c>
      <c r="N1659" s="46"/>
      <c r="O1659" s="46"/>
      <c r="P1659" s="46"/>
      <c r="Q1659" s="46"/>
      <c r="R1659" s="46"/>
      <c r="S1659" s="46"/>
      <c r="T1659" s="46"/>
      <c r="U1659" s="46"/>
      <c r="V1659" s="46"/>
      <c r="W1659" s="46"/>
      <c r="X1659" s="46"/>
      <c r="Y1659" s="46"/>
      <c r="Z1659" s="46"/>
      <c r="AA1659" s="46"/>
      <c r="AB1659" s="46"/>
      <c r="AC1659" s="46"/>
      <c r="AD1659" s="46"/>
      <c r="AE1659" s="46"/>
      <c r="AF1659" s="46"/>
      <c r="AG1659" s="46"/>
      <c r="AH1659" s="46"/>
      <c r="AI1659" s="46"/>
      <c r="AJ1659" s="46"/>
      <c r="AK1659" s="46"/>
      <c r="AL1659" s="46"/>
      <c r="AM1659" s="46"/>
      <c r="AN1659" s="46"/>
      <c r="AO1659" s="46"/>
      <c r="AP1659" s="46"/>
      <c r="AQ1659" s="46"/>
      <c r="AR1659" s="46"/>
      <c r="AS1659" s="46"/>
      <c r="AT1659" s="46"/>
      <c r="AU1659" s="46"/>
      <c r="AV1659" s="46"/>
      <c r="AW1659" s="46"/>
      <c r="AX1659" s="46"/>
      <c r="AY1659" s="34" t="s">
        <v>289</v>
      </c>
      <c r="AZ1659" s="34" t="s">
        <v>1802</v>
      </c>
      <c r="BA1659" s="47" t="s">
        <v>298</v>
      </c>
      <c r="BB1659" s="40"/>
      <c r="BI1659" s="42"/>
      <c r="BK1659" s="170"/>
      <c r="BL1659" s="169" t="s">
        <v>311</v>
      </c>
    </row>
    <row r="1660" spans="1:72" s="169" customFormat="1" ht="24" customHeight="1">
      <c r="A1660" s="127">
        <f>A1659+1</f>
        <v>916</v>
      </c>
      <c r="B1660" s="33" t="s">
        <v>1778</v>
      </c>
      <c r="C1660" s="38" t="s">
        <v>57</v>
      </c>
      <c r="D1660" s="35">
        <f>E1660+F1660</f>
        <v>0.45</v>
      </c>
      <c r="E1660" s="35"/>
      <c r="F1660" s="35">
        <f>SUM(G1660:AX1660)</f>
        <v>0.45</v>
      </c>
      <c r="G1660" s="107"/>
      <c r="H1660" s="107"/>
      <c r="I1660" s="107">
        <v>0.45</v>
      </c>
      <c r="J1660" s="46"/>
      <c r="K1660" s="46"/>
      <c r="L1660" s="46"/>
      <c r="M1660" s="46"/>
      <c r="N1660" s="46"/>
      <c r="O1660" s="46"/>
      <c r="P1660" s="46"/>
      <c r="Q1660" s="46"/>
      <c r="R1660" s="46"/>
      <c r="S1660" s="46"/>
      <c r="T1660" s="46"/>
      <c r="U1660" s="46"/>
      <c r="V1660" s="46"/>
      <c r="W1660" s="46"/>
      <c r="X1660" s="46"/>
      <c r="Y1660" s="46"/>
      <c r="Z1660" s="46"/>
      <c r="AA1660" s="46"/>
      <c r="AB1660" s="46"/>
      <c r="AC1660" s="46"/>
      <c r="AD1660" s="46"/>
      <c r="AE1660" s="46"/>
      <c r="AF1660" s="46"/>
      <c r="AG1660" s="46"/>
      <c r="AH1660" s="46"/>
      <c r="AI1660" s="46"/>
      <c r="AJ1660" s="46"/>
      <c r="AK1660" s="46"/>
      <c r="AL1660" s="46"/>
      <c r="AM1660" s="46"/>
      <c r="AN1660" s="46"/>
      <c r="AO1660" s="46"/>
      <c r="AP1660" s="46"/>
      <c r="AQ1660" s="46"/>
      <c r="AR1660" s="46"/>
      <c r="AS1660" s="46"/>
      <c r="AT1660" s="46"/>
      <c r="AU1660" s="46"/>
      <c r="AV1660" s="46"/>
      <c r="AW1660" s="46"/>
      <c r="AX1660" s="46"/>
      <c r="AY1660" s="34" t="s">
        <v>289</v>
      </c>
      <c r="AZ1660" s="34" t="s">
        <v>1803</v>
      </c>
      <c r="BA1660" s="47" t="s">
        <v>298</v>
      </c>
      <c r="BB1660" s="40"/>
      <c r="BI1660" s="42"/>
      <c r="BK1660" s="170"/>
      <c r="BL1660" s="169" t="s">
        <v>311</v>
      </c>
    </row>
    <row r="1661" spans="1:72" s="169" customFormat="1" ht="21.6" customHeight="1">
      <c r="A1661" s="127">
        <f>A1660+1</f>
        <v>917</v>
      </c>
      <c r="B1661" s="60" t="s">
        <v>1299</v>
      </c>
      <c r="C1661" s="38" t="s">
        <v>57</v>
      </c>
      <c r="D1661" s="35">
        <f t="shared" si="329"/>
        <v>3</v>
      </c>
      <c r="E1661" s="36"/>
      <c r="F1661" s="35">
        <f t="shared" si="337"/>
        <v>3</v>
      </c>
      <c r="G1661" s="37"/>
      <c r="H1661" s="37"/>
      <c r="I1661" s="37"/>
      <c r="J1661" s="37">
        <v>3</v>
      </c>
      <c r="K1661" s="37"/>
      <c r="L1661" s="37"/>
      <c r="M1661" s="37"/>
      <c r="N1661" s="37"/>
      <c r="O1661" s="37"/>
      <c r="P1661" s="37"/>
      <c r="Q1661" s="37"/>
      <c r="R1661" s="37"/>
      <c r="S1661" s="37"/>
      <c r="T1661" s="37"/>
      <c r="U1661" s="37"/>
      <c r="V1661" s="37"/>
      <c r="W1661" s="37"/>
      <c r="X1661" s="37"/>
      <c r="Y1661" s="37"/>
      <c r="Z1661" s="37"/>
      <c r="AA1661" s="37"/>
      <c r="AB1661" s="37"/>
      <c r="AC1661" s="37"/>
      <c r="AD1661" s="37"/>
      <c r="AE1661" s="37"/>
      <c r="AF1661" s="37"/>
      <c r="AG1661" s="37"/>
      <c r="AH1661" s="37"/>
      <c r="AI1661" s="37"/>
      <c r="AJ1661" s="37"/>
      <c r="AK1661" s="37"/>
      <c r="AL1661" s="37"/>
      <c r="AM1661" s="37"/>
      <c r="AN1661" s="37"/>
      <c r="AO1661" s="37"/>
      <c r="AP1661" s="37"/>
      <c r="AQ1661" s="37"/>
      <c r="AR1661" s="37"/>
      <c r="AS1661" s="37"/>
      <c r="AT1661" s="37"/>
      <c r="AU1661" s="37"/>
      <c r="AV1661" s="37"/>
      <c r="AW1661" s="37"/>
      <c r="AX1661" s="37"/>
      <c r="AY1661" s="34" t="s">
        <v>289</v>
      </c>
      <c r="AZ1661" s="34" t="s">
        <v>615</v>
      </c>
      <c r="BA1661" s="39" t="s">
        <v>291</v>
      </c>
      <c r="BB1661" s="40"/>
      <c r="BI1661" s="42">
        <v>1</v>
      </c>
      <c r="BK1661" s="170"/>
    </row>
    <row r="1662" spans="1:72" s="24" customFormat="1" ht="23.85" customHeight="1">
      <c r="A1662" s="20" t="s">
        <v>1804</v>
      </c>
      <c r="B1662" s="25" t="s">
        <v>95</v>
      </c>
      <c r="C1662" s="26"/>
      <c r="D1662" s="27">
        <f t="shared" si="329"/>
        <v>11.219999999999999</v>
      </c>
      <c r="E1662" s="27">
        <f>SUM(E1663:E1677)</f>
        <v>4.74</v>
      </c>
      <c r="F1662" s="27">
        <f t="shared" si="337"/>
        <v>6.4799999999999995</v>
      </c>
      <c r="G1662" s="28">
        <f t="shared" ref="G1662:AX1662" si="340">SUM(G1663:G1677)</f>
        <v>3.17</v>
      </c>
      <c r="H1662" s="28">
        <f t="shared" si="340"/>
        <v>0</v>
      </c>
      <c r="I1662" s="28">
        <f t="shared" si="340"/>
        <v>0.75</v>
      </c>
      <c r="J1662" s="28">
        <f t="shared" si="340"/>
        <v>0.68</v>
      </c>
      <c r="K1662" s="28">
        <f t="shared" si="340"/>
        <v>0</v>
      </c>
      <c r="L1662" s="28">
        <f t="shared" si="340"/>
        <v>0</v>
      </c>
      <c r="M1662" s="28">
        <f t="shared" si="340"/>
        <v>0</v>
      </c>
      <c r="N1662" s="28">
        <f t="shared" si="340"/>
        <v>0</v>
      </c>
      <c r="O1662" s="28">
        <f t="shared" si="340"/>
        <v>0</v>
      </c>
      <c r="P1662" s="28">
        <f t="shared" si="340"/>
        <v>0.1</v>
      </c>
      <c r="Q1662" s="28">
        <f t="shared" si="340"/>
        <v>0</v>
      </c>
      <c r="R1662" s="28">
        <f t="shared" si="340"/>
        <v>0</v>
      </c>
      <c r="S1662" s="28">
        <f t="shared" si="340"/>
        <v>0</v>
      </c>
      <c r="T1662" s="28">
        <f t="shared" si="340"/>
        <v>0</v>
      </c>
      <c r="U1662" s="28">
        <f t="shared" si="340"/>
        <v>0</v>
      </c>
      <c r="V1662" s="28">
        <f t="shared" si="340"/>
        <v>0</v>
      </c>
      <c r="W1662" s="28">
        <f t="shared" si="340"/>
        <v>0</v>
      </c>
      <c r="X1662" s="28">
        <f t="shared" si="340"/>
        <v>0</v>
      </c>
      <c r="Y1662" s="28">
        <f t="shared" si="340"/>
        <v>0</v>
      </c>
      <c r="Z1662" s="28">
        <f t="shared" si="340"/>
        <v>0</v>
      </c>
      <c r="AA1662" s="28">
        <f t="shared" si="340"/>
        <v>0</v>
      </c>
      <c r="AB1662" s="28">
        <f t="shared" si="340"/>
        <v>0</v>
      </c>
      <c r="AC1662" s="28">
        <f t="shared" si="340"/>
        <v>0</v>
      </c>
      <c r="AD1662" s="28">
        <f t="shared" si="340"/>
        <v>1.7700000000000002</v>
      </c>
      <c r="AE1662" s="28">
        <f t="shared" si="340"/>
        <v>0</v>
      </c>
      <c r="AF1662" s="28">
        <f t="shared" si="340"/>
        <v>0</v>
      </c>
      <c r="AG1662" s="28">
        <f t="shared" si="340"/>
        <v>0</v>
      </c>
      <c r="AH1662" s="28">
        <f t="shared" si="340"/>
        <v>0</v>
      </c>
      <c r="AI1662" s="28">
        <f t="shared" si="340"/>
        <v>0</v>
      </c>
      <c r="AJ1662" s="28">
        <f t="shared" si="340"/>
        <v>0</v>
      </c>
      <c r="AK1662" s="28">
        <f t="shared" si="340"/>
        <v>0</v>
      </c>
      <c r="AL1662" s="28">
        <f t="shared" si="340"/>
        <v>0</v>
      </c>
      <c r="AM1662" s="28">
        <f t="shared" si="340"/>
        <v>0</v>
      </c>
      <c r="AN1662" s="28">
        <f t="shared" si="340"/>
        <v>0</v>
      </c>
      <c r="AO1662" s="28">
        <f t="shared" si="340"/>
        <v>0</v>
      </c>
      <c r="AP1662" s="28">
        <f t="shared" si="340"/>
        <v>0</v>
      </c>
      <c r="AQ1662" s="28">
        <f t="shared" si="340"/>
        <v>0.01</v>
      </c>
      <c r="AR1662" s="28">
        <f t="shared" si="340"/>
        <v>0</v>
      </c>
      <c r="AS1662" s="28">
        <f t="shared" si="340"/>
        <v>0</v>
      </c>
      <c r="AT1662" s="28">
        <f t="shared" si="340"/>
        <v>0</v>
      </c>
      <c r="AU1662" s="28">
        <f t="shared" si="340"/>
        <v>0</v>
      </c>
      <c r="AV1662" s="28">
        <f t="shared" si="340"/>
        <v>0</v>
      </c>
      <c r="AW1662" s="28">
        <f t="shared" si="340"/>
        <v>0</v>
      </c>
      <c r="AX1662" s="28">
        <f t="shared" si="340"/>
        <v>0</v>
      </c>
      <c r="AY1662" s="29"/>
      <c r="AZ1662" s="29"/>
      <c r="BA1662" s="30"/>
      <c r="BB1662" s="31"/>
      <c r="BI1662" s="42"/>
    </row>
    <row r="1663" spans="1:72" ht="19.350000000000001" customHeight="1">
      <c r="A1663" s="32">
        <f>A1661+1</f>
        <v>918</v>
      </c>
      <c r="B1663" s="33" t="s">
        <v>1805</v>
      </c>
      <c r="C1663" s="38" t="s">
        <v>24</v>
      </c>
      <c r="D1663" s="35">
        <f t="shared" si="329"/>
        <v>1.3199999999999998</v>
      </c>
      <c r="E1663" s="36"/>
      <c r="F1663" s="35">
        <f t="shared" si="337"/>
        <v>1.3199999999999998</v>
      </c>
      <c r="G1663" s="43">
        <v>0.82</v>
      </c>
      <c r="H1663" s="43"/>
      <c r="I1663" s="43">
        <v>0.5</v>
      </c>
      <c r="J1663" s="37"/>
      <c r="K1663" s="37"/>
      <c r="L1663" s="37"/>
      <c r="M1663" s="37"/>
      <c r="N1663" s="37"/>
      <c r="O1663" s="37"/>
      <c r="P1663" s="37"/>
      <c r="Q1663" s="37"/>
      <c r="R1663" s="37"/>
      <c r="S1663" s="37"/>
      <c r="T1663" s="37"/>
      <c r="U1663" s="37"/>
      <c r="V1663" s="37"/>
      <c r="W1663" s="37"/>
      <c r="X1663" s="37"/>
      <c r="Y1663" s="37"/>
      <c r="Z1663" s="37"/>
      <c r="AA1663" s="37"/>
      <c r="AB1663" s="37"/>
      <c r="AC1663" s="37"/>
      <c r="AD1663" s="37"/>
      <c r="AE1663" s="37"/>
      <c r="AF1663" s="37"/>
      <c r="AG1663" s="37"/>
      <c r="AH1663" s="37"/>
      <c r="AI1663" s="37"/>
      <c r="AJ1663" s="37"/>
      <c r="AK1663" s="37"/>
      <c r="AL1663" s="37"/>
      <c r="AM1663" s="37"/>
      <c r="AN1663" s="37"/>
      <c r="AO1663" s="37"/>
      <c r="AP1663" s="37"/>
      <c r="AQ1663" s="37"/>
      <c r="AR1663" s="37"/>
      <c r="AS1663" s="37"/>
      <c r="AT1663" s="37"/>
      <c r="AU1663" s="37"/>
      <c r="AV1663" s="37"/>
      <c r="AW1663" s="37"/>
      <c r="AX1663" s="37"/>
      <c r="AY1663" s="34" t="s">
        <v>289</v>
      </c>
      <c r="AZ1663" s="34" t="s">
        <v>315</v>
      </c>
      <c r="BA1663" s="39" t="s">
        <v>291</v>
      </c>
      <c r="BB1663" s="40"/>
      <c r="BI1663" s="42">
        <v>1</v>
      </c>
    </row>
    <row r="1664" spans="1:72" ht="19.350000000000001" customHeight="1">
      <c r="A1664" s="32">
        <f>A1663+1</f>
        <v>919</v>
      </c>
      <c r="B1664" s="33" t="s">
        <v>1806</v>
      </c>
      <c r="C1664" s="38" t="s">
        <v>24</v>
      </c>
      <c r="D1664" s="35">
        <f t="shared" si="329"/>
        <v>0.5</v>
      </c>
      <c r="E1664" s="36"/>
      <c r="F1664" s="35">
        <f t="shared" si="337"/>
        <v>0.5</v>
      </c>
      <c r="G1664" s="37"/>
      <c r="H1664" s="37"/>
      <c r="I1664" s="37"/>
      <c r="J1664" s="37"/>
      <c r="K1664" s="37"/>
      <c r="L1664" s="37"/>
      <c r="M1664" s="37"/>
      <c r="N1664" s="37"/>
      <c r="O1664" s="37"/>
      <c r="P1664" s="37"/>
      <c r="Q1664" s="37"/>
      <c r="R1664" s="37"/>
      <c r="S1664" s="37"/>
      <c r="T1664" s="37"/>
      <c r="U1664" s="37"/>
      <c r="V1664" s="37"/>
      <c r="W1664" s="37"/>
      <c r="X1664" s="37"/>
      <c r="Y1664" s="37"/>
      <c r="Z1664" s="37"/>
      <c r="AA1664" s="37"/>
      <c r="AB1664" s="37"/>
      <c r="AC1664" s="37"/>
      <c r="AD1664" s="37">
        <v>0.5</v>
      </c>
      <c r="AE1664" s="37"/>
      <c r="AF1664" s="37"/>
      <c r="AG1664" s="37"/>
      <c r="AH1664" s="37"/>
      <c r="AI1664" s="37"/>
      <c r="AJ1664" s="37"/>
      <c r="AK1664" s="37"/>
      <c r="AL1664" s="37"/>
      <c r="AM1664" s="37"/>
      <c r="AN1664" s="37"/>
      <c r="AO1664" s="37"/>
      <c r="AP1664" s="37"/>
      <c r="AQ1664" s="37"/>
      <c r="AR1664" s="43"/>
      <c r="AS1664" s="37"/>
      <c r="AT1664" s="37"/>
      <c r="AU1664" s="37"/>
      <c r="AV1664" s="37"/>
      <c r="AW1664" s="37"/>
      <c r="AX1664" s="37"/>
      <c r="AY1664" s="34" t="s">
        <v>289</v>
      </c>
      <c r="AZ1664" s="34" t="s">
        <v>1776</v>
      </c>
      <c r="BA1664" s="39" t="s">
        <v>291</v>
      </c>
      <c r="BB1664" s="40"/>
      <c r="BI1664" s="42">
        <v>1</v>
      </c>
    </row>
    <row r="1665" spans="1:63" ht="19.350000000000001" customHeight="1">
      <c r="A1665" s="32">
        <f>A1664+1</f>
        <v>920</v>
      </c>
      <c r="B1665" s="33" t="s">
        <v>1807</v>
      </c>
      <c r="C1665" s="38" t="s">
        <v>24</v>
      </c>
      <c r="D1665" s="35">
        <f t="shared" si="329"/>
        <v>0.27</v>
      </c>
      <c r="E1665" s="45">
        <v>0.27</v>
      </c>
      <c r="F1665" s="89">
        <f t="shared" si="337"/>
        <v>0</v>
      </c>
      <c r="G1665" s="46"/>
      <c r="H1665" s="46"/>
      <c r="I1665" s="46"/>
      <c r="J1665" s="46"/>
      <c r="K1665" s="46"/>
      <c r="L1665" s="46"/>
      <c r="M1665" s="46"/>
      <c r="N1665" s="46"/>
      <c r="O1665" s="46"/>
      <c r="P1665" s="46"/>
      <c r="Q1665" s="46"/>
      <c r="R1665" s="46"/>
      <c r="S1665" s="46"/>
      <c r="T1665" s="46"/>
      <c r="U1665" s="46"/>
      <c r="V1665" s="46"/>
      <c r="W1665" s="46"/>
      <c r="X1665" s="46"/>
      <c r="Y1665" s="46"/>
      <c r="Z1665" s="46"/>
      <c r="AA1665" s="46"/>
      <c r="AB1665" s="46"/>
      <c r="AC1665" s="46"/>
      <c r="AD1665" s="46"/>
      <c r="AE1665" s="46"/>
      <c r="AF1665" s="46"/>
      <c r="AG1665" s="46"/>
      <c r="AH1665" s="46"/>
      <c r="AI1665" s="46"/>
      <c r="AJ1665" s="46"/>
      <c r="AK1665" s="46"/>
      <c r="AL1665" s="46"/>
      <c r="AM1665" s="46"/>
      <c r="AN1665" s="46"/>
      <c r="AO1665" s="46"/>
      <c r="AP1665" s="46"/>
      <c r="AQ1665" s="46"/>
      <c r="AR1665" s="43"/>
      <c r="AS1665" s="46"/>
      <c r="AT1665" s="46"/>
      <c r="AU1665" s="46"/>
      <c r="AV1665" s="46"/>
      <c r="AW1665" s="46"/>
      <c r="AX1665" s="46"/>
      <c r="AY1665" s="34" t="s">
        <v>289</v>
      </c>
      <c r="AZ1665" s="34" t="s">
        <v>1776</v>
      </c>
      <c r="BA1665" s="39" t="s">
        <v>291</v>
      </c>
      <c r="BB1665" s="40"/>
      <c r="BI1665" s="42">
        <v>1</v>
      </c>
    </row>
    <row r="1666" spans="1:63" ht="19.350000000000001" customHeight="1">
      <c r="A1666" s="32">
        <f t="shared" ref="A1666:A1677" si="341">A1665+1</f>
        <v>921</v>
      </c>
      <c r="B1666" s="33" t="s">
        <v>1808</v>
      </c>
      <c r="C1666" s="38" t="s">
        <v>24</v>
      </c>
      <c r="D1666" s="35">
        <f t="shared" si="329"/>
        <v>1.35</v>
      </c>
      <c r="E1666" s="45">
        <v>0.6</v>
      </c>
      <c r="F1666" s="35">
        <f t="shared" si="337"/>
        <v>0.75</v>
      </c>
      <c r="G1666" s="46">
        <v>0.75</v>
      </c>
      <c r="H1666" s="46"/>
      <c r="I1666" s="46"/>
      <c r="J1666" s="46"/>
      <c r="K1666" s="46"/>
      <c r="L1666" s="46"/>
      <c r="M1666" s="46"/>
      <c r="N1666" s="46"/>
      <c r="O1666" s="46"/>
      <c r="P1666" s="46"/>
      <c r="Q1666" s="46"/>
      <c r="R1666" s="46"/>
      <c r="S1666" s="46"/>
      <c r="T1666" s="46"/>
      <c r="U1666" s="46"/>
      <c r="V1666" s="46"/>
      <c r="W1666" s="46"/>
      <c r="X1666" s="46"/>
      <c r="Y1666" s="46"/>
      <c r="Z1666" s="46"/>
      <c r="AA1666" s="46"/>
      <c r="AB1666" s="46"/>
      <c r="AC1666" s="46"/>
      <c r="AD1666" s="46"/>
      <c r="AE1666" s="46"/>
      <c r="AF1666" s="46"/>
      <c r="AG1666" s="46"/>
      <c r="AH1666" s="46"/>
      <c r="AI1666" s="46"/>
      <c r="AJ1666" s="46"/>
      <c r="AK1666" s="46"/>
      <c r="AL1666" s="46"/>
      <c r="AM1666" s="46"/>
      <c r="AN1666" s="46"/>
      <c r="AO1666" s="46"/>
      <c r="AP1666" s="46"/>
      <c r="AQ1666" s="46"/>
      <c r="AR1666" s="46"/>
      <c r="AS1666" s="46"/>
      <c r="AT1666" s="46"/>
      <c r="AU1666" s="46"/>
      <c r="AV1666" s="46"/>
      <c r="AW1666" s="46"/>
      <c r="AX1666" s="46"/>
      <c r="AY1666" s="34" t="s">
        <v>289</v>
      </c>
      <c r="AZ1666" s="34" t="s">
        <v>380</v>
      </c>
      <c r="BA1666" s="47" t="s">
        <v>298</v>
      </c>
      <c r="BB1666" s="48"/>
      <c r="BI1666" s="42">
        <v>1</v>
      </c>
    </row>
    <row r="1667" spans="1:63" ht="19.350000000000001" customHeight="1">
      <c r="A1667" s="32">
        <f t="shared" si="341"/>
        <v>922</v>
      </c>
      <c r="B1667" s="33" t="s">
        <v>1809</v>
      </c>
      <c r="C1667" s="38" t="s">
        <v>24</v>
      </c>
      <c r="D1667" s="35">
        <f t="shared" si="329"/>
        <v>1.79</v>
      </c>
      <c r="E1667" s="45">
        <v>1.0900000000000001</v>
      </c>
      <c r="F1667" s="35">
        <f t="shared" si="337"/>
        <v>0.7</v>
      </c>
      <c r="G1667" s="46"/>
      <c r="H1667" s="46"/>
      <c r="I1667" s="46"/>
      <c r="J1667" s="46"/>
      <c r="K1667" s="46"/>
      <c r="L1667" s="46"/>
      <c r="M1667" s="46"/>
      <c r="N1667" s="46"/>
      <c r="O1667" s="46"/>
      <c r="P1667" s="46"/>
      <c r="Q1667" s="46"/>
      <c r="R1667" s="46"/>
      <c r="S1667" s="46"/>
      <c r="T1667" s="46"/>
      <c r="U1667" s="46"/>
      <c r="V1667" s="46"/>
      <c r="W1667" s="46"/>
      <c r="X1667" s="46"/>
      <c r="Y1667" s="46"/>
      <c r="Z1667" s="46"/>
      <c r="AA1667" s="46"/>
      <c r="AB1667" s="46"/>
      <c r="AC1667" s="46"/>
      <c r="AD1667" s="46">
        <v>0.7</v>
      </c>
      <c r="AE1667" s="46"/>
      <c r="AF1667" s="46"/>
      <c r="AG1667" s="46"/>
      <c r="AH1667" s="46"/>
      <c r="AI1667" s="46"/>
      <c r="AJ1667" s="46"/>
      <c r="AK1667" s="46"/>
      <c r="AL1667" s="46"/>
      <c r="AM1667" s="46"/>
      <c r="AN1667" s="46"/>
      <c r="AO1667" s="46"/>
      <c r="AP1667" s="46"/>
      <c r="AQ1667" s="46"/>
      <c r="AR1667" s="46"/>
      <c r="AS1667" s="46"/>
      <c r="AT1667" s="46"/>
      <c r="AU1667" s="46"/>
      <c r="AV1667" s="46"/>
      <c r="AW1667" s="46"/>
      <c r="AX1667" s="46"/>
      <c r="AY1667" s="34" t="s">
        <v>289</v>
      </c>
      <c r="AZ1667" s="34" t="s">
        <v>318</v>
      </c>
      <c r="BA1667" s="47" t="s">
        <v>322</v>
      </c>
      <c r="BB1667" s="48"/>
      <c r="BI1667" s="42">
        <v>1</v>
      </c>
    </row>
    <row r="1668" spans="1:63" ht="35.1" customHeight="1">
      <c r="A1668" s="32">
        <f t="shared" si="341"/>
        <v>923</v>
      </c>
      <c r="B1668" s="33" t="s">
        <v>1810</v>
      </c>
      <c r="C1668" s="38" t="s">
        <v>24</v>
      </c>
      <c r="D1668" s="35">
        <f t="shared" si="329"/>
        <v>0.30000000000000004</v>
      </c>
      <c r="E1668" s="45"/>
      <c r="F1668" s="35">
        <f t="shared" si="337"/>
        <v>0.30000000000000004</v>
      </c>
      <c r="G1668" s="46">
        <v>0.15</v>
      </c>
      <c r="H1668" s="46"/>
      <c r="I1668" s="46"/>
      <c r="J1668" s="46">
        <v>0.05</v>
      </c>
      <c r="K1668" s="46"/>
      <c r="L1668" s="46"/>
      <c r="M1668" s="46"/>
      <c r="N1668" s="46"/>
      <c r="O1668" s="46"/>
      <c r="P1668" s="46"/>
      <c r="Q1668" s="46"/>
      <c r="R1668" s="46"/>
      <c r="S1668" s="46"/>
      <c r="T1668" s="46"/>
      <c r="U1668" s="46"/>
      <c r="V1668" s="46"/>
      <c r="W1668" s="46"/>
      <c r="X1668" s="46"/>
      <c r="Y1668" s="46"/>
      <c r="Z1668" s="46"/>
      <c r="AA1668" s="46"/>
      <c r="AB1668" s="46"/>
      <c r="AC1668" s="46"/>
      <c r="AD1668" s="46">
        <v>0.09</v>
      </c>
      <c r="AE1668" s="46"/>
      <c r="AF1668" s="46"/>
      <c r="AG1668" s="46"/>
      <c r="AH1668" s="46"/>
      <c r="AI1668" s="46"/>
      <c r="AJ1668" s="46"/>
      <c r="AK1668" s="46"/>
      <c r="AL1668" s="46"/>
      <c r="AM1668" s="46"/>
      <c r="AN1668" s="46"/>
      <c r="AO1668" s="46"/>
      <c r="AP1668" s="46"/>
      <c r="AQ1668" s="46">
        <v>0.01</v>
      </c>
      <c r="AR1668" s="46"/>
      <c r="AS1668" s="46"/>
      <c r="AT1668" s="46"/>
      <c r="AU1668" s="46"/>
      <c r="AV1668" s="46"/>
      <c r="AW1668" s="46"/>
      <c r="AX1668" s="46"/>
      <c r="AY1668" s="34" t="s">
        <v>289</v>
      </c>
      <c r="AZ1668" s="34" t="s">
        <v>1776</v>
      </c>
      <c r="BA1668" s="63" t="s">
        <v>291</v>
      </c>
      <c r="BB1668" s="64"/>
      <c r="BI1668" s="42">
        <v>1</v>
      </c>
    </row>
    <row r="1669" spans="1:63" ht="21" customHeight="1">
      <c r="A1669" s="32">
        <f t="shared" si="341"/>
        <v>924</v>
      </c>
      <c r="B1669" s="88" t="s">
        <v>1811</v>
      </c>
      <c r="C1669" s="38" t="s">
        <v>24</v>
      </c>
      <c r="D1669" s="35">
        <f t="shared" si="329"/>
        <v>0.6</v>
      </c>
      <c r="E1669" s="35">
        <v>0.23</v>
      </c>
      <c r="F1669" s="35">
        <f t="shared" si="337"/>
        <v>0.37</v>
      </c>
      <c r="G1669" s="43"/>
      <c r="H1669" s="43"/>
      <c r="I1669" s="43"/>
      <c r="J1669" s="43"/>
      <c r="K1669" s="43"/>
      <c r="L1669" s="43"/>
      <c r="M1669" s="43"/>
      <c r="N1669" s="43"/>
      <c r="O1669" s="43"/>
      <c r="P1669" s="43"/>
      <c r="Q1669" s="43"/>
      <c r="R1669" s="43"/>
      <c r="S1669" s="43"/>
      <c r="T1669" s="43"/>
      <c r="U1669" s="43"/>
      <c r="V1669" s="43"/>
      <c r="W1669" s="43"/>
      <c r="X1669" s="43"/>
      <c r="Y1669" s="43"/>
      <c r="Z1669" s="43"/>
      <c r="AA1669" s="43"/>
      <c r="AB1669" s="43"/>
      <c r="AC1669" s="43"/>
      <c r="AD1669" s="43">
        <v>0.37</v>
      </c>
      <c r="AE1669" s="43"/>
      <c r="AF1669" s="43"/>
      <c r="AG1669" s="43"/>
      <c r="AH1669" s="43"/>
      <c r="AI1669" s="43"/>
      <c r="AJ1669" s="43"/>
      <c r="AK1669" s="43"/>
      <c r="AL1669" s="43"/>
      <c r="AM1669" s="43"/>
      <c r="AN1669" s="43"/>
      <c r="AO1669" s="43"/>
      <c r="AP1669" s="43"/>
      <c r="AQ1669" s="43"/>
      <c r="AR1669" s="43"/>
      <c r="AS1669" s="43"/>
      <c r="AT1669" s="43"/>
      <c r="AU1669" s="43"/>
      <c r="AV1669" s="43"/>
      <c r="AW1669" s="43"/>
      <c r="AX1669" s="43"/>
      <c r="AY1669" s="34" t="s">
        <v>221</v>
      </c>
      <c r="AZ1669" s="34" t="s">
        <v>389</v>
      </c>
      <c r="BA1669" s="47" t="s">
        <v>298</v>
      </c>
      <c r="BB1669" s="48"/>
      <c r="BI1669" s="42">
        <v>1</v>
      </c>
    </row>
    <row r="1670" spans="1:63" ht="21" customHeight="1">
      <c r="A1670" s="32">
        <f t="shared" si="341"/>
        <v>925</v>
      </c>
      <c r="B1670" s="88" t="s">
        <v>1812</v>
      </c>
      <c r="C1670" s="38" t="s">
        <v>24</v>
      </c>
      <c r="D1670" s="35">
        <f t="shared" si="329"/>
        <v>0.63</v>
      </c>
      <c r="E1670" s="35"/>
      <c r="F1670" s="35">
        <f t="shared" si="337"/>
        <v>0.63</v>
      </c>
      <c r="G1670" s="43"/>
      <c r="H1670" s="43"/>
      <c r="I1670" s="43"/>
      <c r="J1670" s="43">
        <v>0.63</v>
      </c>
      <c r="K1670" s="43"/>
      <c r="L1670" s="43"/>
      <c r="M1670" s="43"/>
      <c r="N1670" s="43"/>
      <c r="O1670" s="43"/>
      <c r="P1670" s="43"/>
      <c r="Q1670" s="43"/>
      <c r="R1670" s="43"/>
      <c r="S1670" s="43"/>
      <c r="T1670" s="43"/>
      <c r="U1670" s="43"/>
      <c r="V1670" s="43"/>
      <c r="W1670" s="43"/>
      <c r="X1670" s="43"/>
      <c r="Y1670" s="43"/>
      <c r="Z1670" s="43"/>
      <c r="AA1670" s="43"/>
      <c r="AB1670" s="43"/>
      <c r="AC1670" s="43"/>
      <c r="AD1670" s="43"/>
      <c r="AE1670" s="43"/>
      <c r="AF1670" s="43"/>
      <c r="AG1670" s="43"/>
      <c r="AH1670" s="43"/>
      <c r="AI1670" s="43"/>
      <c r="AJ1670" s="43"/>
      <c r="AK1670" s="43"/>
      <c r="AL1670" s="43"/>
      <c r="AM1670" s="43"/>
      <c r="AN1670" s="43"/>
      <c r="AO1670" s="43"/>
      <c r="AP1670" s="43"/>
      <c r="AQ1670" s="43"/>
      <c r="AR1670" s="43"/>
      <c r="AS1670" s="43"/>
      <c r="AT1670" s="43"/>
      <c r="AU1670" s="43"/>
      <c r="AV1670" s="43"/>
      <c r="AW1670" s="43"/>
      <c r="AX1670" s="43"/>
      <c r="AY1670" s="34" t="s">
        <v>223</v>
      </c>
      <c r="AZ1670" s="34" t="s">
        <v>451</v>
      </c>
      <c r="BA1670" s="63" t="s">
        <v>291</v>
      </c>
      <c r="BB1670" s="64"/>
      <c r="BC1670" s="65"/>
      <c r="BD1670" s="65" t="s">
        <v>825</v>
      </c>
      <c r="BI1670" s="42">
        <v>1</v>
      </c>
    </row>
    <row r="1671" spans="1:63" ht="21" customHeight="1">
      <c r="A1671" s="32">
        <f t="shared" si="341"/>
        <v>926</v>
      </c>
      <c r="B1671" s="88" t="s">
        <v>1813</v>
      </c>
      <c r="C1671" s="38" t="s">
        <v>24</v>
      </c>
      <c r="D1671" s="35">
        <f t="shared" si="329"/>
        <v>1.1000000000000001</v>
      </c>
      <c r="E1671" s="35">
        <v>1.1000000000000001</v>
      </c>
      <c r="F1671" s="89">
        <f t="shared" si="337"/>
        <v>0</v>
      </c>
      <c r="G1671" s="43"/>
      <c r="H1671" s="43"/>
      <c r="I1671" s="43"/>
      <c r="J1671" s="43"/>
      <c r="K1671" s="43"/>
      <c r="L1671" s="43"/>
      <c r="M1671" s="43"/>
      <c r="N1671" s="43"/>
      <c r="O1671" s="43"/>
      <c r="P1671" s="43"/>
      <c r="Q1671" s="43"/>
      <c r="R1671" s="43"/>
      <c r="S1671" s="43"/>
      <c r="T1671" s="43"/>
      <c r="U1671" s="43"/>
      <c r="V1671" s="43"/>
      <c r="W1671" s="43"/>
      <c r="X1671" s="43"/>
      <c r="Y1671" s="43"/>
      <c r="Z1671" s="43"/>
      <c r="AA1671" s="43"/>
      <c r="AB1671" s="43"/>
      <c r="AC1671" s="43"/>
      <c r="AD1671" s="43"/>
      <c r="AE1671" s="43"/>
      <c r="AF1671" s="43"/>
      <c r="AG1671" s="43"/>
      <c r="AH1671" s="43"/>
      <c r="AI1671" s="43"/>
      <c r="AJ1671" s="43"/>
      <c r="AK1671" s="43"/>
      <c r="AL1671" s="43"/>
      <c r="AM1671" s="43"/>
      <c r="AN1671" s="43"/>
      <c r="AO1671" s="43"/>
      <c r="AP1671" s="43"/>
      <c r="AQ1671" s="43"/>
      <c r="AR1671" s="43"/>
      <c r="AS1671" s="43"/>
      <c r="AT1671" s="43"/>
      <c r="AU1671" s="43"/>
      <c r="AV1671" s="43"/>
      <c r="AW1671" s="43"/>
      <c r="AX1671" s="43"/>
      <c r="AY1671" s="34" t="s">
        <v>225</v>
      </c>
      <c r="AZ1671" s="34" t="s">
        <v>1349</v>
      </c>
      <c r="BA1671" s="63" t="s">
        <v>291</v>
      </c>
      <c r="BB1671" s="64"/>
      <c r="BI1671" s="42">
        <v>1</v>
      </c>
    </row>
    <row r="1672" spans="1:63" ht="21" customHeight="1">
      <c r="A1672" s="32">
        <f t="shared" si="341"/>
        <v>927</v>
      </c>
      <c r="B1672" s="88" t="s">
        <v>1814</v>
      </c>
      <c r="C1672" s="38" t="s">
        <v>24</v>
      </c>
      <c r="D1672" s="35">
        <f t="shared" si="329"/>
        <v>0.5</v>
      </c>
      <c r="E1672" s="35">
        <v>0.4</v>
      </c>
      <c r="F1672" s="35">
        <f t="shared" si="337"/>
        <v>0.1</v>
      </c>
      <c r="G1672" s="43"/>
      <c r="H1672" s="43"/>
      <c r="I1672" s="43"/>
      <c r="J1672" s="43"/>
      <c r="K1672" s="43"/>
      <c r="L1672" s="43"/>
      <c r="M1672" s="43"/>
      <c r="N1672" s="43"/>
      <c r="O1672" s="43"/>
      <c r="P1672" s="43">
        <v>0.1</v>
      </c>
      <c r="Q1672" s="43"/>
      <c r="R1672" s="43"/>
      <c r="S1672" s="43"/>
      <c r="T1672" s="43"/>
      <c r="U1672" s="43"/>
      <c r="V1672" s="43"/>
      <c r="W1672" s="43"/>
      <c r="X1672" s="43"/>
      <c r="Y1672" s="43"/>
      <c r="Z1672" s="43"/>
      <c r="AA1672" s="43"/>
      <c r="AB1672" s="43"/>
      <c r="AC1672" s="43"/>
      <c r="AD1672" s="43"/>
      <c r="AE1672" s="43"/>
      <c r="AF1672" s="43"/>
      <c r="AG1672" s="43"/>
      <c r="AH1672" s="43"/>
      <c r="AI1672" s="43"/>
      <c r="AJ1672" s="43"/>
      <c r="AK1672" s="43"/>
      <c r="AL1672" s="43"/>
      <c r="AM1672" s="43"/>
      <c r="AN1672" s="43"/>
      <c r="AO1672" s="43"/>
      <c r="AP1672" s="43"/>
      <c r="AQ1672" s="43"/>
      <c r="AR1672" s="43"/>
      <c r="AS1672" s="43"/>
      <c r="AT1672" s="43"/>
      <c r="AU1672" s="43"/>
      <c r="AV1672" s="43"/>
      <c r="AW1672" s="43"/>
      <c r="AX1672" s="43"/>
      <c r="AY1672" s="34" t="s">
        <v>228</v>
      </c>
      <c r="AZ1672" s="34" t="s">
        <v>731</v>
      </c>
      <c r="BA1672" s="63" t="s">
        <v>291</v>
      </c>
      <c r="BB1672" s="64"/>
      <c r="BI1672" s="42">
        <v>1</v>
      </c>
    </row>
    <row r="1673" spans="1:63" ht="21" customHeight="1">
      <c r="A1673" s="32">
        <f t="shared" si="341"/>
        <v>928</v>
      </c>
      <c r="B1673" s="88" t="s">
        <v>1815</v>
      </c>
      <c r="C1673" s="38" t="s">
        <v>24</v>
      </c>
      <c r="D1673" s="35">
        <f t="shared" si="329"/>
        <v>0.5</v>
      </c>
      <c r="E1673" s="35"/>
      <c r="F1673" s="35">
        <f t="shared" si="337"/>
        <v>0.5</v>
      </c>
      <c r="G1673" s="43">
        <v>0.5</v>
      </c>
      <c r="H1673" s="43"/>
      <c r="I1673" s="43"/>
      <c r="J1673" s="43"/>
      <c r="K1673" s="43"/>
      <c r="L1673" s="43"/>
      <c r="M1673" s="43"/>
      <c r="N1673" s="43"/>
      <c r="O1673" s="43"/>
      <c r="P1673" s="43"/>
      <c r="Q1673" s="43"/>
      <c r="R1673" s="43"/>
      <c r="S1673" s="43"/>
      <c r="T1673" s="43"/>
      <c r="U1673" s="43"/>
      <c r="V1673" s="43"/>
      <c r="W1673" s="43"/>
      <c r="X1673" s="43"/>
      <c r="Y1673" s="43"/>
      <c r="Z1673" s="43"/>
      <c r="AA1673" s="43"/>
      <c r="AB1673" s="43"/>
      <c r="AC1673" s="43"/>
      <c r="AD1673" s="43"/>
      <c r="AE1673" s="43"/>
      <c r="AF1673" s="43"/>
      <c r="AG1673" s="43"/>
      <c r="AH1673" s="43"/>
      <c r="AI1673" s="43"/>
      <c r="AJ1673" s="43"/>
      <c r="AK1673" s="43"/>
      <c r="AL1673" s="43"/>
      <c r="AM1673" s="43"/>
      <c r="AN1673" s="43"/>
      <c r="AO1673" s="43"/>
      <c r="AP1673" s="43"/>
      <c r="AQ1673" s="43"/>
      <c r="AR1673" s="43"/>
      <c r="AS1673" s="43"/>
      <c r="AT1673" s="43"/>
      <c r="AU1673" s="43"/>
      <c r="AV1673" s="43"/>
      <c r="AW1673" s="43"/>
      <c r="AX1673" s="43"/>
      <c r="AY1673" s="34" t="s">
        <v>230</v>
      </c>
      <c r="AZ1673" s="34" t="s">
        <v>308</v>
      </c>
      <c r="BA1673" s="47" t="s">
        <v>298</v>
      </c>
      <c r="BB1673" s="48"/>
      <c r="BI1673" s="42">
        <v>1</v>
      </c>
    </row>
    <row r="1674" spans="1:63" s="49" customFormat="1" ht="21" customHeight="1">
      <c r="A1674" s="32">
        <f t="shared" si="341"/>
        <v>929</v>
      </c>
      <c r="B1674" s="88" t="s">
        <v>1816</v>
      </c>
      <c r="C1674" s="38" t="s">
        <v>24</v>
      </c>
      <c r="D1674" s="35">
        <f t="shared" si="329"/>
        <v>0.3</v>
      </c>
      <c r="E1674" s="35">
        <v>0.19</v>
      </c>
      <c r="F1674" s="35">
        <f t="shared" si="337"/>
        <v>0.11</v>
      </c>
      <c r="G1674" s="46"/>
      <c r="H1674" s="46"/>
      <c r="I1674" s="46"/>
      <c r="J1674" s="46"/>
      <c r="K1674" s="46"/>
      <c r="L1674" s="46"/>
      <c r="M1674" s="46"/>
      <c r="N1674" s="46"/>
      <c r="O1674" s="46"/>
      <c r="P1674" s="46"/>
      <c r="Q1674" s="46"/>
      <c r="R1674" s="46"/>
      <c r="S1674" s="46"/>
      <c r="T1674" s="46"/>
      <c r="U1674" s="46"/>
      <c r="V1674" s="46"/>
      <c r="W1674" s="46"/>
      <c r="X1674" s="46"/>
      <c r="Y1674" s="46"/>
      <c r="Z1674" s="46"/>
      <c r="AA1674" s="46"/>
      <c r="AB1674" s="46"/>
      <c r="AC1674" s="46"/>
      <c r="AD1674" s="46">
        <v>0.11</v>
      </c>
      <c r="AE1674" s="46"/>
      <c r="AF1674" s="46"/>
      <c r="AG1674" s="46"/>
      <c r="AH1674" s="46"/>
      <c r="AI1674" s="46"/>
      <c r="AJ1674" s="46"/>
      <c r="AK1674" s="46"/>
      <c r="AL1674" s="46"/>
      <c r="AM1674" s="46"/>
      <c r="AN1674" s="46"/>
      <c r="AO1674" s="46"/>
      <c r="AP1674" s="46"/>
      <c r="AQ1674" s="46"/>
      <c r="AR1674" s="46"/>
      <c r="AS1674" s="46"/>
      <c r="AT1674" s="46"/>
      <c r="AU1674" s="46"/>
      <c r="AV1674" s="46"/>
      <c r="AW1674" s="46"/>
      <c r="AX1674" s="46"/>
      <c r="AY1674" s="47" t="s">
        <v>234</v>
      </c>
      <c r="AZ1674" s="47" t="s">
        <v>328</v>
      </c>
      <c r="BA1674" s="93" t="s">
        <v>291</v>
      </c>
      <c r="BB1674" s="50"/>
      <c r="BI1674" s="42">
        <v>1</v>
      </c>
      <c r="BK1674" s="50"/>
    </row>
    <row r="1675" spans="1:63" s="71" customFormat="1" ht="21" customHeight="1">
      <c r="A1675" s="32">
        <f t="shared" si="341"/>
        <v>930</v>
      </c>
      <c r="B1675" s="88" t="s">
        <v>1817</v>
      </c>
      <c r="C1675" s="38" t="s">
        <v>24</v>
      </c>
      <c r="D1675" s="35">
        <f t="shared" si="329"/>
        <v>0.2</v>
      </c>
      <c r="E1675" s="35"/>
      <c r="F1675" s="35">
        <f t="shared" si="337"/>
        <v>0.2</v>
      </c>
      <c r="G1675" s="77">
        <v>0.2</v>
      </c>
      <c r="H1675" s="77"/>
      <c r="I1675" s="77"/>
      <c r="J1675" s="77"/>
      <c r="K1675" s="77"/>
      <c r="L1675" s="77"/>
      <c r="M1675" s="77"/>
      <c r="N1675" s="77"/>
      <c r="O1675" s="77"/>
      <c r="P1675" s="77"/>
      <c r="Q1675" s="77"/>
      <c r="R1675" s="77"/>
      <c r="S1675" s="77"/>
      <c r="T1675" s="77"/>
      <c r="U1675" s="77"/>
      <c r="V1675" s="77"/>
      <c r="W1675" s="77"/>
      <c r="X1675" s="77"/>
      <c r="Y1675" s="77"/>
      <c r="Z1675" s="77"/>
      <c r="AA1675" s="77"/>
      <c r="AB1675" s="77"/>
      <c r="AC1675" s="77"/>
      <c r="AD1675" s="77"/>
      <c r="AE1675" s="77"/>
      <c r="AF1675" s="77"/>
      <c r="AG1675" s="77"/>
      <c r="AH1675" s="77"/>
      <c r="AI1675" s="77"/>
      <c r="AJ1675" s="77"/>
      <c r="AK1675" s="77"/>
      <c r="AL1675" s="77"/>
      <c r="AM1675" s="77"/>
      <c r="AN1675" s="77"/>
      <c r="AO1675" s="77"/>
      <c r="AP1675" s="77"/>
      <c r="AQ1675" s="77"/>
      <c r="AR1675" s="77"/>
      <c r="AS1675" s="77"/>
      <c r="AT1675" s="77"/>
      <c r="AU1675" s="77"/>
      <c r="AV1675" s="77"/>
      <c r="AW1675" s="77"/>
      <c r="AX1675" s="77"/>
      <c r="AY1675" s="70" t="s">
        <v>235</v>
      </c>
      <c r="AZ1675" s="70" t="s">
        <v>425</v>
      </c>
      <c r="BA1675" s="118" t="s">
        <v>291</v>
      </c>
      <c r="BB1675" s="72"/>
      <c r="BI1675" s="42">
        <v>1</v>
      </c>
      <c r="BK1675" s="72"/>
    </row>
    <row r="1676" spans="1:63" s="71" customFormat="1" ht="21" customHeight="1">
      <c r="A1676" s="32">
        <f t="shared" si="341"/>
        <v>931</v>
      </c>
      <c r="B1676" s="88" t="s">
        <v>1818</v>
      </c>
      <c r="C1676" s="38" t="s">
        <v>24</v>
      </c>
      <c r="D1676" s="35">
        <f t="shared" si="329"/>
        <v>1</v>
      </c>
      <c r="E1676" s="35"/>
      <c r="F1676" s="35">
        <f>SUM(G1676:AX1676)</f>
        <v>1</v>
      </c>
      <c r="G1676" s="77">
        <v>0.75</v>
      </c>
      <c r="H1676" s="77"/>
      <c r="I1676" s="77">
        <v>0.25</v>
      </c>
      <c r="J1676" s="77"/>
      <c r="K1676" s="77"/>
      <c r="L1676" s="77"/>
      <c r="M1676" s="77"/>
      <c r="N1676" s="77"/>
      <c r="O1676" s="77"/>
      <c r="P1676" s="77"/>
      <c r="Q1676" s="77"/>
      <c r="R1676" s="77"/>
      <c r="S1676" s="77"/>
      <c r="T1676" s="77"/>
      <c r="U1676" s="77"/>
      <c r="V1676" s="77"/>
      <c r="W1676" s="77"/>
      <c r="X1676" s="77"/>
      <c r="Y1676" s="77"/>
      <c r="Z1676" s="77"/>
      <c r="AA1676" s="77"/>
      <c r="AB1676" s="77"/>
      <c r="AC1676" s="77"/>
      <c r="AD1676" s="77"/>
      <c r="AE1676" s="77"/>
      <c r="AF1676" s="77"/>
      <c r="AG1676" s="77"/>
      <c r="AH1676" s="77"/>
      <c r="AI1676" s="77"/>
      <c r="AJ1676" s="77"/>
      <c r="AK1676" s="77"/>
      <c r="AL1676" s="77"/>
      <c r="AM1676" s="77"/>
      <c r="AN1676" s="77"/>
      <c r="AO1676" s="77"/>
      <c r="AP1676" s="77"/>
      <c r="AQ1676" s="77"/>
      <c r="AR1676" s="77"/>
      <c r="AS1676" s="77"/>
      <c r="AT1676" s="77"/>
      <c r="AU1676" s="77"/>
      <c r="AV1676" s="77"/>
      <c r="AW1676" s="77"/>
      <c r="AX1676" s="77"/>
      <c r="AY1676" s="70" t="s">
        <v>239</v>
      </c>
      <c r="AZ1676" s="70" t="s">
        <v>471</v>
      </c>
      <c r="BA1676" s="47" t="s">
        <v>298</v>
      </c>
      <c r="BB1676" s="72"/>
      <c r="BC1676" s="71" t="s">
        <v>1819</v>
      </c>
      <c r="BI1676" s="42">
        <v>1</v>
      </c>
      <c r="BK1676" s="72"/>
    </row>
    <row r="1677" spans="1:63" ht="21" customHeight="1">
      <c r="A1677" s="32">
        <f t="shared" si="341"/>
        <v>932</v>
      </c>
      <c r="B1677" s="88" t="s">
        <v>1820</v>
      </c>
      <c r="C1677" s="38" t="s">
        <v>24</v>
      </c>
      <c r="D1677" s="35">
        <f t="shared" si="329"/>
        <v>0.86</v>
      </c>
      <c r="E1677" s="35">
        <v>0.86</v>
      </c>
      <c r="F1677" s="89">
        <f t="shared" si="337"/>
        <v>0</v>
      </c>
      <c r="G1677" s="43"/>
      <c r="H1677" s="43"/>
      <c r="I1677" s="43"/>
      <c r="J1677" s="43"/>
      <c r="K1677" s="43"/>
      <c r="L1677" s="43"/>
      <c r="M1677" s="43"/>
      <c r="N1677" s="43"/>
      <c r="O1677" s="43"/>
      <c r="P1677" s="43"/>
      <c r="Q1677" s="43"/>
      <c r="R1677" s="43"/>
      <c r="S1677" s="43"/>
      <c r="T1677" s="43"/>
      <c r="U1677" s="43"/>
      <c r="V1677" s="43"/>
      <c r="W1677" s="43"/>
      <c r="X1677" s="43"/>
      <c r="Y1677" s="43"/>
      <c r="Z1677" s="43"/>
      <c r="AA1677" s="43"/>
      <c r="AB1677" s="43"/>
      <c r="AC1677" s="43"/>
      <c r="AD1677" s="43"/>
      <c r="AE1677" s="43"/>
      <c r="AF1677" s="43"/>
      <c r="AG1677" s="43"/>
      <c r="AH1677" s="43"/>
      <c r="AI1677" s="43"/>
      <c r="AJ1677" s="43"/>
      <c r="AK1677" s="43"/>
      <c r="AL1677" s="43"/>
      <c r="AM1677" s="43"/>
      <c r="AN1677" s="43"/>
      <c r="AO1677" s="43"/>
      <c r="AP1677" s="43"/>
      <c r="AQ1677" s="43"/>
      <c r="AR1677" s="43"/>
      <c r="AS1677" s="43"/>
      <c r="AT1677" s="43"/>
      <c r="AU1677" s="43"/>
      <c r="AV1677" s="43"/>
      <c r="AW1677" s="43"/>
      <c r="AX1677" s="43"/>
      <c r="AY1677" s="34" t="s">
        <v>240</v>
      </c>
      <c r="AZ1677" s="34" t="s">
        <v>305</v>
      </c>
      <c r="BA1677" s="63" t="s">
        <v>291</v>
      </c>
      <c r="BB1677" s="64"/>
      <c r="BD1677" s="15" t="s">
        <v>1821</v>
      </c>
      <c r="BI1677" s="42">
        <v>1</v>
      </c>
    </row>
    <row r="1678" spans="1:63" s="24" customFormat="1" ht="25.35" customHeight="1">
      <c r="A1678" s="20" t="s">
        <v>1822</v>
      </c>
      <c r="B1678" s="25" t="s">
        <v>114</v>
      </c>
      <c r="C1678" s="173"/>
      <c r="D1678" s="27">
        <f t="shared" si="329"/>
        <v>3.9799999999999995</v>
      </c>
      <c r="E1678" s="174">
        <f>SUM(E1679:E1689)</f>
        <v>1.76</v>
      </c>
      <c r="F1678" s="27">
        <f>SUM(G1678:AX1678)</f>
        <v>2.2199999999999998</v>
      </c>
      <c r="G1678" s="175">
        <f t="shared" ref="G1678:AX1678" si="342">SUM(G1679:G1689)</f>
        <v>0.72</v>
      </c>
      <c r="H1678" s="175">
        <f t="shared" si="342"/>
        <v>0.02</v>
      </c>
      <c r="I1678" s="175">
        <f t="shared" si="342"/>
        <v>1.26</v>
      </c>
      <c r="J1678" s="175">
        <f t="shared" si="342"/>
        <v>0</v>
      </c>
      <c r="K1678" s="175">
        <f t="shared" si="342"/>
        <v>0</v>
      </c>
      <c r="L1678" s="175">
        <f t="shared" si="342"/>
        <v>0</v>
      </c>
      <c r="M1678" s="175">
        <f t="shared" si="342"/>
        <v>0.05</v>
      </c>
      <c r="N1678" s="175">
        <f t="shared" si="342"/>
        <v>0</v>
      </c>
      <c r="O1678" s="175">
        <f t="shared" si="342"/>
        <v>0</v>
      </c>
      <c r="P1678" s="175">
        <f t="shared" si="342"/>
        <v>0</v>
      </c>
      <c r="Q1678" s="175">
        <f t="shared" si="342"/>
        <v>0</v>
      </c>
      <c r="R1678" s="175">
        <f t="shared" si="342"/>
        <v>0</v>
      </c>
      <c r="S1678" s="175">
        <f t="shared" si="342"/>
        <v>0</v>
      </c>
      <c r="T1678" s="175">
        <f t="shared" si="342"/>
        <v>0</v>
      </c>
      <c r="U1678" s="175">
        <f t="shared" si="342"/>
        <v>0</v>
      </c>
      <c r="V1678" s="175">
        <f t="shared" si="342"/>
        <v>0</v>
      </c>
      <c r="W1678" s="175">
        <f t="shared" si="342"/>
        <v>0</v>
      </c>
      <c r="X1678" s="175">
        <f t="shared" si="342"/>
        <v>0</v>
      </c>
      <c r="Y1678" s="175">
        <f t="shared" si="342"/>
        <v>0</v>
      </c>
      <c r="Z1678" s="175">
        <f t="shared" si="342"/>
        <v>0</v>
      </c>
      <c r="AA1678" s="175">
        <f t="shared" si="342"/>
        <v>0</v>
      </c>
      <c r="AB1678" s="175">
        <f t="shared" si="342"/>
        <v>0</v>
      </c>
      <c r="AC1678" s="175">
        <f t="shared" si="342"/>
        <v>0</v>
      </c>
      <c r="AD1678" s="175">
        <f t="shared" si="342"/>
        <v>0</v>
      </c>
      <c r="AE1678" s="175">
        <f t="shared" si="342"/>
        <v>0</v>
      </c>
      <c r="AF1678" s="175">
        <f t="shared" si="342"/>
        <v>0</v>
      </c>
      <c r="AG1678" s="175">
        <f t="shared" si="342"/>
        <v>0</v>
      </c>
      <c r="AH1678" s="175">
        <f t="shared" si="342"/>
        <v>0</v>
      </c>
      <c r="AI1678" s="175">
        <f t="shared" si="342"/>
        <v>0</v>
      </c>
      <c r="AJ1678" s="175">
        <f t="shared" si="342"/>
        <v>0</v>
      </c>
      <c r="AK1678" s="175">
        <f t="shared" si="342"/>
        <v>0</v>
      </c>
      <c r="AL1678" s="175">
        <f t="shared" si="342"/>
        <v>0</v>
      </c>
      <c r="AM1678" s="175">
        <f t="shared" si="342"/>
        <v>0</v>
      </c>
      <c r="AN1678" s="175">
        <f t="shared" si="342"/>
        <v>0.14000000000000001</v>
      </c>
      <c r="AO1678" s="175">
        <f t="shared" si="342"/>
        <v>0</v>
      </c>
      <c r="AP1678" s="175">
        <f t="shared" si="342"/>
        <v>0.03</v>
      </c>
      <c r="AQ1678" s="175">
        <f t="shared" si="342"/>
        <v>0</v>
      </c>
      <c r="AR1678" s="175">
        <f t="shared" si="342"/>
        <v>0</v>
      </c>
      <c r="AS1678" s="175">
        <f t="shared" si="342"/>
        <v>0</v>
      </c>
      <c r="AT1678" s="175">
        <f t="shared" si="342"/>
        <v>0</v>
      </c>
      <c r="AU1678" s="175">
        <f t="shared" si="342"/>
        <v>0</v>
      </c>
      <c r="AV1678" s="175">
        <f t="shared" si="342"/>
        <v>0</v>
      </c>
      <c r="AW1678" s="175">
        <f t="shared" si="342"/>
        <v>0</v>
      </c>
      <c r="AX1678" s="175">
        <f t="shared" si="342"/>
        <v>0</v>
      </c>
      <c r="AY1678" s="21"/>
      <c r="AZ1678" s="21"/>
      <c r="BA1678" s="145"/>
      <c r="BB1678" s="146"/>
      <c r="BE1678" s="59"/>
      <c r="BI1678" s="42"/>
    </row>
    <row r="1679" spans="1:63" ht="20.85" customHeight="1">
      <c r="A1679" s="176">
        <f>A1677+1</f>
        <v>933</v>
      </c>
      <c r="B1679" s="88" t="s">
        <v>1823</v>
      </c>
      <c r="C1679" s="78" t="s">
        <v>39</v>
      </c>
      <c r="D1679" s="35">
        <f t="shared" si="329"/>
        <v>1.87</v>
      </c>
      <c r="E1679" s="35">
        <v>0.62</v>
      </c>
      <c r="F1679" s="35">
        <f t="shared" si="337"/>
        <v>1.25</v>
      </c>
      <c r="G1679" s="43"/>
      <c r="H1679" s="43"/>
      <c r="I1679" s="43">
        <v>1.25</v>
      </c>
      <c r="J1679" s="43"/>
      <c r="K1679" s="43"/>
      <c r="L1679" s="43"/>
      <c r="M1679" s="43"/>
      <c r="N1679" s="43"/>
      <c r="O1679" s="43"/>
      <c r="P1679" s="43"/>
      <c r="Q1679" s="43"/>
      <c r="R1679" s="43"/>
      <c r="S1679" s="43"/>
      <c r="T1679" s="43"/>
      <c r="U1679" s="43"/>
      <c r="V1679" s="43"/>
      <c r="W1679" s="43"/>
      <c r="X1679" s="43"/>
      <c r="Y1679" s="43"/>
      <c r="Z1679" s="43"/>
      <c r="AA1679" s="43"/>
      <c r="AB1679" s="43"/>
      <c r="AC1679" s="43"/>
      <c r="AD1679" s="43"/>
      <c r="AE1679" s="43"/>
      <c r="AF1679" s="43"/>
      <c r="AG1679" s="43"/>
      <c r="AH1679" s="43"/>
      <c r="AI1679" s="43"/>
      <c r="AJ1679" s="43"/>
      <c r="AK1679" s="43"/>
      <c r="AL1679" s="43"/>
      <c r="AM1679" s="43"/>
      <c r="AN1679" s="43"/>
      <c r="AO1679" s="43"/>
      <c r="AP1679" s="43"/>
      <c r="AQ1679" s="43"/>
      <c r="AR1679" s="43"/>
      <c r="AS1679" s="43"/>
      <c r="AT1679" s="43"/>
      <c r="AU1679" s="43"/>
      <c r="AV1679" s="43"/>
      <c r="AW1679" s="43"/>
      <c r="AX1679" s="43"/>
      <c r="AY1679" s="34" t="s">
        <v>225</v>
      </c>
      <c r="AZ1679" s="34" t="s">
        <v>1349</v>
      </c>
      <c r="BA1679" s="47" t="s">
        <v>298</v>
      </c>
      <c r="BB1679" s="48"/>
      <c r="BI1679" s="42">
        <v>1</v>
      </c>
    </row>
    <row r="1680" spans="1:63" ht="35.1" customHeight="1">
      <c r="A1680" s="127">
        <f>A1679+1</f>
        <v>934</v>
      </c>
      <c r="B1680" s="56" t="s">
        <v>1824</v>
      </c>
      <c r="C1680" s="78" t="s">
        <v>39</v>
      </c>
      <c r="D1680" s="35">
        <f t="shared" si="329"/>
        <v>0.24</v>
      </c>
      <c r="E1680" s="36">
        <v>0.19</v>
      </c>
      <c r="F1680" s="35">
        <f t="shared" si="337"/>
        <v>0.05</v>
      </c>
      <c r="G1680" s="37"/>
      <c r="H1680" s="37"/>
      <c r="I1680" s="119"/>
      <c r="J1680" s="119"/>
      <c r="K1680" s="37"/>
      <c r="L1680" s="37"/>
      <c r="M1680" s="37">
        <v>0.05</v>
      </c>
      <c r="N1680" s="37"/>
      <c r="O1680" s="37"/>
      <c r="P1680" s="37"/>
      <c r="Q1680" s="37"/>
      <c r="R1680" s="37"/>
      <c r="S1680" s="37"/>
      <c r="T1680" s="37"/>
      <c r="U1680" s="37"/>
      <c r="V1680" s="37"/>
      <c r="W1680" s="37"/>
      <c r="X1680" s="37"/>
      <c r="Y1680" s="37"/>
      <c r="Z1680" s="37"/>
      <c r="AA1680" s="37"/>
      <c r="AB1680" s="37"/>
      <c r="AC1680" s="37"/>
      <c r="AD1680" s="37"/>
      <c r="AE1680" s="37"/>
      <c r="AF1680" s="37"/>
      <c r="AG1680" s="37"/>
      <c r="AH1680" s="37"/>
      <c r="AI1680" s="37"/>
      <c r="AJ1680" s="37"/>
      <c r="AK1680" s="37"/>
      <c r="AL1680" s="37"/>
      <c r="AM1680" s="37"/>
      <c r="AN1680" s="37"/>
      <c r="AO1680" s="37"/>
      <c r="AP1680" s="37"/>
      <c r="AQ1680" s="37"/>
      <c r="AR1680" s="37"/>
      <c r="AS1680" s="37"/>
      <c r="AT1680" s="37"/>
      <c r="AU1680" s="37"/>
      <c r="AV1680" s="37"/>
      <c r="AW1680" s="37"/>
      <c r="AX1680" s="37"/>
      <c r="AY1680" s="38" t="s">
        <v>487</v>
      </c>
      <c r="AZ1680" s="38" t="s">
        <v>1825</v>
      </c>
      <c r="BA1680" s="63" t="s">
        <v>291</v>
      </c>
      <c r="BB1680" s="64"/>
      <c r="BE1680" s="41"/>
      <c r="BI1680" s="42">
        <v>1</v>
      </c>
    </row>
    <row r="1681" spans="1:63" ht="22.35" customHeight="1">
      <c r="A1681" s="127">
        <f>A1680+1</f>
        <v>935</v>
      </c>
      <c r="B1681" s="56" t="s">
        <v>1826</v>
      </c>
      <c r="C1681" s="118" t="s">
        <v>39</v>
      </c>
      <c r="D1681" s="35">
        <f t="shared" si="329"/>
        <v>0.18</v>
      </c>
      <c r="E1681" s="36">
        <v>0.15</v>
      </c>
      <c r="F1681" s="35">
        <f t="shared" si="337"/>
        <v>0.03</v>
      </c>
      <c r="G1681" s="37"/>
      <c r="H1681" s="37"/>
      <c r="I1681" s="119"/>
      <c r="J1681" s="119"/>
      <c r="K1681" s="37"/>
      <c r="L1681" s="37"/>
      <c r="M1681" s="37"/>
      <c r="N1681" s="37"/>
      <c r="O1681" s="37"/>
      <c r="P1681" s="37"/>
      <c r="Q1681" s="37"/>
      <c r="R1681" s="37"/>
      <c r="S1681" s="37"/>
      <c r="T1681" s="37"/>
      <c r="U1681" s="37"/>
      <c r="V1681" s="37"/>
      <c r="W1681" s="37"/>
      <c r="X1681" s="37"/>
      <c r="Y1681" s="37"/>
      <c r="Z1681" s="37"/>
      <c r="AA1681" s="37"/>
      <c r="AB1681" s="37"/>
      <c r="AC1681" s="37"/>
      <c r="AD1681" s="37"/>
      <c r="AE1681" s="37"/>
      <c r="AF1681" s="37"/>
      <c r="AG1681" s="37"/>
      <c r="AH1681" s="37"/>
      <c r="AI1681" s="37"/>
      <c r="AJ1681" s="37"/>
      <c r="AK1681" s="37"/>
      <c r="AL1681" s="37"/>
      <c r="AM1681" s="37"/>
      <c r="AN1681" s="37"/>
      <c r="AO1681" s="37"/>
      <c r="AP1681" s="37">
        <v>0.03</v>
      </c>
      <c r="AQ1681" s="37"/>
      <c r="AR1681" s="37"/>
      <c r="AS1681" s="37"/>
      <c r="AT1681" s="37"/>
      <c r="AU1681" s="37"/>
      <c r="AV1681" s="37"/>
      <c r="AW1681" s="37"/>
      <c r="AX1681" s="37"/>
      <c r="AY1681" s="38" t="s">
        <v>487</v>
      </c>
      <c r="AZ1681" s="38" t="s">
        <v>945</v>
      </c>
      <c r="BA1681" s="63" t="s">
        <v>291</v>
      </c>
      <c r="BB1681" s="64"/>
      <c r="BE1681" s="41"/>
      <c r="BI1681" s="42">
        <v>1</v>
      </c>
    </row>
    <row r="1682" spans="1:63" s="49" customFormat="1" ht="22.35" customHeight="1">
      <c r="A1682" s="127">
        <f t="shared" ref="A1682:A1689" si="343">A1681+1</f>
        <v>936</v>
      </c>
      <c r="B1682" s="33" t="s">
        <v>1827</v>
      </c>
      <c r="C1682" s="38" t="s">
        <v>39</v>
      </c>
      <c r="D1682" s="35">
        <f t="shared" si="329"/>
        <v>0.03</v>
      </c>
      <c r="E1682" s="35">
        <v>0.01</v>
      </c>
      <c r="F1682" s="35">
        <f t="shared" si="337"/>
        <v>0.02</v>
      </c>
      <c r="G1682" s="43"/>
      <c r="H1682" s="43">
        <v>0.02</v>
      </c>
      <c r="I1682" s="43"/>
      <c r="J1682" s="43"/>
      <c r="K1682" s="46"/>
      <c r="L1682" s="46"/>
      <c r="M1682" s="46"/>
      <c r="N1682" s="46"/>
      <c r="O1682" s="46"/>
      <c r="P1682" s="46"/>
      <c r="Q1682" s="46"/>
      <c r="R1682" s="46"/>
      <c r="S1682" s="46"/>
      <c r="T1682" s="46"/>
      <c r="U1682" s="46"/>
      <c r="V1682" s="46"/>
      <c r="W1682" s="46"/>
      <c r="X1682" s="46"/>
      <c r="Y1682" s="46"/>
      <c r="Z1682" s="46"/>
      <c r="AA1682" s="46"/>
      <c r="AB1682" s="46"/>
      <c r="AC1682" s="46"/>
      <c r="AD1682" s="46"/>
      <c r="AE1682" s="46"/>
      <c r="AF1682" s="46"/>
      <c r="AG1682" s="46"/>
      <c r="AH1682" s="46"/>
      <c r="AI1682" s="46"/>
      <c r="AJ1682" s="46"/>
      <c r="AK1682" s="46"/>
      <c r="AL1682" s="46"/>
      <c r="AM1682" s="46"/>
      <c r="AN1682" s="46"/>
      <c r="AO1682" s="46"/>
      <c r="AP1682" s="46"/>
      <c r="AQ1682" s="46"/>
      <c r="AR1682" s="46"/>
      <c r="AS1682" s="46"/>
      <c r="AT1682" s="46"/>
      <c r="AU1682" s="46"/>
      <c r="AV1682" s="46"/>
      <c r="AW1682" s="46"/>
      <c r="AX1682" s="46"/>
      <c r="AY1682" s="34" t="s">
        <v>229</v>
      </c>
      <c r="AZ1682" s="34" t="s">
        <v>417</v>
      </c>
      <c r="BA1682" s="159" t="s">
        <v>291</v>
      </c>
      <c r="BB1682" s="15"/>
      <c r="BI1682" s="42">
        <v>1</v>
      </c>
      <c r="BK1682" s="50"/>
    </row>
    <row r="1683" spans="1:63" s="49" customFormat="1" ht="22.35" customHeight="1">
      <c r="A1683" s="127">
        <f t="shared" si="343"/>
        <v>937</v>
      </c>
      <c r="B1683" s="33" t="s">
        <v>1828</v>
      </c>
      <c r="C1683" s="38" t="s">
        <v>39</v>
      </c>
      <c r="D1683" s="35">
        <f t="shared" si="329"/>
        <v>7.0000000000000007E-2</v>
      </c>
      <c r="E1683" s="35"/>
      <c r="F1683" s="35">
        <f t="shared" si="337"/>
        <v>7.0000000000000007E-2</v>
      </c>
      <c r="G1683" s="43">
        <v>7.0000000000000007E-2</v>
      </c>
      <c r="H1683" s="43"/>
      <c r="I1683" s="43"/>
      <c r="J1683" s="43"/>
      <c r="K1683" s="46"/>
      <c r="L1683" s="46"/>
      <c r="M1683" s="46"/>
      <c r="N1683" s="46"/>
      <c r="O1683" s="46"/>
      <c r="P1683" s="46"/>
      <c r="Q1683" s="46"/>
      <c r="R1683" s="46"/>
      <c r="S1683" s="46"/>
      <c r="T1683" s="46"/>
      <c r="U1683" s="46"/>
      <c r="V1683" s="46"/>
      <c r="W1683" s="46"/>
      <c r="X1683" s="46"/>
      <c r="Y1683" s="46"/>
      <c r="Z1683" s="46"/>
      <c r="AA1683" s="46"/>
      <c r="AB1683" s="46"/>
      <c r="AC1683" s="46"/>
      <c r="AD1683" s="46"/>
      <c r="AE1683" s="46"/>
      <c r="AF1683" s="46"/>
      <c r="AG1683" s="46"/>
      <c r="AH1683" s="46"/>
      <c r="AI1683" s="46"/>
      <c r="AJ1683" s="46"/>
      <c r="AK1683" s="46"/>
      <c r="AL1683" s="46"/>
      <c r="AM1683" s="46"/>
      <c r="AN1683" s="46"/>
      <c r="AO1683" s="46"/>
      <c r="AP1683" s="46"/>
      <c r="AQ1683" s="46"/>
      <c r="AR1683" s="46"/>
      <c r="AS1683" s="46"/>
      <c r="AT1683" s="46"/>
      <c r="AU1683" s="46"/>
      <c r="AV1683" s="46"/>
      <c r="AW1683" s="46"/>
      <c r="AX1683" s="46"/>
      <c r="AY1683" s="34" t="s">
        <v>229</v>
      </c>
      <c r="AZ1683" s="34" t="s">
        <v>387</v>
      </c>
      <c r="BA1683" s="159" t="s">
        <v>291</v>
      </c>
      <c r="BB1683" s="15"/>
      <c r="BI1683" s="42">
        <v>1</v>
      </c>
      <c r="BK1683" s="50"/>
    </row>
    <row r="1684" spans="1:63" s="24" customFormat="1" ht="21.6" customHeight="1">
      <c r="A1684" s="127">
        <f>A1683+1</f>
        <v>938</v>
      </c>
      <c r="B1684" s="88" t="s">
        <v>1829</v>
      </c>
      <c r="C1684" s="38" t="s">
        <v>39</v>
      </c>
      <c r="D1684" s="35">
        <f>E1684+F1684</f>
        <v>0.55000000000000004</v>
      </c>
      <c r="E1684" s="35">
        <v>0.05</v>
      </c>
      <c r="F1684" s="35">
        <f t="shared" si="337"/>
        <v>0.5</v>
      </c>
      <c r="G1684" s="43">
        <v>0.4</v>
      </c>
      <c r="H1684" s="43"/>
      <c r="I1684" s="43"/>
      <c r="J1684" s="43"/>
      <c r="K1684" s="111"/>
      <c r="L1684" s="43"/>
      <c r="M1684" s="43"/>
      <c r="N1684" s="43"/>
      <c r="O1684" s="43"/>
      <c r="P1684" s="43"/>
      <c r="Q1684" s="43"/>
      <c r="R1684" s="43"/>
      <c r="S1684" s="43"/>
      <c r="T1684" s="43"/>
      <c r="U1684" s="43"/>
      <c r="V1684" s="43"/>
      <c r="W1684" s="43"/>
      <c r="X1684" s="43"/>
      <c r="Y1684" s="43"/>
      <c r="Z1684" s="43"/>
      <c r="AA1684" s="43"/>
      <c r="AB1684" s="43"/>
      <c r="AC1684" s="43"/>
      <c r="AD1684" s="43"/>
      <c r="AE1684" s="43"/>
      <c r="AF1684" s="43"/>
      <c r="AG1684" s="43"/>
      <c r="AH1684" s="43"/>
      <c r="AI1684" s="43"/>
      <c r="AJ1684" s="43"/>
      <c r="AK1684" s="43"/>
      <c r="AL1684" s="43"/>
      <c r="AM1684" s="43"/>
      <c r="AN1684" s="43">
        <v>0.1</v>
      </c>
      <c r="AO1684" s="43"/>
      <c r="AP1684" s="43"/>
      <c r="AQ1684" s="43"/>
      <c r="AR1684" s="43"/>
      <c r="AS1684" s="43"/>
      <c r="AT1684" s="43"/>
      <c r="AU1684" s="43"/>
      <c r="AV1684" s="43"/>
      <c r="AW1684" s="43"/>
      <c r="AX1684" s="43"/>
      <c r="AY1684" s="34" t="s">
        <v>232</v>
      </c>
      <c r="AZ1684" s="34" t="s">
        <v>685</v>
      </c>
      <c r="BA1684" s="47" t="s">
        <v>298</v>
      </c>
      <c r="BB1684" s="48" t="s">
        <v>1830</v>
      </c>
      <c r="BC1684" s="112" t="s">
        <v>1831</v>
      </c>
      <c r="BD1684" s="112" t="s">
        <v>1832</v>
      </c>
      <c r="BE1684" s="41" t="s">
        <v>1833</v>
      </c>
      <c r="BG1684" s="177" t="s">
        <v>1834</v>
      </c>
      <c r="BI1684" s="42">
        <v>1</v>
      </c>
    </row>
    <row r="1685" spans="1:63" s="49" customFormat="1" ht="22.35" customHeight="1">
      <c r="A1685" s="127">
        <f t="shared" si="343"/>
        <v>939</v>
      </c>
      <c r="B1685" s="33" t="s">
        <v>1835</v>
      </c>
      <c r="C1685" s="38" t="s">
        <v>39</v>
      </c>
      <c r="D1685" s="35">
        <f>E1685+F1685</f>
        <v>0.01</v>
      </c>
      <c r="E1685" s="45"/>
      <c r="F1685" s="35">
        <f t="shared" si="337"/>
        <v>0.01</v>
      </c>
      <c r="G1685" s="46"/>
      <c r="H1685" s="46"/>
      <c r="I1685" s="46">
        <v>0.01</v>
      </c>
      <c r="J1685" s="46"/>
      <c r="K1685" s="46"/>
      <c r="L1685" s="46"/>
      <c r="M1685" s="46"/>
      <c r="N1685" s="46"/>
      <c r="O1685" s="46"/>
      <c r="P1685" s="46"/>
      <c r="Q1685" s="46"/>
      <c r="R1685" s="46"/>
      <c r="S1685" s="46"/>
      <c r="T1685" s="46"/>
      <c r="U1685" s="46"/>
      <c r="V1685" s="46"/>
      <c r="W1685" s="46"/>
      <c r="X1685" s="46"/>
      <c r="Y1685" s="46"/>
      <c r="Z1685" s="46"/>
      <c r="AA1685" s="46"/>
      <c r="AB1685" s="46"/>
      <c r="AC1685" s="46"/>
      <c r="AD1685" s="46"/>
      <c r="AE1685" s="46"/>
      <c r="AF1685" s="46"/>
      <c r="AG1685" s="46"/>
      <c r="AH1685" s="46"/>
      <c r="AI1685" s="46"/>
      <c r="AJ1685" s="46"/>
      <c r="AK1685" s="46"/>
      <c r="AL1685" s="46"/>
      <c r="AM1685" s="46"/>
      <c r="AN1685" s="46"/>
      <c r="AO1685" s="46"/>
      <c r="AP1685" s="46"/>
      <c r="AQ1685" s="46"/>
      <c r="AR1685" s="46"/>
      <c r="AS1685" s="46"/>
      <c r="AT1685" s="46"/>
      <c r="AU1685" s="46"/>
      <c r="AV1685" s="46"/>
      <c r="AW1685" s="46"/>
      <c r="AX1685" s="46"/>
      <c r="AY1685" s="47" t="s">
        <v>233</v>
      </c>
      <c r="AZ1685" s="47" t="s">
        <v>1174</v>
      </c>
      <c r="BA1685" s="93" t="s">
        <v>291</v>
      </c>
      <c r="BB1685" s="50"/>
      <c r="BI1685" s="42">
        <v>1</v>
      </c>
      <c r="BK1685" s="50"/>
    </row>
    <row r="1686" spans="1:63" s="49" customFormat="1" ht="22.35" customHeight="1">
      <c r="A1686" s="127">
        <f t="shared" si="343"/>
        <v>940</v>
      </c>
      <c r="B1686" s="33" t="s">
        <v>1836</v>
      </c>
      <c r="C1686" s="38" t="s">
        <v>39</v>
      </c>
      <c r="D1686" s="35">
        <f>E1686+F1686</f>
        <v>0.04</v>
      </c>
      <c r="E1686" s="45"/>
      <c r="F1686" s="35">
        <f t="shared" si="337"/>
        <v>0.04</v>
      </c>
      <c r="G1686" s="46"/>
      <c r="H1686" s="46"/>
      <c r="I1686" s="46"/>
      <c r="J1686" s="46"/>
      <c r="K1686" s="46"/>
      <c r="L1686" s="46"/>
      <c r="M1686" s="46"/>
      <c r="N1686" s="46"/>
      <c r="O1686" s="46"/>
      <c r="P1686" s="46"/>
      <c r="Q1686" s="46"/>
      <c r="R1686" s="46"/>
      <c r="S1686" s="46"/>
      <c r="T1686" s="46"/>
      <c r="U1686" s="46"/>
      <c r="V1686" s="46"/>
      <c r="W1686" s="46"/>
      <c r="X1686" s="46"/>
      <c r="Y1686" s="46"/>
      <c r="Z1686" s="46"/>
      <c r="AA1686" s="46"/>
      <c r="AB1686" s="46"/>
      <c r="AC1686" s="46"/>
      <c r="AD1686" s="46"/>
      <c r="AE1686" s="46"/>
      <c r="AF1686" s="46"/>
      <c r="AG1686" s="46"/>
      <c r="AH1686" s="46"/>
      <c r="AI1686" s="46"/>
      <c r="AJ1686" s="46"/>
      <c r="AK1686" s="46"/>
      <c r="AL1686" s="46"/>
      <c r="AM1686" s="46"/>
      <c r="AN1686" s="46">
        <v>0.04</v>
      </c>
      <c r="AO1686" s="46"/>
      <c r="AP1686" s="46"/>
      <c r="AQ1686" s="46"/>
      <c r="AR1686" s="46"/>
      <c r="AS1686" s="46"/>
      <c r="AT1686" s="46"/>
      <c r="AU1686" s="46"/>
      <c r="AV1686" s="46"/>
      <c r="AW1686" s="46"/>
      <c r="AX1686" s="46"/>
      <c r="AY1686" s="47" t="s">
        <v>234</v>
      </c>
      <c r="AZ1686" s="47" t="s">
        <v>1837</v>
      </c>
      <c r="BA1686" s="93" t="s">
        <v>291</v>
      </c>
      <c r="BB1686" s="50"/>
      <c r="BI1686" s="42">
        <v>1</v>
      </c>
      <c r="BK1686" s="50"/>
    </row>
    <row r="1687" spans="1:63" ht="22.35" customHeight="1">
      <c r="A1687" s="127">
        <f t="shared" si="343"/>
        <v>941</v>
      </c>
      <c r="B1687" s="33" t="s">
        <v>1838</v>
      </c>
      <c r="C1687" s="38" t="s">
        <v>39</v>
      </c>
      <c r="D1687" s="35">
        <f>E1687+F1687</f>
        <v>0.2</v>
      </c>
      <c r="E1687" s="35">
        <v>0.2</v>
      </c>
      <c r="F1687" s="89">
        <f t="shared" si="337"/>
        <v>0</v>
      </c>
      <c r="G1687" s="43"/>
      <c r="H1687" s="43"/>
      <c r="I1687" s="43"/>
      <c r="J1687" s="43"/>
      <c r="K1687" s="43"/>
      <c r="L1687" s="43"/>
      <c r="M1687" s="43"/>
      <c r="N1687" s="43"/>
      <c r="O1687" s="43"/>
      <c r="P1687" s="43"/>
      <c r="Q1687" s="43"/>
      <c r="R1687" s="43"/>
      <c r="S1687" s="43"/>
      <c r="T1687" s="43"/>
      <c r="U1687" s="43"/>
      <c r="V1687" s="43"/>
      <c r="W1687" s="43"/>
      <c r="X1687" s="43"/>
      <c r="Y1687" s="43"/>
      <c r="Z1687" s="43"/>
      <c r="AA1687" s="43"/>
      <c r="AB1687" s="43"/>
      <c r="AC1687" s="43"/>
      <c r="AD1687" s="43"/>
      <c r="AE1687" s="43"/>
      <c r="AF1687" s="43"/>
      <c r="AG1687" s="43"/>
      <c r="AH1687" s="43"/>
      <c r="AI1687" s="43"/>
      <c r="AJ1687" s="43"/>
      <c r="AK1687" s="43"/>
      <c r="AL1687" s="43"/>
      <c r="AM1687" s="43"/>
      <c r="AN1687" s="43"/>
      <c r="AO1687" s="43"/>
      <c r="AP1687" s="43"/>
      <c r="AQ1687" s="43"/>
      <c r="AR1687" s="43"/>
      <c r="AS1687" s="43"/>
      <c r="AT1687" s="43"/>
      <c r="AU1687" s="43"/>
      <c r="AV1687" s="43"/>
      <c r="AW1687" s="43"/>
      <c r="AX1687" s="43"/>
      <c r="AY1687" s="34" t="s">
        <v>429</v>
      </c>
      <c r="AZ1687" s="34" t="s">
        <v>430</v>
      </c>
      <c r="BA1687" s="156" t="s">
        <v>291</v>
      </c>
      <c r="BC1687" s="15" t="s">
        <v>1839</v>
      </c>
      <c r="BI1687" s="42">
        <v>1</v>
      </c>
    </row>
    <row r="1688" spans="1:63" ht="22.35" customHeight="1">
      <c r="A1688" s="127">
        <f t="shared" si="343"/>
        <v>942</v>
      </c>
      <c r="B1688" s="56" t="s">
        <v>1840</v>
      </c>
      <c r="C1688" s="38" t="s">
        <v>39</v>
      </c>
      <c r="D1688" s="35">
        <f t="shared" ref="D1688:D1754" si="344">E1688+F1688</f>
        <v>0.47</v>
      </c>
      <c r="E1688" s="36">
        <v>0.32</v>
      </c>
      <c r="F1688" s="35">
        <f t="shared" si="337"/>
        <v>0.15</v>
      </c>
      <c r="G1688" s="43">
        <v>0.15</v>
      </c>
      <c r="H1688" s="37"/>
      <c r="I1688" s="119"/>
      <c r="J1688" s="119"/>
      <c r="K1688" s="37"/>
      <c r="L1688" s="37"/>
      <c r="M1688" s="37"/>
      <c r="N1688" s="37"/>
      <c r="O1688" s="37"/>
      <c r="P1688" s="37"/>
      <c r="Q1688" s="37"/>
      <c r="R1688" s="37"/>
      <c r="S1688" s="37"/>
      <c r="T1688" s="37"/>
      <c r="U1688" s="37"/>
      <c r="V1688" s="37"/>
      <c r="W1688" s="37"/>
      <c r="X1688" s="37"/>
      <c r="Y1688" s="37"/>
      <c r="Z1688" s="37"/>
      <c r="AA1688" s="37"/>
      <c r="AB1688" s="37"/>
      <c r="AC1688" s="37"/>
      <c r="AD1688" s="37"/>
      <c r="AE1688" s="37"/>
      <c r="AF1688" s="37"/>
      <c r="AG1688" s="37"/>
      <c r="AH1688" s="37"/>
      <c r="AI1688" s="37"/>
      <c r="AJ1688" s="37"/>
      <c r="AK1688" s="37"/>
      <c r="AL1688" s="37"/>
      <c r="AM1688" s="37"/>
      <c r="AN1688" s="37"/>
      <c r="AO1688" s="37"/>
      <c r="AP1688" s="37"/>
      <c r="AQ1688" s="37"/>
      <c r="AR1688" s="37"/>
      <c r="AS1688" s="37"/>
      <c r="AT1688" s="37"/>
      <c r="AU1688" s="37"/>
      <c r="AV1688" s="37"/>
      <c r="AW1688" s="37"/>
      <c r="AX1688" s="37"/>
      <c r="AY1688" s="38" t="s">
        <v>239</v>
      </c>
      <c r="AZ1688" s="38" t="s">
        <v>389</v>
      </c>
      <c r="BA1688" s="39" t="s">
        <v>291</v>
      </c>
      <c r="BB1688" s="40"/>
      <c r="BD1688" s="15" t="s">
        <v>1841</v>
      </c>
      <c r="BE1688" s="41"/>
      <c r="BI1688" s="42">
        <v>1</v>
      </c>
    </row>
    <row r="1689" spans="1:63" ht="22.35" customHeight="1">
      <c r="A1689" s="127">
        <f t="shared" si="343"/>
        <v>943</v>
      </c>
      <c r="B1689" s="44" t="s">
        <v>1842</v>
      </c>
      <c r="C1689" s="78" t="s">
        <v>39</v>
      </c>
      <c r="D1689" s="35">
        <f t="shared" si="344"/>
        <v>0.32</v>
      </c>
      <c r="E1689" s="45">
        <v>0.22</v>
      </c>
      <c r="F1689" s="35">
        <f t="shared" si="337"/>
        <v>0.1</v>
      </c>
      <c r="G1689" s="46">
        <v>0.1</v>
      </c>
      <c r="H1689" s="46"/>
      <c r="I1689" s="46"/>
      <c r="J1689" s="46"/>
      <c r="K1689" s="46"/>
      <c r="L1689" s="46"/>
      <c r="M1689" s="46"/>
      <c r="N1689" s="46"/>
      <c r="O1689" s="46"/>
      <c r="P1689" s="46"/>
      <c r="Q1689" s="46"/>
      <c r="R1689" s="46"/>
      <c r="S1689" s="46"/>
      <c r="T1689" s="46"/>
      <c r="U1689" s="46"/>
      <c r="V1689" s="46"/>
      <c r="W1689" s="46"/>
      <c r="X1689" s="46"/>
      <c r="Y1689" s="46"/>
      <c r="Z1689" s="46"/>
      <c r="AA1689" s="46"/>
      <c r="AB1689" s="46"/>
      <c r="AC1689" s="46"/>
      <c r="AD1689" s="46"/>
      <c r="AE1689" s="46"/>
      <c r="AF1689" s="46"/>
      <c r="AG1689" s="46"/>
      <c r="AH1689" s="46"/>
      <c r="AI1689" s="46"/>
      <c r="AJ1689" s="46"/>
      <c r="AK1689" s="46"/>
      <c r="AL1689" s="46"/>
      <c r="AM1689" s="46"/>
      <c r="AN1689" s="46"/>
      <c r="AO1689" s="46"/>
      <c r="AP1689" s="46"/>
      <c r="AQ1689" s="46"/>
      <c r="AR1689" s="46"/>
      <c r="AS1689" s="46"/>
      <c r="AT1689" s="46"/>
      <c r="AU1689" s="46"/>
      <c r="AV1689" s="46"/>
      <c r="AW1689" s="46"/>
      <c r="AX1689" s="46"/>
      <c r="AY1689" s="34" t="s">
        <v>241</v>
      </c>
      <c r="AZ1689" s="34" t="s">
        <v>425</v>
      </c>
      <c r="BA1689" s="47" t="s">
        <v>298</v>
      </c>
      <c r="BB1689" s="48"/>
      <c r="BI1689" s="42">
        <v>1</v>
      </c>
    </row>
    <row r="1690" spans="1:63" s="169" customFormat="1" ht="23.1" customHeight="1">
      <c r="A1690" s="130" t="s">
        <v>1843</v>
      </c>
      <c r="B1690" s="178" t="s">
        <v>77</v>
      </c>
      <c r="C1690" s="130"/>
      <c r="D1690" s="27">
        <f t="shared" si="344"/>
        <v>28.84</v>
      </c>
      <c r="E1690" s="123">
        <f>SUM(E1691:E1693)</f>
        <v>25.39</v>
      </c>
      <c r="F1690" s="27">
        <f>SUM(G1690:AX1690)</f>
        <v>3.4499999999999997</v>
      </c>
      <c r="G1690" s="90">
        <f>SUM(G1691:G1693)</f>
        <v>0.2</v>
      </c>
      <c r="H1690" s="90">
        <f t="shared" ref="H1690:AX1690" si="345">SUM(H1691:H1693)</f>
        <v>0</v>
      </c>
      <c r="I1690" s="90">
        <f t="shared" si="345"/>
        <v>0.1</v>
      </c>
      <c r="J1690" s="90">
        <f t="shared" si="345"/>
        <v>0.85</v>
      </c>
      <c r="K1690" s="90">
        <f t="shared" si="345"/>
        <v>0</v>
      </c>
      <c r="L1690" s="90">
        <f t="shared" si="345"/>
        <v>0</v>
      </c>
      <c r="M1690" s="90">
        <f t="shared" si="345"/>
        <v>2.2999999999999998</v>
      </c>
      <c r="N1690" s="90">
        <f t="shared" si="345"/>
        <v>0</v>
      </c>
      <c r="O1690" s="90">
        <f t="shared" si="345"/>
        <v>0</v>
      </c>
      <c r="P1690" s="90">
        <f t="shared" si="345"/>
        <v>0</v>
      </c>
      <c r="Q1690" s="90">
        <f t="shared" si="345"/>
        <v>0</v>
      </c>
      <c r="R1690" s="90">
        <f t="shared" si="345"/>
        <v>0</v>
      </c>
      <c r="S1690" s="90">
        <f t="shared" si="345"/>
        <v>0</v>
      </c>
      <c r="T1690" s="90">
        <f t="shared" si="345"/>
        <v>0</v>
      </c>
      <c r="U1690" s="90">
        <f t="shared" si="345"/>
        <v>0</v>
      </c>
      <c r="V1690" s="90">
        <f t="shared" si="345"/>
        <v>0</v>
      </c>
      <c r="W1690" s="90">
        <f t="shared" si="345"/>
        <v>0</v>
      </c>
      <c r="X1690" s="90">
        <f t="shared" si="345"/>
        <v>0</v>
      </c>
      <c r="Y1690" s="90">
        <f t="shared" si="345"/>
        <v>0</v>
      </c>
      <c r="Z1690" s="90">
        <f t="shared" si="345"/>
        <v>0</v>
      </c>
      <c r="AA1690" s="90">
        <f t="shared" si="345"/>
        <v>0</v>
      </c>
      <c r="AB1690" s="90">
        <f t="shared" si="345"/>
        <v>0</v>
      </c>
      <c r="AC1690" s="90">
        <f t="shared" si="345"/>
        <v>0</v>
      </c>
      <c r="AD1690" s="90">
        <f t="shared" si="345"/>
        <v>0</v>
      </c>
      <c r="AE1690" s="90">
        <f t="shared" si="345"/>
        <v>0</v>
      </c>
      <c r="AF1690" s="90">
        <f t="shared" si="345"/>
        <v>0</v>
      </c>
      <c r="AG1690" s="90">
        <f t="shared" si="345"/>
        <v>0</v>
      </c>
      <c r="AH1690" s="90">
        <f t="shared" si="345"/>
        <v>0</v>
      </c>
      <c r="AI1690" s="90">
        <f t="shared" si="345"/>
        <v>0</v>
      </c>
      <c r="AJ1690" s="90">
        <f t="shared" si="345"/>
        <v>0</v>
      </c>
      <c r="AK1690" s="90">
        <f t="shared" si="345"/>
        <v>0</v>
      </c>
      <c r="AL1690" s="90">
        <f t="shared" si="345"/>
        <v>0</v>
      </c>
      <c r="AM1690" s="90">
        <f t="shared" si="345"/>
        <v>0</v>
      </c>
      <c r="AN1690" s="90">
        <f t="shared" si="345"/>
        <v>0</v>
      </c>
      <c r="AO1690" s="90">
        <f t="shared" si="345"/>
        <v>0</v>
      </c>
      <c r="AP1690" s="90">
        <f t="shared" si="345"/>
        <v>0</v>
      </c>
      <c r="AQ1690" s="90">
        <f t="shared" si="345"/>
        <v>0</v>
      </c>
      <c r="AR1690" s="90">
        <f t="shared" si="345"/>
        <v>0</v>
      </c>
      <c r="AS1690" s="90">
        <f t="shared" si="345"/>
        <v>0</v>
      </c>
      <c r="AT1690" s="90">
        <f t="shared" si="345"/>
        <v>0</v>
      </c>
      <c r="AU1690" s="90">
        <f t="shared" si="345"/>
        <v>0</v>
      </c>
      <c r="AV1690" s="90">
        <f t="shared" si="345"/>
        <v>0</v>
      </c>
      <c r="AW1690" s="90">
        <f t="shared" si="345"/>
        <v>0</v>
      </c>
      <c r="AX1690" s="90">
        <f t="shared" si="345"/>
        <v>0</v>
      </c>
      <c r="AY1690" s="167"/>
      <c r="AZ1690" s="167"/>
      <c r="BA1690" s="167"/>
      <c r="BB1690" s="168"/>
      <c r="BI1690" s="42"/>
      <c r="BK1690" s="170"/>
    </row>
    <row r="1691" spans="1:63" s="71" customFormat="1" ht="31.35" customHeight="1">
      <c r="A1691" s="127">
        <f>A1689+1</f>
        <v>944</v>
      </c>
      <c r="B1691" s="66" t="s">
        <v>1844</v>
      </c>
      <c r="C1691" s="118" t="s">
        <v>41</v>
      </c>
      <c r="D1691" s="35">
        <f t="shared" si="344"/>
        <v>15.21</v>
      </c>
      <c r="E1691" s="67">
        <v>14.71</v>
      </c>
      <c r="F1691" s="35">
        <f t="shared" si="337"/>
        <v>0.5</v>
      </c>
      <c r="G1691" s="68"/>
      <c r="H1691" s="68"/>
      <c r="I1691" s="68"/>
      <c r="J1691" s="68"/>
      <c r="K1691" s="68"/>
      <c r="L1691" s="68"/>
      <c r="M1691" s="68">
        <v>0.5</v>
      </c>
      <c r="N1691" s="68"/>
      <c r="O1691" s="68"/>
      <c r="P1691" s="68"/>
      <c r="Q1691" s="68"/>
      <c r="R1691" s="68"/>
      <c r="S1691" s="68"/>
      <c r="T1691" s="68"/>
      <c r="U1691" s="68"/>
      <c r="V1691" s="68"/>
      <c r="W1691" s="68"/>
      <c r="X1691" s="68"/>
      <c r="Y1691" s="68"/>
      <c r="Z1691" s="68"/>
      <c r="AA1691" s="68"/>
      <c r="AB1691" s="68"/>
      <c r="AC1691" s="68"/>
      <c r="AD1691" s="68"/>
      <c r="AE1691" s="68"/>
      <c r="AF1691" s="68"/>
      <c r="AG1691" s="68"/>
      <c r="AH1691" s="68"/>
      <c r="AI1691" s="68"/>
      <c r="AJ1691" s="68"/>
      <c r="AK1691" s="68"/>
      <c r="AL1691" s="68"/>
      <c r="AM1691" s="68"/>
      <c r="AN1691" s="68"/>
      <c r="AO1691" s="68"/>
      <c r="AP1691" s="68"/>
      <c r="AQ1691" s="68"/>
      <c r="AR1691" s="68"/>
      <c r="AS1691" s="68"/>
      <c r="AT1691" s="68"/>
      <c r="AU1691" s="68"/>
      <c r="AV1691" s="68"/>
      <c r="AW1691" s="68"/>
      <c r="AX1691" s="68"/>
      <c r="AY1691" s="70" t="s">
        <v>983</v>
      </c>
      <c r="AZ1691" s="70" t="s">
        <v>1845</v>
      </c>
      <c r="BA1691" s="70" t="s">
        <v>291</v>
      </c>
      <c r="BB1691" s="81"/>
      <c r="BI1691" s="42">
        <v>1</v>
      </c>
      <c r="BK1691" s="72"/>
    </row>
    <row r="1692" spans="1:63" s="116" customFormat="1" ht="22.35" customHeight="1">
      <c r="A1692" s="32">
        <f>A1691+1</f>
        <v>945</v>
      </c>
      <c r="B1692" s="88" t="s">
        <v>1846</v>
      </c>
      <c r="C1692" s="78" t="s">
        <v>41</v>
      </c>
      <c r="D1692" s="35">
        <f t="shared" si="344"/>
        <v>12.83</v>
      </c>
      <c r="E1692" s="45">
        <v>10.68</v>
      </c>
      <c r="F1692" s="35">
        <f>SUM(G1692:AX1692)</f>
        <v>2.15</v>
      </c>
      <c r="G1692" s="79">
        <v>0.2</v>
      </c>
      <c r="H1692" s="105"/>
      <c r="I1692" s="79">
        <v>0.1</v>
      </c>
      <c r="J1692" s="79">
        <v>0.85</v>
      </c>
      <c r="K1692" s="114"/>
      <c r="L1692" s="114"/>
      <c r="M1692" s="105">
        <v>1</v>
      </c>
      <c r="N1692" s="114"/>
      <c r="O1692" s="114"/>
      <c r="P1692" s="114"/>
      <c r="Q1692" s="114"/>
      <c r="R1692" s="114"/>
      <c r="S1692" s="114"/>
      <c r="T1692" s="114"/>
      <c r="U1692" s="114"/>
      <c r="V1692" s="114"/>
      <c r="W1692" s="114"/>
      <c r="X1692" s="114"/>
      <c r="Y1692" s="114"/>
      <c r="Z1692" s="114"/>
      <c r="AA1692" s="114"/>
      <c r="AB1692" s="114"/>
      <c r="AC1692" s="114"/>
      <c r="AD1692" s="114"/>
      <c r="AE1692" s="114"/>
      <c r="AF1692" s="114"/>
      <c r="AG1692" s="114"/>
      <c r="AH1692" s="114"/>
      <c r="AI1692" s="114"/>
      <c r="AJ1692" s="114"/>
      <c r="AK1692" s="114"/>
      <c r="AL1692" s="114"/>
      <c r="AM1692" s="114"/>
      <c r="AN1692" s="114"/>
      <c r="AO1692" s="114"/>
      <c r="AP1692" s="114"/>
      <c r="AQ1692" s="114"/>
      <c r="AR1692" s="114"/>
      <c r="AS1692" s="114"/>
      <c r="AT1692" s="114"/>
      <c r="AU1692" s="114"/>
      <c r="AV1692" s="114"/>
      <c r="AW1692" s="114"/>
      <c r="AX1692" s="114"/>
      <c r="AY1692" s="47" t="s">
        <v>233</v>
      </c>
      <c r="AZ1692" s="115"/>
      <c r="BA1692" s="93" t="s">
        <v>291</v>
      </c>
      <c r="BB1692" s="50"/>
      <c r="BI1692" s="42">
        <v>1</v>
      </c>
      <c r="BK1692" s="117"/>
    </row>
    <row r="1693" spans="1:63" s="24" customFormat="1" ht="22.35" customHeight="1">
      <c r="A1693" s="32">
        <f>A1692+1</f>
        <v>946</v>
      </c>
      <c r="B1693" s="88" t="s">
        <v>1847</v>
      </c>
      <c r="C1693" s="34" t="s">
        <v>41</v>
      </c>
      <c r="D1693" s="35">
        <f t="shared" si="344"/>
        <v>0.8</v>
      </c>
      <c r="E1693" s="35"/>
      <c r="F1693" s="35">
        <f t="shared" si="337"/>
        <v>0.8</v>
      </c>
      <c r="G1693" s="43"/>
      <c r="H1693" s="43"/>
      <c r="I1693" s="43"/>
      <c r="J1693" s="43"/>
      <c r="K1693" s="111"/>
      <c r="L1693" s="43"/>
      <c r="M1693" s="43">
        <v>0.8</v>
      </c>
      <c r="N1693" s="43"/>
      <c r="O1693" s="43"/>
      <c r="P1693" s="43"/>
      <c r="Q1693" s="43"/>
      <c r="R1693" s="43"/>
      <c r="S1693" s="43"/>
      <c r="T1693" s="43"/>
      <c r="U1693" s="43"/>
      <c r="V1693" s="43"/>
      <c r="W1693" s="43"/>
      <c r="X1693" s="43"/>
      <c r="Y1693" s="43"/>
      <c r="Z1693" s="43"/>
      <c r="AA1693" s="43"/>
      <c r="AB1693" s="43"/>
      <c r="AC1693" s="43"/>
      <c r="AD1693" s="43"/>
      <c r="AE1693" s="43"/>
      <c r="AF1693" s="43"/>
      <c r="AG1693" s="43"/>
      <c r="AH1693" s="43"/>
      <c r="AI1693" s="43"/>
      <c r="AJ1693" s="43"/>
      <c r="AK1693" s="43"/>
      <c r="AL1693" s="43"/>
      <c r="AM1693" s="43"/>
      <c r="AN1693" s="43"/>
      <c r="AO1693" s="43"/>
      <c r="AP1693" s="43"/>
      <c r="AQ1693" s="43"/>
      <c r="AR1693" s="43"/>
      <c r="AS1693" s="43"/>
      <c r="AT1693" s="43"/>
      <c r="AU1693" s="43"/>
      <c r="AV1693" s="43"/>
      <c r="AW1693" s="43"/>
      <c r="AX1693" s="43"/>
      <c r="AY1693" s="34" t="s">
        <v>238</v>
      </c>
      <c r="AZ1693" s="34" t="s">
        <v>295</v>
      </c>
      <c r="BA1693" s="47" t="s">
        <v>298</v>
      </c>
      <c r="BB1693" s="48"/>
      <c r="BC1693" s="110"/>
      <c r="BD1693" s="110"/>
      <c r="BE1693" s="41"/>
      <c r="BI1693" s="42">
        <v>1</v>
      </c>
    </row>
    <row r="1694" spans="1:63" s="169" customFormat="1" ht="23.85" customHeight="1">
      <c r="A1694" s="130" t="s">
        <v>1848</v>
      </c>
      <c r="B1694" s="178" t="s">
        <v>63</v>
      </c>
      <c r="C1694" s="130"/>
      <c r="D1694" s="27">
        <f t="shared" si="344"/>
        <v>172.97</v>
      </c>
      <c r="E1694" s="133">
        <f>E1695</f>
        <v>0</v>
      </c>
      <c r="F1694" s="27">
        <f>SUM(G1694:AX1694)</f>
        <v>172.97</v>
      </c>
      <c r="G1694" s="90">
        <f>SUM(G1695:G1695)</f>
        <v>0</v>
      </c>
      <c r="H1694" s="90">
        <f t="shared" ref="H1694:AX1694" si="346">SUM(H1695:H1695)</f>
        <v>0</v>
      </c>
      <c r="I1694" s="90">
        <f t="shared" si="346"/>
        <v>0</v>
      </c>
      <c r="J1694" s="90">
        <f t="shared" si="346"/>
        <v>0</v>
      </c>
      <c r="K1694" s="90">
        <f t="shared" si="346"/>
        <v>172.97</v>
      </c>
      <c r="L1694" s="90">
        <f t="shared" si="346"/>
        <v>0</v>
      </c>
      <c r="M1694" s="90">
        <f t="shared" si="346"/>
        <v>0</v>
      </c>
      <c r="N1694" s="90">
        <f t="shared" si="346"/>
        <v>0</v>
      </c>
      <c r="O1694" s="90">
        <f t="shared" si="346"/>
        <v>0</v>
      </c>
      <c r="P1694" s="90">
        <f t="shared" si="346"/>
        <v>0</v>
      </c>
      <c r="Q1694" s="90">
        <f t="shared" si="346"/>
        <v>0</v>
      </c>
      <c r="R1694" s="90">
        <f t="shared" si="346"/>
        <v>0</v>
      </c>
      <c r="S1694" s="90">
        <f t="shared" si="346"/>
        <v>0</v>
      </c>
      <c r="T1694" s="90">
        <f t="shared" si="346"/>
        <v>0</v>
      </c>
      <c r="U1694" s="90">
        <f t="shared" si="346"/>
        <v>0</v>
      </c>
      <c r="V1694" s="90">
        <f t="shared" si="346"/>
        <v>0</v>
      </c>
      <c r="W1694" s="90">
        <f t="shared" si="346"/>
        <v>0</v>
      </c>
      <c r="X1694" s="90">
        <f t="shared" si="346"/>
        <v>0</v>
      </c>
      <c r="Y1694" s="90">
        <f t="shared" si="346"/>
        <v>0</v>
      </c>
      <c r="Z1694" s="90">
        <f t="shared" si="346"/>
        <v>0</v>
      </c>
      <c r="AA1694" s="90">
        <f t="shared" si="346"/>
        <v>0</v>
      </c>
      <c r="AB1694" s="90">
        <f t="shared" si="346"/>
        <v>0</v>
      </c>
      <c r="AC1694" s="90">
        <f t="shared" si="346"/>
        <v>0</v>
      </c>
      <c r="AD1694" s="90">
        <f t="shared" si="346"/>
        <v>0</v>
      </c>
      <c r="AE1694" s="90">
        <f t="shared" si="346"/>
        <v>0</v>
      </c>
      <c r="AF1694" s="90">
        <f t="shared" si="346"/>
        <v>0</v>
      </c>
      <c r="AG1694" s="90">
        <f t="shared" si="346"/>
        <v>0</v>
      </c>
      <c r="AH1694" s="90">
        <f t="shared" si="346"/>
        <v>0</v>
      </c>
      <c r="AI1694" s="90">
        <f t="shared" si="346"/>
        <v>0</v>
      </c>
      <c r="AJ1694" s="90">
        <f t="shared" si="346"/>
        <v>0</v>
      </c>
      <c r="AK1694" s="90">
        <f t="shared" si="346"/>
        <v>0</v>
      </c>
      <c r="AL1694" s="90">
        <f t="shared" si="346"/>
        <v>0</v>
      </c>
      <c r="AM1694" s="90">
        <f t="shared" si="346"/>
        <v>0</v>
      </c>
      <c r="AN1694" s="90">
        <f t="shared" si="346"/>
        <v>0</v>
      </c>
      <c r="AO1694" s="90">
        <f t="shared" si="346"/>
        <v>0</v>
      </c>
      <c r="AP1694" s="90">
        <f t="shared" si="346"/>
        <v>0</v>
      </c>
      <c r="AQ1694" s="90">
        <f t="shared" si="346"/>
        <v>0</v>
      </c>
      <c r="AR1694" s="90">
        <f t="shared" si="346"/>
        <v>0</v>
      </c>
      <c r="AS1694" s="90">
        <f t="shared" si="346"/>
        <v>0</v>
      </c>
      <c r="AT1694" s="90">
        <f t="shared" si="346"/>
        <v>0</v>
      </c>
      <c r="AU1694" s="90">
        <f t="shared" si="346"/>
        <v>0</v>
      </c>
      <c r="AV1694" s="90">
        <f t="shared" si="346"/>
        <v>0</v>
      </c>
      <c r="AW1694" s="90">
        <f t="shared" si="346"/>
        <v>0</v>
      </c>
      <c r="AX1694" s="90">
        <f t="shared" si="346"/>
        <v>0</v>
      </c>
      <c r="AY1694" s="167"/>
      <c r="AZ1694" s="167"/>
      <c r="BA1694" s="167"/>
      <c r="BB1694" s="168"/>
      <c r="BI1694" s="42"/>
      <c r="BK1694" s="170"/>
    </row>
    <row r="1695" spans="1:63" s="71" customFormat="1" ht="48.6" customHeight="1">
      <c r="A1695" s="127">
        <f>A1693+1</f>
        <v>947</v>
      </c>
      <c r="B1695" s="66" t="s">
        <v>1849</v>
      </c>
      <c r="C1695" s="118" t="s">
        <v>188</v>
      </c>
      <c r="D1695" s="35">
        <f t="shared" si="344"/>
        <v>172.97</v>
      </c>
      <c r="E1695" s="67"/>
      <c r="F1695" s="35">
        <f t="shared" si="337"/>
        <v>172.97</v>
      </c>
      <c r="G1695" s="68"/>
      <c r="H1695" s="68"/>
      <c r="I1695" s="68"/>
      <c r="J1695" s="68"/>
      <c r="K1695" s="68">
        <v>172.97</v>
      </c>
      <c r="L1695" s="68"/>
      <c r="M1695" s="68"/>
      <c r="N1695" s="68"/>
      <c r="O1695" s="68"/>
      <c r="P1695" s="68"/>
      <c r="Q1695" s="68"/>
      <c r="R1695" s="68"/>
      <c r="S1695" s="68"/>
      <c r="T1695" s="68"/>
      <c r="U1695" s="68"/>
      <c r="V1695" s="68"/>
      <c r="W1695" s="68"/>
      <c r="X1695" s="68"/>
      <c r="Y1695" s="68"/>
      <c r="Z1695" s="68"/>
      <c r="AA1695" s="68"/>
      <c r="AB1695" s="68"/>
      <c r="AC1695" s="68"/>
      <c r="AD1695" s="68"/>
      <c r="AE1695" s="68"/>
      <c r="AF1695" s="68"/>
      <c r="AG1695" s="68"/>
      <c r="AH1695" s="68"/>
      <c r="AI1695" s="68"/>
      <c r="AJ1695" s="68"/>
      <c r="AK1695" s="68"/>
      <c r="AL1695" s="68"/>
      <c r="AM1695" s="68"/>
      <c r="AN1695" s="68"/>
      <c r="AO1695" s="68"/>
      <c r="AP1695" s="68"/>
      <c r="AQ1695" s="68"/>
      <c r="AR1695" s="68"/>
      <c r="AS1695" s="68"/>
      <c r="AT1695" s="68"/>
      <c r="AU1695" s="68"/>
      <c r="AV1695" s="68"/>
      <c r="AW1695" s="68"/>
      <c r="AX1695" s="68"/>
      <c r="AY1695" s="70" t="s">
        <v>1850</v>
      </c>
      <c r="AZ1695" s="70" t="s">
        <v>615</v>
      </c>
      <c r="BA1695" s="70" t="s">
        <v>291</v>
      </c>
      <c r="BB1695" s="81"/>
      <c r="BI1695" s="42">
        <v>1</v>
      </c>
      <c r="BK1695" s="72"/>
    </row>
    <row r="1696" spans="1:63" s="24" customFormat="1" ht="24.6" customHeight="1">
      <c r="A1696" s="20" t="s">
        <v>1851</v>
      </c>
      <c r="B1696" s="25" t="s">
        <v>60</v>
      </c>
      <c r="C1696" s="26"/>
      <c r="D1696" s="27">
        <f t="shared" si="344"/>
        <v>1205.9599999999998</v>
      </c>
      <c r="E1696" s="83">
        <f>SUM(E1697:E1720)</f>
        <v>0</v>
      </c>
      <c r="F1696" s="27">
        <f>SUM(G1696:AX1696)</f>
        <v>1205.9599999999998</v>
      </c>
      <c r="G1696" s="28">
        <f t="shared" ref="G1696:AX1696" si="347">SUM(G1697:G1720)</f>
        <v>294.78999999999996</v>
      </c>
      <c r="H1696" s="28">
        <f t="shared" si="347"/>
        <v>93.95</v>
      </c>
      <c r="I1696" s="28">
        <f t="shared" si="347"/>
        <v>77.319999999999993</v>
      </c>
      <c r="J1696" s="28">
        <f t="shared" si="347"/>
        <v>0</v>
      </c>
      <c r="K1696" s="28">
        <f t="shared" si="347"/>
        <v>0</v>
      </c>
      <c r="L1696" s="28">
        <f t="shared" si="347"/>
        <v>0.33</v>
      </c>
      <c r="M1696" s="28">
        <f t="shared" si="347"/>
        <v>738.82999999999993</v>
      </c>
      <c r="N1696" s="28">
        <f t="shared" si="347"/>
        <v>0</v>
      </c>
      <c r="O1696" s="28">
        <f t="shared" si="347"/>
        <v>0</v>
      </c>
      <c r="P1696" s="28">
        <f t="shared" si="347"/>
        <v>0.74</v>
      </c>
      <c r="Q1696" s="28">
        <f t="shared" si="347"/>
        <v>0</v>
      </c>
      <c r="R1696" s="28">
        <f t="shared" si="347"/>
        <v>0</v>
      </c>
      <c r="S1696" s="28">
        <f t="shared" si="347"/>
        <v>0</v>
      </c>
      <c r="T1696" s="28">
        <f t="shared" si="347"/>
        <v>0</v>
      </c>
      <c r="U1696" s="28">
        <f t="shared" si="347"/>
        <v>0</v>
      </c>
      <c r="V1696" s="28">
        <f t="shared" si="347"/>
        <v>0</v>
      </c>
      <c r="W1696" s="28">
        <f t="shared" si="347"/>
        <v>0</v>
      </c>
      <c r="X1696" s="28">
        <f t="shared" si="347"/>
        <v>0</v>
      </c>
      <c r="Y1696" s="28">
        <f t="shared" si="347"/>
        <v>0</v>
      </c>
      <c r="Z1696" s="28">
        <f t="shared" si="347"/>
        <v>0</v>
      </c>
      <c r="AA1696" s="28">
        <f t="shared" si="347"/>
        <v>0</v>
      </c>
      <c r="AB1696" s="28">
        <f t="shared" si="347"/>
        <v>0</v>
      </c>
      <c r="AC1696" s="28">
        <f t="shared" si="347"/>
        <v>0</v>
      </c>
      <c r="AD1696" s="28">
        <f t="shared" si="347"/>
        <v>0</v>
      </c>
      <c r="AE1696" s="28">
        <f t="shared" si="347"/>
        <v>0</v>
      </c>
      <c r="AF1696" s="28">
        <f t="shared" si="347"/>
        <v>0</v>
      </c>
      <c r="AG1696" s="28">
        <f t="shared" si="347"/>
        <v>0</v>
      </c>
      <c r="AH1696" s="28">
        <f t="shared" si="347"/>
        <v>0</v>
      </c>
      <c r="AI1696" s="28">
        <f t="shared" si="347"/>
        <v>0</v>
      </c>
      <c r="AJ1696" s="28">
        <f t="shared" si="347"/>
        <v>0</v>
      </c>
      <c r="AK1696" s="28">
        <f t="shared" si="347"/>
        <v>0</v>
      </c>
      <c r="AL1696" s="28">
        <f t="shared" si="347"/>
        <v>0</v>
      </c>
      <c r="AM1696" s="28">
        <f t="shared" si="347"/>
        <v>0</v>
      </c>
      <c r="AN1696" s="28">
        <f t="shared" si="347"/>
        <v>0</v>
      </c>
      <c r="AO1696" s="28">
        <f t="shared" si="347"/>
        <v>0</v>
      </c>
      <c r="AP1696" s="28">
        <f t="shared" si="347"/>
        <v>0</v>
      </c>
      <c r="AQ1696" s="28">
        <f t="shared" si="347"/>
        <v>0</v>
      </c>
      <c r="AR1696" s="28">
        <f t="shared" si="347"/>
        <v>0</v>
      </c>
      <c r="AS1696" s="28">
        <f t="shared" si="347"/>
        <v>0</v>
      </c>
      <c r="AT1696" s="28">
        <f t="shared" si="347"/>
        <v>0</v>
      </c>
      <c r="AU1696" s="28">
        <f t="shared" si="347"/>
        <v>0</v>
      </c>
      <c r="AV1696" s="28">
        <f t="shared" si="347"/>
        <v>0</v>
      </c>
      <c r="AW1696" s="28">
        <f t="shared" si="347"/>
        <v>0</v>
      </c>
      <c r="AX1696" s="28">
        <f t="shared" si="347"/>
        <v>0</v>
      </c>
      <c r="AY1696" s="29"/>
      <c r="AZ1696" s="29"/>
      <c r="BA1696" s="30"/>
      <c r="BB1696" s="31"/>
      <c r="BI1696" s="42"/>
    </row>
    <row r="1697" spans="1:63" ht="68.45" customHeight="1">
      <c r="A1697" s="32">
        <f>A1695+1</f>
        <v>948</v>
      </c>
      <c r="B1697" s="56" t="s">
        <v>1852</v>
      </c>
      <c r="C1697" s="102" t="s">
        <v>14</v>
      </c>
      <c r="D1697" s="35">
        <f t="shared" si="344"/>
        <v>309.33999999999997</v>
      </c>
      <c r="E1697" s="36"/>
      <c r="F1697" s="35">
        <f t="shared" si="337"/>
        <v>309.33999999999997</v>
      </c>
      <c r="G1697" s="37"/>
      <c r="H1697" s="37"/>
      <c r="I1697" s="37"/>
      <c r="J1697" s="37"/>
      <c r="K1697" s="37"/>
      <c r="L1697" s="37"/>
      <c r="M1697" s="37">
        <v>309.33999999999997</v>
      </c>
      <c r="N1697" s="37"/>
      <c r="O1697" s="37"/>
      <c r="P1697" s="37"/>
      <c r="Q1697" s="37"/>
      <c r="R1697" s="37"/>
      <c r="S1697" s="37"/>
      <c r="T1697" s="37"/>
      <c r="U1697" s="37"/>
      <c r="V1697" s="37"/>
      <c r="W1697" s="37"/>
      <c r="X1697" s="37"/>
      <c r="Y1697" s="37"/>
      <c r="Z1697" s="37"/>
      <c r="AA1697" s="37"/>
      <c r="AB1697" s="37"/>
      <c r="AC1697" s="37"/>
      <c r="AD1697" s="37"/>
      <c r="AE1697" s="37"/>
      <c r="AF1697" s="37"/>
      <c r="AG1697" s="37"/>
      <c r="AH1697" s="37"/>
      <c r="AI1697" s="37"/>
      <c r="AJ1697" s="37"/>
      <c r="AK1697" s="37"/>
      <c r="AL1697" s="37"/>
      <c r="AM1697" s="37"/>
      <c r="AN1697" s="37"/>
      <c r="AO1697" s="37"/>
      <c r="AP1697" s="37"/>
      <c r="AQ1697" s="37"/>
      <c r="AR1697" s="37"/>
      <c r="AS1697" s="37"/>
      <c r="AT1697" s="37"/>
      <c r="AU1697" s="37"/>
      <c r="AV1697" s="37"/>
      <c r="AW1697" s="37"/>
      <c r="AX1697" s="37"/>
      <c r="AY1697" s="34" t="s">
        <v>1853</v>
      </c>
      <c r="AZ1697" s="34" t="s">
        <v>615</v>
      </c>
      <c r="BA1697" s="63" t="s">
        <v>291</v>
      </c>
      <c r="BB1697" s="64"/>
      <c r="BD1697" s="15" t="s">
        <v>1854</v>
      </c>
      <c r="BE1697" s="41"/>
      <c r="BI1697" s="42">
        <v>1</v>
      </c>
    </row>
    <row r="1698" spans="1:63" ht="48" customHeight="1">
      <c r="A1698" s="32">
        <f>A1697+1</f>
        <v>949</v>
      </c>
      <c r="B1698" s="33" t="s">
        <v>1855</v>
      </c>
      <c r="C1698" s="102" t="s">
        <v>14</v>
      </c>
      <c r="D1698" s="35">
        <f t="shared" si="344"/>
        <v>2.9</v>
      </c>
      <c r="E1698" s="36"/>
      <c r="F1698" s="35">
        <f t="shared" si="337"/>
        <v>2.9</v>
      </c>
      <c r="G1698" s="37"/>
      <c r="H1698" s="37"/>
      <c r="I1698" s="37">
        <v>2.9</v>
      </c>
      <c r="J1698" s="37"/>
      <c r="K1698" s="37"/>
      <c r="L1698" s="37"/>
      <c r="M1698" s="37"/>
      <c r="N1698" s="37"/>
      <c r="O1698" s="37"/>
      <c r="P1698" s="37"/>
      <c r="Q1698" s="37"/>
      <c r="R1698" s="37"/>
      <c r="S1698" s="37"/>
      <c r="T1698" s="37"/>
      <c r="U1698" s="37"/>
      <c r="V1698" s="37"/>
      <c r="W1698" s="37"/>
      <c r="X1698" s="37"/>
      <c r="Y1698" s="37"/>
      <c r="Z1698" s="37"/>
      <c r="AA1698" s="37"/>
      <c r="AB1698" s="37"/>
      <c r="AC1698" s="37"/>
      <c r="AD1698" s="37"/>
      <c r="AE1698" s="37"/>
      <c r="AF1698" s="37"/>
      <c r="AG1698" s="37"/>
      <c r="AH1698" s="37"/>
      <c r="AI1698" s="37"/>
      <c r="AJ1698" s="37"/>
      <c r="AK1698" s="37"/>
      <c r="AL1698" s="37"/>
      <c r="AM1698" s="37"/>
      <c r="AN1698" s="37"/>
      <c r="AO1698" s="37"/>
      <c r="AP1698" s="37"/>
      <c r="AQ1698" s="37"/>
      <c r="AR1698" s="37"/>
      <c r="AS1698" s="37"/>
      <c r="AT1698" s="37"/>
      <c r="AU1698" s="37"/>
      <c r="AV1698" s="37"/>
      <c r="AW1698" s="37"/>
      <c r="AX1698" s="37"/>
      <c r="AY1698" s="38" t="s">
        <v>225</v>
      </c>
      <c r="AZ1698" s="38" t="s">
        <v>981</v>
      </c>
      <c r="BA1698" s="63" t="s">
        <v>291</v>
      </c>
      <c r="BB1698" s="64"/>
      <c r="BC1698" s="58"/>
      <c r="BD1698" s="58"/>
      <c r="BE1698" s="41"/>
      <c r="BI1698" s="42">
        <v>1</v>
      </c>
    </row>
    <row r="1699" spans="1:63" ht="26.1" customHeight="1">
      <c r="A1699" s="32">
        <f>A1698+1</f>
        <v>950</v>
      </c>
      <c r="B1699" s="33" t="s">
        <v>1856</v>
      </c>
      <c r="C1699" s="102" t="s">
        <v>14</v>
      </c>
      <c r="D1699" s="35">
        <f t="shared" si="344"/>
        <v>38</v>
      </c>
      <c r="E1699" s="45"/>
      <c r="F1699" s="35">
        <f>SUM(G1699:AX1699)</f>
        <v>38</v>
      </c>
      <c r="G1699" s="46">
        <v>26.5</v>
      </c>
      <c r="H1699" s="46">
        <v>9</v>
      </c>
      <c r="I1699" s="46">
        <v>2.5</v>
      </c>
      <c r="J1699" s="46"/>
      <c r="K1699" s="46"/>
      <c r="L1699" s="46"/>
      <c r="M1699" s="46"/>
      <c r="N1699" s="46"/>
      <c r="O1699" s="46"/>
      <c r="P1699" s="46"/>
      <c r="Q1699" s="46"/>
      <c r="R1699" s="46"/>
      <c r="S1699" s="46"/>
      <c r="T1699" s="46"/>
      <c r="U1699" s="46"/>
      <c r="V1699" s="46"/>
      <c r="W1699" s="46"/>
      <c r="X1699" s="46"/>
      <c r="Y1699" s="46"/>
      <c r="Z1699" s="46"/>
      <c r="AA1699" s="46"/>
      <c r="AB1699" s="46"/>
      <c r="AC1699" s="46"/>
      <c r="AD1699" s="46"/>
      <c r="AE1699" s="46"/>
      <c r="AF1699" s="46"/>
      <c r="AG1699" s="46"/>
      <c r="AH1699" s="46"/>
      <c r="AI1699" s="46"/>
      <c r="AJ1699" s="46"/>
      <c r="AK1699" s="46"/>
      <c r="AL1699" s="46"/>
      <c r="AM1699" s="46"/>
      <c r="AN1699" s="46"/>
      <c r="AO1699" s="46"/>
      <c r="AP1699" s="46"/>
      <c r="AQ1699" s="46"/>
      <c r="AR1699" s="46"/>
      <c r="AS1699" s="46"/>
      <c r="AT1699" s="46"/>
      <c r="AU1699" s="46"/>
      <c r="AV1699" s="46"/>
      <c r="AW1699" s="46"/>
      <c r="AX1699" s="46"/>
      <c r="AY1699" s="34" t="s">
        <v>221</v>
      </c>
      <c r="AZ1699" s="34" t="s">
        <v>615</v>
      </c>
      <c r="BA1699" s="39" t="s">
        <v>291</v>
      </c>
      <c r="BB1699" s="40"/>
      <c r="BC1699" s="15" t="s">
        <v>381</v>
      </c>
      <c r="BI1699" s="42">
        <v>1</v>
      </c>
    </row>
    <row r="1700" spans="1:63" s="61" customFormat="1" ht="26.1" customHeight="1">
      <c r="A1700" s="32">
        <f t="shared" ref="A1700:A1720" si="348">A1699+1</f>
        <v>951</v>
      </c>
      <c r="B1700" s="33" t="s">
        <v>1856</v>
      </c>
      <c r="C1700" s="102" t="s">
        <v>14</v>
      </c>
      <c r="D1700" s="35">
        <f t="shared" si="344"/>
        <v>99.82</v>
      </c>
      <c r="E1700" s="36"/>
      <c r="F1700" s="35">
        <f t="shared" si="337"/>
        <v>99.82</v>
      </c>
      <c r="G1700" s="37">
        <v>36.299999999999997</v>
      </c>
      <c r="H1700" s="37">
        <v>12.4</v>
      </c>
      <c r="I1700" s="37">
        <v>11.03</v>
      </c>
      <c r="J1700" s="37"/>
      <c r="K1700" s="37"/>
      <c r="L1700" s="37"/>
      <c r="M1700" s="37">
        <v>40.090000000000003</v>
      </c>
      <c r="N1700" s="37"/>
      <c r="O1700" s="37"/>
      <c r="P1700" s="37"/>
      <c r="Q1700" s="37"/>
      <c r="R1700" s="37"/>
      <c r="S1700" s="37"/>
      <c r="T1700" s="37"/>
      <c r="U1700" s="37"/>
      <c r="V1700" s="37"/>
      <c r="W1700" s="37"/>
      <c r="X1700" s="37"/>
      <c r="Y1700" s="37"/>
      <c r="Z1700" s="37"/>
      <c r="AA1700" s="37"/>
      <c r="AB1700" s="37"/>
      <c r="AC1700" s="37"/>
      <c r="AD1700" s="37"/>
      <c r="AE1700" s="37"/>
      <c r="AF1700" s="37"/>
      <c r="AG1700" s="37"/>
      <c r="AH1700" s="37"/>
      <c r="AI1700" s="37"/>
      <c r="AJ1700" s="37"/>
      <c r="AK1700" s="37"/>
      <c r="AL1700" s="37"/>
      <c r="AM1700" s="37"/>
      <c r="AN1700" s="37"/>
      <c r="AO1700" s="37"/>
      <c r="AP1700" s="37"/>
      <c r="AQ1700" s="37"/>
      <c r="AR1700" s="37"/>
      <c r="AS1700" s="37"/>
      <c r="AT1700" s="37"/>
      <c r="AU1700" s="37"/>
      <c r="AV1700" s="37"/>
      <c r="AW1700" s="37"/>
      <c r="AX1700" s="37"/>
      <c r="AY1700" s="34" t="s">
        <v>222</v>
      </c>
      <c r="AZ1700" s="34" t="s">
        <v>615</v>
      </c>
      <c r="BA1700" s="39" t="s">
        <v>291</v>
      </c>
      <c r="BB1700" s="40"/>
      <c r="BC1700" s="41"/>
      <c r="BD1700" s="41"/>
      <c r="BE1700" s="41"/>
      <c r="BF1700" s="15"/>
      <c r="BI1700" s="42">
        <v>1</v>
      </c>
    </row>
    <row r="1701" spans="1:63" ht="26.1" customHeight="1">
      <c r="A1701" s="32">
        <f t="shared" si="348"/>
        <v>952</v>
      </c>
      <c r="B1701" s="33" t="s">
        <v>1856</v>
      </c>
      <c r="C1701" s="102" t="s">
        <v>14</v>
      </c>
      <c r="D1701" s="35">
        <f t="shared" si="344"/>
        <v>27.57</v>
      </c>
      <c r="E1701" s="36"/>
      <c r="F1701" s="35">
        <f t="shared" si="337"/>
        <v>27.57</v>
      </c>
      <c r="G1701" s="37">
        <v>4.71</v>
      </c>
      <c r="H1701" s="37">
        <v>3.61</v>
      </c>
      <c r="I1701" s="37"/>
      <c r="J1701" s="37"/>
      <c r="K1701" s="37"/>
      <c r="L1701" s="37"/>
      <c r="M1701" s="37">
        <v>19.25</v>
      </c>
      <c r="N1701" s="37"/>
      <c r="O1701" s="37"/>
      <c r="P1701" s="37"/>
      <c r="Q1701" s="37"/>
      <c r="R1701" s="37"/>
      <c r="S1701" s="37"/>
      <c r="T1701" s="37"/>
      <c r="U1701" s="37"/>
      <c r="V1701" s="37"/>
      <c r="W1701" s="37"/>
      <c r="X1701" s="37"/>
      <c r="Y1701" s="37"/>
      <c r="Z1701" s="37"/>
      <c r="AA1701" s="37"/>
      <c r="AB1701" s="37"/>
      <c r="AC1701" s="37"/>
      <c r="AD1701" s="37"/>
      <c r="AE1701" s="37"/>
      <c r="AF1701" s="37"/>
      <c r="AG1701" s="37"/>
      <c r="AH1701" s="37"/>
      <c r="AI1701" s="37"/>
      <c r="AJ1701" s="37"/>
      <c r="AK1701" s="37"/>
      <c r="AL1701" s="37"/>
      <c r="AM1701" s="37"/>
      <c r="AN1701" s="37"/>
      <c r="AO1701" s="37"/>
      <c r="AP1701" s="37"/>
      <c r="AQ1701" s="37"/>
      <c r="AR1701" s="37"/>
      <c r="AS1701" s="37"/>
      <c r="AT1701" s="37"/>
      <c r="AU1701" s="37"/>
      <c r="AV1701" s="37"/>
      <c r="AW1701" s="37"/>
      <c r="AX1701" s="37"/>
      <c r="AY1701" s="34" t="s">
        <v>223</v>
      </c>
      <c r="AZ1701" s="34" t="s">
        <v>615</v>
      </c>
      <c r="BA1701" s="63" t="s">
        <v>291</v>
      </c>
      <c r="BB1701" s="64"/>
      <c r="BC1701" s="65"/>
      <c r="BD1701" s="65"/>
      <c r="BE1701" s="41"/>
      <c r="BI1701" s="42">
        <v>1</v>
      </c>
    </row>
    <row r="1702" spans="1:63" s="49" customFormat="1" ht="26.1" customHeight="1">
      <c r="A1702" s="32">
        <f t="shared" si="348"/>
        <v>953</v>
      </c>
      <c r="B1702" s="33" t="s">
        <v>1856</v>
      </c>
      <c r="C1702" s="102" t="s">
        <v>14</v>
      </c>
      <c r="D1702" s="35">
        <f t="shared" si="344"/>
        <v>15.28</v>
      </c>
      <c r="E1702" s="45"/>
      <c r="F1702" s="35">
        <f t="shared" si="337"/>
        <v>15.28</v>
      </c>
      <c r="G1702" s="46">
        <v>13.78</v>
      </c>
      <c r="H1702" s="46">
        <v>1.5</v>
      </c>
      <c r="I1702" s="46"/>
      <c r="J1702" s="46"/>
      <c r="K1702" s="46"/>
      <c r="L1702" s="46"/>
      <c r="M1702" s="46"/>
      <c r="N1702" s="46"/>
      <c r="O1702" s="46"/>
      <c r="P1702" s="46"/>
      <c r="Q1702" s="46"/>
      <c r="R1702" s="46"/>
      <c r="S1702" s="46"/>
      <c r="T1702" s="46"/>
      <c r="U1702" s="46"/>
      <c r="V1702" s="46"/>
      <c r="W1702" s="46"/>
      <c r="X1702" s="46"/>
      <c r="Y1702" s="46"/>
      <c r="Z1702" s="46"/>
      <c r="AA1702" s="46"/>
      <c r="AB1702" s="46"/>
      <c r="AC1702" s="46"/>
      <c r="AD1702" s="46"/>
      <c r="AE1702" s="46"/>
      <c r="AF1702" s="46"/>
      <c r="AG1702" s="46"/>
      <c r="AH1702" s="46"/>
      <c r="AI1702" s="46"/>
      <c r="AJ1702" s="46"/>
      <c r="AK1702" s="46"/>
      <c r="AL1702" s="46"/>
      <c r="AM1702" s="46"/>
      <c r="AN1702" s="46"/>
      <c r="AO1702" s="46"/>
      <c r="AP1702" s="46"/>
      <c r="AQ1702" s="46"/>
      <c r="AR1702" s="46"/>
      <c r="AS1702" s="46"/>
      <c r="AT1702" s="46"/>
      <c r="AU1702" s="46"/>
      <c r="AV1702" s="46"/>
      <c r="AW1702" s="46"/>
      <c r="AX1702" s="46"/>
      <c r="AY1702" s="34" t="s">
        <v>224</v>
      </c>
      <c r="AZ1702" s="34" t="s">
        <v>615</v>
      </c>
      <c r="BA1702" s="93" t="s">
        <v>291</v>
      </c>
      <c r="BB1702" s="50"/>
      <c r="BI1702" s="42">
        <v>1</v>
      </c>
      <c r="BK1702" s="50"/>
    </row>
    <row r="1703" spans="1:63" s="49" customFormat="1" ht="26.1" customHeight="1">
      <c r="A1703" s="32">
        <f>A1702+1</f>
        <v>954</v>
      </c>
      <c r="B1703" s="33" t="s">
        <v>1337</v>
      </c>
      <c r="C1703" s="102" t="s">
        <v>14</v>
      </c>
      <c r="D1703" s="35">
        <f>E1703+F1703</f>
        <v>0.33</v>
      </c>
      <c r="E1703" s="45"/>
      <c r="F1703" s="35">
        <f>SUM(G1703:AX1703)</f>
        <v>0.33</v>
      </c>
      <c r="G1703" s="46"/>
      <c r="H1703" s="46"/>
      <c r="I1703" s="46"/>
      <c r="J1703" s="46"/>
      <c r="K1703" s="46"/>
      <c r="L1703" s="46">
        <v>0.33</v>
      </c>
      <c r="M1703" s="46"/>
      <c r="N1703" s="46"/>
      <c r="O1703" s="46"/>
      <c r="P1703" s="46"/>
      <c r="Q1703" s="46"/>
      <c r="R1703" s="46"/>
      <c r="S1703" s="46"/>
      <c r="T1703" s="46"/>
      <c r="U1703" s="46"/>
      <c r="V1703" s="46"/>
      <c r="W1703" s="46"/>
      <c r="X1703" s="46"/>
      <c r="Y1703" s="46"/>
      <c r="Z1703" s="46"/>
      <c r="AA1703" s="46"/>
      <c r="AB1703" s="46"/>
      <c r="AC1703" s="46"/>
      <c r="AD1703" s="46"/>
      <c r="AE1703" s="46"/>
      <c r="AF1703" s="46"/>
      <c r="AG1703" s="46"/>
      <c r="AH1703" s="46"/>
      <c r="AI1703" s="46"/>
      <c r="AJ1703" s="46"/>
      <c r="AK1703" s="46"/>
      <c r="AL1703" s="46"/>
      <c r="AM1703" s="46"/>
      <c r="AN1703" s="46"/>
      <c r="AO1703" s="46"/>
      <c r="AP1703" s="46"/>
      <c r="AQ1703" s="46"/>
      <c r="AR1703" s="46"/>
      <c r="AS1703" s="46"/>
      <c r="AT1703" s="46"/>
      <c r="AU1703" s="46"/>
      <c r="AV1703" s="46"/>
      <c r="AW1703" s="46"/>
      <c r="AX1703" s="46"/>
      <c r="AY1703" s="34" t="s">
        <v>224</v>
      </c>
      <c r="AZ1703" s="34" t="s">
        <v>417</v>
      </c>
      <c r="BA1703" s="93" t="s">
        <v>298</v>
      </c>
      <c r="BB1703" s="50"/>
      <c r="BG1703" s="49" t="s">
        <v>311</v>
      </c>
      <c r="BI1703" s="42"/>
      <c r="BK1703" s="50"/>
    </row>
    <row r="1704" spans="1:63" ht="26.1" customHeight="1">
      <c r="A1704" s="32">
        <f>A1703+1</f>
        <v>955</v>
      </c>
      <c r="B1704" s="33" t="s">
        <v>1856</v>
      </c>
      <c r="C1704" s="102" t="s">
        <v>14</v>
      </c>
      <c r="D1704" s="35">
        <f t="shared" si="344"/>
        <v>21.33</v>
      </c>
      <c r="E1704" s="36"/>
      <c r="F1704" s="35">
        <f t="shared" si="337"/>
        <v>21.33</v>
      </c>
      <c r="G1704" s="37">
        <v>10.130000000000001</v>
      </c>
      <c r="H1704" s="37"/>
      <c r="I1704" s="37">
        <v>11.2</v>
      </c>
      <c r="J1704" s="37"/>
      <c r="K1704" s="37"/>
      <c r="L1704" s="37"/>
      <c r="M1704" s="37"/>
      <c r="N1704" s="37"/>
      <c r="O1704" s="37"/>
      <c r="P1704" s="37"/>
      <c r="Q1704" s="37"/>
      <c r="R1704" s="37"/>
      <c r="S1704" s="37"/>
      <c r="T1704" s="37"/>
      <c r="U1704" s="37"/>
      <c r="V1704" s="37"/>
      <c r="W1704" s="37"/>
      <c r="X1704" s="37"/>
      <c r="Y1704" s="37"/>
      <c r="Z1704" s="37"/>
      <c r="AA1704" s="37"/>
      <c r="AB1704" s="37"/>
      <c r="AC1704" s="37"/>
      <c r="AD1704" s="37"/>
      <c r="AE1704" s="37"/>
      <c r="AF1704" s="37"/>
      <c r="AG1704" s="37"/>
      <c r="AH1704" s="37"/>
      <c r="AI1704" s="37"/>
      <c r="AJ1704" s="37"/>
      <c r="AK1704" s="37"/>
      <c r="AL1704" s="37"/>
      <c r="AM1704" s="37"/>
      <c r="AN1704" s="37"/>
      <c r="AO1704" s="37"/>
      <c r="AP1704" s="37"/>
      <c r="AQ1704" s="37"/>
      <c r="AR1704" s="37"/>
      <c r="AS1704" s="37"/>
      <c r="AT1704" s="37"/>
      <c r="AU1704" s="37"/>
      <c r="AV1704" s="37"/>
      <c r="AW1704" s="37"/>
      <c r="AX1704" s="37"/>
      <c r="AY1704" s="38" t="s">
        <v>225</v>
      </c>
      <c r="AZ1704" s="34" t="s">
        <v>1857</v>
      </c>
      <c r="BA1704" s="63" t="s">
        <v>291</v>
      </c>
      <c r="BB1704" s="64"/>
      <c r="BE1704" s="41"/>
      <c r="BI1704" s="42">
        <v>1</v>
      </c>
    </row>
    <row r="1705" spans="1:63" ht="26.1" customHeight="1">
      <c r="A1705" s="32">
        <f t="shared" si="348"/>
        <v>956</v>
      </c>
      <c r="B1705" s="33" t="s">
        <v>1856</v>
      </c>
      <c r="C1705" s="102" t="s">
        <v>14</v>
      </c>
      <c r="D1705" s="35">
        <f t="shared" si="344"/>
        <v>50</v>
      </c>
      <c r="E1705" s="36"/>
      <c r="F1705" s="35">
        <f>SUM(G1705:AX1705)</f>
        <v>50</v>
      </c>
      <c r="G1705" s="37">
        <v>25</v>
      </c>
      <c r="H1705" s="37">
        <v>5</v>
      </c>
      <c r="I1705" s="37"/>
      <c r="J1705" s="37"/>
      <c r="K1705" s="37"/>
      <c r="L1705" s="37"/>
      <c r="M1705" s="37">
        <v>20</v>
      </c>
      <c r="N1705" s="37"/>
      <c r="O1705" s="37"/>
      <c r="P1705" s="37"/>
      <c r="Q1705" s="37"/>
      <c r="R1705" s="37"/>
      <c r="S1705" s="37"/>
      <c r="T1705" s="37"/>
      <c r="U1705" s="37"/>
      <c r="V1705" s="37"/>
      <c r="W1705" s="37"/>
      <c r="X1705" s="37"/>
      <c r="Y1705" s="37"/>
      <c r="Z1705" s="37"/>
      <c r="AA1705" s="37"/>
      <c r="AB1705" s="37"/>
      <c r="AC1705" s="37"/>
      <c r="AD1705" s="37"/>
      <c r="AE1705" s="37"/>
      <c r="AF1705" s="37"/>
      <c r="AG1705" s="37"/>
      <c r="AH1705" s="37"/>
      <c r="AI1705" s="37"/>
      <c r="AJ1705" s="37"/>
      <c r="AK1705" s="37"/>
      <c r="AL1705" s="37"/>
      <c r="AM1705" s="37"/>
      <c r="AN1705" s="37"/>
      <c r="AO1705" s="37"/>
      <c r="AP1705" s="37"/>
      <c r="AQ1705" s="37"/>
      <c r="AR1705" s="37"/>
      <c r="AS1705" s="37"/>
      <c r="AT1705" s="37"/>
      <c r="AU1705" s="37"/>
      <c r="AV1705" s="37"/>
      <c r="AW1705" s="37"/>
      <c r="AX1705" s="37"/>
      <c r="AY1705" s="70" t="s">
        <v>228</v>
      </c>
      <c r="AZ1705" s="70" t="s">
        <v>615</v>
      </c>
      <c r="BA1705" s="70" t="s">
        <v>291</v>
      </c>
      <c r="BB1705" s="81"/>
      <c r="BC1705" s="15" t="s">
        <v>381</v>
      </c>
      <c r="BE1705" s="41"/>
      <c r="BI1705" s="42">
        <v>1</v>
      </c>
    </row>
    <row r="1706" spans="1:63" s="71" customFormat="1" ht="26.1" customHeight="1">
      <c r="A1706" s="32">
        <f t="shared" si="348"/>
        <v>957</v>
      </c>
      <c r="B1706" s="33" t="s">
        <v>1856</v>
      </c>
      <c r="C1706" s="102" t="s">
        <v>14</v>
      </c>
      <c r="D1706" s="35">
        <f t="shared" si="344"/>
        <v>14.2</v>
      </c>
      <c r="E1706" s="67"/>
      <c r="F1706" s="35">
        <f t="shared" si="337"/>
        <v>14.2</v>
      </c>
      <c r="G1706" s="68">
        <v>7.05</v>
      </c>
      <c r="H1706" s="68"/>
      <c r="I1706" s="68">
        <v>2.12</v>
      </c>
      <c r="J1706" s="68"/>
      <c r="K1706" s="68"/>
      <c r="L1706" s="68"/>
      <c r="M1706" s="68">
        <v>5.03</v>
      </c>
      <c r="N1706" s="68"/>
      <c r="O1706" s="68"/>
      <c r="P1706" s="68"/>
      <c r="Q1706" s="68"/>
      <c r="R1706" s="68"/>
      <c r="S1706" s="68"/>
      <c r="T1706" s="68"/>
      <c r="U1706" s="68"/>
      <c r="V1706" s="68"/>
      <c r="W1706" s="68"/>
      <c r="X1706" s="68"/>
      <c r="Y1706" s="68"/>
      <c r="Z1706" s="68"/>
      <c r="AA1706" s="68"/>
      <c r="AB1706" s="68"/>
      <c r="AC1706" s="68"/>
      <c r="AD1706" s="68"/>
      <c r="AE1706" s="68"/>
      <c r="AF1706" s="68"/>
      <c r="AG1706" s="68"/>
      <c r="AH1706" s="68"/>
      <c r="AI1706" s="68"/>
      <c r="AJ1706" s="68"/>
      <c r="AK1706" s="68"/>
      <c r="AL1706" s="68"/>
      <c r="AM1706" s="68"/>
      <c r="AN1706" s="68"/>
      <c r="AO1706" s="68"/>
      <c r="AP1706" s="68"/>
      <c r="AQ1706" s="68"/>
      <c r="AR1706" s="68"/>
      <c r="AS1706" s="68"/>
      <c r="AT1706" s="68"/>
      <c r="AU1706" s="68"/>
      <c r="AV1706" s="68"/>
      <c r="AW1706" s="68"/>
      <c r="AX1706" s="68"/>
      <c r="AY1706" s="70" t="s">
        <v>983</v>
      </c>
      <c r="AZ1706" s="70" t="s">
        <v>615</v>
      </c>
      <c r="BA1706" s="70" t="s">
        <v>291</v>
      </c>
      <c r="BB1706" s="81"/>
      <c r="BI1706" s="42">
        <v>1</v>
      </c>
      <c r="BK1706" s="72"/>
    </row>
    <row r="1707" spans="1:63" s="49" customFormat="1" ht="26.1" customHeight="1">
      <c r="A1707" s="32">
        <f t="shared" si="348"/>
        <v>958</v>
      </c>
      <c r="B1707" s="33" t="s">
        <v>1856</v>
      </c>
      <c r="C1707" s="102" t="s">
        <v>14</v>
      </c>
      <c r="D1707" s="35">
        <f t="shared" si="344"/>
        <v>11.120000000000001</v>
      </c>
      <c r="E1707" s="45"/>
      <c r="F1707" s="35">
        <f t="shared" ref="F1707:F1722" si="349">SUM(G1707:AX1707)</f>
        <v>11.120000000000001</v>
      </c>
      <c r="G1707" s="46">
        <v>5</v>
      </c>
      <c r="H1707" s="46">
        <v>1</v>
      </c>
      <c r="I1707" s="46">
        <v>0.4</v>
      </c>
      <c r="J1707" s="46"/>
      <c r="K1707" s="46"/>
      <c r="L1707" s="46"/>
      <c r="M1707" s="46">
        <v>4.72</v>
      </c>
      <c r="N1707" s="46"/>
      <c r="O1707" s="46"/>
      <c r="P1707" s="46"/>
      <c r="Q1707" s="46"/>
      <c r="R1707" s="46"/>
      <c r="S1707" s="46"/>
      <c r="T1707" s="46"/>
      <c r="U1707" s="46"/>
      <c r="V1707" s="46"/>
      <c r="W1707" s="46"/>
      <c r="X1707" s="46"/>
      <c r="Y1707" s="46"/>
      <c r="Z1707" s="46"/>
      <c r="AA1707" s="46"/>
      <c r="AB1707" s="46"/>
      <c r="AC1707" s="46"/>
      <c r="AD1707" s="46"/>
      <c r="AE1707" s="46"/>
      <c r="AF1707" s="46"/>
      <c r="AG1707" s="46"/>
      <c r="AH1707" s="46"/>
      <c r="AI1707" s="46"/>
      <c r="AJ1707" s="46"/>
      <c r="AK1707" s="46"/>
      <c r="AL1707" s="46"/>
      <c r="AM1707" s="46"/>
      <c r="AN1707" s="46"/>
      <c r="AO1707" s="46"/>
      <c r="AP1707" s="46"/>
      <c r="AQ1707" s="46"/>
      <c r="AR1707" s="46"/>
      <c r="AS1707" s="46"/>
      <c r="AT1707" s="46"/>
      <c r="AU1707" s="46"/>
      <c r="AV1707" s="46"/>
      <c r="AW1707" s="46"/>
      <c r="AX1707" s="46"/>
      <c r="AY1707" s="47" t="s">
        <v>227</v>
      </c>
      <c r="AZ1707" s="47" t="s">
        <v>615</v>
      </c>
      <c r="BA1707" s="47" t="s">
        <v>291</v>
      </c>
      <c r="BB1707" s="48"/>
      <c r="BI1707" s="42">
        <v>1</v>
      </c>
      <c r="BK1707" s="50"/>
    </row>
    <row r="1708" spans="1:63" ht="26.1" customHeight="1">
      <c r="A1708" s="32">
        <f t="shared" si="348"/>
        <v>959</v>
      </c>
      <c r="B1708" s="33" t="s">
        <v>1856</v>
      </c>
      <c r="C1708" s="102" t="s">
        <v>14</v>
      </c>
      <c r="D1708" s="35">
        <f t="shared" si="344"/>
        <v>23.77</v>
      </c>
      <c r="E1708" s="36"/>
      <c r="F1708" s="35">
        <f t="shared" si="349"/>
        <v>23.77</v>
      </c>
      <c r="G1708" s="37">
        <f>1.57+1.95+0.8+5.98</f>
        <v>10.3</v>
      </c>
      <c r="H1708" s="37">
        <v>1.5</v>
      </c>
      <c r="I1708" s="37">
        <v>5.56</v>
      </c>
      <c r="J1708" s="37"/>
      <c r="K1708" s="37"/>
      <c r="L1708" s="37"/>
      <c r="M1708" s="37">
        <v>5.67</v>
      </c>
      <c r="N1708" s="37"/>
      <c r="O1708" s="37"/>
      <c r="P1708" s="37">
        <v>0.74</v>
      </c>
      <c r="Q1708" s="37"/>
      <c r="R1708" s="37"/>
      <c r="S1708" s="37"/>
      <c r="T1708" s="37"/>
      <c r="U1708" s="37"/>
      <c r="V1708" s="37"/>
      <c r="W1708" s="37"/>
      <c r="X1708" s="37"/>
      <c r="Y1708" s="37"/>
      <c r="Z1708" s="37"/>
      <c r="AA1708" s="37"/>
      <c r="AB1708" s="37"/>
      <c r="AC1708" s="37"/>
      <c r="AD1708" s="37"/>
      <c r="AE1708" s="37"/>
      <c r="AF1708" s="37"/>
      <c r="AG1708" s="37"/>
      <c r="AH1708" s="37"/>
      <c r="AI1708" s="37"/>
      <c r="AJ1708" s="37"/>
      <c r="AK1708" s="37"/>
      <c r="AL1708" s="37"/>
      <c r="AM1708" s="37"/>
      <c r="AN1708" s="37"/>
      <c r="AO1708" s="37"/>
      <c r="AP1708" s="37"/>
      <c r="AQ1708" s="37"/>
      <c r="AR1708" s="37"/>
      <c r="AS1708" s="37"/>
      <c r="AT1708" s="37"/>
      <c r="AU1708" s="37"/>
      <c r="AV1708" s="37"/>
      <c r="AW1708" s="37"/>
      <c r="AX1708" s="37"/>
      <c r="AY1708" s="34" t="s">
        <v>239</v>
      </c>
      <c r="AZ1708" s="34" t="s">
        <v>1857</v>
      </c>
      <c r="BA1708" s="39" t="s">
        <v>291</v>
      </c>
      <c r="BB1708" s="40"/>
      <c r="BE1708" s="41"/>
      <c r="BI1708" s="42">
        <v>1</v>
      </c>
    </row>
    <row r="1709" spans="1:63" s="49" customFormat="1" ht="26.1" customHeight="1">
      <c r="A1709" s="32">
        <f t="shared" si="348"/>
        <v>960</v>
      </c>
      <c r="B1709" s="33" t="s">
        <v>1856</v>
      </c>
      <c r="C1709" s="102" t="s">
        <v>14</v>
      </c>
      <c r="D1709" s="35">
        <f t="shared" si="344"/>
        <v>67.77</v>
      </c>
      <c r="E1709" s="36"/>
      <c r="F1709" s="35">
        <f t="shared" si="349"/>
        <v>67.77</v>
      </c>
      <c r="G1709" s="37">
        <v>29.12</v>
      </c>
      <c r="H1709" s="37">
        <v>13.24</v>
      </c>
      <c r="I1709" s="37"/>
      <c r="J1709" s="37"/>
      <c r="K1709" s="46"/>
      <c r="L1709" s="46"/>
      <c r="M1709" s="46">
        <v>25.41</v>
      </c>
      <c r="N1709" s="46"/>
      <c r="O1709" s="46"/>
      <c r="P1709" s="46"/>
      <c r="Q1709" s="46"/>
      <c r="R1709" s="46"/>
      <c r="S1709" s="46"/>
      <c r="T1709" s="46"/>
      <c r="U1709" s="46"/>
      <c r="V1709" s="46"/>
      <c r="W1709" s="46"/>
      <c r="X1709" s="46"/>
      <c r="Y1709" s="46"/>
      <c r="Z1709" s="46"/>
      <c r="AA1709" s="46"/>
      <c r="AB1709" s="46"/>
      <c r="AC1709" s="46"/>
      <c r="AD1709" s="46"/>
      <c r="AE1709" s="46"/>
      <c r="AF1709" s="46"/>
      <c r="AG1709" s="46"/>
      <c r="AH1709" s="46"/>
      <c r="AI1709" s="46"/>
      <c r="AJ1709" s="46"/>
      <c r="AK1709" s="46"/>
      <c r="AL1709" s="46"/>
      <c r="AM1709" s="46"/>
      <c r="AN1709" s="46"/>
      <c r="AO1709" s="46"/>
      <c r="AP1709" s="46"/>
      <c r="AQ1709" s="46"/>
      <c r="AR1709" s="46"/>
      <c r="AS1709" s="46"/>
      <c r="AT1709" s="46"/>
      <c r="AU1709" s="46"/>
      <c r="AV1709" s="46"/>
      <c r="AW1709" s="46"/>
      <c r="AX1709" s="46"/>
      <c r="AY1709" s="34" t="s">
        <v>229</v>
      </c>
      <c r="AZ1709" s="34" t="s">
        <v>1857</v>
      </c>
      <c r="BA1709" s="39" t="s">
        <v>291</v>
      </c>
      <c r="BB1709" s="40"/>
      <c r="BI1709" s="42">
        <v>1</v>
      </c>
      <c r="BK1709" s="50"/>
    </row>
    <row r="1710" spans="1:63" ht="26.1" customHeight="1">
      <c r="A1710" s="32">
        <f t="shared" si="348"/>
        <v>961</v>
      </c>
      <c r="B1710" s="33" t="s">
        <v>1856</v>
      </c>
      <c r="C1710" s="102" t="s">
        <v>14</v>
      </c>
      <c r="D1710" s="35">
        <f t="shared" si="344"/>
        <v>10</v>
      </c>
      <c r="E1710" s="36"/>
      <c r="F1710" s="35">
        <f t="shared" si="349"/>
        <v>10</v>
      </c>
      <c r="G1710" s="37">
        <v>6.2</v>
      </c>
      <c r="H1710" s="37">
        <v>3.8</v>
      </c>
      <c r="I1710" s="37"/>
      <c r="J1710" s="37"/>
      <c r="K1710" s="37"/>
      <c r="L1710" s="37"/>
      <c r="M1710" s="37"/>
      <c r="N1710" s="37"/>
      <c r="O1710" s="37"/>
      <c r="P1710" s="37"/>
      <c r="Q1710" s="37"/>
      <c r="R1710" s="37"/>
      <c r="S1710" s="37"/>
      <c r="T1710" s="37"/>
      <c r="U1710" s="37"/>
      <c r="V1710" s="37"/>
      <c r="W1710" s="37"/>
      <c r="X1710" s="37"/>
      <c r="Y1710" s="37"/>
      <c r="Z1710" s="37"/>
      <c r="AA1710" s="37"/>
      <c r="AB1710" s="37"/>
      <c r="AC1710" s="37"/>
      <c r="AD1710" s="37"/>
      <c r="AE1710" s="37"/>
      <c r="AF1710" s="37"/>
      <c r="AG1710" s="37"/>
      <c r="AH1710" s="37"/>
      <c r="AI1710" s="37"/>
      <c r="AJ1710" s="37"/>
      <c r="AK1710" s="37"/>
      <c r="AL1710" s="37"/>
      <c r="AM1710" s="37"/>
      <c r="AN1710" s="37"/>
      <c r="AO1710" s="37"/>
      <c r="AP1710" s="37"/>
      <c r="AQ1710" s="37"/>
      <c r="AR1710" s="37"/>
      <c r="AS1710" s="37"/>
      <c r="AT1710" s="37"/>
      <c r="AU1710" s="37"/>
      <c r="AV1710" s="37"/>
      <c r="AW1710" s="37"/>
      <c r="AX1710" s="37"/>
      <c r="AY1710" s="34" t="s">
        <v>230</v>
      </c>
      <c r="AZ1710" s="34" t="s">
        <v>615</v>
      </c>
      <c r="BA1710" s="156" t="s">
        <v>291</v>
      </c>
      <c r="BE1710" s="41"/>
      <c r="BI1710" s="42">
        <v>1</v>
      </c>
    </row>
    <row r="1711" spans="1:63" ht="26.1" customHeight="1">
      <c r="A1711" s="32">
        <f t="shared" si="348"/>
        <v>962</v>
      </c>
      <c r="B1711" s="33" t="s">
        <v>1856</v>
      </c>
      <c r="C1711" s="102" t="s">
        <v>14</v>
      </c>
      <c r="D1711" s="35">
        <f t="shared" si="344"/>
        <v>4.5</v>
      </c>
      <c r="E1711" s="36"/>
      <c r="F1711" s="35">
        <f t="shared" si="349"/>
        <v>4.5</v>
      </c>
      <c r="G1711" s="37">
        <v>3.5</v>
      </c>
      <c r="H1711" s="37">
        <v>1</v>
      </c>
      <c r="I1711" s="37"/>
      <c r="J1711" s="37"/>
      <c r="K1711" s="37"/>
      <c r="L1711" s="37"/>
      <c r="M1711" s="37"/>
      <c r="N1711" s="37"/>
      <c r="O1711" s="37"/>
      <c r="P1711" s="37"/>
      <c r="Q1711" s="37"/>
      <c r="R1711" s="37"/>
      <c r="S1711" s="37"/>
      <c r="T1711" s="37"/>
      <c r="U1711" s="37"/>
      <c r="V1711" s="37"/>
      <c r="W1711" s="37"/>
      <c r="X1711" s="37"/>
      <c r="Y1711" s="37"/>
      <c r="Z1711" s="37"/>
      <c r="AA1711" s="37"/>
      <c r="AB1711" s="37"/>
      <c r="AC1711" s="37"/>
      <c r="AD1711" s="37"/>
      <c r="AE1711" s="37"/>
      <c r="AF1711" s="37"/>
      <c r="AG1711" s="37"/>
      <c r="AH1711" s="37"/>
      <c r="AI1711" s="37"/>
      <c r="AJ1711" s="37"/>
      <c r="AK1711" s="37"/>
      <c r="AL1711" s="37"/>
      <c r="AM1711" s="37"/>
      <c r="AN1711" s="37"/>
      <c r="AO1711" s="37"/>
      <c r="AP1711" s="37"/>
      <c r="AQ1711" s="37"/>
      <c r="AR1711" s="37"/>
      <c r="AS1711" s="37"/>
      <c r="AT1711" s="37"/>
      <c r="AU1711" s="37"/>
      <c r="AV1711" s="37"/>
      <c r="AW1711" s="37"/>
      <c r="AX1711" s="37"/>
      <c r="AY1711" s="34" t="s">
        <v>231</v>
      </c>
      <c r="AZ1711" s="34" t="s">
        <v>1857</v>
      </c>
      <c r="BA1711" s="39" t="s">
        <v>291</v>
      </c>
      <c r="BB1711" s="40"/>
      <c r="BE1711" s="41"/>
      <c r="BI1711" s="42">
        <v>1</v>
      </c>
    </row>
    <row r="1712" spans="1:63" ht="26.1" customHeight="1">
      <c r="A1712" s="32">
        <f t="shared" si="348"/>
        <v>963</v>
      </c>
      <c r="B1712" s="33" t="s">
        <v>1856</v>
      </c>
      <c r="C1712" s="102" t="s">
        <v>14</v>
      </c>
      <c r="D1712" s="35">
        <f t="shared" si="344"/>
        <v>34.509999999999991</v>
      </c>
      <c r="E1712" s="36"/>
      <c r="F1712" s="35">
        <f t="shared" si="349"/>
        <v>34.509999999999991</v>
      </c>
      <c r="G1712" s="37">
        <f>34.51-H1712-I1712</f>
        <v>25.209999999999997</v>
      </c>
      <c r="H1712" s="37">
        <v>8.5</v>
      </c>
      <c r="I1712" s="37">
        <v>0.8</v>
      </c>
      <c r="J1712" s="37"/>
      <c r="K1712" s="37"/>
      <c r="L1712" s="37"/>
      <c r="M1712" s="37"/>
      <c r="N1712" s="37"/>
      <c r="O1712" s="37"/>
      <c r="P1712" s="37"/>
      <c r="Q1712" s="37"/>
      <c r="R1712" s="37"/>
      <c r="S1712" s="37"/>
      <c r="T1712" s="37"/>
      <c r="U1712" s="37"/>
      <c r="V1712" s="37"/>
      <c r="W1712" s="37"/>
      <c r="X1712" s="37"/>
      <c r="Y1712" s="37"/>
      <c r="Z1712" s="37"/>
      <c r="AA1712" s="37"/>
      <c r="AB1712" s="37"/>
      <c r="AC1712" s="37"/>
      <c r="AD1712" s="37"/>
      <c r="AE1712" s="37"/>
      <c r="AF1712" s="37"/>
      <c r="AG1712" s="37"/>
      <c r="AH1712" s="37"/>
      <c r="AI1712" s="37"/>
      <c r="AJ1712" s="37"/>
      <c r="AK1712" s="37"/>
      <c r="AL1712" s="37"/>
      <c r="AM1712" s="37"/>
      <c r="AN1712" s="37"/>
      <c r="AO1712" s="37"/>
      <c r="AP1712" s="37"/>
      <c r="AQ1712" s="37"/>
      <c r="AR1712" s="37"/>
      <c r="AS1712" s="37"/>
      <c r="AT1712" s="37"/>
      <c r="AU1712" s="37"/>
      <c r="AV1712" s="37"/>
      <c r="AW1712" s="37"/>
      <c r="AX1712" s="37"/>
      <c r="AY1712" s="34" t="s">
        <v>232</v>
      </c>
      <c r="AZ1712" s="34" t="s">
        <v>615</v>
      </c>
      <c r="BA1712" s="63" t="s">
        <v>291</v>
      </c>
      <c r="BB1712" s="64"/>
      <c r="BE1712" s="41"/>
      <c r="BI1712" s="42">
        <v>1</v>
      </c>
    </row>
    <row r="1713" spans="1:64" s="49" customFormat="1" ht="26.1" customHeight="1">
      <c r="A1713" s="32">
        <f t="shared" si="348"/>
        <v>964</v>
      </c>
      <c r="B1713" s="33" t="s">
        <v>1856</v>
      </c>
      <c r="C1713" s="102" t="s">
        <v>14</v>
      </c>
      <c r="D1713" s="35">
        <f t="shared" si="344"/>
        <v>218.06</v>
      </c>
      <c r="E1713" s="36"/>
      <c r="F1713" s="35">
        <f t="shared" si="349"/>
        <v>218.06</v>
      </c>
      <c r="G1713" s="46">
        <v>2.74</v>
      </c>
      <c r="H1713" s="46"/>
      <c r="I1713" s="46"/>
      <c r="J1713" s="46"/>
      <c r="K1713" s="46"/>
      <c r="L1713" s="46"/>
      <c r="M1713" s="46">
        <v>215.32</v>
      </c>
      <c r="N1713" s="46"/>
      <c r="O1713" s="46"/>
      <c r="P1713" s="46"/>
      <c r="Q1713" s="46"/>
      <c r="R1713" s="46"/>
      <c r="S1713" s="46"/>
      <c r="T1713" s="46"/>
      <c r="U1713" s="46"/>
      <c r="V1713" s="46"/>
      <c r="W1713" s="46"/>
      <c r="X1713" s="46"/>
      <c r="Y1713" s="46"/>
      <c r="Z1713" s="46"/>
      <c r="AA1713" s="46"/>
      <c r="AB1713" s="46"/>
      <c r="AC1713" s="46"/>
      <c r="AD1713" s="46"/>
      <c r="AE1713" s="46"/>
      <c r="AF1713" s="46"/>
      <c r="AG1713" s="46"/>
      <c r="AH1713" s="46"/>
      <c r="AI1713" s="46"/>
      <c r="AJ1713" s="46"/>
      <c r="AK1713" s="46"/>
      <c r="AL1713" s="46"/>
      <c r="AM1713" s="46"/>
      <c r="AN1713" s="46"/>
      <c r="AO1713" s="46"/>
      <c r="AP1713" s="46"/>
      <c r="AQ1713" s="46"/>
      <c r="AR1713" s="46"/>
      <c r="AS1713" s="46"/>
      <c r="AT1713" s="46"/>
      <c r="AU1713" s="46"/>
      <c r="AV1713" s="46"/>
      <c r="AW1713" s="46"/>
      <c r="AX1713" s="46"/>
      <c r="AY1713" s="47" t="s">
        <v>233</v>
      </c>
      <c r="AZ1713" s="34" t="s">
        <v>615</v>
      </c>
      <c r="BA1713" s="93" t="s">
        <v>291</v>
      </c>
      <c r="BB1713" s="50"/>
      <c r="BI1713" s="42">
        <v>1</v>
      </c>
      <c r="BK1713" s="50"/>
    </row>
    <row r="1714" spans="1:64" s="49" customFormat="1" ht="26.1" customHeight="1">
      <c r="A1714" s="32">
        <f t="shared" si="348"/>
        <v>965</v>
      </c>
      <c r="B1714" s="33" t="s">
        <v>1856</v>
      </c>
      <c r="C1714" s="102" t="s">
        <v>14</v>
      </c>
      <c r="D1714" s="35">
        <f t="shared" si="344"/>
        <v>81.62</v>
      </c>
      <c r="E1714" s="36"/>
      <c r="F1714" s="35">
        <f t="shared" si="349"/>
        <v>81.62</v>
      </c>
      <c r="G1714" s="46">
        <v>12.62</v>
      </c>
      <c r="H1714" s="46">
        <v>10</v>
      </c>
      <c r="I1714" s="46"/>
      <c r="J1714" s="46"/>
      <c r="K1714" s="46"/>
      <c r="L1714" s="46"/>
      <c r="M1714" s="46">
        <v>59</v>
      </c>
      <c r="N1714" s="46"/>
      <c r="O1714" s="46"/>
      <c r="P1714" s="46"/>
      <c r="Q1714" s="46"/>
      <c r="R1714" s="46"/>
      <c r="S1714" s="46"/>
      <c r="T1714" s="46"/>
      <c r="U1714" s="46"/>
      <c r="V1714" s="46"/>
      <c r="W1714" s="46"/>
      <c r="X1714" s="46"/>
      <c r="Y1714" s="46"/>
      <c r="Z1714" s="46"/>
      <c r="AA1714" s="46"/>
      <c r="AB1714" s="46"/>
      <c r="AC1714" s="46"/>
      <c r="AD1714" s="46"/>
      <c r="AE1714" s="46"/>
      <c r="AF1714" s="46"/>
      <c r="AG1714" s="46"/>
      <c r="AH1714" s="46"/>
      <c r="AI1714" s="46"/>
      <c r="AJ1714" s="46"/>
      <c r="AK1714" s="46"/>
      <c r="AL1714" s="46"/>
      <c r="AM1714" s="46"/>
      <c r="AN1714" s="46"/>
      <c r="AO1714" s="46"/>
      <c r="AP1714" s="46"/>
      <c r="AQ1714" s="46"/>
      <c r="AR1714" s="46"/>
      <c r="AS1714" s="46"/>
      <c r="AT1714" s="46"/>
      <c r="AU1714" s="46"/>
      <c r="AV1714" s="46"/>
      <c r="AW1714" s="46"/>
      <c r="AX1714" s="46"/>
      <c r="AY1714" s="47" t="s">
        <v>234</v>
      </c>
      <c r="AZ1714" s="47" t="s">
        <v>615</v>
      </c>
      <c r="BA1714" s="93" t="s">
        <v>291</v>
      </c>
      <c r="BB1714" s="50"/>
      <c r="BI1714" s="42">
        <v>1</v>
      </c>
      <c r="BK1714" s="50"/>
    </row>
    <row r="1715" spans="1:64" s="71" customFormat="1" ht="26.1" customHeight="1">
      <c r="A1715" s="32">
        <f t="shared" si="348"/>
        <v>966</v>
      </c>
      <c r="B1715" s="33" t="s">
        <v>1856</v>
      </c>
      <c r="C1715" s="102" t="s">
        <v>14</v>
      </c>
      <c r="D1715" s="35">
        <f t="shared" si="344"/>
        <v>2.69</v>
      </c>
      <c r="E1715" s="36"/>
      <c r="F1715" s="35">
        <f t="shared" si="349"/>
        <v>2.69</v>
      </c>
      <c r="G1715" s="77">
        <v>2</v>
      </c>
      <c r="H1715" s="77"/>
      <c r="I1715" s="77">
        <v>0.69</v>
      </c>
      <c r="J1715" s="77"/>
      <c r="K1715" s="77"/>
      <c r="L1715" s="77"/>
      <c r="M1715" s="77"/>
      <c r="N1715" s="77"/>
      <c r="O1715" s="77"/>
      <c r="P1715" s="77"/>
      <c r="Q1715" s="77"/>
      <c r="R1715" s="77"/>
      <c r="S1715" s="77"/>
      <c r="T1715" s="77"/>
      <c r="U1715" s="77"/>
      <c r="V1715" s="77"/>
      <c r="W1715" s="77"/>
      <c r="X1715" s="77"/>
      <c r="Y1715" s="77"/>
      <c r="Z1715" s="77"/>
      <c r="AA1715" s="77"/>
      <c r="AB1715" s="77"/>
      <c r="AC1715" s="77"/>
      <c r="AD1715" s="77"/>
      <c r="AE1715" s="77"/>
      <c r="AF1715" s="77"/>
      <c r="AG1715" s="77"/>
      <c r="AH1715" s="77"/>
      <c r="AI1715" s="77"/>
      <c r="AJ1715" s="77"/>
      <c r="AK1715" s="77"/>
      <c r="AL1715" s="77"/>
      <c r="AM1715" s="77"/>
      <c r="AN1715" s="77"/>
      <c r="AO1715" s="77"/>
      <c r="AP1715" s="77"/>
      <c r="AQ1715" s="77"/>
      <c r="AR1715" s="77"/>
      <c r="AS1715" s="77"/>
      <c r="AT1715" s="77"/>
      <c r="AU1715" s="77"/>
      <c r="AV1715" s="77"/>
      <c r="AW1715" s="77"/>
      <c r="AX1715" s="77"/>
      <c r="AY1715" s="70" t="s">
        <v>235</v>
      </c>
      <c r="AZ1715" s="70" t="s">
        <v>615</v>
      </c>
      <c r="BA1715" s="118" t="s">
        <v>291</v>
      </c>
      <c r="BB1715" s="72"/>
      <c r="BI1715" s="42">
        <v>1</v>
      </c>
      <c r="BK1715" s="72"/>
    </row>
    <row r="1716" spans="1:64" ht="26.1" customHeight="1">
      <c r="A1716" s="32">
        <f t="shared" si="348"/>
        <v>967</v>
      </c>
      <c r="B1716" s="33" t="s">
        <v>1856</v>
      </c>
      <c r="C1716" s="102" t="s">
        <v>14</v>
      </c>
      <c r="D1716" s="35">
        <f t="shared" si="344"/>
        <v>53.47</v>
      </c>
      <c r="E1716" s="36"/>
      <c r="F1716" s="35">
        <f t="shared" si="349"/>
        <v>53.47</v>
      </c>
      <c r="G1716" s="37">
        <v>22.43</v>
      </c>
      <c r="H1716" s="37"/>
      <c r="I1716" s="37">
        <v>21.04</v>
      </c>
      <c r="J1716" s="37"/>
      <c r="K1716" s="37"/>
      <c r="L1716" s="37"/>
      <c r="M1716" s="37">
        <v>10</v>
      </c>
      <c r="N1716" s="37"/>
      <c r="O1716" s="37"/>
      <c r="P1716" s="37"/>
      <c r="Q1716" s="37"/>
      <c r="R1716" s="37"/>
      <c r="S1716" s="37"/>
      <c r="T1716" s="37"/>
      <c r="U1716" s="37"/>
      <c r="V1716" s="37"/>
      <c r="W1716" s="37"/>
      <c r="X1716" s="37"/>
      <c r="Y1716" s="37"/>
      <c r="Z1716" s="37"/>
      <c r="AA1716" s="37"/>
      <c r="AB1716" s="37"/>
      <c r="AC1716" s="37"/>
      <c r="AD1716" s="37"/>
      <c r="AE1716" s="37"/>
      <c r="AF1716" s="37"/>
      <c r="AG1716" s="37"/>
      <c r="AH1716" s="37"/>
      <c r="AI1716" s="37"/>
      <c r="AJ1716" s="37"/>
      <c r="AK1716" s="37"/>
      <c r="AL1716" s="37"/>
      <c r="AM1716" s="37"/>
      <c r="AN1716" s="37"/>
      <c r="AO1716" s="37"/>
      <c r="AP1716" s="37"/>
      <c r="AQ1716" s="37"/>
      <c r="AR1716" s="37"/>
      <c r="AS1716" s="37"/>
      <c r="AT1716" s="37"/>
      <c r="AU1716" s="37"/>
      <c r="AV1716" s="37"/>
      <c r="AW1716" s="37"/>
      <c r="AX1716" s="37"/>
      <c r="AY1716" s="34" t="s">
        <v>429</v>
      </c>
      <c r="AZ1716" s="70" t="s">
        <v>615</v>
      </c>
      <c r="BA1716" s="63" t="s">
        <v>291</v>
      </c>
      <c r="BB1716" s="64"/>
      <c r="BE1716" s="41"/>
      <c r="BI1716" s="42">
        <v>1</v>
      </c>
    </row>
    <row r="1717" spans="1:64" ht="26.1" customHeight="1">
      <c r="A1717" s="32">
        <f t="shared" si="348"/>
        <v>968</v>
      </c>
      <c r="B1717" s="33" t="s">
        <v>1856</v>
      </c>
      <c r="C1717" s="102" t="s">
        <v>14</v>
      </c>
      <c r="D1717" s="35">
        <f t="shared" si="344"/>
        <v>18.850000000000001</v>
      </c>
      <c r="E1717" s="36"/>
      <c r="F1717" s="35">
        <f t="shared" si="349"/>
        <v>18.850000000000001</v>
      </c>
      <c r="G1717" s="37">
        <v>16.87</v>
      </c>
      <c r="H1717" s="37"/>
      <c r="I1717" s="37">
        <v>1.98</v>
      </c>
      <c r="J1717" s="37"/>
      <c r="K1717" s="37"/>
      <c r="L1717" s="37"/>
      <c r="M1717" s="37"/>
      <c r="N1717" s="37"/>
      <c r="O1717" s="37"/>
      <c r="P1717" s="37"/>
      <c r="Q1717" s="37"/>
      <c r="R1717" s="37"/>
      <c r="S1717" s="37"/>
      <c r="T1717" s="37"/>
      <c r="U1717" s="37"/>
      <c r="V1717" s="37"/>
      <c r="W1717" s="37"/>
      <c r="X1717" s="37"/>
      <c r="Y1717" s="37"/>
      <c r="Z1717" s="37"/>
      <c r="AA1717" s="37"/>
      <c r="AB1717" s="37"/>
      <c r="AC1717" s="37"/>
      <c r="AD1717" s="37"/>
      <c r="AE1717" s="37"/>
      <c r="AF1717" s="37"/>
      <c r="AG1717" s="37"/>
      <c r="AH1717" s="37"/>
      <c r="AI1717" s="37"/>
      <c r="AJ1717" s="37"/>
      <c r="AK1717" s="37"/>
      <c r="AL1717" s="37"/>
      <c r="AM1717" s="37"/>
      <c r="AN1717" s="37"/>
      <c r="AO1717" s="37"/>
      <c r="AP1717" s="37"/>
      <c r="AQ1717" s="37"/>
      <c r="AR1717" s="37"/>
      <c r="AS1717" s="37"/>
      <c r="AT1717" s="37"/>
      <c r="AU1717" s="37"/>
      <c r="AV1717" s="37"/>
      <c r="AW1717" s="37"/>
      <c r="AX1717" s="37"/>
      <c r="AY1717" s="34" t="s">
        <v>237</v>
      </c>
      <c r="AZ1717" s="34" t="s">
        <v>1857</v>
      </c>
      <c r="BA1717" s="63" t="s">
        <v>291</v>
      </c>
      <c r="BB1717" s="64"/>
      <c r="BC1717" s="64"/>
      <c r="BD1717" s="64"/>
      <c r="BE1717" s="64"/>
      <c r="BI1717" s="42">
        <v>1</v>
      </c>
    </row>
    <row r="1718" spans="1:64" ht="26.1" customHeight="1">
      <c r="A1718" s="32">
        <f t="shared" si="348"/>
        <v>969</v>
      </c>
      <c r="B1718" s="33" t="s">
        <v>1856</v>
      </c>
      <c r="C1718" s="102" t="s">
        <v>14</v>
      </c>
      <c r="D1718" s="35">
        <f t="shared" si="344"/>
        <v>57.71</v>
      </c>
      <c r="E1718" s="36"/>
      <c r="F1718" s="35">
        <f t="shared" si="349"/>
        <v>57.71</v>
      </c>
      <c r="G1718" s="37">
        <v>15.71</v>
      </c>
      <c r="H1718" s="37">
        <v>21</v>
      </c>
      <c r="I1718" s="37">
        <v>16</v>
      </c>
      <c r="J1718" s="37"/>
      <c r="K1718" s="37"/>
      <c r="L1718" s="37"/>
      <c r="M1718" s="37">
        <v>5</v>
      </c>
      <c r="N1718" s="37"/>
      <c r="O1718" s="37"/>
      <c r="P1718" s="37"/>
      <c r="Q1718" s="37"/>
      <c r="R1718" s="37"/>
      <c r="S1718" s="37"/>
      <c r="T1718" s="37"/>
      <c r="U1718" s="37"/>
      <c r="V1718" s="37"/>
      <c r="W1718" s="37"/>
      <c r="X1718" s="37"/>
      <c r="Y1718" s="37"/>
      <c r="Z1718" s="37"/>
      <c r="AA1718" s="37"/>
      <c r="AB1718" s="37"/>
      <c r="AC1718" s="37"/>
      <c r="AD1718" s="37"/>
      <c r="AE1718" s="37"/>
      <c r="AF1718" s="37"/>
      <c r="AG1718" s="37"/>
      <c r="AH1718" s="37"/>
      <c r="AI1718" s="37"/>
      <c r="AJ1718" s="37"/>
      <c r="AK1718" s="37"/>
      <c r="AL1718" s="37"/>
      <c r="AM1718" s="37"/>
      <c r="AN1718" s="37"/>
      <c r="AO1718" s="37"/>
      <c r="AP1718" s="37"/>
      <c r="AQ1718" s="37"/>
      <c r="AR1718" s="37"/>
      <c r="AS1718" s="37"/>
      <c r="AT1718" s="37"/>
      <c r="AU1718" s="37"/>
      <c r="AV1718" s="37"/>
      <c r="AW1718" s="37"/>
      <c r="AX1718" s="37"/>
      <c r="AY1718" s="34" t="s">
        <v>238</v>
      </c>
      <c r="AZ1718" s="34" t="s">
        <v>615</v>
      </c>
      <c r="BA1718" s="63" t="s">
        <v>291</v>
      </c>
      <c r="BB1718" s="64"/>
      <c r="BC1718" s="65"/>
      <c r="BD1718" s="65"/>
      <c r="BE1718" s="41"/>
      <c r="BI1718" s="42">
        <v>1</v>
      </c>
    </row>
    <row r="1719" spans="1:64" ht="26.1" customHeight="1">
      <c r="A1719" s="32">
        <f t="shared" si="348"/>
        <v>970</v>
      </c>
      <c r="B1719" s="33" t="s">
        <v>1856</v>
      </c>
      <c r="C1719" s="102" t="s">
        <v>14</v>
      </c>
      <c r="D1719" s="35">
        <f t="shared" si="344"/>
        <v>10.36</v>
      </c>
      <c r="E1719" s="36"/>
      <c r="F1719" s="35">
        <f t="shared" si="349"/>
        <v>10.36</v>
      </c>
      <c r="G1719" s="37">
        <v>9.26</v>
      </c>
      <c r="H1719" s="37"/>
      <c r="I1719" s="37">
        <v>1.1000000000000001</v>
      </c>
      <c r="J1719" s="37"/>
      <c r="K1719" s="37"/>
      <c r="L1719" s="37"/>
      <c r="M1719" s="37"/>
      <c r="N1719" s="37"/>
      <c r="O1719" s="37"/>
      <c r="P1719" s="37"/>
      <c r="Q1719" s="37"/>
      <c r="R1719" s="37"/>
      <c r="S1719" s="37"/>
      <c r="T1719" s="37"/>
      <c r="U1719" s="37"/>
      <c r="V1719" s="37"/>
      <c r="W1719" s="37"/>
      <c r="X1719" s="37"/>
      <c r="Y1719" s="37"/>
      <c r="Z1719" s="37"/>
      <c r="AA1719" s="37"/>
      <c r="AB1719" s="37"/>
      <c r="AC1719" s="37"/>
      <c r="AD1719" s="37"/>
      <c r="AE1719" s="37"/>
      <c r="AF1719" s="37"/>
      <c r="AG1719" s="37"/>
      <c r="AH1719" s="37"/>
      <c r="AI1719" s="37"/>
      <c r="AJ1719" s="37"/>
      <c r="AK1719" s="37"/>
      <c r="AL1719" s="37"/>
      <c r="AM1719" s="37"/>
      <c r="AN1719" s="37"/>
      <c r="AO1719" s="37"/>
      <c r="AP1719" s="37"/>
      <c r="AQ1719" s="37"/>
      <c r="AR1719" s="37"/>
      <c r="AS1719" s="37"/>
      <c r="AT1719" s="37"/>
      <c r="AU1719" s="37"/>
      <c r="AV1719" s="37"/>
      <c r="AW1719" s="37"/>
      <c r="AX1719" s="37"/>
      <c r="AY1719" s="34" t="s">
        <v>240</v>
      </c>
      <c r="AZ1719" s="34" t="s">
        <v>615</v>
      </c>
      <c r="BA1719" s="63" t="s">
        <v>291</v>
      </c>
      <c r="BB1719" s="64"/>
      <c r="BE1719" s="41"/>
      <c r="BI1719" s="42">
        <v>1</v>
      </c>
    </row>
    <row r="1720" spans="1:64" ht="26.1" customHeight="1">
      <c r="A1720" s="32">
        <f t="shared" si="348"/>
        <v>971</v>
      </c>
      <c r="B1720" s="33" t="s">
        <v>1856</v>
      </c>
      <c r="C1720" s="102" t="s">
        <v>14</v>
      </c>
      <c r="D1720" s="35">
        <f t="shared" si="344"/>
        <v>32.76</v>
      </c>
      <c r="E1720" s="36"/>
      <c r="F1720" s="35">
        <f t="shared" si="349"/>
        <v>32.76</v>
      </c>
      <c r="G1720" s="37">
        <v>10.36</v>
      </c>
      <c r="H1720" s="37">
        <v>2.4</v>
      </c>
      <c r="I1720" s="37"/>
      <c r="J1720" s="37"/>
      <c r="K1720" s="37"/>
      <c r="L1720" s="37"/>
      <c r="M1720" s="37">
        <v>20</v>
      </c>
      <c r="N1720" s="37"/>
      <c r="O1720" s="37"/>
      <c r="P1720" s="37"/>
      <c r="Q1720" s="37"/>
      <c r="R1720" s="37"/>
      <c r="S1720" s="37"/>
      <c r="T1720" s="37"/>
      <c r="U1720" s="37"/>
      <c r="V1720" s="37"/>
      <c r="W1720" s="37"/>
      <c r="X1720" s="37"/>
      <c r="Y1720" s="37"/>
      <c r="Z1720" s="37"/>
      <c r="AA1720" s="37"/>
      <c r="AB1720" s="37"/>
      <c r="AC1720" s="37"/>
      <c r="AD1720" s="37"/>
      <c r="AE1720" s="37"/>
      <c r="AF1720" s="37"/>
      <c r="AG1720" s="37"/>
      <c r="AH1720" s="37"/>
      <c r="AI1720" s="37"/>
      <c r="AJ1720" s="37"/>
      <c r="AK1720" s="37"/>
      <c r="AL1720" s="37"/>
      <c r="AM1720" s="37"/>
      <c r="AN1720" s="37"/>
      <c r="AO1720" s="37"/>
      <c r="AP1720" s="37"/>
      <c r="AQ1720" s="37"/>
      <c r="AR1720" s="37"/>
      <c r="AS1720" s="37"/>
      <c r="AT1720" s="37"/>
      <c r="AU1720" s="37"/>
      <c r="AV1720" s="37"/>
      <c r="AW1720" s="37"/>
      <c r="AX1720" s="37"/>
      <c r="AY1720" s="34" t="s">
        <v>241</v>
      </c>
      <c r="AZ1720" s="34" t="s">
        <v>615</v>
      </c>
      <c r="BA1720" s="39" t="s">
        <v>291</v>
      </c>
      <c r="BB1720" s="40"/>
      <c r="BE1720" s="41"/>
      <c r="BI1720" s="42">
        <v>1</v>
      </c>
    </row>
    <row r="1721" spans="1:64" ht="26.1" customHeight="1">
      <c r="A1721" s="32">
        <f>A1720+1</f>
        <v>972</v>
      </c>
      <c r="B1721" s="33" t="s">
        <v>1856</v>
      </c>
      <c r="C1721" s="102" t="s">
        <v>14</v>
      </c>
      <c r="D1721" s="35">
        <f>E1721+F1721</f>
        <v>0.68</v>
      </c>
      <c r="E1721" s="36"/>
      <c r="F1721" s="35">
        <f t="shared" si="349"/>
        <v>0.68</v>
      </c>
      <c r="G1721" s="37"/>
      <c r="H1721" s="37"/>
      <c r="I1721" s="37"/>
      <c r="J1721" s="37"/>
      <c r="K1721" s="37"/>
      <c r="L1721" s="37"/>
      <c r="M1721" s="37">
        <v>0.68</v>
      </c>
      <c r="N1721" s="37"/>
      <c r="O1721" s="37"/>
      <c r="P1721" s="37"/>
      <c r="Q1721" s="37"/>
      <c r="R1721" s="37"/>
      <c r="S1721" s="37"/>
      <c r="T1721" s="37"/>
      <c r="U1721" s="37"/>
      <c r="V1721" s="37"/>
      <c r="W1721" s="37"/>
      <c r="X1721" s="37"/>
      <c r="Y1721" s="37"/>
      <c r="Z1721" s="37"/>
      <c r="AA1721" s="37"/>
      <c r="AB1721" s="37"/>
      <c r="AC1721" s="37"/>
      <c r="AD1721" s="37"/>
      <c r="AE1721" s="37"/>
      <c r="AF1721" s="37"/>
      <c r="AG1721" s="37"/>
      <c r="AH1721" s="37"/>
      <c r="AI1721" s="37"/>
      <c r="AJ1721" s="37"/>
      <c r="AK1721" s="37"/>
      <c r="AL1721" s="37"/>
      <c r="AM1721" s="37"/>
      <c r="AN1721" s="37"/>
      <c r="AO1721" s="37"/>
      <c r="AP1721" s="37"/>
      <c r="AQ1721" s="37"/>
      <c r="AR1721" s="37"/>
      <c r="AS1721" s="37"/>
      <c r="AT1721" s="37"/>
      <c r="AU1721" s="37"/>
      <c r="AV1721" s="37"/>
      <c r="AW1721" s="37"/>
      <c r="AX1721" s="37"/>
      <c r="AY1721" s="34" t="s">
        <v>289</v>
      </c>
      <c r="AZ1721" s="34" t="s">
        <v>1790</v>
      </c>
      <c r="BA1721" s="63" t="s">
        <v>298</v>
      </c>
      <c r="BB1721" s="40"/>
      <c r="BE1721" s="41"/>
      <c r="BI1721" s="42"/>
      <c r="BL1721" s="15" t="s">
        <v>311</v>
      </c>
    </row>
    <row r="1722" spans="1:64" s="24" customFormat="1" ht="26.1" customHeight="1">
      <c r="A1722" s="20" t="s">
        <v>1858</v>
      </c>
      <c r="B1722" s="179" t="s">
        <v>1859</v>
      </c>
      <c r="C1722" s="29"/>
      <c r="D1722" s="27">
        <f t="shared" si="344"/>
        <v>15.099999999999998</v>
      </c>
      <c r="E1722" s="100">
        <f>SUM(E1723:E1730)</f>
        <v>0</v>
      </c>
      <c r="F1722" s="27">
        <f t="shared" si="349"/>
        <v>15.099999999999998</v>
      </c>
      <c r="G1722" s="28">
        <f>SUM(G1723:G1730)</f>
        <v>8.879999999999999</v>
      </c>
      <c r="H1722" s="28">
        <f t="shared" ref="H1722:AX1722" si="350">SUM(H1723:H1730)</f>
        <v>3.52</v>
      </c>
      <c r="I1722" s="28">
        <f t="shared" si="350"/>
        <v>0.76</v>
      </c>
      <c r="J1722" s="28">
        <f t="shared" si="350"/>
        <v>0</v>
      </c>
      <c r="K1722" s="28">
        <f t="shared" si="350"/>
        <v>0</v>
      </c>
      <c r="L1722" s="28">
        <f t="shared" si="350"/>
        <v>0</v>
      </c>
      <c r="M1722" s="28">
        <f t="shared" si="350"/>
        <v>0.2</v>
      </c>
      <c r="N1722" s="28">
        <f t="shared" si="350"/>
        <v>0</v>
      </c>
      <c r="O1722" s="28">
        <f t="shared" si="350"/>
        <v>0</v>
      </c>
      <c r="P1722" s="28">
        <f t="shared" si="350"/>
        <v>1.74</v>
      </c>
      <c r="Q1722" s="28">
        <f t="shared" si="350"/>
        <v>0</v>
      </c>
      <c r="R1722" s="28">
        <f t="shared" si="350"/>
        <v>0</v>
      </c>
      <c r="S1722" s="28">
        <f t="shared" si="350"/>
        <v>0</v>
      </c>
      <c r="T1722" s="28">
        <f t="shared" si="350"/>
        <v>0</v>
      </c>
      <c r="U1722" s="28">
        <f t="shared" si="350"/>
        <v>0</v>
      </c>
      <c r="V1722" s="28">
        <f t="shared" si="350"/>
        <v>0</v>
      </c>
      <c r="W1722" s="28">
        <f t="shared" si="350"/>
        <v>0</v>
      </c>
      <c r="X1722" s="28">
        <f t="shared" si="350"/>
        <v>0</v>
      </c>
      <c r="Y1722" s="28">
        <f t="shared" si="350"/>
        <v>0</v>
      </c>
      <c r="Z1722" s="28">
        <f t="shared" si="350"/>
        <v>0</v>
      </c>
      <c r="AA1722" s="28">
        <f t="shared" si="350"/>
        <v>0</v>
      </c>
      <c r="AB1722" s="28">
        <f t="shared" si="350"/>
        <v>0</v>
      </c>
      <c r="AC1722" s="28">
        <f t="shared" si="350"/>
        <v>0</v>
      </c>
      <c r="AD1722" s="28">
        <f t="shared" si="350"/>
        <v>0</v>
      </c>
      <c r="AE1722" s="28">
        <f t="shared" si="350"/>
        <v>0</v>
      </c>
      <c r="AF1722" s="28">
        <f t="shared" si="350"/>
        <v>0</v>
      </c>
      <c r="AG1722" s="28">
        <f t="shared" si="350"/>
        <v>0</v>
      </c>
      <c r="AH1722" s="28">
        <f t="shared" si="350"/>
        <v>0</v>
      </c>
      <c r="AI1722" s="28">
        <f t="shared" si="350"/>
        <v>0</v>
      </c>
      <c r="AJ1722" s="28">
        <f t="shared" si="350"/>
        <v>0</v>
      </c>
      <c r="AK1722" s="28">
        <f t="shared" si="350"/>
        <v>0</v>
      </c>
      <c r="AL1722" s="28">
        <f t="shared" si="350"/>
        <v>0</v>
      </c>
      <c r="AM1722" s="28">
        <f t="shared" si="350"/>
        <v>0</v>
      </c>
      <c r="AN1722" s="28">
        <f t="shared" si="350"/>
        <v>0</v>
      </c>
      <c r="AO1722" s="28">
        <f t="shared" si="350"/>
        <v>0</v>
      </c>
      <c r="AP1722" s="28">
        <f t="shared" si="350"/>
        <v>0</v>
      </c>
      <c r="AQ1722" s="28">
        <f t="shared" si="350"/>
        <v>0</v>
      </c>
      <c r="AR1722" s="28">
        <f t="shared" si="350"/>
        <v>0</v>
      </c>
      <c r="AS1722" s="28">
        <f t="shared" si="350"/>
        <v>0</v>
      </c>
      <c r="AT1722" s="28">
        <f t="shared" si="350"/>
        <v>0</v>
      </c>
      <c r="AU1722" s="28">
        <f t="shared" si="350"/>
        <v>0</v>
      </c>
      <c r="AV1722" s="28">
        <f t="shared" si="350"/>
        <v>0</v>
      </c>
      <c r="AW1722" s="28">
        <f t="shared" si="350"/>
        <v>0</v>
      </c>
      <c r="AX1722" s="28">
        <f t="shared" si="350"/>
        <v>0</v>
      </c>
      <c r="AY1722" s="29"/>
      <c r="AZ1722" s="29"/>
      <c r="BA1722" s="30"/>
      <c r="BB1722" s="31"/>
      <c r="BI1722" s="42"/>
    </row>
    <row r="1723" spans="1:64" ht="26.1" customHeight="1">
      <c r="A1723" s="32">
        <f>A1721+1</f>
        <v>973</v>
      </c>
      <c r="B1723" s="33" t="s">
        <v>1860</v>
      </c>
      <c r="C1723" s="34" t="s">
        <v>19</v>
      </c>
      <c r="D1723" s="35">
        <f t="shared" si="344"/>
        <v>3.7</v>
      </c>
      <c r="E1723" s="36"/>
      <c r="F1723" s="35">
        <f t="shared" ref="F1723:F1762" si="351">SUM(G1723:AX1723)</f>
        <v>3.7</v>
      </c>
      <c r="G1723" s="43">
        <v>0.68</v>
      </c>
      <c r="H1723" s="43">
        <f>0.4+0.82</f>
        <v>1.22</v>
      </c>
      <c r="I1723" s="43">
        <v>0.06</v>
      </c>
      <c r="J1723" s="43"/>
      <c r="K1723" s="43"/>
      <c r="L1723" s="43"/>
      <c r="M1723" s="43"/>
      <c r="N1723" s="43"/>
      <c r="O1723" s="43"/>
      <c r="P1723" s="43">
        <v>1.74</v>
      </c>
      <c r="Q1723" s="43"/>
      <c r="R1723" s="43"/>
      <c r="S1723" s="43"/>
      <c r="T1723" s="43"/>
      <c r="U1723" s="43"/>
      <c r="V1723" s="43"/>
      <c r="W1723" s="43"/>
      <c r="X1723" s="43"/>
      <c r="Y1723" s="43"/>
      <c r="Z1723" s="43"/>
      <c r="AA1723" s="43"/>
      <c r="AB1723" s="43"/>
      <c r="AC1723" s="43"/>
      <c r="AD1723" s="43"/>
      <c r="AE1723" s="43"/>
      <c r="AF1723" s="43"/>
      <c r="AG1723" s="43"/>
      <c r="AH1723" s="43"/>
      <c r="AI1723" s="43"/>
      <c r="AJ1723" s="43"/>
      <c r="AK1723" s="43"/>
      <c r="AL1723" s="43"/>
      <c r="AM1723" s="43"/>
      <c r="AN1723" s="43"/>
      <c r="AO1723" s="43"/>
      <c r="AP1723" s="43"/>
      <c r="AQ1723" s="43"/>
      <c r="AR1723" s="43"/>
      <c r="AS1723" s="43"/>
      <c r="AT1723" s="43"/>
      <c r="AU1723" s="43"/>
      <c r="AV1723" s="43"/>
      <c r="AW1723" s="43"/>
      <c r="AX1723" s="43"/>
      <c r="AY1723" s="38" t="s">
        <v>225</v>
      </c>
      <c r="AZ1723" s="70" t="s">
        <v>615</v>
      </c>
      <c r="BA1723" s="63" t="s">
        <v>291</v>
      </c>
      <c r="BB1723" s="64"/>
      <c r="BI1723" s="42">
        <v>1</v>
      </c>
    </row>
    <row r="1724" spans="1:64" s="71" customFormat="1" ht="26.1" customHeight="1">
      <c r="A1724" s="127">
        <f t="shared" ref="A1724:A1730" si="352">A1723+1</f>
        <v>974</v>
      </c>
      <c r="B1724" s="33" t="s">
        <v>1860</v>
      </c>
      <c r="C1724" s="118" t="s">
        <v>19</v>
      </c>
      <c r="D1724" s="35">
        <f t="shared" si="344"/>
        <v>1</v>
      </c>
      <c r="E1724" s="67"/>
      <c r="F1724" s="35">
        <f t="shared" si="351"/>
        <v>1</v>
      </c>
      <c r="G1724" s="68">
        <v>0.6</v>
      </c>
      <c r="H1724" s="68">
        <v>0.4</v>
      </c>
      <c r="I1724" s="68"/>
      <c r="J1724" s="68"/>
      <c r="K1724" s="68"/>
      <c r="L1724" s="68"/>
      <c r="M1724" s="68"/>
      <c r="N1724" s="68"/>
      <c r="O1724" s="68"/>
      <c r="P1724" s="68"/>
      <c r="Q1724" s="68"/>
      <c r="R1724" s="68"/>
      <c r="S1724" s="68"/>
      <c r="T1724" s="68"/>
      <c r="U1724" s="68"/>
      <c r="V1724" s="68"/>
      <c r="W1724" s="68"/>
      <c r="X1724" s="68"/>
      <c r="Y1724" s="68"/>
      <c r="Z1724" s="68"/>
      <c r="AA1724" s="68"/>
      <c r="AB1724" s="68"/>
      <c r="AC1724" s="68"/>
      <c r="AD1724" s="68"/>
      <c r="AE1724" s="68"/>
      <c r="AF1724" s="68"/>
      <c r="AG1724" s="68"/>
      <c r="AH1724" s="68"/>
      <c r="AI1724" s="68"/>
      <c r="AJ1724" s="68"/>
      <c r="AK1724" s="68"/>
      <c r="AL1724" s="68"/>
      <c r="AM1724" s="68"/>
      <c r="AN1724" s="68"/>
      <c r="AO1724" s="68"/>
      <c r="AP1724" s="68"/>
      <c r="AQ1724" s="68"/>
      <c r="AR1724" s="68"/>
      <c r="AS1724" s="68"/>
      <c r="AT1724" s="68"/>
      <c r="AU1724" s="68"/>
      <c r="AV1724" s="68"/>
      <c r="AW1724" s="68"/>
      <c r="AX1724" s="68"/>
      <c r="AY1724" s="70" t="s">
        <v>983</v>
      </c>
      <c r="AZ1724" s="70" t="s">
        <v>615</v>
      </c>
      <c r="BA1724" s="70" t="s">
        <v>291</v>
      </c>
      <c r="BB1724" s="81"/>
      <c r="BI1724" s="42">
        <v>1</v>
      </c>
      <c r="BK1724" s="72"/>
    </row>
    <row r="1725" spans="1:64" s="49" customFormat="1" ht="26.1" customHeight="1">
      <c r="A1725" s="127">
        <f t="shared" si="352"/>
        <v>975</v>
      </c>
      <c r="B1725" s="33" t="s">
        <v>1860</v>
      </c>
      <c r="C1725" s="34" t="s">
        <v>19</v>
      </c>
      <c r="D1725" s="35">
        <f t="shared" si="344"/>
        <v>3</v>
      </c>
      <c r="E1725" s="36"/>
      <c r="F1725" s="35">
        <f t="shared" si="351"/>
        <v>3</v>
      </c>
      <c r="G1725" s="43">
        <v>2.6</v>
      </c>
      <c r="H1725" s="43">
        <v>0.4</v>
      </c>
      <c r="I1725" s="43"/>
      <c r="J1725" s="43"/>
      <c r="K1725" s="46"/>
      <c r="L1725" s="46"/>
      <c r="M1725" s="46"/>
      <c r="N1725" s="46"/>
      <c r="O1725" s="46"/>
      <c r="P1725" s="46"/>
      <c r="Q1725" s="46"/>
      <c r="R1725" s="46"/>
      <c r="S1725" s="46"/>
      <c r="T1725" s="46"/>
      <c r="U1725" s="46"/>
      <c r="V1725" s="46"/>
      <c r="W1725" s="46"/>
      <c r="X1725" s="46"/>
      <c r="Y1725" s="46"/>
      <c r="Z1725" s="46"/>
      <c r="AA1725" s="46"/>
      <c r="AB1725" s="46"/>
      <c r="AC1725" s="46"/>
      <c r="AD1725" s="46"/>
      <c r="AE1725" s="46"/>
      <c r="AF1725" s="46"/>
      <c r="AG1725" s="46"/>
      <c r="AH1725" s="46"/>
      <c r="AI1725" s="46"/>
      <c r="AJ1725" s="46"/>
      <c r="AK1725" s="46"/>
      <c r="AL1725" s="46"/>
      <c r="AM1725" s="46"/>
      <c r="AN1725" s="46"/>
      <c r="AO1725" s="46"/>
      <c r="AP1725" s="46"/>
      <c r="AQ1725" s="46"/>
      <c r="AR1725" s="46"/>
      <c r="AS1725" s="46"/>
      <c r="AT1725" s="46"/>
      <c r="AU1725" s="46"/>
      <c r="AV1725" s="46"/>
      <c r="AW1725" s="46"/>
      <c r="AX1725" s="46"/>
      <c r="AY1725" s="34" t="s">
        <v>229</v>
      </c>
      <c r="AZ1725" s="70" t="s">
        <v>615</v>
      </c>
      <c r="BA1725" s="70" t="s">
        <v>291</v>
      </c>
      <c r="BB1725" s="81"/>
      <c r="BI1725" s="42">
        <v>1</v>
      </c>
      <c r="BK1725" s="50"/>
    </row>
    <row r="1726" spans="1:64" ht="26.1" customHeight="1">
      <c r="A1726" s="127">
        <f t="shared" si="352"/>
        <v>976</v>
      </c>
      <c r="B1726" s="33" t="s">
        <v>1860</v>
      </c>
      <c r="C1726" s="34" t="s">
        <v>19</v>
      </c>
      <c r="D1726" s="35">
        <f t="shared" si="344"/>
        <v>1</v>
      </c>
      <c r="E1726" s="45"/>
      <c r="F1726" s="35">
        <f t="shared" si="351"/>
        <v>1</v>
      </c>
      <c r="G1726" s="46"/>
      <c r="H1726" s="46">
        <v>1</v>
      </c>
      <c r="I1726" s="46"/>
      <c r="J1726" s="46"/>
      <c r="K1726" s="46"/>
      <c r="L1726" s="46"/>
      <c r="M1726" s="46"/>
      <c r="N1726" s="46"/>
      <c r="O1726" s="46"/>
      <c r="P1726" s="46"/>
      <c r="Q1726" s="46"/>
      <c r="R1726" s="46"/>
      <c r="S1726" s="46"/>
      <c r="T1726" s="46"/>
      <c r="U1726" s="46"/>
      <c r="V1726" s="46"/>
      <c r="W1726" s="46"/>
      <c r="X1726" s="46"/>
      <c r="Y1726" s="46"/>
      <c r="Z1726" s="46"/>
      <c r="AA1726" s="46"/>
      <c r="AB1726" s="46"/>
      <c r="AC1726" s="46"/>
      <c r="AD1726" s="46"/>
      <c r="AE1726" s="46"/>
      <c r="AF1726" s="46"/>
      <c r="AG1726" s="46"/>
      <c r="AH1726" s="46"/>
      <c r="AI1726" s="46"/>
      <c r="AJ1726" s="46"/>
      <c r="AK1726" s="46"/>
      <c r="AL1726" s="46"/>
      <c r="AM1726" s="46"/>
      <c r="AN1726" s="46"/>
      <c r="AO1726" s="46"/>
      <c r="AP1726" s="46"/>
      <c r="AQ1726" s="46"/>
      <c r="AR1726" s="46"/>
      <c r="AS1726" s="46"/>
      <c r="AT1726" s="46"/>
      <c r="AU1726" s="46"/>
      <c r="AV1726" s="46"/>
      <c r="AW1726" s="46"/>
      <c r="AX1726" s="46"/>
      <c r="AY1726" s="34" t="s">
        <v>230</v>
      </c>
      <c r="AZ1726" s="70" t="s">
        <v>615</v>
      </c>
      <c r="BA1726" s="156" t="s">
        <v>291</v>
      </c>
      <c r="BI1726" s="42">
        <v>1</v>
      </c>
    </row>
    <row r="1727" spans="1:64" s="49" customFormat="1" ht="26.1" customHeight="1">
      <c r="A1727" s="127">
        <f t="shared" si="352"/>
        <v>977</v>
      </c>
      <c r="B1727" s="33" t="s">
        <v>1860</v>
      </c>
      <c r="C1727" s="34" t="s">
        <v>19</v>
      </c>
      <c r="D1727" s="35">
        <f t="shared" si="344"/>
        <v>1.4</v>
      </c>
      <c r="E1727" s="45"/>
      <c r="F1727" s="35">
        <f>SUM(G1727:AX1727)</f>
        <v>1.4</v>
      </c>
      <c r="G1727" s="46">
        <v>1.4</v>
      </c>
      <c r="H1727" s="46"/>
      <c r="I1727" s="46"/>
      <c r="J1727" s="46"/>
      <c r="K1727" s="46"/>
      <c r="L1727" s="46"/>
      <c r="M1727" s="46"/>
      <c r="N1727" s="46"/>
      <c r="O1727" s="46"/>
      <c r="P1727" s="46"/>
      <c r="Q1727" s="46"/>
      <c r="R1727" s="46"/>
      <c r="S1727" s="46"/>
      <c r="T1727" s="46"/>
      <c r="U1727" s="46"/>
      <c r="V1727" s="46"/>
      <c r="W1727" s="46"/>
      <c r="X1727" s="46"/>
      <c r="Y1727" s="46"/>
      <c r="Z1727" s="46"/>
      <c r="AA1727" s="46"/>
      <c r="AB1727" s="46"/>
      <c r="AC1727" s="46"/>
      <c r="AD1727" s="46"/>
      <c r="AE1727" s="46"/>
      <c r="AF1727" s="46"/>
      <c r="AG1727" s="46"/>
      <c r="AH1727" s="46"/>
      <c r="AI1727" s="46"/>
      <c r="AJ1727" s="46"/>
      <c r="AK1727" s="46"/>
      <c r="AL1727" s="46"/>
      <c r="AM1727" s="46"/>
      <c r="AN1727" s="46"/>
      <c r="AO1727" s="46"/>
      <c r="AP1727" s="46"/>
      <c r="AQ1727" s="46"/>
      <c r="AR1727" s="46"/>
      <c r="AS1727" s="46"/>
      <c r="AT1727" s="46"/>
      <c r="AU1727" s="46"/>
      <c r="AV1727" s="46"/>
      <c r="AW1727" s="46"/>
      <c r="AX1727" s="46"/>
      <c r="AY1727" s="47" t="s">
        <v>233</v>
      </c>
      <c r="AZ1727" s="70" t="s">
        <v>615</v>
      </c>
      <c r="BA1727" s="93" t="s">
        <v>291</v>
      </c>
      <c r="BB1727" s="50"/>
      <c r="BI1727" s="42">
        <v>1</v>
      </c>
      <c r="BK1727" s="50"/>
    </row>
    <row r="1728" spans="1:64" ht="26.1" customHeight="1">
      <c r="A1728" s="127">
        <f t="shared" si="352"/>
        <v>978</v>
      </c>
      <c r="B1728" s="33" t="s">
        <v>1860</v>
      </c>
      <c r="C1728" s="34" t="s">
        <v>19</v>
      </c>
      <c r="D1728" s="35">
        <f t="shared" si="344"/>
        <v>0.2</v>
      </c>
      <c r="E1728" s="45"/>
      <c r="F1728" s="35">
        <f>SUM(G1728:AX1728)</f>
        <v>0.2</v>
      </c>
      <c r="G1728" s="37"/>
      <c r="H1728" s="37"/>
      <c r="I1728" s="37"/>
      <c r="J1728" s="37"/>
      <c r="K1728" s="37"/>
      <c r="L1728" s="37"/>
      <c r="M1728" s="37">
        <v>0.2</v>
      </c>
      <c r="N1728" s="37"/>
      <c r="O1728" s="37"/>
      <c r="P1728" s="37"/>
      <c r="Q1728" s="37"/>
      <c r="R1728" s="37"/>
      <c r="S1728" s="37"/>
      <c r="T1728" s="37"/>
      <c r="U1728" s="37"/>
      <c r="V1728" s="37"/>
      <c r="W1728" s="37"/>
      <c r="X1728" s="37"/>
      <c r="Y1728" s="37"/>
      <c r="Z1728" s="37"/>
      <c r="AA1728" s="37"/>
      <c r="AB1728" s="37"/>
      <c r="AC1728" s="37"/>
      <c r="AD1728" s="37"/>
      <c r="AE1728" s="37"/>
      <c r="AF1728" s="37"/>
      <c r="AG1728" s="37"/>
      <c r="AH1728" s="37"/>
      <c r="AI1728" s="37"/>
      <c r="AJ1728" s="37"/>
      <c r="AK1728" s="37"/>
      <c r="AL1728" s="37"/>
      <c r="AM1728" s="37"/>
      <c r="AN1728" s="37"/>
      <c r="AO1728" s="37"/>
      <c r="AP1728" s="37"/>
      <c r="AQ1728" s="37"/>
      <c r="AR1728" s="37"/>
      <c r="AS1728" s="37"/>
      <c r="AT1728" s="37"/>
      <c r="AU1728" s="37"/>
      <c r="AV1728" s="37"/>
      <c r="AW1728" s="37"/>
      <c r="AX1728" s="37"/>
      <c r="AY1728" s="34" t="s">
        <v>429</v>
      </c>
      <c r="AZ1728" s="34" t="s">
        <v>514</v>
      </c>
      <c r="BA1728" s="47" t="s">
        <v>298</v>
      </c>
      <c r="BB1728" s="48"/>
      <c r="BI1728" s="42">
        <v>1</v>
      </c>
    </row>
    <row r="1729" spans="1:63" ht="26.1" customHeight="1">
      <c r="A1729" s="127">
        <f t="shared" si="352"/>
        <v>979</v>
      </c>
      <c r="B1729" s="33" t="s">
        <v>1860</v>
      </c>
      <c r="C1729" s="34" t="s">
        <v>19</v>
      </c>
      <c r="D1729" s="35">
        <f t="shared" si="344"/>
        <v>2.1</v>
      </c>
      <c r="E1729" s="36"/>
      <c r="F1729" s="35">
        <f t="shared" si="351"/>
        <v>2.1</v>
      </c>
      <c r="G1729" s="43">
        <v>2.1</v>
      </c>
      <c r="H1729" s="43"/>
      <c r="I1729" s="43"/>
      <c r="J1729" s="43"/>
      <c r="K1729" s="43"/>
      <c r="L1729" s="43"/>
      <c r="M1729" s="43"/>
      <c r="N1729" s="43"/>
      <c r="O1729" s="43"/>
      <c r="P1729" s="43"/>
      <c r="Q1729" s="43"/>
      <c r="R1729" s="43"/>
      <c r="S1729" s="43"/>
      <c r="T1729" s="43"/>
      <c r="U1729" s="43"/>
      <c r="V1729" s="43"/>
      <c r="W1729" s="43"/>
      <c r="X1729" s="43"/>
      <c r="Y1729" s="43"/>
      <c r="Z1729" s="43"/>
      <c r="AA1729" s="43"/>
      <c r="AB1729" s="43"/>
      <c r="AC1729" s="43"/>
      <c r="AD1729" s="43"/>
      <c r="AE1729" s="43"/>
      <c r="AF1729" s="43"/>
      <c r="AG1729" s="43"/>
      <c r="AH1729" s="43"/>
      <c r="AI1729" s="43"/>
      <c r="AJ1729" s="43"/>
      <c r="AK1729" s="43"/>
      <c r="AL1729" s="43"/>
      <c r="AM1729" s="43"/>
      <c r="AN1729" s="43"/>
      <c r="AO1729" s="43"/>
      <c r="AP1729" s="43"/>
      <c r="AQ1729" s="43"/>
      <c r="AR1729" s="43"/>
      <c r="AS1729" s="43"/>
      <c r="AT1729" s="43"/>
      <c r="AU1729" s="43"/>
      <c r="AV1729" s="43"/>
      <c r="AW1729" s="43"/>
      <c r="AX1729" s="43"/>
      <c r="AY1729" s="34" t="s">
        <v>237</v>
      </c>
      <c r="AZ1729" s="34" t="s">
        <v>1857</v>
      </c>
      <c r="BA1729" s="63" t="s">
        <v>291</v>
      </c>
      <c r="BB1729" s="64"/>
      <c r="BC1729" s="64"/>
      <c r="BD1729" s="64"/>
      <c r="BE1729" s="64"/>
      <c r="BI1729" s="42">
        <v>1</v>
      </c>
    </row>
    <row r="1730" spans="1:63" ht="26.1" customHeight="1">
      <c r="A1730" s="127">
        <f t="shared" si="352"/>
        <v>980</v>
      </c>
      <c r="B1730" s="33" t="s">
        <v>1860</v>
      </c>
      <c r="C1730" s="118" t="s">
        <v>19</v>
      </c>
      <c r="D1730" s="35">
        <f t="shared" si="344"/>
        <v>2.7</v>
      </c>
      <c r="E1730" s="36"/>
      <c r="F1730" s="35">
        <f t="shared" si="351"/>
        <v>2.7</v>
      </c>
      <c r="G1730" s="43">
        <v>1.5</v>
      </c>
      <c r="H1730" s="43">
        <v>0.5</v>
      </c>
      <c r="I1730" s="43">
        <v>0.7</v>
      </c>
      <c r="J1730" s="43"/>
      <c r="K1730" s="43"/>
      <c r="L1730" s="43"/>
      <c r="M1730" s="43"/>
      <c r="N1730" s="43"/>
      <c r="O1730" s="43"/>
      <c r="P1730" s="43"/>
      <c r="Q1730" s="43"/>
      <c r="R1730" s="43"/>
      <c r="S1730" s="43"/>
      <c r="T1730" s="43"/>
      <c r="U1730" s="43"/>
      <c r="V1730" s="43"/>
      <c r="W1730" s="43"/>
      <c r="X1730" s="43"/>
      <c r="Y1730" s="43"/>
      <c r="Z1730" s="43"/>
      <c r="AA1730" s="43"/>
      <c r="AB1730" s="43"/>
      <c r="AC1730" s="43"/>
      <c r="AD1730" s="43"/>
      <c r="AE1730" s="43"/>
      <c r="AF1730" s="43"/>
      <c r="AG1730" s="43"/>
      <c r="AH1730" s="43"/>
      <c r="AI1730" s="43"/>
      <c r="AJ1730" s="43"/>
      <c r="AK1730" s="43"/>
      <c r="AL1730" s="43"/>
      <c r="AM1730" s="43"/>
      <c r="AN1730" s="43"/>
      <c r="AO1730" s="43"/>
      <c r="AP1730" s="43"/>
      <c r="AQ1730" s="43"/>
      <c r="AR1730" s="43"/>
      <c r="AS1730" s="43"/>
      <c r="AT1730" s="43"/>
      <c r="AU1730" s="43"/>
      <c r="AV1730" s="43"/>
      <c r="AW1730" s="43"/>
      <c r="AX1730" s="43"/>
      <c r="AY1730" s="34" t="s">
        <v>239</v>
      </c>
      <c r="AZ1730" s="34" t="s">
        <v>1857</v>
      </c>
      <c r="BA1730" s="39" t="s">
        <v>291</v>
      </c>
      <c r="BB1730" s="40"/>
      <c r="BI1730" s="42">
        <v>1</v>
      </c>
    </row>
    <row r="1731" spans="1:63" s="24" customFormat="1" ht="26.1" customHeight="1">
      <c r="A1731" s="20" t="s">
        <v>1861</v>
      </c>
      <c r="B1731" s="179" t="s">
        <v>89</v>
      </c>
      <c r="C1731" s="29"/>
      <c r="D1731" s="27">
        <f t="shared" si="344"/>
        <v>122.82000000000002</v>
      </c>
      <c r="E1731" s="133">
        <f>SUM(E1732:E1762)</f>
        <v>0</v>
      </c>
      <c r="F1731" s="27">
        <f>SUM(G1731:AX1731)</f>
        <v>122.82000000000002</v>
      </c>
      <c r="G1731" s="28">
        <f t="shared" ref="G1731:AW1731" si="353">SUM(G1732:G1762)</f>
        <v>6.1400000000000006</v>
      </c>
      <c r="H1731" s="28">
        <f t="shared" si="353"/>
        <v>4.5900000000000007</v>
      </c>
      <c r="I1731" s="28">
        <f t="shared" si="353"/>
        <v>7.27</v>
      </c>
      <c r="J1731" s="28">
        <f t="shared" si="353"/>
        <v>9.1900000000000013</v>
      </c>
      <c r="K1731" s="28">
        <f t="shared" si="353"/>
        <v>0</v>
      </c>
      <c r="L1731" s="28">
        <f t="shared" si="353"/>
        <v>0</v>
      </c>
      <c r="M1731" s="28">
        <f t="shared" si="353"/>
        <v>93.160000000000025</v>
      </c>
      <c r="N1731" s="28">
        <f t="shared" si="353"/>
        <v>0</v>
      </c>
      <c r="O1731" s="28">
        <f t="shared" si="353"/>
        <v>0</v>
      </c>
      <c r="P1731" s="28">
        <f t="shared" si="353"/>
        <v>2.13</v>
      </c>
      <c r="Q1731" s="28">
        <f t="shared" si="353"/>
        <v>0</v>
      </c>
      <c r="R1731" s="28">
        <f t="shared" si="353"/>
        <v>0</v>
      </c>
      <c r="S1731" s="28">
        <f t="shared" si="353"/>
        <v>0</v>
      </c>
      <c r="T1731" s="28">
        <f t="shared" si="353"/>
        <v>0</v>
      </c>
      <c r="U1731" s="28">
        <f t="shared" si="353"/>
        <v>0</v>
      </c>
      <c r="V1731" s="28">
        <f t="shared" si="353"/>
        <v>0</v>
      </c>
      <c r="W1731" s="28">
        <f t="shared" si="353"/>
        <v>0</v>
      </c>
      <c r="X1731" s="28">
        <f t="shared" si="353"/>
        <v>0</v>
      </c>
      <c r="Y1731" s="28">
        <f t="shared" si="353"/>
        <v>0</v>
      </c>
      <c r="Z1731" s="28">
        <f t="shared" si="353"/>
        <v>0.04</v>
      </c>
      <c r="AA1731" s="28">
        <f t="shared" si="353"/>
        <v>0.06</v>
      </c>
      <c r="AB1731" s="28">
        <f t="shared" si="353"/>
        <v>0</v>
      </c>
      <c r="AC1731" s="28">
        <f t="shared" si="353"/>
        <v>0</v>
      </c>
      <c r="AD1731" s="28">
        <f t="shared" si="353"/>
        <v>0</v>
      </c>
      <c r="AE1731" s="28">
        <f t="shared" si="353"/>
        <v>0</v>
      </c>
      <c r="AF1731" s="28">
        <f t="shared" si="353"/>
        <v>0</v>
      </c>
      <c r="AG1731" s="28">
        <f t="shared" si="353"/>
        <v>0</v>
      </c>
      <c r="AH1731" s="28">
        <f t="shared" si="353"/>
        <v>0</v>
      </c>
      <c r="AI1731" s="28">
        <f t="shared" si="353"/>
        <v>0</v>
      </c>
      <c r="AJ1731" s="28">
        <f t="shared" si="353"/>
        <v>0</v>
      </c>
      <c r="AK1731" s="28">
        <f t="shared" si="353"/>
        <v>0</v>
      </c>
      <c r="AL1731" s="28">
        <f t="shared" si="353"/>
        <v>0</v>
      </c>
      <c r="AM1731" s="28">
        <f t="shared" si="353"/>
        <v>0</v>
      </c>
      <c r="AN1731" s="28">
        <f t="shared" si="353"/>
        <v>0</v>
      </c>
      <c r="AO1731" s="28">
        <f t="shared" si="353"/>
        <v>0</v>
      </c>
      <c r="AP1731" s="28">
        <f t="shared" si="353"/>
        <v>0</v>
      </c>
      <c r="AQ1731" s="28">
        <f t="shared" si="353"/>
        <v>0</v>
      </c>
      <c r="AR1731" s="28">
        <f t="shared" si="353"/>
        <v>0</v>
      </c>
      <c r="AS1731" s="28">
        <f t="shared" si="353"/>
        <v>0</v>
      </c>
      <c r="AT1731" s="28">
        <f t="shared" si="353"/>
        <v>0</v>
      </c>
      <c r="AU1731" s="28">
        <f t="shared" si="353"/>
        <v>0</v>
      </c>
      <c r="AV1731" s="28">
        <f t="shared" si="353"/>
        <v>0</v>
      </c>
      <c r="AW1731" s="28">
        <f t="shared" si="353"/>
        <v>0</v>
      </c>
      <c r="AX1731" s="28">
        <f>SUM(AX1732:AX1762)</f>
        <v>0.24</v>
      </c>
      <c r="AY1731" s="29"/>
      <c r="AZ1731" s="29"/>
      <c r="BA1731" s="30"/>
      <c r="BB1731" s="31"/>
      <c r="BI1731" s="42"/>
    </row>
    <row r="1732" spans="1:63" ht="26.1" customHeight="1">
      <c r="A1732" s="32">
        <f>A1730+1</f>
        <v>981</v>
      </c>
      <c r="B1732" s="60" t="s">
        <v>89</v>
      </c>
      <c r="C1732" s="34" t="s">
        <v>20</v>
      </c>
      <c r="D1732" s="35">
        <f t="shared" si="344"/>
        <v>1.8</v>
      </c>
      <c r="E1732" s="36"/>
      <c r="F1732" s="35">
        <f t="shared" si="351"/>
        <v>1.8</v>
      </c>
      <c r="G1732" s="37"/>
      <c r="H1732" s="37">
        <v>7.0000000000000007E-2</v>
      </c>
      <c r="I1732" s="37"/>
      <c r="J1732" s="37">
        <v>1.73</v>
      </c>
      <c r="K1732" s="37"/>
      <c r="L1732" s="37"/>
      <c r="M1732" s="37"/>
      <c r="N1732" s="37"/>
      <c r="O1732" s="37"/>
      <c r="P1732" s="37"/>
      <c r="Q1732" s="37"/>
      <c r="R1732" s="37"/>
      <c r="S1732" s="37"/>
      <c r="T1732" s="37"/>
      <c r="U1732" s="37"/>
      <c r="V1732" s="37"/>
      <c r="W1732" s="37"/>
      <c r="X1732" s="37"/>
      <c r="Y1732" s="37"/>
      <c r="Z1732" s="37"/>
      <c r="AA1732" s="37"/>
      <c r="AB1732" s="37"/>
      <c r="AC1732" s="37"/>
      <c r="AD1732" s="37"/>
      <c r="AE1732" s="37"/>
      <c r="AF1732" s="37"/>
      <c r="AG1732" s="37"/>
      <c r="AH1732" s="37"/>
      <c r="AI1732" s="37"/>
      <c r="AJ1732" s="37"/>
      <c r="AK1732" s="37"/>
      <c r="AL1732" s="37"/>
      <c r="AM1732" s="37"/>
      <c r="AN1732" s="37"/>
      <c r="AO1732" s="37"/>
      <c r="AP1732" s="37"/>
      <c r="AQ1732" s="37"/>
      <c r="AR1732" s="37"/>
      <c r="AS1732" s="37"/>
      <c r="AT1732" s="37"/>
      <c r="AU1732" s="37"/>
      <c r="AV1732" s="37"/>
      <c r="AW1732" s="37"/>
      <c r="AX1732" s="37"/>
      <c r="AY1732" s="34" t="s">
        <v>221</v>
      </c>
      <c r="AZ1732" s="47" t="s">
        <v>451</v>
      </c>
      <c r="BA1732" s="93" t="s">
        <v>291</v>
      </c>
      <c r="BB1732" s="48"/>
      <c r="BE1732" s="60" t="s">
        <v>1862</v>
      </c>
      <c r="BI1732" s="42">
        <v>1</v>
      </c>
    </row>
    <row r="1733" spans="1:63" ht="26.1" customHeight="1">
      <c r="A1733" s="32">
        <f>A1732+1</f>
        <v>982</v>
      </c>
      <c r="B1733" s="60" t="s">
        <v>89</v>
      </c>
      <c r="C1733" s="34" t="s">
        <v>20</v>
      </c>
      <c r="D1733" s="35">
        <f t="shared" si="344"/>
        <v>2.08</v>
      </c>
      <c r="E1733" s="36"/>
      <c r="F1733" s="35">
        <f t="shared" si="351"/>
        <v>2.08</v>
      </c>
      <c r="G1733" s="37"/>
      <c r="H1733" s="37"/>
      <c r="I1733" s="37"/>
      <c r="J1733" s="37"/>
      <c r="K1733" s="37"/>
      <c r="L1733" s="37"/>
      <c r="M1733" s="37">
        <v>1.88</v>
      </c>
      <c r="N1733" s="37"/>
      <c r="O1733" s="37"/>
      <c r="P1733" s="37">
        <v>0.2</v>
      </c>
      <c r="Q1733" s="37"/>
      <c r="R1733" s="37"/>
      <c r="S1733" s="37"/>
      <c r="T1733" s="37"/>
      <c r="U1733" s="37"/>
      <c r="V1733" s="37"/>
      <c r="W1733" s="37"/>
      <c r="X1733" s="37"/>
      <c r="Y1733" s="37"/>
      <c r="Z1733" s="37"/>
      <c r="AA1733" s="37"/>
      <c r="AB1733" s="37"/>
      <c r="AC1733" s="37"/>
      <c r="AD1733" s="37"/>
      <c r="AE1733" s="37"/>
      <c r="AF1733" s="37"/>
      <c r="AG1733" s="37"/>
      <c r="AH1733" s="37"/>
      <c r="AI1733" s="37"/>
      <c r="AJ1733" s="37"/>
      <c r="AK1733" s="37"/>
      <c r="AL1733" s="37"/>
      <c r="AM1733" s="37"/>
      <c r="AN1733" s="37"/>
      <c r="AO1733" s="37"/>
      <c r="AP1733" s="37"/>
      <c r="AQ1733" s="37"/>
      <c r="AR1733" s="37"/>
      <c r="AS1733" s="37"/>
      <c r="AT1733" s="37"/>
      <c r="AU1733" s="37"/>
      <c r="AV1733" s="37"/>
      <c r="AW1733" s="37"/>
      <c r="AX1733" s="37"/>
      <c r="AY1733" s="34" t="s">
        <v>221</v>
      </c>
      <c r="AZ1733" s="47" t="s">
        <v>451</v>
      </c>
      <c r="BA1733" s="47" t="s">
        <v>298</v>
      </c>
      <c r="BB1733" s="48"/>
      <c r="BE1733" s="60" t="s">
        <v>1863</v>
      </c>
      <c r="BI1733" s="42">
        <v>1</v>
      </c>
    </row>
    <row r="1734" spans="1:63" ht="26.1" customHeight="1">
      <c r="A1734" s="32">
        <f>A1733+1</f>
        <v>983</v>
      </c>
      <c r="B1734" s="60" t="s">
        <v>89</v>
      </c>
      <c r="C1734" s="34" t="s">
        <v>20</v>
      </c>
      <c r="D1734" s="35">
        <f t="shared" si="344"/>
        <v>2.66</v>
      </c>
      <c r="E1734" s="36"/>
      <c r="F1734" s="35">
        <f t="shared" si="351"/>
        <v>2.66</v>
      </c>
      <c r="G1734" s="37"/>
      <c r="H1734" s="37"/>
      <c r="I1734" s="37"/>
      <c r="J1734" s="37"/>
      <c r="K1734" s="37"/>
      <c r="L1734" s="37"/>
      <c r="M1734" s="37">
        <v>2.66</v>
      </c>
      <c r="N1734" s="37"/>
      <c r="O1734" s="37"/>
      <c r="P1734" s="37"/>
      <c r="Q1734" s="37"/>
      <c r="R1734" s="37"/>
      <c r="S1734" s="37"/>
      <c r="T1734" s="37"/>
      <c r="U1734" s="37"/>
      <c r="V1734" s="37"/>
      <c r="W1734" s="37"/>
      <c r="X1734" s="37"/>
      <c r="Y1734" s="37"/>
      <c r="Z1734" s="37"/>
      <c r="AA1734" s="37"/>
      <c r="AB1734" s="37"/>
      <c r="AC1734" s="37"/>
      <c r="AD1734" s="37"/>
      <c r="AE1734" s="37"/>
      <c r="AF1734" s="37"/>
      <c r="AG1734" s="37"/>
      <c r="AH1734" s="37"/>
      <c r="AI1734" s="37"/>
      <c r="AJ1734" s="37"/>
      <c r="AK1734" s="37"/>
      <c r="AL1734" s="37"/>
      <c r="AM1734" s="37"/>
      <c r="AN1734" s="37"/>
      <c r="AO1734" s="37"/>
      <c r="AP1734" s="37"/>
      <c r="AQ1734" s="37"/>
      <c r="AR1734" s="37"/>
      <c r="AS1734" s="37"/>
      <c r="AT1734" s="37"/>
      <c r="AU1734" s="37"/>
      <c r="AV1734" s="37"/>
      <c r="AW1734" s="37"/>
      <c r="AX1734" s="37"/>
      <c r="AY1734" s="34" t="s">
        <v>221</v>
      </c>
      <c r="AZ1734" s="47" t="s">
        <v>308</v>
      </c>
      <c r="BA1734" s="47" t="s">
        <v>298</v>
      </c>
      <c r="BB1734" s="48"/>
      <c r="BE1734" s="60" t="s">
        <v>1864</v>
      </c>
      <c r="BI1734" s="42">
        <v>1</v>
      </c>
    </row>
    <row r="1735" spans="1:63" ht="26.1" customHeight="1">
      <c r="A1735" s="32">
        <f t="shared" ref="A1735:A1762" si="354">A1734+1</f>
        <v>984</v>
      </c>
      <c r="B1735" s="60" t="s">
        <v>89</v>
      </c>
      <c r="C1735" s="34" t="s">
        <v>20</v>
      </c>
      <c r="D1735" s="35">
        <f t="shared" si="344"/>
        <v>3.25</v>
      </c>
      <c r="E1735" s="36"/>
      <c r="F1735" s="35">
        <f t="shared" si="351"/>
        <v>3.25</v>
      </c>
      <c r="G1735" s="37"/>
      <c r="H1735" s="37"/>
      <c r="I1735" s="37"/>
      <c r="J1735" s="37">
        <v>0.48</v>
      </c>
      <c r="K1735" s="37"/>
      <c r="L1735" s="37"/>
      <c r="M1735" s="37">
        <v>2.77</v>
      </c>
      <c r="N1735" s="37"/>
      <c r="O1735" s="37"/>
      <c r="P1735" s="37"/>
      <c r="Q1735" s="37"/>
      <c r="R1735" s="37"/>
      <c r="S1735" s="37"/>
      <c r="T1735" s="37"/>
      <c r="U1735" s="37"/>
      <c r="V1735" s="37"/>
      <c r="W1735" s="37"/>
      <c r="X1735" s="37"/>
      <c r="Y1735" s="37"/>
      <c r="Z1735" s="37"/>
      <c r="AA1735" s="37"/>
      <c r="AB1735" s="37"/>
      <c r="AC1735" s="37"/>
      <c r="AD1735" s="37"/>
      <c r="AE1735" s="37"/>
      <c r="AF1735" s="37"/>
      <c r="AG1735" s="37"/>
      <c r="AH1735" s="37"/>
      <c r="AI1735" s="37"/>
      <c r="AJ1735" s="37"/>
      <c r="AK1735" s="37"/>
      <c r="AL1735" s="37"/>
      <c r="AM1735" s="37"/>
      <c r="AN1735" s="37"/>
      <c r="AO1735" s="37"/>
      <c r="AP1735" s="37"/>
      <c r="AQ1735" s="37"/>
      <c r="AR1735" s="37"/>
      <c r="AS1735" s="37"/>
      <c r="AT1735" s="37"/>
      <c r="AU1735" s="37"/>
      <c r="AV1735" s="37"/>
      <c r="AW1735" s="37"/>
      <c r="AX1735" s="37"/>
      <c r="AY1735" s="34" t="s">
        <v>221</v>
      </c>
      <c r="AZ1735" s="47" t="s">
        <v>387</v>
      </c>
      <c r="BA1735" s="93" t="s">
        <v>291</v>
      </c>
      <c r="BB1735" s="48"/>
      <c r="BE1735" s="60" t="s">
        <v>1865</v>
      </c>
      <c r="BI1735" s="42">
        <v>1</v>
      </c>
    </row>
    <row r="1736" spans="1:63" ht="26.1" customHeight="1">
      <c r="A1736" s="32">
        <f t="shared" si="354"/>
        <v>985</v>
      </c>
      <c r="B1736" s="60" t="s">
        <v>89</v>
      </c>
      <c r="C1736" s="34" t="s">
        <v>20</v>
      </c>
      <c r="D1736" s="35">
        <f t="shared" si="344"/>
        <v>30</v>
      </c>
      <c r="E1736" s="36"/>
      <c r="F1736" s="35">
        <f t="shared" si="351"/>
        <v>30</v>
      </c>
      <c r="G1736" s="37"/>
      <c r="H1736" s="37"/>
      <c r="I1736" s="37"/>
      <c r="J1736" s="37"/>
      <c r="K1736" s="37"/>
      <c r="L1736" s="37"/>
      <c r="M1736" s="37">
        <v>30</v>
      </c>
      <c r="N1736" s="37"/>
      <c r="O1736" s="37"/>
      <c r="P1736" s="37"/>
      <c r="Q1736" s="37"/>
      <c r="R1736" s="37"/>
      <c r="S1736" s="37"/>
      <c r="T1736" s="37"/>
      <c r="U1736" s="37"/>
      <c r="V1736" s="37"/>
      <c r="W1736" s="37"/>
      <c r="X1736" s="37"/>
      <c r="Y1736" s="37"/>
      <c r="Z1736" s="37"/>
      <c r="AA1736" s="37"/>
      <c r="AB1736" s="37"/>
      <c r="AC1736" s="37"/>
      <c r="AD1736" s="37"/>
      <c r="AE1736" s="37"/>
      <c r="AF1736" s="37"/>
      <c r="AG1736" s="37"/>
      <c r="AH1736" s="37"/>
      <c r="AI1736" s="37"/>
      <c r="AJ1736" s="37"/>
      <c r="AK1736" s="37"/>
      <c r="AL1736" s="37"/>
      <c r="AM1736" s="37"/>
      <c r="AN1736" s="37"/>
      <c r="AO1736" s="37"/>
      <c r="AP1736" s="37"/>
      <c r="AQ1736" s="37"/>
      <c r="AR1736" s="37"/>
      <c r="AS1736" s="37"/>
      <c r="AT1736" s="37"/>
      <c r="AU1736" s="37"/>
      <c r="AV1736" s="37"/>
      <c r="AW1736" s="37"/>
      <c r="AX1736" s="37"/>
      <c r="AY1736" s="34" t="s">
        <v>223</v>
      </c>
      <c r="AZ1736" s="47" t="s">
        <v>1866</v>
      </c>
      <c r="BA1736" s="47" t="s">
        <v>298</v>
      </c>
      <c r="BB1736" s="48"/>
      <c r="BC1736" s="65"/>
      <c r="BD1736" s="65" t="s">
        <v>188</v>
      </c>
      <c r="BE1736" s="180" t="s">
        <v>1867</v>
      </c>
      <c r="BI1736" s="42">
        <v>1</v>
      </c>
    </row>
    <row r="1737" spans="1:63" s="49" customFormat="1" ht="26.1" customHeight="1">
      <c r="A1737" s="32">
        <f t="shared" si="354"/>
        <v>986</v>
      </c>
      <c r="B1737" s="60" t="s">
        <v>89</v>
      </c>
      <c r="C1737" s="34" t="s">
        <v>20</v>
      </c>
      <c r="D1737" s="35">
        <f t="shared" si="344"/>
        <v>1.82</v>
      </c>
      <c r="E1737" s="45"/>
      <c r="F1737" s="35">
        <f t="shared" si="351"/>
        <v>1.82</v>
      </c>
      <c r="G1737" s="46"/>
      <c r="H1737" s="46"/>
      <c r="I1737" s="46">
        <v>0.32</v>
      </c>
      <c r="J1737" s="46">
        <v>0.25</v>
      </c>
      <c r="K1737" s="46"/>
      <c r="L1737" s="46"/>
      <c r="M1737" s="46">
        <v>1.25</v>
      </c>
      <c r="N1737" s="46"/>
      <c r="O1737" s="46"/>
      <c r="P1737" s="46"/>
      <c r="Q1737" s="46"/>
      <c r="R1737" s="46"/>
      <c r="S1737" s="46"/>
      <c r="T1737" s="46"/>
      <c r="U1737" s="46"/>
      <c r="V1737" s="46"/>
      <c r="W1737" s="46"/>
      <c r="X1737" s="46"/>
      <c r="Y1737" s="46"/>
      <c r="Z1737" s="46"/>
      <c r="AA1737" s="46"/>
      <c r="AB1737" s="46"/>
      <c r="AC1737" s="46"/>
      <c r="AD1737" s="46"/>
      <c r="AE1737" s="46"/>
      <c r="AF1737" s="46"/>
      <c r="AG1737" s="46"/>
      <c r="AH1737" s="46"/>
      <c r="AI1737" s="46"/>
      <c r="AJ1737" s="46"/>
      <c r="AK1737" s="46"/>
      <c r="AL1737" s="46"/>
      <c r="AM1737" s="46"/>
      <c r="AN1737" s="46"/>
      <c r="AO1737" s="46"/>
      <c r="AP1737" s="46"/>
      <c r="AQ1737" s="46"/>
      <c r="AR1737" s="46"/>
      <c r="AS1737" s="46"/>
      <c r="AT1737" s="46"/>
      <c r="AU1737" s="46"/>
      <c r="AV1737" s="46"/>
      <c r="AW1737" s="46"/>
      <c r="AX1737" s="46"/>
      <c r="AY1737" s="34" t="s">
        <v>224</v>
      </c>
      <c r="AZ1737" s="47" t="s">
        <v>389</v>
      </c>
      <c r="BA1737" s="93" t="s">
        <v>291</v>
      </c>
      <c r="BB1737" s="50"/>
      <c r="BE1737" s="33" t="s">
        <v>1868</v>
      </c>
      <c r="BI1737" s="42">
        <v>1</v>
      </c>
      <c r="BK1737" s="50"/>
    </row>
    <row r="1738" spans="1:63" s="49" customFormat="1" ht="26.1" customHeight="1">
      <c r="A1738" s="32">
        <f t="shared" si="354"/>
        <v>987</v>
      </c>
      <c r="B1738" s="60" t="s">
        <v>89</v>
      </c>
      <c r="C1738" s="34" t="s">
        <v>20</v>
      </c>
      <c r="D1738" s="35">
        <f t="shared" si="344"/>
        <v>1</v>
      </c>
      <c r="E1738" s="45"/>
      <c r="F1738" s="35">
        <f t="shared" si="351"/>
        <v>1</v>
      </c>
      <c r="G1738" s="46"/>
      <c r="H1738" s="46">
        <v>0.8</v>
      </c>
      <c r="I1738" s="46">
        <v>0.2</v>
      </c>
      <c r="J1738" s="46"/>
      <c r="K1738" s="46"/>
      <c r="L1738" s="46"/>
      <c r="M1738" s="46"/>
      <c r="N1738" s="46"/>
      <c r="O1738" s="46"/>
      <c r="P1738" s="46"/>
      <c r="Q1738" s="46"/>
      <c r="R1738" s="46"/>
      <c r="S1738" s="46"/>
      <c r="T1738" s="46"/>
      <c r="U1738" s="46"/>
      <c r="V1738" s="46"/>
      <c r="W1738" s="46"/>
      <c r="X1738" s="46"/>
      <c r="Y1738" s="46"/>
      <c r="Z1738" s="46"/>
      <c r="AA1738" s="46"/>
      <c r="AB1738" s="46"/>
      <c r="AC1738" s="46"/>
      <c r="AD1738" s="46"/>
      <c r="AE1738" s="46"/>
      <c r="AF1738" s="46"/>
      <c r="AG1738" s="46"/>
      <c r="AH1738" s="46"/>
      <c r="AI1738" s="46"/>
      <c r="AJ1738" s="46"/>
      <c r="AK1738" s="46"/>
      <c r="AL1738" s="46"/>
      <c r="AM1738" s="46"/>
      <c r="AN1738" s="46"/>
      <c r="AO1738" s="46"/>
      <c r="AP1738" s="46"/>
      <c r="AQ1738" s="46"/>
      <c r="AR1738" s="46"/>
      <c r="AS1738" s="46"/>
      <c r="AT1738" s="46"/>
      <c r="AU1738" s="46"/>
      <c r="AV1738" s="46"/>
      <c r="AW1738" s="46"/>
      <c r="AX1738" s="46"/>
      <c r="AY1738" s="34" t="s">
        <v>224</v>
      </c>
      <c r="AZ1738" s="47" t="s">
        <v>305</v>
      </c>
      <c r="BA1738" s="47" t="s">
        <v>298</v>
      </c>
      <c r="BB1738" s="48"/>
      <c r="BE1738" s="33" t="s">
        <v>1869</v>
      </c>
      <c r="BI1738" s="42">
        <v>1</v>
      </c>
      <c r="BK1738" s="50"/>
    </row>
    <row r="1739" spans="1:63" ht="26.1" customHeight="1">
      <c r="A1739" s="32">
        <f t="shared" si="354"/>
        <v>988</v>
      </c>
      <c r="B1739" s="60" t="s">
        <v>89</v>
      </c>
      <c r="C1739" s="34" t="s">
        <v>20</v>
      </c>
      <c r="D1739" s="35">
        <f t="shared" si="344"/>
        <v>2.1100000000000003</v>
      </c>
      <c r="E1739" s="36"/>
      <c r="F1739" s="35">
        <f t="shared" si="351"/>
        <v>2.1100000000000003</v>
      </c>
      <c r="G1739" s="37">
        <v>0.22</v>
      </c>
      <c r="H1739" s="37">
        <v>1.79</v>
      </c>
      <c r="I1739" s="37"/>
      <c r="J1739" s="37"/>
      <c r="K1739" s="37"/>
      <c r="L1739" s="37"/>
      <c r="M1739" s="37"/>
      <c r="N1739" s="37"/>
      <c r="O1739" s="37"/>
      <c r="P1739" s="37"/>
      <c r="Q1739" s="37"/>
      <c r="R1739" s="37"/>
      <c r="S1739" s="37"/>
      <c r="T1739" s="37"/>
      <c r="U1739" s="37"/>
      <c r="V1739" s="37"/>
      <c r="W1739" s="37"/>
      <c r="X1739" s="37"/>
      <c r="Y1739" s="37"/>
      <c r="Z1739" s="37">
        <v>0.04</v>
      </c>
      <c r="AA1739" s="37">
        <v>0.06</v>
      </c>
      <c r="AB1739" s="37"/>
      <c r="AC1739" s="37"/>
      <c r="AD1739" s="37"/>
      <c r="AE1739" s="37"/>
      <c r="AF1739" s="37"/>
      <c r="AG1739" s="37"/>
      <c r="AH1739" s="37"/>
      <c r="AI1739" s="37"/>
      <c r="AJ1739" s="37"/>
      <c r="AK1739" s="37"/>
      <c r="AL1739" s="37"/>
      <c r="AM1739" s="37"/>
      <c r="AN1739" s="37"/>
      <c r="AO1739" s="37"/>
      <c r="AP1739" s="37"/>
      <c r="AQ1739" s="37"/>
      <c r="AR1739" s="37"/>
      <c r="AS1739" s="37"/>
      <c r="AT1739" s="37"/>
      <c r="AU1739" s="37"/>
      <c r="AV1739" s="37"/>
      <c r="AW1739" s="37"/>
      <c r="AX1739" s="37"/>
      <c r="AY1739" s="34" t="s">
        <v>225</v>
      </c>
      <c r="AZ1739" s="34" t="s">
        <v>1870</v>
      </c>
      <c r="BA1739" s="63" t="s">
        <v>291</v>
      </c>
      <c r="BB1739" s="64"/>
      <c r="BE1739" s="180" t="s">
        <v>1871</v>
      </c>
      <c r="BG1739" s="15" t="s">
        <v>1872</v>
      </c>
      <c r="BI1739" s="42">
        <v>1</v>
      </c>
    </row>
    <row r="1740" spans="1:63" ht="26.1" customHeight="1">
      <c r="A1740" s="32">
        <f t="shared" si="354"/>
        <v>989</v>
      </c>
      <c r="B1740" s="60" t="s">
        <v>89</v>
      </c>
      <c r="C1740" s="34" t="s">
        <v>20</v>
      </c>
      <c r="D1740" s="35">
        <f t="shared" si="344"/>
        <v>12</v>
      </c>
      <c r="E1740" s="36"/>
      <c r="F1740" s="35">
        <f>SUM(G1740:AX1740)</f>
        <v>12</v>
      </c>
      <c r="G1740" s="37"/>
      <c r="H1740" s="37"/>
      <c r="I1740" s="37">
        <v>1.3</v>
      </c>
      <c r="J1740" s="37"/>
      <c r="K1740" s="37"/>
      <c r="L1740" s="37"/>
      <c r="M1740" s="37">
        <f>12-1.3</f>
        <v>10.7</v>
      </c>
      <c r="N1740" s="37"/>
      <c r="O1740" s="37"/>
      <c r="P1740" s="37"/>
      <c r="Q1740" s="37"/>
      <c r="R1740" s="37"/>
      <c r="S1740" s="37"/>
      <c r="T1740" s="37"/>
      <c r="U1740" s="37"/>
      <c r="V1740" s="37"/>
      <c r="W1740" s="37"/>
      <c r="X1740" s="37"/>
      <c r="Y1740" s="37"/>
      <c r="Z1740" s="37"/>
      <c r="AA1740" s="37"/>
      <c r="AB1740" s="37"/>
      <c r="AC1740" s="37"/>
      <c r="AD1740" s="37"/>
      <c r="AE1740" s="37"/>
      <c r="AF1740" s="37"/>
      <c r="AG1740" s="37"/>
      <c r="AH1740" s="37"/>
      <c r="AI1740" s="37"/>
      <c r="AJ1740" s="37"/>
      <c r="AK1740" s="37"/>
      <c r="AL1740" s="37"/>
      <c r="AM1740" s="37"/>
      <c r="AN1740" s="37"/>
      <c r="AO1740" s="37"/>
      <c r="AP1740" s="37"/>
      <c r="AQ1740" s="37"/>
      <c r="AR1740" s="37"/>
      <c r="AS1740" s="37"/>
      <c r="AT1740" s="37"/>
      <c r="AU1740" s="37"/>
      <c r="AV1740" s="37"/>
      <c r="AW1740" s="37"/>
      <c r="AX1740" s="37"/>
      <c r="AY1740" s="34" t="s">
        <v>228</v>
      </c>
      <c r="AZ1740" s="34" t="s">
        <v>1147</v>
      </c>
      <c r="BA1740" s="47" t="s">
        <v>298</v>
      </c>
      <c r="BB1740" s="48"/>
      <c r="BC1740" s="15" t="s">
        <v>381</v>
      </c>
      <c r="BE1740" s="180" t="s">
        <v>1871</v>
      </c>
      <c r="BI1740" s="42">
        <v>1</v>
      </c>
    </row>
    <row r="1741" spans="1:63" s="71" customFormat="1" ht="26.1" customHeight="1">
      <c r="A1741" s="32">
        <f t="shared" si="354"/>
        <v>990</v>
      </c>
      <c r="B1741" s="60" t="s">
        <v>89</v>
      </c>
      <c r="C1741" s="34" t="s">
        <v>20</v>
      </c>
      <c r="D1741" s="35">
        <f t="shared" si="344"/>
        <v>1.5</v>
      </c>
      <c r="E1741" s="67"/>
      <c r="F1741" s="35">
        <f t="shared" si="351"/>
        <v>1.5</v>
      </c>
      <c r="G1741" s="68"/>
      <c r="H1741" s="68"/>
      <c r="I1741" s="68"/>
      <c r="J1741" s="68"/>
      <c r="K1741" s="68"/>
      <c r="L1741" s="68"/>
      <c r="M1741" s="68">
        <v>1.5</v>
      </c>
      <c r="N1741" s="68"/>
      <c r="O1741" s="68"/>
      <c r="P1741" s="68"/>
      <c r="Q1741" s="68"/>
      <c r="R1741" s="68"/>
      <c r="S1741" s="68"/>
      <c r="T1741" s="68"/>
      <c r="U1741" s="68"/>
      <c r="V1741" s="68"/>
      <c r="W1741" s="68"/>
      <c r="X1741" s="68"/>
      <c r="Y1741" s="68"/>
      <c r="Z1741" s="68"/>
      <c r="AA1741" s="68"/>
      <c r="AB1741" s="68"/>
      <c r="AC1741" s="68"/>
      <c r="AD1741" s="68"/>
      <c r="AE1741" s="68"/>
      <c r="AF1741" s="68"/>
      <c r="AG1741" s="68"/>
      <c r="AH1741" s="68"/>
      <c r="AI1741" s="68"/>
      <c r="AJ1741" s="68"/>
      <c r="AK1741" s="68"/>
      <c r="AL1741" s="68"/>
      <c r="AM1741" s="68"/>
      <c r="AN1741" s="68"/>
      <c r="AO1741" s="68"/>
      <c r="AP1741" s="68"/>
      <c r="AQ1741" s="68"/>
      <c r="AR1741" s="68"/>
      <c r="AS1741" s="68"/>
      <c r="AT1741" s="68"/>
      <c r="AU1741" s="68"/>
      <c r="AV1741" s="68"/>
      <c r="AW1741" s="68"/>
      <c r="AX1741" s="68"/>
      <c r="AY1741" s="70" t="s">
        <v>226</v>
      </c>
      <c r="AZ1741" s="70" t="s">
        <v>724</v>
      </c>
      <c r="BA1741" s="70" t="s">
        <v>291</v>
      </c>
      <c r="BB1741" s="81"/>
      <c r="BE1741" s="66" t="s">
        <v>1873</v>
      </c>
      <c r="BI1741" s="42">
        <v>1</v>
      </c>
      <c r="BK1741" s="72"/>
    </row>
    <row r="1742" spans="1:63" s="71" customFormat="1" ht="26.1" customHeight="1">
      <c r="A1742" s="32">
        <f t="shared" si="354"/>
        <v>991</v>
      </c>
      <c r="B1742" s="60" t="s">
        <v>89</v>
      </c>
      <c r="C1742" s="34" t="s">
        <v>20</v>
      </c>
      <c r="D1742" s="35">
        <f t="shared" si="344"/>
        <v>2</v>
      </c>
      <c r="E1742" s="67"/>
      <c r="F1742" s="35">
        <f t="shared" si="351"/>
        <v>2</v>
      </c>
      <c r="G1742" s="77"/>
      <c r="H1742" s="77"/>
      <c r="I1742" s="77"/>
      <c r="J1742" s="77"/>
      <c r="K1742" s="77"/>
      <c r="L1742" s="77"/>
      <c r="M1742" s="68">
        <v>2</v>
      </c>
      <c r="N1742" s="77"/>
      <c r="O1742" s="77"/>
      <c r="P1742" s="77"/>
      <c r="Q1742" s="77"/>
      <c r="R1742" s="77"/>
      <c r="S1742" s="77"/>
      <c r="T1742" s="77"/>
      <c r="U1742" s="77"/>
      <c r="V1742" s="77"/>
      <c r="W1742" s="77"/>
      <c r="X1742" s="77"/>
      <c r="Y1742" s="77"/>
      <c r="Z1742" s="77"/>
      <c r="AA1742" s="77"/>
      <c r="AB1742" s="77"/>
      <c r="AC1742" s="77"/>
      <c r="AD1742" s="77"/>
      <c r="AE1742" s="77"/>
      <c r="AF1742" s="77"/>
      <c r="AG1742" s="77"/>
      <c r="AH1742" s="77"/>
      <c r="AI1742" s="77"/>
      <c r="AJ1742" s="77"/>
      <c r="AK1742" s="77"/>
      <c r="AL1742" s="77"/>
      <c r="AM1742" s="77"/>
      <c r="AN1742" s="77"/>
      <c r="AO1742" s="77"/>
      <c r="AP1742" s="77"/>
      <c r="AQ1742" s="77"/>
      <c r="AR1742" s="77"/>
      <c r="AS1742" s="77"/>
      <c r="AT1742" s="77"/>
      <c r="AU1742" s="77"/>
      <c r="AV1742" s="77"/>
      <c r="AW1742" s="77"/>
      <c r="AX1742" s="77"/>
      <c r="AY1742" s="70" t="s">
        <v>226</v>
      </c>
      <c r="AZ1742" s="70" t="s">
        <v>988</v>
      </c>
      <c r="BA1742" s="70" t="s">
        <v>291</v>
      </c>
      <c r="BB1742" s="81"/>
      <c r="BE1742" s="66" t="s">
        <v>1874</v>
      </c>
      <c r="BI1742" s="42">
        <v>1</v>
      </c>
      <c r="BK1742" s="72"/>
    </row>
    <row r="1743" spans="1:63" s="71" customFormat="1" ht="26.1" customHeight="1">
      <c r="A1743" s="32">
        <f t="shared" si="354"/>
        <v>992</v>
      </c>
      <c r="B1743" s="60" t="s">
        <v>89</v>
      </c>
      <c r="C1743" s="34" t="s">
        <v>20</v>
      </c>
      <c r="D1743" s="35">
        <f t="shared" si="344"/>
        <v>1.48</v>
      </c>
      <c r="E1743" s="67"/>
      <c r="F1743" s="35">
        <f t="shared" si="351"/>
        <v>1.48</v>
      </c>
      <c r="G1743" s="77"/>
      <c r="H1743" s="77">
        <v>1.48</v>
      </c>
      <c r="I1743" s="77"/>
      <c r="J1743" s="77"/>
      <c r="K1743" s="77"/>
      <c r="L1743" s="77"/>
      <c r="M1743" s="77"/>
      <c r="N1743" s="77"/>
      <c r="O1743" s="77"/>
      <c r="P1743" s="77"/>
      <c r="Q1743" s="77"/>
      <c r="R1743" s="77"/>
      <c r="S1743" s="77"/>
      <c r="T1743" s="77"/>
      <c r="U1743" s="77"/>
      <c r="V1743" s="77"/>
      <c r="W1743" s="77"/>
      <c r="X1743" s="77"/>
      <c r="Y1743" s="77"/>
      <c r="Z1743" s="77"/>
      <c r="AA1743" s="77"/>
      <c r="AB1743" s="77"/>
      <c r="AC1743" s="77"/>
      <c r="AD1743" s="77"/>
      <c r="AE1743" s="77"/>
      <c r="AF1743" s="77"/>
      <c r="AG1743" s="77"/>
      <c r="AH1743" s="77"/>
      <c r="AI1743" s="77"/>
      <c r="AJ1743" s="77"/>
      <c r="AK1743" s="77"/>
      <c r="AL1743" s="77"/>
      <c r="AM1743" s="77"/>
      <c r="AN1743" s="77"/>
      <c r="AO1743" s="77"/>
      <c r="AP1743" s="77"/>
      <c r="AQ1743" s="77"/>
      <c r="AR1743" s="77"/>
      <c r="AS1743" s="77"/>
      <c r="AT1743" s="77"/>
      <c r="AU1743" s="77"/>
      <c r="AV1743" s="77"/>
      <c r="AW1743" s="77"/>
      <c r="AX1743" s="77"/>
      <c r="AY1743" s="70" t="s">
        <v>226</v>
      </c>
      <c r="AZ1743" s="70" t="s">
        <v>394</v>
      </c>
      <c r="BA1743" s="70" t="s">
        <v>291</v>
      </c>
      <c r="BB1743" s="81"/>
      <c r="BE1743" s="66" t="s">
        <v>1875</v>
      </c>
      <c r="BI1743" s="42">
        <v>1</v>
      </c>
      <c r="BK1743" s="72"/>
    </row>
    <row r="1744" spans="1:63" s="71" customFormat="1" ht="26.1" customHeight="1">
      <c r="A1744" s="32">
        <f t="shared" si="354"/>
        <v>993</v>
      </c>
      <c r="B1744" s="60" t="s">
        <v>89</v>
      </c>
      <c r="C1744" s="34" t="s">
        <v>20</v>
      </c>
      <c r="D1744" s="35">
        <f t="shared" si="344"/>
        <v>10.83</v>
      </c>
      <c r="E1744" s="67"/>
      <c r="F1744" s="35">
        <f t="shared" si="351"/>
        <v>10.83</v>
      </c>
      <c r="G1744" s="77"/>
      <c r="H1744" s="77"/>
      <c r="I1744" s="77"/>
      <c r="J1744" s="77"/>
      <c r="K1744" s="77"/>
      <c r="L1744" s="77"/>
      <c r="M1744" s="77">
        <v>10.83</v>
      </c>
      <c r="N1744" s="77"/>
      <c r="O1744" s="77"/>
      <c r="P1744" s="77"/>
      <c r="Q1744" s="77"/>
      <c r="R1744" s="77"/>
      <c r="S1744" s="77"/>
      <c r="T1744" s="77"/>
      <c r="U1744" s="77"/>
      <c r="V1744" s="77"/>
      <c r="W1744" s="77"/>
      <c r="X1744" s="77"/>
      <c r="Y1744" s="77"/>
      <c r="Z1744" s="77"/>
      <c r="AA1744" s="77"/>
      <c r="AB1744" s="77"/>
      <c r="AC1744" s="77"/>
      <c r="AD1744" s="77"/>
      <c r="AE1744" s="77"/>
      <c r="AF1744" s="77"/>
      <c r="AG1744" s="77"/>
      <c r="AH1744" s="77"/>
      <c r="AI1744" s="77"/>
      <c r="AJ1744" s="77"/>
      <c r="AK1744" s="77"/>
      <c r="AL1744" s="77"/>
      <c r="AM1744" s="77"/>
      <c r="AN1744" s="77"/>
      <c r="AO1744" s="77"/>
      <c r="AP1744" s="77"/>
      <c r="AQ1744" s="77"/>
      <c r="AR1744" s="77"/>
      <c r="AS1744" s="77"/>
      <c r="AT1744" s="77"/>
      <c r="AU1744" s="77"/>
      <c r="AV1744" s="77"/>
      <c r="AW1744" s="77"/>
      <c r="AX1744" s="77"/>
      <c r="AY1744" s="70" t="s">
        <v>226</v>
      </c>
      <c r="AZ1744" s="70" t="s">
        <v>1876</v>
      </c>
      <c r="BA1744" s="70" t="s">
        <v>291</v>
      </c>
      <c r="BB1744" s="81"/>
      <c r="BE1744" s="66" t="s">
        <v>1877</v>
      </c>
      <c r="BI1744" s="42">
        <v>1</v>
      </c>
      <c r="BK1744" s="72"/>
    </row>
    <row r="1745" spans="1:63" s="71" customFormat="1" ht="26.1" customHeight="1">
      <c r="A1745" s="32">
        <f t="shared" si="354"/>
        <v>994</v>
      </c>
      <c r="B1745" s="60" t="s">
        <v>89</v>
      </c>
      <c r="C1745" s="34" t="s">
        <v>20</v>
      </c>
      <c r="D1745" s="35">
        <f t="shared" si="344"/>
        <v>2</v>
      </c>
      <c r="E1745" s="67"/>
      <c r="F1745" s="35">
        <f>SUM(G1745:AX1745)</f>
        <v>2</v>
      </c>
      <c r="G1745" s="68">
        <v>0.56999999999999995</v>
      </c>
      <c r="H1745" s="68">
        <v>0.45</v>
      </c>
      <c r="I1745" s="68">
        <v>0.98</v>
      </c>
      <c r="J1745" s="68"/>
      <c r="K1745" s="68"/>
      <c r="L1745" s="68"/>
      <c r="M1745" s="68"/>
      <c r="N1745" s="68"/>
      <c r="O1745" s="68"/>
      <c r="P1745" s="68"/>
      <c r="Q1745" s="68"/>
      <c r="R1745" s="68"/>
      <c r="S1745" s="68"/>
      <c r="T1745" s="68"/>
      <c r="U1745" s="68"/>
      <c r="V1745" s="68"/>
      <c r="W1745" s="68"/>
      <c r="X1745" s="68"/>
      <c r="Y1745" s="68"/>
      <c r="Z1745" s="68"/>
      <c r="AA1745" s="68"/>
      <c r="AB1745" s="68"/>
      <c r="AC1745" s="68"/>
      <c r="AD1745" s="68"/>
      <c r="AE1745" s="68"/>
      <c r="AF1745" s="68"/>
      <c r="AG1745" s="68"/>
      <c r="AH1745" s="68"/>
      <c r="AI1745" s="68"/>
      <c r="AJ1745" s="68"/>
      <c r="AK1745" s="68"/>
      <c r="AL1745" s="68"/>
      <c r="AM1745" s="68"/>
      <c r="AN1745" s="68"/>
      <c r="AO1745" s="68"/>
      <c r="AP1745" s="68"/>
      <c r="AQ1745" s="68"/>
      <c r="AR1745" s="68"/>
      <c r="AS1745" s="68"/>
      <c r="AT1745" s="68"/>
      <c r="AU1745" s="68"/>
      <c r="AV1745" s="68"/>
      <c r="AW1745" s="68"/>
      <c r="AX1745" s="68"/>
      <c r="AY1745" s="70" t="s">
        <v>226</v>
      </c>
      <c r="AZ1745" s="70" t="s">
        <v>1876</v>
      </c>
      <c r="BA1745" s="70" t="s">
        <v>291</v>
      </c>
      <c r="BB1745" s="81"/>
      <c r="BC1745" s="71" t="s">
        <v>1878</v>
      </c>
      <c r="BE1745" s="66" t="s">
        <v>89</v>
      </c>
      <c r="BI1745" s="42">
        <v>1</v>
      </c>
      <c r="BK1745" s="72"/>
    </row>
    <row r="1746" spans="1:63" s="49" customFormat="1" ht="26.1" customHeight="1">
      <c r="A1746" s="32">
        <f t="shared" si="354"/>
        <v>995</v>
      </c>
      <c r="B1746" s="60" t="s">
        <v>89</v>
      </c>
      <c r="C1746" s="34" t="s">
        <v>20</v>
      </c>
      <c r="D1746" s="35">
        <f t="shared" si="344"/>
        <v>1</v>
      </c>
      <c r="E1746" s="36"/>
      <c r="F1746" s="35">
        <f t="shared" si="351"/>
        <v>1</v>
      </c>
      <c r="G1746" s="37"/>
      <c r="H1746" s="37"/>
      <c r="I1746" s="37"/>
      <c r="J1746" s="37"/>
      <c r="K1746" s="46"/>
      <c r="L1746" s="46"/>
      <c r="M1746" s="46">
        <v>1</v>
      </c>
      <c r="N1746" s="46"/>
      <c r="O1746" s="46"/>
      <c r="P1746" s="46"/>
      <c r="Q1746" s="46"/>
      <c r="R1746" s="46"/>
      <c r="S1746" s="46"/>
      <c r="T1746" s="46"/>
      <c r="U1746" s="46"/>
      <c r="V1746" s="46"/>
      <c r="W1746" s="46"/>
      <c r="X1746" s="46"/>
      <c r="Y1746" s="46"/>
      <c r="Z1746" s="46"/>
      <c r="AA1746" s="46"/>
      <c r="AB1746" s="46"/>
      <c r="AC1746" s="46"/>
      <c r="AD1746" s="46"/>
      <c r="AE1746" s="46"/>
      <c r="AF1746" s="46"/>
      <c r="AG1746" s="46"/>
      <c r="AH1746" s="46"/>
      <c r="AI1746" s="46"/>
      <c r="AJ1746" s="46"/>
      <c r="AK1746" s="46"/>
      <c r="AL1746" s="46"/>
      <c r="AM1746" s="46"/>
      <c r="AN1746" s="46"/>
      <c r="AO1746" s="46"/>
      <c r="AP1746" s="46"/>
      <c r="AQ1746" s="46"/>
      <c r="AR1746" s="46"/>
      <c r="AS1746" s="46"/>
      <c r="AT1746" s="46"/>
      <c r="AU1746" s="46"/>
      <c r="AV1746" s="46"/>
      <c r="AW1746" s="46"/>
      <c r="AX1746" s="46"/>
      <c r="AY1746" s="34" t="s">
        <v>229</v>
      </c>
      <c r="AZ1746" s="47" t="s">
        <v>425</v>
      </c>
      <c r="BA1746" s="159" t="s">
        <v>291</v>
      </c>
      <c r="BB1746" s="50" t="s">
        <v>1485</v>
      </c>
      <c r="BE1746" s="180" t="s">
        <v>1871</v>
      </c>
      <c r="BI1746" s="42">
        <v>1</v>
      </c>
      <c r="BK1746" s="50"/>
    </row>
    <row r="1747" spans="1:63" s="49" customFormat="1" ht="26.1" customHeight="1">
      <c r="A1747" s="32">
        <f t="shared" si="354"/>
        <v>996</v>
      </c>
      <c r="B1747" s="60" t="s">
        <v>89</v>
      </c>
      <c r="C1747" s="34" t="s">
        <v>20</v>
      </c>
      <c r="D1747" s="35">
        <f t="shared" si="344"/>
        <v>1.04</v>
      </c>
      <c r="E1747" s="45"/>
      <c r="F1747" s="35">
        <f t="shared" si="351"/>
        <v>1.04</v>
      </c>
      <c r="G1747" s="46"/>
      <c r="H1747" s="46"/>
      <c r="I1747" s="46"/>
      <c r="J1747" s="46"/>
      <c r="K1747" s="46"/>
      <c r="L1747" s="46"/>
      <c r="M1747" s="46">
        <v>1.04</v>
      </c>
      <c r="N1747" s="46"/>
      <c r="O1747" s="46"/>
      <c r="P1747" s="46"/>
      <c r="Q1747" s="46"/>
      <c r="R1747" s="46"/>
      <c r="S1747" s="46"/>
      <c r="T1747" s="46"/>
      <c r="U1747" s="46"/>
      <c r="V1747" s="46"/>
      <c r="W1747" s="46"/>
      <c r="X1747" s="46"/>
      <c r="Y1747" s="46"/>
      <c r="Z1747" s="46"/>
      <c r="AA1747" s="46"/>
      <c r="AB1747" s="46"/>
      <c r="AC1747" s="46"/>
      <c r="AD1747" s="46"/>
      <c r="AE1747" s="46"/>
      <c r="AF1747" s="46"/>
      <c r="AG1747" s="46"/>
      <c r="AH1747" s="46"/>
      <c r="AI1747" s="46"/>
      <c r="AJ1747" s="46"/>
      <c r="AK1747" s="46"/>
      <c r="AL1747" s="46"/>
      <c r="AM1747" s="46"/>
      <c r="AN1747" s="46"/>
      <c r="AO1747" s="46"/>
      <c r="AP1747" s="46"/>
      <c r="AQ1747" s="46"/>
      <c r="AR1747" s="46"/>
      <c r="AS1747" s="46"/>
      <c r="AT1747" s="46"/>
      <c r="AU1747" s="46"/>
      <c r="AV1747" s="46"/>
      <c r="AW1747" s="46"/>
      <c r="AX1747" s="46"/>
      <c r="AY1747" s="34" t="s">
        <v>229</v>
      </c>
      <c r="AZ1747" s="47" t="s">
        <v>425</v>
      </c>
      <c r="BA1747" s="47" t="s">
        <v>298</v>
      </c>
      <c r="BB1747" s="50" t="s">
        <v>407</v>
      </c>
      <c r="BE1747" s="181" t="s">
        <v>1879</v>
      </c>
      <c r="BI1747" s="42">
        <v>1</v>
      </c>
      <c r="BK1747" s="50"/>
    </row>
    <row r="1748" spans="1:63" s="49" customFormat="1" ht="26.1" customHeight="1">
      <c r="A1748" s="32">
        <f t="shared" si="354"/>
        <v>997</v>
      </c>
      <c r="B1748" s="60" t="s">
        <v>89</v>
      </c>
      <c r="C1748" s="34" t="s">
        <v>20</v>
      </c>
      <c r="D1748" s="35">
        <f t="shared" si="344"/>
        <v>0.65</v>
      </c>
      <c r="E1748" s="45"/>
      <c r="F1748" s="35">
        <f t="shared" si="351"/>
        <v>0.65</v>
      </c>
      <c r="G1748" s="46"/>
      <c r="H1748" s="46"/>
      <c r="I1748" s="46"/>
      <c r="J1748" s="46"/>
      <c r="K1748" s="46"/>
      <c r="L1748" s="46"/>
      <c r="M1748" s="46">
        <v>0.65</v>
      </c>
      <c r="N1748" s="46"/>
      <c r="O1748" s="46"/>
      <c r="P1748" s="46"/>
      <c r="Q1748" s="46"/>
      <c r="R1748" s="46"/>
      <c r="S1748" s="46"/>
      <c r="T1748" s="46"/>
      <c r="U1748" s="46"/>
      <c r="V1748" s="46"/>
      <c r="W1748" s="46"/>
      <c r="X1748" s="46"/>
      <c r="Y1748" s="46"/>
      <c r="Z1748" s="46"/>
      <c r="AA1748" s="46"/>
      <c r="AB1748" s="46"/>
      <c r="AC1748" s="46"/>
      <c r="AD1748" s="46"/>
      <c r="AE1748" s="46"/>
      <c r="AF1748" s="46"/>
      <c r="AG1748" s="46"/>
      <c r="AH1748" s="46"/>
      <c r="AI1748" s="46"/>
      <c r="AJ1748" s="46"/>
      <c r="AK1748" s="46"/>
      <c r="AL1748" s="46"/>
      <c r="AM1748" s="46"/>
      <c r="AN1748" s="46"/>
      <c r="AO1748" s="46"/>
      <c r="AP1748" s="46"/>
      <c r="AQ1748" s="46"/>
      <c r="AR1748" s="46"/>
      <c r="AS1748" s="46"/>
      <c r="AT1748" s="46"/>
      <c r="AU1748" s="46"/>
      <c r="AV1748" s="46"/>
      <c r="AW1748" s="46"/>
      <c r="AX1748" s="46"/>
      <c r="AY1748" s="34" t="s">
        <v>229</v>
      </c>
      <c r="AZ1748" s="47" t="s">
        <v>425</v>
      </c>
      <c r="BA1748" s="47" t="s">
        <v>298</v>
      </c>
      <c r="BB1748" s="50" t="s">
        <v>407</v>
      </c>
      <c r="BE1748" s="33" t="s">
        <v>1880</v>
      </c>
      <c r="BI1748" s="42">
        <v>1</v>
      </c>
      <c r="BK1748" s="50"/>
    </row>
    <row r="1749" spans="1:63" s="49" customFormat="1" ht="26.1" customHeight="1">
      <c r="A1749" s="32">
        <f>A1748+1</f>
        <v>998</v>
      </c>
      <c r="B1749" s="60" t="s">
        <v>89</v>
      </c>
      <c r="C1749" s="34" t="s">
        <v>20</v>
      </c>
      <c r="D1749" s="35">
        <f>E1749+F1749</f>
        <v>3.8</v>
      </c>
      <c r="E1749" s="45"/>
      <c r="F1749" s="35">
        <f>SUM(G1749:AX1749)</f>
        <v>3.8</v>
      </c>
      <c r="G1749" s="46">
        <v>2.35</v>
      </c>
      <c r="H1749" s="46"/>
      <c r="I1749" s="46"/>
      <c r="J1749" s="46"/>
      <c r="K1749" s="46"/>
      <c r="L1749" s="46"/>
      <c r="M1749" s="46">
        <v>1.45</v>
      </c>
      <c r="N1749" s="46"/>
      <c r="O1749" s="46"/>
      <c r="P1749" s="46"/>
      <c r="Q1749" s="46"/>
      <c r="R1749" s="46"/>
      <c r="S1749" s="46"/>
      <c r="T1749" s="46"/>
      <c r="U1749" s="46"/>
      <c r="V1749" s="46"/>
      <c r="W1749" s="46"/>
      <c r="X1749" s="46"/>
      <c r="Y1749" s="46"/>
      <c r="Z1749" s="46"/>
      <c r="AA1749" s="46"/>
      <c r="AB1749" s="46"/>
      <c r="AC1749" s="46"/>
      <c r="AD1749" s="46"/>
      <c r="AE1749" s="46"/>
      <c r="AF1749" s="46"/>
      <c r="AG1749" s="46"/>
      <c r="AH1749" s="46"/>
      <c r="AI1749" s="46"/>
      <c r="AJ1749" s="46"/>
      <c r="AK1749" s="46"/>
      <c r="AL1749" s="46"/>
      <c r="AM1749" s="46"/>
      <c r="AN1749" s="46"/>
      <c r="AO1749" s="46"/>
      <c r="AP1749" s="46"/>
      <c r="AQ1749" s="46"/>
      <c r="AR1749" s="46"/>
      <c r="AS1749" s="46"/>
      <c r="AT1749" s="46"/>
      <c r="AU1749" s="46"/>
      <c r="AV1749" s="46"/>
      <c r="AW1749" s="46"/>
      <c r="AX1749" s="46"/>
      <c r="AY1749" s="34" t="s">
        <v>231</v>
      </c>
      <c r="AZ1749" s="47" t="s">
        <v>451</v>
      </c>
      <c r="BA1749" s="47" t="s">
        <v>298</v>
      </c>
      <c r="BB1749" s="50"/>
      <c r="BE1749" s="33"/>
      <c r="BI1749" s="42"/>
      <c r="BJ1749" s="49" t="s">
        <v>311</v>
      </c>
      <c r="BK1749" s="50"/>
    </row>
    <row r="1750" spans="1:63" s="49" customFormat="1" ht="26.1" customHeight="1">
      <c r="A1750" s="32">
        <f>A1749+1</f>
        <v>999</v>
      </c>
      <c r="B1750" s="60" t="s">
        <v>89</v>
      </c>
      <c r="C1750" s="34" t="s">
        <v>20</v>
      </c>
      <c r="D1750" s="35">
        <f t="shared" si="344"/>
        <v>3.4</v>
      </c>
      <c r="E1750" s="45"/>
      <c r="F1750" s="35">
        <f>SUM(G1750:AX1750)</f>
        <v>3.4</v>
      </c>
      <c r="G1750" s="46"/>
      <c r="H1750" s="46"/>
      <c r="I1750" s="46">
        <v>3.4</v>
      </c>
      <c r="J1750" s="46"/>
      <c r="K1750" s="46"/>
      <c r="L1750" s="46"/>
      <c r="M1750" s="46"/>
      <c r="N1750" s="46"/>
      <c r="O1750" s="46"/>
      <c r="P1750" s="46"/>
      <c r="Q1750" s="46"/>
      <c r="R1750" s="46"/>
      <c r="S1750" s="46"/>
      <c r="T1750" s="46"/>
      <c r="U1750" s="46"/>
      <c r="V1750" s="46"/>
      <c r="W1750" s="46"/>
      <c r="X1750" s="46"/>
      <c r="Y1750" s="46"/>
      <c r="Z1750" s="46"/>
      <c r="AA1750" s="46"/>
      <c r="AB1750" s="46"/>
      <c r="AC1750" s="46"/>
      <c r="AD1750" s="46"/>
      <c r="AE1750" s="46"/>
      <c r="AF1750" s="46"/>
      <c r="AG1750" s="46"/>
      <c r="AH1750" s="46"/>
      <c r="AI1750" s="46"/>
      <c r="AJ1750" s="46"/>
      <c r="AK1750" s="46"/>
      <c r="AL1750" s="46"/>
      <c r="AM1750" s="46"/>
      <c r="AN1750" s="46"/>
      <c r="AO1750" s="46"/>
      <c r="AP1750" s="46"/>
      <c r="AQ1750" s="46"/>
      <c r="AR1750" s="46"/>
      <c r="AS1750" s="46"/>
      <c r="AT1750" s="46"/>
      <c r="AU1750" s="46"/>
      <c r="AV1750" s="46"/>
      <c r="AW1750" s="46"/>
      <c r="AX1750" s="46"/>
      <c r="AY1750" s="47" t="s">
        <v>233</v>
      </c>
      <c r="AZ1750" s="47" t="s">
        <v>1182</v>
      </c>
      <c r="BA1750" s="93" t="s">
        <v>1881</v>
      </c>
      <c r="BB1750" s="50"/>
      <c r="BE1750" s="33" t="s">
        <v>1882</v>
      </c>
      <c r="BI1750" s="42">
        <v>1</v>
      </c>
      <c r="BK1750" s="50"/>
    </row>
    <row r="1751" spans="1:63" s="49" customFormat="1" ht="26.1" customHeight="1">
      <c r="A1751" s="32">
        <f t="shared" si="354"/>
        <v>1000</v>
      </c>
      <c r="B1751" s="60" t="s">
        <v>89</v>
      </c>
      <c r="C1751" s="34" t="s">
        <v>20</v>
      </c>
      <c r="D1751" s="35">
        <f t="shared" si="344"/>
        <v>2</v>
      </c>
      <c r="E1751" s="45"/>
      <c r="F1751" s="35">
        <f>SUM(G1751:AX1751)</f>
        <v>2</v>
      </c>
      <c r="G1751" s="46"/>
      <c r="H1751" s="46"/>
      <c r="I1751" s="46"/>
      <c r="J1751" s="46">
        <v>0.33</v>
      </c>
      <c r="K1751" s="46"/>
      <c r="L1751" s="46"/>
      <c r="M1751" s="46">
        <v>1.67</v>
      </c>
      <c r="N1751" s="46"/>
      <c r="O1751" s="46"/>
      <c r="P1751" s="46"/>
      <c r="Q1751" s="46"/>
      <c r="R1751" s="46"/>
      <c r="S1751" s="46"/>
      <c r="T1751" s="46"/>
      <c r="U1751" s="46"/>
      <c r="V1751" s="46"/>
      <c r="W1751" s="46"/>
      <c r="X1751" s="46"/>
      <c r="Y1751" s="46"/>
      <c r="Z1751" s="46"/>
      <c r="AA1751" s="46"/>
      <c r="AB1751" s="46"/>
      <c r="AC1751" s="46"/>
      <c r="AD1751" s="46"/>
      <c r="AE1751" s="46"/>
      <c r="AF1751" s="46"/>
      <c r="AG1751" s="46"/>
      <c r="AH1751" s="46"/>
      <c r="AI1751" s="46"/>
      <c r="AJ1751" s="46"/>
      <c r="AK1751" s="46"/>
      <c r="AL1751" s="46"/>
      <c r="AM1751" s="46"/>
      <c r="AN1751" s="46"/>
      <c r="AO1751" s="46"/>
      <c r="AP1751" s="46"/>
      <c r="AQ1751" s="46"/>
      <c r="AR1751" s="46"/>
      <c r="AS1751" s="46"/>
      <c r="AT1751" s="46"/>
      <c r="AU1751" s="46"/>
      <c r="AV1751" s="46"/>
      <c r="AW1751" s="46"/>
      <c r="AX1751" s="46"/>
      <c r="AY1751" s="47" t="s">
        <v>234</v>
      </c>
      <c r="AZ1751" s="47" t="s">
        <v>468</v>
      </c>
      <c r="BA1751" s="93" t="s">
        <v>291</v>
      </c>
      <c r="BB1751" s="50"/>
      <c r="BD1751" s="49" t="s">
        <v>1883</v>
      </c>
      <c r="BE1751" s="60" t="s">
        <v>1884</v>
      </c>
      <c r="BI1751" s="42">
        <v>1</v>
      </c>
      <c r="BK1751" s="50"/>
    </row>
    <row r="1752" spans="1:63" s="49" customFormat="1" ht="26.1" customHeight="1">
      <c r="A1752" s="32">
        <f t="shared" si="354"/>
        <v>1001</v>
      </c>
      <c r="B1752" s="60" t="s">
        <v>89</v>
      </c>
      <c r="C1752" s="34" t="s">
        <v>20</v>
      </c>
      <c r="D1752" s="35">
        <f t="shared" si="344"/>
        <v>2</v>
      </c>
      <c r="E1752" s="45"/>
      <c r="F1752" s="35">
        <f>SUM(G1752:AX1752)</f>
        <v>2</v>
      </c>
      <c r="G1752" s="46"/>
      <c r="H1752" s="46"/>
      <c r="I1752" s="46"/>
      <c r="J1752" s="46"/>
      <c r="K1752" s="46"/>
      <c r="L1752" s="46"/>
      <c r="M1752" s="46">
        <v>2</v>
      </c>
      <c r="N1752" s="46"/>
      <c r="O1752" s="46"/>
      <c r="P1752" s="46"/>
      <c r="Q1752" s="46"/>
      <c r="R1752" s="46"/>
      <c r="S1752" s="46"/>
      <c r="T1752" s="46"/>
      <c r="U1752" s="46"/>
      <c r="V1752" s="46"/>
      <c r="W1752" s="46"/>
      <c r="X1752" s="46"/>
      <c r="Y1752" s="46"/>
      <c r="Z1752" s="46"/>
      <c r="AA1752" s="46"/>
      <c r="AB1752" s="46"/>
      <c r="AC1752" s="46"/>
      <c r="AD1752" s="46"/>
      <c r="AE1752" s="46"/>
      <c r="AF1752" s="46"/>
      <c r="AG1752" s="46"/>
      <c r="AH1752" s="46"/>
      <c r="AI1752" s="46"/>
      <c r="AJ1752" s="46"/>
      <c r="AK1752" s="46"/>
      <c r="AL1752" s="46"/>
      <c r="AM1752" s="46"/>
      <c r="AN1752" s="46"/>
      <c r="AO1752" s="46"/>
      <c r="AP1752" s="46"/>
      <c r="AQ1752" s="46"/>
      <c r="AR1752" s="46"/>
      <c r="AS1752" s="46"/>
      <c r="AT1752" s="46"/>
      <c r="AU1752" s="46"/>
      <c r="AV1752" s="46"/>
      <c r="AW1752" s="46"/>
      <c r="AX1752" s="46"/>
      <c r="AY1752" s="47" t="s">
        <v>234</v>
      </c>
      <c r="AZ1752" s="47" t="s">
        <v>387</v>
      </c>
      <c r="BA1752" s="47" t="s">
        <v>298</v>
      </c>
      <c r="BB1752" s="50"/>
      <c r="BC1752" s="49" t="s">
        <v>381</v>
      </c>
      <c r="BE1752" s="60" t="s">
        <v>1884</v>
      </c>
      <c r="BI1752" s="42">
        <v>1</v>
      </c>
      <c r="BK1752" s="50"/>
    </row>
    <row r="1753" spans="1:63" s="49" customFormat="1" ht="34.35" customHeight="1">
      <c r="A1753" s="32">
        <f t="shared" si="354"/>
        <v>1002</v>
      </c>
      <c r="B1753" s="60" t="s">
        <v>89</v>
      </c>
      <c r="C1753" s="34" t="s">
        <v>20</v>
      </c>
      <c r="D1753" s="35">
        <f t="shared" si="344"/>
        <v>3</v>
      </c>
      <c r="E1753" s="45"/>
      <c r="F1753" s="35">
        <f>SUM(G1753:AX1753)</f>
        <v>3</v>
      </c>
      <c r="G1753" s="46"/>
      <c r="H1753" s="46"/>
      <c r="I1753" s="46"/>
      <c r="J1753" s="46"/>
      <c r="K1753" s="46"/>
      <c r="L1753" s="46"/>
      <c r="M1753" s="46">
        <v>3</v>
      </c>
      <c r="N1753" s="46"/>
      <c r="O1753" s="46"/>
      <c r="P1753" s="46"/>
      <c r="Q1753" s="46"/>
      <c r="R1753" s="46"/>
      <c r="S1753" s="46"/>
      <c r="T1753" s="46"/>
      <c r="U1753" s="46"/>
      <c r="V1753" s="46"/>
      <c r="W1753" s="46"/>
      <c r="X1753" s="46"/>
      <c r="Y1753" s="46"/>
      <c r="Z1753" s="46"/>
      <c r="AA1753" s="46"/>
      <c r="AB1753" s="46"/>
      <c r="AC1753" s="46"/>
      <c r="AD1753" s="46"/>
      <c r="AE1753" s="46"/>
      <c r="AF1753" s="46"/>
      <c r="AG1753" s="46"/>
      <c r="AH1753" s="46"/>
      <c r="AI1753" s="46"/>
      <c r="AJ1753" s="46"/>
      <c r="AK1753" s="46"/>
      <c r="AL1753" s="46"/>
      <c r="AM1753" s="46"/>
      <c r="AN1753" s="46"/>
      <c r="AO1753" s="46"/>
      <c r="AP1753" s="46"/>
      <c r="AQ1753" s="46"/>
      <c r="AR1753" s="46"/>
      <c r="AS1753" s="46"/>
      <c r="AT1753" s="46"/>
      <c r="AU1753" s="46"/>
      <c r="AV1753" s="46"/>
      <c r="AW1753" s="46"/>
      <c r="AX1753" s="46"/>
      <c r="AY1753" s="47" t="s">
        <v>234</v>
      </c>
      <c r="AZ1753" s="47" t="s">
        <v>1885</v>
      </c>
      <c r="BA1753" s="47" t="s">
        <v>298</v>
      </c>
      <c r="BB1753" s="48"/>
      <c r="BD1753" s="49" t="s">
        <v>1886</v>
      </c>
      <c r="BE1753" s="60" t="s">
        <v>1884</v>
      </c>
      <c r="BI1753" s="42">
        <v>1</v>
      </c>
      <c r="BK1753" s="50"/>
    </row>
    <row r="1754" spans="1:63" s="71" customFormat="1" ht="26.1" customHeight="1">
      <c r="A1754" s="32">
        <f t="shared" si="354"/>
        <v>1003</v>
      </c>
      <c r="B1754" s="60" t="s">
        <v>89</v>
      </c>
      <c r="C1754" s="34" t="s">
        <v>20</v>
      </c>
      <c r="D1754" s="35">
        <f t="shared" si="344"/>
        <v>7.7</v>
      </c>
      <c r="E1754" s="76"/>
      <c r="F1754" s="35">
        <f t="shared" si="351"/>
        <v>7.7</v>
      </c>
      <c r="G1754" s="77"/>
      <c r="H1754" s="77"/>
      <c r="I1754" s="77"/>
      <c r="J1754" s="77">
        <v>5.9</v>
      </c>
      <c r="K1754" s="77"/>
      <c r="L1754" s="77"/>
      <c r="M1754" s="77"/>
      <c r="N1754" s="77"/>
      <c r="O1754" s="77"/>
      <c r="P1754" s="77">
        <v>1.8</v>
      </c>
      <c r="Q1754" s="77"/>
      <c r="R1754" s="77"/>
      <c r="S1754" s="77"/>
      <c r="T1754" s="77"/>
      <c r="U1754" s="77"/>
      <c r="V1754" s="77"/>
      <c r="W1754" s="77"/>
      <c r="X1754" s="77"/>
      <c r="Y1754" s="77"/>
      <c r="Z1754" s="77"/>
      <c r="AA1754" s="77"/>
      <c r="AB1754" s="77"/>
      <c r="AC1754" s="77"/>
      <c r="AD1754" s="77"/>
      <c r="AE1754" s="77"/>
      <c r="AF1754" s="77"/>
      <c r="AG1754" s="77"/>
      <c r="AH1754" s="77"/>
      <c r="AI1754" s="77"/>
      <c r="AJ1754" s="77"/>
      <c r="AK1754" s="77"/>
      <c r="AL1754" s="77"/>
      <c r="AM1754" s="77"/>
      <c r="AN1754" s="77"/>
      <c r="AO1754" s="77"/>
      <c r="AP1754" s="77"/>
      <c r="AQ1754" s="77"/>
      <c r="AR1754" s="77"/>
      <c r="AS1754" s="77"/>
      <c r="AT1754" s="77"/>
      <c r="AU1754" s="77"/>
      <c r="AV1754" s="77"/>
      <c r="AW1754" s="77"/>
      <c r="AX1754" s="77"/>
      <c r="AY1754" s="70" t="s">
        <v>235</v>
      </c>
      <c r="AZ1754" s="70" t="s">
        <v>387</v>
      </c>
      <c r="BA1754" s="118" t="s">
        <v>291</v>
      </c>
      <c r="BB1754" s="72"/>
      <c r="BD1754" s="71" t="s">
        <v>1887</v>
      </c>
      <c r="BE1754" s="180" t="s">
        <v>1888</v>
      </c>
      <c r="BI1754" s="42">
        <v>1</v>
      </c>
      <c r="BK1754" s="72"/>
    </row>
    <row r="1755" spans="1:63" ht="26.1" customHeight="1">
      <c r="A1755" s="32">
        <f t="shared" si="354"/>
        <v>1004</v>
      </c>
      <c r="B1755" s="60" t="s">
        <v>89</v>
      </c>
      <c r="C1755" s="34" t="s">
        <v>20</v>
      </c>
      <c r="D1755" s="35">
        <f t="shared" ref="D1755:D1762" si="355">E1755+F1755</f>
        <v>3</v>
      </c>
      <c r="E1755" s="36"/>
      <c r="F1755" s="35">
        <f t="shared" si="351"/>
        <v>3</v>
      </c>
      <c r="G1755" s="37">
        <v>2</v>
      </c>
      <c r="H1755" s="37"/>
      <c r="I1755" s="37">
        <v>0.87</v>
      </c>
      <c r="J1755" s="37"/>
      <c r="K1755" s="37"/>
      <c r="L1755" s="37"/>
      <c r="M1755" s="37"/>
      <c r="N1755" s="37"/>
      <c r="O1755" s="37"/>
      <c r="P1755" s="37">
        <v>0.13</v>
      </c>
      <c r="Q1755" s="37"/>
      <c r="R1755" s="37"/>
      <c r="S1755" s="37"/>
      <c r="T1755" s="37"/>
      <c r="U1755" s="37"/>
      <c r="V1755" s="37"/>
      <c r="W1755" s="37"/>
      <c r="X1755" s="37"/>
      <c r="Y1755" s="37"/>
      <c r="Z1755" s="37"/>
      <c r="AA1755" s="37"/>
      <c r="AB1755" s="37"/>
      <c r="AC1755" s="37"/>
      <c r="AD1755" s="37"/>
      <c r="AE1755" s="37"/>
      <c r="AF1755" s="37"/>
      <c r="AG1755" s="37"/>
      <c r="AH1755" s="37"/>
      <c r="AI1755" s="37"/>
      <c r="AJ1755" s="37"/>
      <c r="AK1755" s="37"/>
      <c r="AL1755" s="37"/>
      <c r="AM1755" s="37"/>
      <c r="AN1755" s="37"/>
      <c r="AO1755" s="37"/>
      <c r="AP1755" s="37"/>
      <c r="AQ1755" s="37"/>
      <c r="AR1755" s="37"/>
      <c r="AS1755" s="37"/>
      <c r="AT1755" s="37"/>
      <c r="AU1755" s="37"/>
      <c r="AV1755" s="37"/>
      <c r="AW1755" s="37"/>
      <c r="AX1755" s="37"/>
      <c r="AY1755" s="34" t="s">
        <v>429</v>
      </c>
      <c r="AZ1755" s="34" t="s">
        <v>430</v>
      </c>
      <c r="BA1755" s="63" t="s">
        <v>291</v>
      </c>
      <c r="BB1755" s="64"/>
      <c r="BC1755" s="15" t="s">
        <v>1889</v>
      </c>
      <c r="BE1755" s="180" t="s">
        <v>89</v>
      </c>
      <c r="BI1755" s="42">
        <v>1</v>
      </c>
    </row>
    <row r="1756" spans="1:63" ht="26.1" customHeight="1">
      <c r="A1756" s="32">
        <f t="shared" si="354"/>
        <v>1005</v>
      </c>
      <c r="B1756" s="60" t="s">
        <v>89</v>
      </c>
      <c r="C1756" s="34" t="s">
        <v>20</v>
      </c>
      <c r="D1756" s="35">
        <f t="shared" si="355"/>
        <v>4</v>
      </c>
      <c r="E1756" s="45"/>
      <c r="F1756" s="35">
        <f t="shared" si="351"/>
        <v>4</v>
      </c>
      <c r="G1756" s="46"/>
      <c r="H1756" s="46"/>
      <c r="I1756" s="46"/>
      <c r="J1756" s="46"/>
      <c r="K1756" s="46"/>
      <c r="L1756" s="46"/>
      <c r="M1756" s="46">
        <v>4</v>
      </c>
      <c r="N1756" s="46"/>
      <c r="O1756" s="46"/>
      <c r="P1756" s="46"/>
      <c r="Q1756" s="46"/>
      <c r="R1756" s="46"/>
      <c r="S1756" s="46"/>
      <c r="T1756" s="46"/>
      <c r="U1756" s="46"/>
      <c r="V1756" s="46"/>
      <c r="W1756" s="46"/>
      <c r="X1756" s="46"/>
      <c r="Y1756" s="46"/>
      <c r="Z1756" s="46"/>
      <c r="AA1756" s="46"/>
      <c r="AB1756" s="46"/>
      <c r="AC1756" s="46"/>
      <c r="AD1756" s="46"/>
      <c r="AE1756" s="46"/>
      <c r="AF1756" s="46"/>
      <c r="AG1756" s="46"/>
      <c r="AH1756" s="46"/>
      <c r="AI1756" s="46"/>
      <c r="AJ1756" s="46"/>
      <c r="AK1756" s="46"/>
      <c r="AL1756" s="46"/>
      <c r="AM1756" s="46"/>
      <c r="AN1756" s="46"/>
      <c r="AO1756" s="46"/>
      <c r="AP1756" s="46"/>
      <c r="AQ1756" s="46"/>
      <c r="AR1756" s="46"/>
      <c r="AS1756" s="46"/>
      <c r="AT1756" s="46"/>
      <c r="AU1756" s="46"/>
      <c r="AV1756" s="46"/>
      <c r="AW1756" s="46"/>
      <c r="AX1756" s="46"/>
      <c r="AY1756" s="34" t="s">
        <v>429</v>
      </c>
      <c r="AZ1756" s="34" t="s">
        <v>1890</v>
      </c>
      <c r="BA1756" s="47" t="s">
        <v>298</v>
      </c>
      <c r="BB1756" s="48"/>
      <c r="BD1756" s="15" t="s">
        <v>1891</v>
      </c>
      <c r="BE1756" s="180" t="s">
        <v>1879</v>
      </c>
      <c r="BG1756" s="58" t="s">
        <v>1892</v>
      </c>
      <c r="BI1756" s="42">
        <v>1</v>
      </c>
    </row>
    <row r="1757" spans="1:63" ht="26.1" customHeight="1">
      <c r="A1757" s="32">
        <f t="shared" si="354"/>
        <v>1006</v>
      </c>
      <c r="B1757" s="60" t="s">
        <v>89</v>
      </c>
      <c r="C1757" s="34" t="s">
        <v>20</v>
      </c>
      <c r="D1757" s="35">
        <f t="shared" si="355"/>
        <v>3.5</v>
      </c>
      <c r="E1757" s="36"/>
      <c r="F1757" s="35">
        <f t="shared" si="351"/>
        <v>3.5</v>
      </c>
      <c r="G1757" s="37"/>
      <c r="H1757" s="37"/>
      <c r="I1757" s="37"/>
      <c r="J1757" s="37"/>
      <c r="K1757" s="37"/>
      <c r="L1757" s="37"/>
      <c r="M1757" s="37">
        <v>3.5</v>
      </c>
      <c r="N1757" s="37"/>
      <c r="O1757" s="37"/>
      <c r="P1757" s="37"/>
      <c r="Q1757" s="37"/>
      <c r="R1757" s="37"/>
      <c r="S1757" s="37"/>
      <c r="T1757" s="37"/>
      <c r="U1757" s="37"/>
      <c r="V1757" s="37"/>
      <c r="W1757" s="37"/>
      <c r="X1757" s="37"/>
      <c r="Y1757" s="37"/>
      <c r="Z1757" s="37"/>
      <c r="AA1757" s="37"/>
      <c r="AB1757" s="37"/>
      <c r="AC1757" s="37"/>
      <c r="AD1757" s="37"/>
      <c r="AE1757" s="37"/>
      <c r="AF1757" s="37"/>
      <c r="AG1757" s="37"/>
      <c r="AH1757" s="37"/>
      <c r="AI1757" s="37"/>
      <c r="AJ1757" s="37"/>
      <c r="AK1757" s="37"/>
      <c r="AL1757" s="37"/>
      <c r="AM1757" s="37"/>
      <c r="AN1757" s="37"/>
      <c r="AO1757" s="37"/>
      <c r="AP1757" s="37"/>
      <c r="AQ1757" s="37"/>
      <c r="AR1757" s="37"/>
      <c r="AS1757" s="37"/>
      <c r="AT1757" s="37"/>
      <c r="AU1757" s="37"/>
      <c r="AV1757" s="37"/>
      <c r="AW1757" s="37"/>
      <c r="AX1757" s="37"/>
      <c r="AY1757" s="34" t="s">
        <v>239</v>
      </c>
      <c r="AZ1757" s="34" t="s">
        <v>1893</v>
      </c>
      <c r="BA1757" s="39" t="s">
        <v>291</v>
      </c>
      <c r="BB1757" s="40"/>
      <c r="BC1757" s="15" t="s">
        <v>1894</v>
      </c>
      <c r="BE1757" s="180" t="s">
        <v>1871</v>
      </c>
      <c r="BI1757" s="42">
        <v>1</v>
      </c>
    </row>
    <row r="1758" spans="1:63" ht="26.1" customHeight="1">
      <c r="A1758" s="32">
        <f t="shared" si="354"/>
        <v>1007</v>
      </c>
      <c r="B1758" s="60" t="s">
        <v>89</v>
      </c>
      <c r="C1758" s="34" t="s">
        <v>20</v>
      </c>
      <c r="D1758" s="35">
        <f t="shared" si="355"/>
        <v>2.7</v>
      </c>
      <c r="E1758" s="36"/>
      <c r="F1758" s="35">
        <f>SUM(G1758:AX1758)</f>
        <v>2.7</v>
      </c>
      <c r="G1758" s="37"/>
      <c r="H1758" s="37"/>
      <c r="I1758" s="37"/>
      <c r="J1758" s="37"/>
      <c r="K1758" s="37"/>
      <c r="L1758" s="37"/>
      <c r="M1758" s="37">
        <v>2.7</v>
      </c>
      <c r="N1758" s="37"/>
      <c r="O1758" s="37"/>
      <c r="P1758" s="37"/>
      <c r="Q1758" s="37"/>
      <c r="R1758" s="37"/>
      <c r="S1758" s="37"/>
      <c r="T1758" s="37"/>
      <c r="U1758" s="37"/>
      <c r="V1758" s="37"/>
      <c r="W1758" s="37"/>
      <c r="X1758" s="37"/>
      <c r="Y1758" s="37"/>
      <c r="Z1758" s="37"/>
      <c r="AA1758" s="37"/>
      <c r="AB1758" s="37"/>
      <c r="AC1758" s="37"/>
      <c r="AD1758" s="37"/>
      <c r="AE1758" s="37"/>
      <c r="AF1758" s="37"/>
      <c r="AG1758" s="37"/>
      <c r="AH1758" s="37"/>
      <c r="AI1758" s="37"/>
      <c r="AJ1758" s="37"/>
      <c r="AK1758" s="37"/>
      <c r="AL1758" s="37"/>
      <c r="AM1758" s="37"/>
      <c r="AN1758" s="37"/>
      <c r="AO1758" s="37"/>
      <c r="AP1758" s="37"/>
      <c r="AQ1758" s="37"/>
      <c r="AR1758" s="37"/>
      <c r="AS1758" s="37"/>
      <c r="AT1758" s="37"/>
      <c r="AU1758" s="37"/>
      <c r="AV1758" s="37"/>
      <c r="AW1758" s="37"/>
      <c r="AX1758" s="37"/>
      <c r="AY1758" s="34" t="s">
        <v>240</v>
      </c>
      <c r="AZ1758" s="34" t="s">
        <v>1895</v>
      </c>
      <c r="BA1758" s="47" t="s">
        <v>298</v>
      </c>
      <c r="BB1758" s="48"/>
      <c r="BC1758" s="15" t="s">
        <v>311</v>
      </c>
      <c r="BE1758" s="180" t="s">
        <v>1871</v>
      </c>
      <c r="BI1758" s="42">
        <v>1</v>
      </c>
    </row>
    <row r="1759" spans="1:63" ht="26.1" customHeight="1">
      <c r="A1759" s="32">
        <f t="shared" si="354"/>
        <v>1008</v>
      </c>
      <c r="B1759" s="60" t="s">
        <v>89</v>
      </c>
      <c r="C1759" s="34" t="s">
        <v>20</v>
      </c>
      <c r="D1759" s="35">
        <f t="shared" si="355"/>
        <v>2</v>
      </c>
      <c r="E1759" s="36"/>
      <c r="F1759" s="35">
        <f t="shared" si="351"/>
        <v>2</v>
      </c>
      <c r="G1759" s="37"/>
      <c r="H1759" s="37"/>
      <c r="I1759" s="37"/>
      <c r="J1759" s="37"/>
      <c r="K1759" s="37"/>
      <c r="L1759" s="37"/>
      <c r="M1759" s="37">
        <v>2</v>
      </c>
      <c r="N1759" s="37"/>
      <c r="O1759" s="37"/>
      <c r="P1759" s="37"/>
      <c r="Q1759" s="37"/>
      <c r="R1759" s="37"/>
      <c r="S1759" s="37"/>
      <c r="T1759" s="37"/>
      <c r="U1759" s="37"/>
      <c r="V1759" s="37"/>
      <c r="W1759" s="37"/>
      <c r="X1759" s="37"/>
      <c r="Y1759" s="37"/>
      <c r="Z1759" s="37"/>
      <c r="AA1759" s="37"/>
      <c r="AB1759" s="37"/>
      <c r="AC1759" s="37"/>
      <c r="AD1759" s="37"/>
      <c r="AE1759" s="37"/>
      <c r="AF1759" s="37"/>
      <c r="AG1759" s="37"/>
      <c r="AH1759" s="37"/>
      <c r="AI1759" s="37"/>
      <c r="AJ1759" s="37"/>
      <c r="AK1759" s="37"/>
      <c r="AL1759" s="37"/>
      <c r="AM1759" s="37"/>
      <c r="AN1759" s="37"/>
      <c r="AO1759" s="37"/>
      <c r="AP1759" s="37"/>
      <c r="AQ1759" s="37"/>
      <c r="AR1759" s="37"/>
      <c r="AS1759" s="37"/>
      <c r="AT1759" s="37"/>
      <c r="AU1759" s="37"/>
      <c r="AV1759" s="37"/>
      <c r="AW1759" s="37"/>
      <c r="AX1759" s="37"/>
      <c r="AY1759" s="34" t="s">
        <v>240</v>
      </c>
      <c r="AZ1759" s="34" t="s">
        <v>1896</v>
      </c>
      <c r="BA1759" s="63" t="s">
        <v>291</v>
      </c>
      <c r="BB1759" s="64"/>
      <c r="BE1759" s="180" t="s">
        <v>1871</v>
      </c>
      <c r="BI1759" s="42">
        <v>1</v>
      </c>
    </row>
    <row r="1760" spans="1:63" ht="26.1" customHeight="1">
      <c r="A1760" s="32">
        <f t="shared" si="354"/>
        <v>1009</v>
      </c>
      <c r="B1760" s="60" t="s">
        <v>89</v>
      </c>
      <c r="C1760" s="34" t="s">
        <v>20</v>
      </c>
      <c r="D1760" s="35">
        <f t="shared" si="355"/>
        <v>3</v>
      </c>
      <c r="E1760" s="36"/>
      <c r="F1760" s="35">
        <f t="shared" si="351"/>
        <v>3</v>
      </c>
      <c r="G1760" s="37"/>
      <c r="H1760" s="37"/>
      <c r="I1760" s="37"/>
      <c r="J1760" s="37">
        <v>0.5</v>
      </c>
      <c r="K1760" s="37"/>
      <c r="L1760" s="37"/>
      <c r="M1760" s="37">
        <v>2.2599999999999998</v>
      </c>
      <c r="N1760" s="37"/>
      <c r="O1760" s="37"/>
      <c r="P1760" s="37"/>
      <c r="Q1760" s="37"/>
      <c r="R1760" s="37"/>
      <c r="S1760" s="37"/>
      <c r="T1760" s="37"/>
      <c r="U1760" s="37"/>
      <c r="V1760" s="37"/>
      <c r="W1760" s="37"/>
      <c r="X1760" s="37"/>
      <c r="Y1760" s="37"/>
      <c r="Z1760" s="37"/>
      <c r="AA1760" s="37"/>
      <c r="AB1760" s="37"/>
      <c r="AC1760" s="37"/>
      <c r="AD1760" s="37"/>
      <c r="AE1760" s="37"/>
      <c r="AF1760" s="37"/>
      <c r="AG1760" s="37"/>
      <c r="AH1760" s="37"/>
      <c r="AI1760" s="37"/>
      <c r="AJ1760" s="37"/>
      <c r="AK1760" s="37"/>
      <c r="AL1760" s="37"/>
      <c r="AM1760" s="37"/>
      <c r="AN1760" s="37"/>
      <c r="AO1760" s="37"/>
      <c r="AP1760" s="37"/>
      <c r="AQ1760" s="37"/>
      <c r="AR1760" s="37"/>
      <c r="AS1760" s="37"/>
      <c r="AT1760" s="37"/>
      <c r="AU1760" s="37"/>
      <c r="AV1760" s="37"/>
      <c r="AW1760" s="37"/>
      <c r="AX1760" s="37">
        <v>0.24</v>
      </c>
      <c r="AY1760" s="34" t="s">
        <v>240</v>
      </c>
      <c r="AZ1760" s="34" t="s">
        <v>1897</v>
      </c>
      <c r="BA1760" s="63" t="s">
        <v>291</v>
      </c>
      <c r="BB1760" s="64"/>
      <c r="BE1760" s="180" t="s">
        <v>1871</v>
      </c>
      <c r="BI1760" s="42">
        <v>1</v>
      </c>
    </row>
    <row r="1761" spans="1:61" ht="26.1" customHeight="1">
      <c r="A1761" s="32">
        <f t="shared" si="354"/>
        <v>1010</v>
      </c>
      <c r="B1761" s="60" t="s">
        <v>89</v>
      </c>
      <c r="C1761" s="34" t="s">
        <v>20</v>
      </c>
      <c r="D1761" s="35">
        <f t="shared" si="355"/>
        <v>1.2</v>
      </c>
      <c r="E1761" s="36"/>
      <c r="F1761" s="35">
        <f t="shared" si="351"/>
        <v>1.2</v>
      </c>
      <c r="G1761" s="37">
        <v>1</v>
      </c>
      <c r="H1761" s="37"/>
      <c r="I1761" s="37">
        <v>0.2</v>
      </c>
      <c r="J1761" s="37"/>
      <c r="K1761" s="37"/>
      <c r="L1761" s="37"/>
      <c r="M1761" s="37"/>
      <c r="N1761" s="37"/>
      <c r="O1761" s="37"/>
      <c r="P1761" s="37"/>
      <c r="Q1761" s="37"/>
      <c r="R1761" s="37"/>
      <c r="S1761" s="37"/>
      <c r="T1761" s="37"/>
      <c r="U1761" s="37"/>
      <c r="V1761" s="37"/>
      <c r="W1761" s="37"/>
      <c r="X1761" s="37"/>
      <c r="Y1761" s="37"/>
      <c r="Z1761" s="37"/>
      <c r="AA1761" s="37"/>
      <c r="AB1761" s="37"/>
      <c r="AC1761" s="37"/>
      <c r="AD1761" s="37"/>
      <c r="AE1761" s="37"/>
      <c r="AF1761" s="37"/>
      <c r="AG1761" s="37"/>
      <c r="AH1761" s="37"/>
      <c r="AI1761" s="37"/>
      <c r="AJ1761" s="37"/>
      <c r="AK1761" s="37"/>
      <c r="AL1761" s="37"/>
      <c r="AM1761" s="37"/>
      <c r="AN1761" s="37"/>
      <c r="AO1761" s="37"/>
      <c r="AP1761" s="37"/>
      <c r="AQ1761" s="37"/>
      <c r="AR1761" s="37"/>
      <c r="AS1761" s="37"/>
      <c r="AT1761" s="37"/>
      <c r="AU1761" s="37"/>
      <c r="AV1761" s="37"/>
      <c r="AW1761" s="37"/>
      <c r="AX1761" s="37"/>
      <c r="AY1761" s="34" t="s">
        <v>240</v>
      </c>
      <c r="AZ1761" s="34" t="s">
        <v>1898</v>
      </c>
      <c r="BA1761" s="47" t="s">
        <v>298</v>
      </c>
      <c r="BB1761" s="48"/>
      <c r="BE1761" s="180" t="s">
        <v>1871</v>
      </c>
      <c r="BI1761" s="42">
        <v>1</v>
      </c>
    </row>
    <row r="1762" spans="1:61" ht="26.1" customHeight="1">
      <c r="A1762" s="32">
        <f t="shared" si="354"/>
        <v>1011</v>
      </c>
      <c r="B1762" s="60" t="s">
        <v>89</v>
      </c>
      <c r="C1762" s="34" t="s">
        <v>20</v>
      </c>
      <c r="D1762" s="35">
        <f t="shared" si="355"/>
        <v>4.3</v>
      </c>
      <c r="E1762" s="36"/>
      <c r="F1762" s="35">
        <f t="shared" si="351"/>
        <v>4.3</v>
      </c>
      <c r="G1762" s="37"/>
      <c r="H1762" s="37"/>
      <c r="I1762" s="37"/>
      <c r="J1762" s="37"/>
      <c r="K1762" s="37"/>
      <c r="L1762" s="37"/>
      <c r="M1762" s="37">
        <v>4.3</v>
      </c>
      <c r="N1762" s="37"/>
      <c r="O1762" s="37"/>
      <c r="P1762" s="37"/>
      <c r="Q1762" s="37"/>
      <c r="R1762" s="37"/>
      <c r="S1762" s="37"/>
      <c r="T1762" s="37"/>
      <c r="U1762" s="37"/>
      <c r="V1762" s="37"/>
      <c r="W1762" s="37"/>
      <c r="X1762" s="37"/>
      <c r="Y1762" s="37"/>
      <c r="Z1762" s="37"/>
      <c r="AA1762" s="37"/>
      <c r="AB1762" s="37"/>
      <c r="AC1762" s="37"/>
      <c r="AD1762" s="37"/>
      <c r="AE1762" s="37"/>
      <c r="AF1762" s="37"/>
      <c r="AG1762" s="37"/>
      <c r="AH1762" s="37"/>
      <c r="AI1762" s="37"/>
      <c r="AJ1762" s="37"/>
      <c r="AK1762" s="37"/>
      <c r="AL1762" s="37"/>
      <c r="AM1762" s="37"/>
      <c r="AN1762" s="37"/>
      <c r="AO1762" s="37"/>
      <c r="AP1762" s="37"/>
      <c r="AQ1762" s="37"/>
      <c r="AR1762" s="37"/>
      <c r="AS1762" s="37"/>
      <c r="AT1762" s="37"/>
      <c r="AU1762" s="37"/>
      <c r="AV1762" s="37"/>
      <c r="AW1762" s="37"/>
      <c r="AX1762" s="37"/>
      <c r="AY1762" s="34" t="s">
        <v>240</v>
      </c>
      <c r="AZ1762" s="34" t="s">
        <v>1899</v>
      </c>
      <c r="BA1762" s="47" t="s">
        <v>298</v>
      </c>
      <c r="BB1762" s="48"/>
      <c r="BE1762" s="180" t="s">
        <v>1871</v>
      </c>
      <c r="BI1762" s="42">
        <v>1</v>
      </c>
    </row>
    <row r="1763" spans="1:61" ht="22.35" customHeight="1">
      <c r="A1763" s="1671" t="s">
        <v>1900</v>
      </c>
      <c r="B1763" s="1671"/>
      <c r="C1763" s="159"/>
      <c r="D1763" s="182">
        <f>D1731+D1722+D1696+D1694+D1690+D1678+D1662+D1554+D594+D588+D481+D471+D425+D407+D394+D392+D388+D348+D336+D291+D287+D280+D209+D160+D143+D138+D86+D40+D34+D16+D7</f>
        <v>3225.7561999999989</v>
      </c>
      <c r="E1763" s="182">
        <f>E1731+E1722+E1696+E1694+E1690+E1678+E1662+E1554+E594+E588+E481+E471+E425+E407+E394+E392+E388+E348+E336+E291+E287+E280+E209+E160+E143+E138+E86+E40+E34+E16+E7</f>
        <v>326.71999999999991</v>
      </c>
      <c r="F1763" s="182">
        <f>F1731+F1722+F1696+F1694+F1690+F1678+F1662+F1554+F594+F588+F481+F471+F425+F407+F394+F392+F388+F348+F336+F291+F287+F280+F209+F160+F143+F138+F86+F40+F34+F16+F7</f>
        <v>2899.0362</v>
      </c>
      <c r="G1763" s="183">
        <f t="shared" ref="G1763:AX1763" si="356">G7+G16+G34+G40+G86+G138+G143+G160+G209+G280+G287+G291+G336+G348+G388+G392+G394+G407+G425+G471+G481+G588+G594+G1554+G1662+G1678+G1690+G1694+G1696+G1722+G1731</f>
        <v>622.78</v>
      </c>
      <c r="H1763" s="183">
        <f t="shared" si="356"/>
        <v>174.35000000000002</v>
      </c>
      <c r="I1763" s="183">
        <f t="shared" si="356"/>
        <v>211.35999999999999</v>
      </c>
      <c r="J1763" s="183">
        <f t="shared" si="356"/>
        <v>291.53219999999999</v>
      </c>
      <c r="K1763" s="183">
        <f t="shared" si="356"/>
        <v>174.31</v>
      </c>
      <c r="L1763" s="183">
        <f t="shared" si="356"/>
        <v>2.35</v>
      </c>
      <c r="M1763" s="183">
        <f t="shared" si="356"/>
        <v>1227.52</v>
      </c>
      <c r="N1763" s="183">
        <f t="shared" si="356"/>
        <v>0</v>
      </c>
      <c r="O1763" s="183">
        <f t="shared" si="356"/>
        <v>0</v>
      </c>
      <c r="P1763" s="183">
        <f t="shared" si="356"/>
        <v>29.949999999999992</v>
      </c>
      <c r="Q1763" s="183">
        <f t="shared" si="356"/>
        <v>0.17</v>
      </c>
      <c r="R1763" s="183">
        <f t="shared" si="356"/>
        <v>3.26</v>
      </c>
      <c r="S1763" s="183">
        <f t="shared" si="356"/>
        <v>0</v>
      </c>
      <c r="T1763" s="183">
        <f t="shared" si="356"/>
        <v>0</v>
      </c>
      <c r="U1763" s="183">
        <f t="shared" si="356"/>
        <v>0</v>
      </c>
      <c r="V1763" s="183">
        <f t="shared" si="356"/>
        <v>0.18</v>
      </c>
      <c r="W1763" s="183">
        <f t="shared" si="356"/>
        <v>1</v>
      </c>
      <c r="X1763" s="183">
        <f t="shared" si="356"/>
        <v>0</v>
      </c>
      <c r="Y1763" s="183">
        <f t="shared" si="356"/>
        <v>0</v>
      </c>
      <c r="Z1763" s="183">
        <f t="shared" si="356"/>
        <v>16.559999999999999</v>
      </c>
      <c r="AA1763" s="183">
        <f t="shared" si="356"/>
        <v>9.08</v>
      </c>
      <c r="AB1763" s="183">
        <f t="shared" si="356"/>
        <v>0.04</v>
      </c>
      <c r="AC1763" s="183">
        <f t="shared" si="356"/>
        <v>1.05</v>
      </c>
      <c r="AD1763" s="183">
        <f t="shared" si="356"/>
        <v>7.21</v>
      </c>
      <c r="AE1763" s="183">
        <f t="shared" si="356"/>
        <v>0.77</v>
      </c>
      <c r="AF1763" s="183">
        <f t="shared" si="356"/>
        <v>0.27</v>
      </c>
      <c r="AG1763" s="183">
        <f t="shared" si="356"/>
        <v>0.05</v>
      </c>
      <c r="AH1763" s="183">
        <f t="shared" si="356"/>
        <v>0</v>
      </c>
      <c r="AI1763" s="183">
        <f t="shared" si="356"/>
        <v>0</v>
      </c>
      <c r="AJ1763" s="183">
        <f t="shared" si="356"/>
        <v>0</v>
      </c>
      <c r="AK1763" s="183">
        <f t="shared" si="356"/>
        <v>3.8</v>
      </c>
      <c r="AL1763" s="183">
        <f t="shared" si="356"/>
        <v>1.27</v>
      </c>
      <c r="AM1763" s="183">
        <f t="shared" si="356"/>
        <v>0</v>
      </c>
      <c r="AN1763" s="183">
        <f t="shared" si="356"/>
        <v>0.8640000000000001</v>
      </c>
      <c r="AO1763" s="183">
        <f t="shared" si="356"/>
        <v>0</v>
      </c>
      <c r="AP1763" s="183">
        <f t="shared" si="356"/>
        <v>30.480000000000004</v>
      </c>
      <c r="AQ1763" s="183">
        <f t="shared" si="356"/>
        <v>11.139999999999999</v>
      </c>
      <c r="AR1763" s="183">
        <f t="shared" si="356"/>
        <v>4.87</v>
      </c>
      <c r="AS1763" s="183">
        <f t="shared" si="356"/>
        <v>1.48</v>
      </c>
      <c r="AT1763" s="183">
        <f t="shared" si="356"/>
        <v>0</v>
      </c>
      <c r="AU1763" s="183">
        <f t="shared" si="356"/>
        <v>2.31</v>
      </c>
      <c r="AV1763" s="183">
        <f t="shared" si="356"/>
        <v>9.49</v>
      </c>
      <c r="AW1763" s="183">
        <f t="shared" si="356"/>
        <v>0</v>
      </c>
      <c r="AX1763" s="183">
        <f t="shared" si="356"/>
        <v>59.540000000000013</v>
      </c>
      <c r="AY1763" s="34"/>
      <c r="AZ1763" s="34"/>
      <c r="BA1763" s="156"/>
    </row>
    <row r="1844" spans="1:58" s="14" customFormat="1">
      <c r="A1844" s="184"/>
      <c r="B1844" s="55"/>
      <c r="C1844" s="15"/>
      <c r="D1844" s="185"/>
      <c r="E1844" s="185"/>
      <c r="F1844" s="185"/>
      <c r="G1844" s="185"/>
      <c r="H1844" s="185"/>
      <c r="I1844" s="185"/>
      <c r="J1844" s="185"/>
      <c r="K1844" s="185"/>
      <c r="L1844" s="185"/>
      <c r="M1844" s="185"/>
      <c r="N1844" s="185"/>
      <c r="O1844" s="185"/>
      <c r="P1844" s="185"/>
      <c r="Q1844" s="185"/>
      <c r="R1844" s="185"/>
      <c r="S1844" s="185"/>
      <c r="T1844" s="185"/>
      <c r="U1844" s="185"/>
      <c r="V1844" s="185"/>
      <c r="W1844" s="185"/>
      <c r="X1844" s="185"/>
      <c r="Y1844" s="185"/>
      <c r="Z1844" s="185"/>
      <c r="AA1844" s="185"/>
      <c r="AB1844" s="185"/>
      <c r="AC1844" s="185"/>
      <c r="AD1844" s="185"/>
      <c r="AE1844" s="185"/>
      <c r="AF1844" s="185"/>
      <c r="AG1844" s="185"/>
      <c r="AH1844" s="185"/>
      <c r="AI1844" s="185"/>
      <c r="AJ1844" s="185"/>
      <c r="AK1844" s="185"/>
      <c r="AL1844" s="185"/>
      <c r="AM1844" s="185"/>
      <c r="AN1844" s="185"/>
      <c r="AO1844" s="185"/>
      <c r="AP1844" s="185"/>
      <c r="AQ1844" s="185"/>
      <c r="AR1844" s="185"/>
      <c r="AS1844" s="185"/>
      <c r="AT1844" s="185"/>
      <c r="AU1844" s="185"/>
      <c r="AV1844" s="185"/>
      <c r="AW1844" s="185"/>
      <c r="AX1844" s="185"/>
      <c r="AY1844" s="58"/>
      <c r="AZ1844" s="58"/>
      <c r="BC1844" s="15"/>
      <c r="BD1844" s="15"/>
      <c r="BE1844" s="15"/>
      <c r="BF1844" s="15"/>
    </row>
    <row r="1845" spans="1:58" s="14" customFormat="1">
      <c r="A1845" s="184"/>
      <c r="B1845" s="55"/>
      <c r="C1845" s="15"/>
      <c r="D1845" s="185"/>
      <c r="E1845" s="185"/>
      <c r="F1845" s="185"/>
      <c r="G1845" s="185"/>
      <c r="H1845" s="185"/>
      <c r="I1845" s="185"/>
      <c r="J1845" s="185"/>
      <c r="K1845" s="185"/>
      <c r="L1845" s="185"/>
      <c r="M1845" s="185"/>
      <c r="N1845" s="185"/>
      <c r="O1845" s="185"/>
      <c r="P1845" s="185"/>
      <c r="Q1845" s="185"/>
      <c r="R1845" s="185"/>
      <c r="S1845" s="185"/>
      <c r="T1845" s="185"/>
      <c r="U1845" s="185"/>
      <c r="V1845" s="185"/>
      <c r="W1845" s="185"/>
      <c r="X1845" s="185"/>
      <c r="Y1845" s="185"/>
      <c r="Z1845" s="185"/>
      <c r="AA1845" s="185"/>
      <c r="AB1845" s="185"/>
      <c r="AC1845" s="185"/>
      <c r="AD1845" s="185"/>
      <c r="AE1845" s="185"/>
      <c r="AF1845" s="185"/>
      <c r="AG1845" s="185"/>
      <c r="AH1845" s="185"/>
      <c r="AI1845" s="185"/>
      <c r="AJ1845" s="185"/>
      <c r="AK1845" s="185"/>
      <c r="AL1845" s="185"/>
      <c r="AM1845" s="185"/>
      <c r="AN1845" s="185"/>
      <c r="AO1845" s="185"/>
      <c r="AP1845" s="185"/>
      <c r="AQ1845" s="185"/>
      <c r="AR1845" s="185"/>
      <c r="AS1845" s="185"/>
      <c r="AT1845" s="185"/>
      <c r="AU1845" s="185"/>
      <c r="AV1845" s="185"/>
      <c r="AW1845" s="185"/>
      <c r="AX1845" s="185"/>
      <c r="AY1845" s="58"/>
      <c r="AZ1845" s="58"/>
      <c r="BC1845" s="15"/>
      <c r="BD1845" s="15"/>
      <c r="BE1845" s="15"/>
      <c r="BF1845" s="15"/>
    </row>
    <row r="1846" spans="1:58" s="14" customFormat="1">
      <c r="A1846" s="184"/>
      <c r="B1846" s="55"/>
      <c r="C1846" s="15"/>
      <c r="D1846" s="185"/>
      <c r="E1846" s="185"/>
      <c r="F1846" s="185"/>
      <c r="G1846" s="185"/>
      <c r="H1846" s="185"/>
      <c r="I1846" s="185"/>
      <c r="J1846" s="185"/>
      <c r="K1846" s="185"/>
      <c r="L1846" s="185"/>
      <c r="M1846" s="185"/>
      <c r="N1846" s="185"/>
      <c r="O1846" s="185"/>
      <c r="P1846" s="185"/>
      <c r="Q1846" s="185"/>
      <c r="R1846" s="185"/>
      <c r="S1846" s="185"/>
      <c r="T1846" s="185"/>
      <c r="U1846" s="185"/>
      <c r="V1846" s="185"/>
      <c r="W1846" s="185"/>
      <c r="X1846" s="185"/>
      <c r="Y1846" s="185"/>
      <c r="Z1846" s="185"/>
      <c r="AA1846" s="185"/>
      <c r="AB1846" s="185"/>
      <c r="AC1846" s="185"/>
      <c r="AD1846" s="185"/>
      <c r="AE1846" s="185"/>
      <c r="AF1846" s="185"/>
      <c r="AG1846" s="185"/>
      <c r="AH1846" s="185"/>
      <c r="AI1846" s="185"/>
      <c r="AJ1846" s="185"/>
      <c r="AK1846" s="185"/>
      <c r="AL1846" s="185"/>
      <c r="AM1846" s="185"/>
      <c r="AN1846" s="185"/>
      <c r="AO1846" s="185"/>
      <c r="AP1846" s="185"/>
      <c r="AQ1846" s="185"/>
      <c r="AR1846" s="185"/>
      <c r="AS1846" s="185"/>
      <c r="AT1846" s="185"/>
      <c r="AU1846" s="185"/>
      <c r="AV1846" s="185"/>
      <c r="AW1846" s="185"/>
      <c r="AX1846" s="185"/>
      <c r="AY1846" s="58"/>
      <c r="AZ1846" s="58"/>
      <c r="BC1846" s="15"/>
      <c r="BD1846" s="15"/>
      <c r="BE1846" s="15"/>
      <c r="BF1846" s="15"/>
    </row>
    <row r="1847" spans="1:58" s="14" customFormat="1">
      <c r="A1847" s="184"/>
      <c r="B1847" s="55"/>
      <c r="C1847" s="15"/>
      <c r="D1847" s="185"/>
      <c r="E1847" s="185"/>
      <c r="F1847" s="185"/>
      <c r="G1847" s="185"/>
      <c r="H1847" s="185"/>
      <c r="I1847" s="185"/>
      <c r="J1847" s="185"/>
      <c r="K1847" s="185"/>
      <c r="L1847" s="185"/>
      <c r="M1847" s="185"/>
      <c r="N1847" s="185"/>
      <c r="O1847" s="185"/>
      <c r="P1847" s="185"/>
      <c r="Q1847" s="185"/>
      <c r="R1847" s="185"/>
      <c r="S1847" s="185"/>
      <c r="T1847" s="185"/>
      <c r="U1847" s="185"/>
      <c r="V1847" s="185"/>
      <c r="W1847" s="185"/>
      <c r="X1847" s="185"/>
      <c r="Y1847" s="185"/>
      <c r="Z1847" s="185"/>
      <c r="AA1847" s="185"/>
      <c r="AB1847" s="185"/>
      <c r="AC1847" s="185"/>
      <c r="AD1847" s="185"/>
      <c r="AE1847" s="185"/>
      <c r="AF1847" s="185"/>
      <c r="AG1847" s="185"/>
      <c r="AH1847" s="185"/>
      <c r="AI1847" s="185"/>
      <c r="AJ1847" s="185"/>
      <c r="AK1847" s="185"/>
      <c r="AL1847" s="185"/>
      <c r="AM1847" s="185"/>
      <c r="AN1847" s="185"/>
      <c r="AO1847" s="185"/>
      <c r="AP1847" s="185"/>
      <c r="AQ1847" s="185"/>
      <c r="AR1847" s="185"/>
      <c r="AS1847" s="185"/>
      <c r="AT1847" s="185"/>
      <c r="AU1847" s="185"/>
      <c r="AV1847" s="185"/>
      <c r="AW1847" s="185"/>
      <c r="AX1847" s="185"/>
      <c r="AY1847" s="58"/>
      <c r="AZ1847" s="58"/>
      <c r="BC1847" s="15"/>
      <c r="BD1847" s="15"/>
      <c r="BE1847" s="15"/>
      <c r="BF1847" s="15"/>
    </row>
    <row r="1848" spans="1:58" s="14" customFormat="1">
      <c r="A1848" s="184"/>
      <c r="B1848" s="55"/>
      <c r="C1848" s="15"/>
      <c r="D1848" s="185"/>
      <c r="E1848" s="185"/>
      <c r="F1848" s="185"/>
      <c r="G1848" s="185"/>
      <c r="H1848" s="185"/>
      <c r="I1848" s="185"/>
      <c r="J1848" s="185"/>
      <c r="K1848" s="185"/>
      <c r="L1848" s="185"/>
      <c r="M1848" s="185"/>
      <c r="N1848" s="185"/>
      <c r="O1848" s="185"/>
      <c r="P1848" s="185"/>
      <c r="Q1848" s="185"/>
      <c r="R1848" s="185"/>
      <c r="S1848" s="185"/>
      <c r="T1848" s="185"/>
      <c r="U1848" s="185"/>
      <c r="V1848" s="185"/>
      <c r="W1848" s="185"/>
      <c r="X1848" s="185"/>
      <c r="Y1848" s="185"/>
      <c r="Z1848" s="185"/>
      <c r="AA1848" s="185"/>
      <c r="AB1848" s="185"/>
      <c r="AC1848" s="185"/>
      <c r="AD1848" s="185"/>
      <c r="AE1848" s="185"/>
      <c r="AF1848" s="185"/>
      <c r="AG1848" s="185"/>
      <c r="AH1848" s="185"/>
      <c r="AI1848" s="185"/>
      <c r="AJ1848" s="185"/>
      <c r="AK1848" s="185"/>
      <c r="AL1848" s="185"/>
      <c r="AM1848" s="185"/>
      <c r="AN1848" s="185"/>
      <c r="AO1848" s="185"/>
      <c r="AP1848" s="185"/>
      <c r="AQ1848" s="185"/>
      <c r="AR1848" s="185"/>
      <c r="AS1848" s="185"/>
      <c r="AT1848" s="185"/>
      <c r="AU1848" s="185"/>
      <c r="AV1848" s="185"/>
      <c r="AW1848" s="185"/>
      <c r="AX1848" s="185"/>
      <c r="AY1848" s="58"/>
      <c r="AZ1848" s="58"/>
      <c r="BC1848" s="15"/>
      <c r="BD1848" s="15"/>
      <c r="BE1848" s="15"/>
      <c r="BF1848" s="15"/>
    </row>
    <row r="1849" spans="1:58" s="14" customFormat="1">
      <c r="A1849" s="184"/>
      <c r="B1849" s="55"/>
      <c r="C1849" s="15"/>
      <c r="D1849" s="185"/>
      <c r="E1849" s="185"/>
      <c r="F1849" s="185"/>
      <c r="G1849" s="185"/>
      <c r="H1849" s="185"/>
      <c r="I1849" s="185"/>
      <c r="J1849" s="185"/>
      <c r="K1849" s="185"/>
      <c r="L1849" s="185"/>
      <c r="M1849" s="185"/>
      <c r="N1849" s="185"/>
      <c r="O1849" s="185"/>
      <c r="P1849" s="185"/>
      <c r="Q1849" s="185"/>
      <c r="R1849" s="185"/>
      <c r="S1849" s="185"/>
      <c r="T1849" s="185"/>
      <c r="U1849" s="185"/>
      <c r="V1849" s="185"/>
      <c r="W1849" s="185"/>
      <c r="X1849" s="185"/>
      <c r="Y1849" s="185"/>
      <c r="Z1849" s="185"/>
      <c r="AA1849" s="185"/>
      <c r="AB1849" s="185"/>
      <c r="AC1849" s="185"/>
      <c r="AD1849" s="185"/>
      <c r="AE1849" s="185"/>
      <c r="AF1849" s="185"/>
      <c r="AG1849" s="185"/>
      <c r="AH1849" s="185"/>
      <c r="AI1849" s="185"/>
      <c r="AJ1849" s="185"/>
      <c r="AK1849" s="185"/>
      <c r="AL1849" s="185"/>
      <c r="AM1849" s="185"/>
      <c r="AN1849" s="185"/>
      <c r="AO1849" s="185"/>
      <c r="AP1849" s="185"/>
      <c r="AQ1849" s="185"/>
      <c r="AR1849" s="185"/>
      <c r="AS1849" s="185"/>
      <c r="AT1849" s="185"/>
      <c r="AU1849" s="185"/>
      <c r="AV1849" s="185"/>
      <c r="AW1849" s="185"/>
      <c r="AX1849" s="185"/>
      <c r="AY1849" s="58"/>
      <c r="AZ1849" s="58"/>
      <c r="BC1849" s="15"/>
      <c r="BD1849" s="15"/>
      <c r="BE1849" s="15"/>
      <c r="BF1849" s="15"/>
    </row>
    <row r="1850" spans="1:58" s="14" customFormat="1">
      <c r="A1850" s="184"/>
      <c r="B1850" s="55"/>
      <c r="C1850" s="15"/>
      <c r="D1850" s="185"/>
      <c r="E1850" s="185"/>
      <c r="F1850" s="185"/>
      <c r="G1850" s="185"/>
      <c r="H1850" s="185"/>
      <c r="I1850" s="185"/>
      <c r="J1850" s="185"/>
      <c r="K1850" s="185"/>
      <c r="L1850" s="185"/>
      <c r="M1850" s="185"/>
      <c r="N1850" s="185"/>
      <c r="O1850" s="185"/>
      <c r="P1850" s="185"/>
      <c r="Q1850" s="185"/>
      <c r="R1850" s="185"/>
      <c r="S1850" s="185"/>
      <c r="T1850" s="185"/>
      <c r="U1850" s="185"/>
      <c r="V1850" s="185"/>
      <c r="W1850" s="185"/>
      <c r="X1850" s="185"/>
      <c r="Y1850" s="185"/>
      <c r="Z1850" s="185"/>
      <c r="AA1850" s="185"/>
      <c r="AB1850" s="185"/>
      <c r="AC1850" s="185"/>
      <c r="AD1850" s="185"/>
      <c r="AE1850" s="185"/>
      <c r="AF1850" s="185"/>
      <c r="AG1850" s="185"/>
      <c r="AH1850" s="185"/>
      <c r="AI1850" s="185"/>
      <c r="AJ1850" s="185"/>
      <c r="AK1850" s="185"/>
      <c r="AL1850" s="185"/>
      <c r="AM1850" s="185"/>
      <c r="AN1850" s="185"/>
      <c r="AO1850" s="185"/>
      <c r="AP1850" s="185"/>
      <c r="AQ1850" s="185"/>
      <c r="AR1850" s="185"/>
      <c r="AS1850" s="185"/>
      <c r="AT1850" s="185"/>
      <c r="AU1850" s="185"/>
      <c r="AV1850" s="185"/>
      <c r="AW1850" s="185"/>
      <c r="AX1850" s="185"/>
      <c r="AY1850" s="58"/>
      <c r="AZ1850" s="58"/>
      <c r="BC1850" s="15"/>
      <c r="BD1850" s="15"/>
      <c r="BE1850" s="15"/>
      <c r="BF1850" s="15"/>
    </row>
    <row r="1851" spans="1:58" s="14" customFormat="1">
      <c r="A1851" s="184"/>
      <c r="B1851" s="55"/>
      <c r="C1851" s="15"/>
      <c r="D1851" s="185"/>
      <c r="E1851" s="185"/>
      <c r="F1851" s="185"/>
      <c r="G1851" s="185"/>
      <c r="H1851" s="185"/>
      <c r="I1851" s="185"/>
      <c r="J1851" s="185"/>
      <c r="K1851" s="185"/>
      <c r="L1851" s="185"/>
      <c r="M1851" s="185"/>
      <c r="N1851" s="185"/>
      <c r="O1851" s="185"/>
      <c r="P1851" s="185"/>
      <c r="Q1851" s="185"/>
      <c r="R1851" s="185"/>
      <c r="S1851" s="185"/>
      <c r="T1851" s="185"/>
      <c r="U1851" s="185"/>
      <c r="V1851" s="185"/>
      <c r="W1851" s="185"/>
      <c r="X1851" s="185"/>
      <c r="Y1851" s="185"/>
      <c r="Z1851" s="185"/>
      <c r="AA1851" s="185"/>
      <c r="AB1851" s="185"/>
      <c r="AC1851" s="185"/>
      <c r="AD1851" s="185"/>
      <c r="AE1851" s="185"/>
      <c r="AF1851" s="185"/>
      <c r="AG1851" s="185"/>
      <c r="AH1851" s="185"/>
      <c r="AI1851" s="185"/>
      <c r="AJ1851" s="185"/>
      <c r="AK1851" s="185"/>
      <c r="AL1851" s="185"/>
      <c r="AM1851" s="185"/>
      <c r="AN1851" s="185"/>
      <c r="AO1851" s="185"/>
      <c r="AP1851" s="185"/>
      <c r="AQ1851" s="185"/>
      <c r="AR1851" s="185"/>
      <c r="AS1851" s="185"/>
      <c r="AT1851" s="185"/>
      <c r="AU1851" s="185"/>
      <c r="AV1851" s="185"/>
      <c r="AW1851" s="185"/>
      <c r="AX1851" s="185"/>
      <c r="AY1851" s="58"/>
      <c r="AZ1851" s="58"/>
      <c r="BC1851" s="15"/>
      <c r="BD1851" s="15"/>
      <c r="BE1851" s="15"/>
      <c r="BF1851" s="15"/>
    </row>
  </sheetData>
  <mergeCells count="23">
    <mergeCell ref="BB5:BB6"/>
    <mergeCell ref="A365:A366"/>
    <mergeCell ref="B365:B366"/>
    <mergeCell ref="BA365:BA366"/>
    <mergeCell ref="A1763:B1763"/>
    <mergeCell ref="A367:A369"/>
    <mergeCell ref="B367:B369"/>
    <mergeCell ref="BA367:BA369"/>
    <mergeCell ref="A1344:A1355"/>
    <mergeCell ref="B1344:B1355"/>
    <mergeCell ref="BA1344:BA1352"/>
    <mergeCell ref="A1:B1"/>
    <mergeCell ref="A2:BA2"/>
    <mergeCell ref="A3:BA3"/>
    <mergeCell ref="A5:A6"/>
    <mergeCell ref="B5:B6"/>
    <mergeCell ref="C5:C6"/>
    <mergeCell ref="D5:D6"/>
    <mergeCell ref="E5:E6"/>
    <mergeCell ref="F5:F6"/>
    <mergeCell ref="G5:AX5"/>
    <mergeCell ref="AY5:AZ5"/>
    <mergeCell ref="BA5:BA6"/>
  </mergeCells>
  <conditionalFormatting sqref="BA1682:BB1683">
    <cfRule type="uniqueValues" dxfId="2" priority="3" stopIfTrue="1"/>
  </conditionalFormatting>
  <conditionalFormatting sqref="BB4">
    <cfRule type="cellIs" dxfId="1" priority="1" stopIfTrue="1" operator="equal">
      <formula>0</formula>
    </cfRule>
    <cfRule type="cellIs" dxfId="0" priority="2" stopIfTrue="1" operator="equal">
      <formula>0</formula>
    </cfRule>
  </conditionalFormatting>
  <printOptions horizontalCentered="1"/>
  <pageMargins left="0.27559055118110237" right="0.27559055118110237" top="0.59055118110236227" bottom="0.59055118110236227" header="0" footer="0.19"/>
  <pageSetup paperSize="9" scale="95" fitToWidth="0" fitToHeight="0" orientation="landscape" r:id="rId1"/>
  <headerFooter>
    <oddFooter>&amp;C&amp;P</oddFooter>
  </headerFooter>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2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2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2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2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29</vt:i4>
      </vt:variant>
    </vt:vector>
  </HeadingPairs>
  <TitlesOfParts>
    <vt:vector size="52" baseType="lpstr">
      <vt:lpstr>01CH_GOC</vt:lpstr>
      <vt:lpstr>02CH_GOC</vt:lpstr>
      <vt:lpstr>03CH_GOC</vt:lpstr>
      <vt:lpstr>04CH_GOC</vt:lpstr>
      <vt:lpstr>12CH_hieu chinh</vt:lpstr>
      <vt:lpstr>Bieu huyen</vt:lpstr>
      <vt:lpstr>12CH_GOC</vt:lpstr>
      <vt:lpstr>11CH_GOC</vt:lpstr>
      <vt:lpstr>05CH_GOC</vt:lpstr>
      <vt:lpstr>01CH</vt:lpstr>
      <vt:lpstr>02CH</vt:lpstr>
      <vt:lpstr>06CH</vt:lpstr>
      <vt:lpstr>07CH</vt:lpstr>
      <vt:lpstr>08CH</vt:lpstr>
      <vt:lpstr>09CH</vt:lpstr>
      <vt:lpstr>BIEU 10 CH</vt:lpstr>
      <vt:lpstr>11CH</vt:lpstr>
      <vt:lpstr>13CH </vt:lpstr>
      <vt:lpstr>bieu bien dong</vt:lpstr>
      <vt:lpstr>Phuong an dieu chinh</vt:lpstr>
      <vt:lpstr>Ngoc cop</vt:lpstr>
      <vt:lpstr>Phu bieu 01 (DG)</vt:lpstr>
      <vt:lpstr>Phu bieu 02 (DM)</vt:lpstr>
      <vt:lpstr>'01CH'!Print_Area</vt:lpstr>
      <vt:lpstr>'01CH_GOC'!Print_Area</vt:lpstr>
      <vt:lpstr>'02CH'!Print_Area</vt:lpstr>
      <vt:lpstr>'02CH_GOC'!Print_Area</vt:lpstr>
      <vt:lpstr>'03CH_GOC'!Print_Area</vt:lpstr>
      <vt:lpstr>'04CH_GOC'!Print_Area</vt:lpstr>
      <vt:lpstr>'05CH_GOC'!Print_Area</vt:lpstr>
      <vt:lpstr>'06CH'!Print_Area</vt:lpstr>
      <vt:lpstr>'08CH'!Print_Area</vt:lpstr>
      <vt:lpstr>'09CH'!Print_Area</vt:lpstr>
      <vt:lpstr>'11CH'!Print_Area</vt:lpstr>
      <vt:lpstr>'11CH_GOC'!Print_Area</vt:lpstr>
      <vt:lpstr>'12CH_GOC'!Print_Area</vt:lpstr>
      <vt:lpstr>'12CH_hieu chinh'!Print_Area</vt:lpstr>
      <vt:lpstr>'13CH '!Print_Area</vt:lpstr>
      <vt:lpstr>'BIEU 10 CH'!Print_Area</vt:lpstr>
      <vt:lpstr>'Bieu huyen'!Print_Area</vt:lpstr>
      <vt:lpstr>'Phu bieu 01 (DG)'!Print_Area</vt:lpstr>
      <vt:lpstr>'Phu bieu 02 (DM)'!Print_Area</vt:lpstr>
      <vt:lpstr>'03CH_GOC'!Print_Titles</vt:lpstr>
      <vt:lpstr>'04CH_GOC'!Print_Titles</vt:lpstr>
      <vt:lpstr>'05CH_GOC'!Print_Titles</vt:lpstr>
      <vt:lpstr>'06CH'!Print_Titles</vt:lpstr>
      <vt:lpstr>'07CH'!Print_Titles</vt:lpstr>
      <vt:lpstr>'08CH'!Print_Titles</vt:lpstr>
      <vt:lpstr>'09CH'!Print_Titles</vt:lpstr>
      <vt:lpstr>'BIEU 10 CH'!Print_Titles</vt:lpstr>
      <vt:lpstr>'Phu bieu 01 (DG)'!Print_Titles</vt:lpstr>
      <vt:lpstr>'Phu bieu 02 (DM)'!Print_Titles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ThuyLinh</dc:creator>
  <cp:lastModifiedBy>Admin</cp:lastModifiedBy>
  <cp:lastPrinted>2024-12-18T06:50:26Z</cp:lastPrinted>
  <dcterms:created xsi:type="dcterms:W3CDTF">2010-02-24T07:38:41Z</dcterms:created>
  <dcterms:modified xsi:type="dcterms:W3CDTF">2024-12-18T06:50:36Z</dcterms:modified>
</cp:coreProperties>
</file>